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U:\BB\Data\2013\"/>
    </mc:Choice>
  </mc:AlternateContent>
  <bookViews>
    <workbookView xWindow="0" yWindow="0" windowWidth="20490" windowHeight="7755" firstSheet="1" activeTab="1"/>
  </bookViews>
  <sheets>
    <sheet name="Majoduck_SK_1" sheetId="5" state="veryHidden" r:id="rId1"/>
    <sheet name="Monthwise" sheetId="1" r:id="rId2"/>
  </sheets>
  <definedNames>
    <definedName name="_xlnm._FilterDatabase" localSheetId="1" hidden="1">Monthwise!$A$1:$R$279</definedName>
    <definedName name="_xlnm.Print_Titles" localSheetId="1">Monthwise!$1:$1</definedName>
  </definedNames>
  <calcPr calcId="152511"/>
</workbook>
</file>

<file path=xl/calcChain.xml><?xml version="1.0" encoding="utf-8"?>
<calcChain xmlns="http://schemas.openxmlformats.org/spreadsheetml/2006/main">
  <c r="H253" i="1" l="1"/>
  <c r="I226" i="1" l="1"/>
  <c r="I225" i="1"/>
  <c r="G225" i="1"/>
  <c r="M225" i="1" s="1"/>
  <c r="I224" i="1"/>
  <c r="G224" i="1"/>
  <c r="M224" i="1" s="1"/>
  <c r="I223" i="1"/>
  <c r="I222" i="1"/>
  <c r="M221" i="1"/>
  <c r="I221" i="1"/>
  <c r="L221" i="1" s="1"/>
  <c r="I220" i="1"/>
  <c r="G220" i="1"/>
  <c r="M220" i="1" s="1"/>
  <c r="I219" i="1"/>
  <c r="G219" i="1"/>
  <c r="M219" i="1" s="1"/>
  <c r="I218" i="1"/>
  <c r="I217" i="1"/>
  <c r="I216" i="1"/>
  <c r="L216" i="1"/>
  <c r="G216" i="1"/>
  <c r="M216" i="1" s="1"/>
  <c r="M215" i="1"/>
  <c r="I215" i="1"/>
  <c r="L215" i="1"/>
  <c r="G214" i="1"/>
  <c r="M214" i="1" s="1"/>
  <c r="I214" i="1"/>
  <c r="L214" i="1" s="1"/>
  <c r="G213" i="1"/>
  <c r="M213" i="1" s="1"/>
  <c r="I213" i="1"/>
  <c r="I212" i="1"/>
  <c r="I211" i="1"/>
  <c r="I210" i="1"/>
  <c r="I209" i="1"/>
  <c r="I208" i="1"/>
  <c r="I207" i="1"/>
  <c r="M206" i="1"/>
  <c r="I206" i="1"/>
  <c r="L206" i="1" s="1"/>
  <c r="I205" i="1"/>
  <c r="M204" i="1"/>
  <c r="I204" i="1"/>
  <c r="L204" i="1" s="1"/>
  <c r="I203" i="1"/>
  <c r="G203" i="1"/>
  <c r="L203" i="1" s="1"/>
  <c r="I202" i="1"/>
  <c r="G202" i="1"/>
  <c r="I195" i="1"/>
  <c r="I197" i="1"/>
  <c r="I200" i="1"/>
  <c r="I201" i="1"/>
  <c r="G201" i="1"/>
  <c r="L201" i="1" s="1"/>
  <c r="I193" i="1"/>
  <c r="I199" i="1"/>
  <c r="G199" i="1"/>
  <c r="M199" i="1" s="1"/>
  <c r="I196" i="1"/>
  <c r="G196" i="1"/>
  <c r="M196" i="1" s="1"/>
  <c r="M192" i="1"/>
  <c r="L192" i="1"/>
  <c r="J192" i="1"/>
  <c r="I198" i="1"/>
  <c r="G198" i="1"/>
  <c r="M198" i="1" s="1"/>
  <c r="M191" i="1"/>
  <c r="I191" i="1"/>
  <c r="L191" i="1" s="1"/>
  <c r="M194" i="1"/>
  <c r="I194" i="1"/>
  <c r="L194" i="1" s="1"/>
  <c r="J190" i="1"/>
  <c r="G189" i="1"/>
  <c r="M189" i="1" s="1"/>
  <c r="I189" i="1"/>
  <c r="M188" i="1"/>
  <c r="G188" i="1"/>
  <c r="G178" i="1"/>
  <c r="M178" i="1" s="1"/>
  <c r="I188" i="1"/>
  <c r="L188" i="1" s="1"/>
  <c r="I187" i="1"/>
  <c r="I186" i="1"/>
  <c r="J185" i="1"/>
  <c r="G185" i="1"/>
  <c r="M185" i="1" s="1"/>
  <c r="G184" i="1"/>
  <c r="M184" i="1" s="1"/>
  <c r="G183" i="1"/>
  <c r="M183" i="1" s="1"/>
  <c r="I184" i="1"/>
  <c r="I183" i="1"/>
  <c r="L183" i="1" s="1"/>
  <c r="I182" i="1"/>
  <c r="L182" i="1" s="1"/>
  <c r="G182" i="1"/>
  <c r="M182" i="1"/>
  <c r="J181" i="1"/>
  <c r="I180" i="1"/>
  <c r="G180" i="1"/>
  <c r="M180" i="1"/>
  <c r="J179" i="1"/>
  <c r="G179" i="1"/>
  <c r="M179" i="1" s="1"/>
  <c r="I178" i="1"/>
  <c r="L178" i="1" s="1"/>
  <c r="M177" i="1"/>
  <c r="I177" i="1"/>
  <c r="L177" i="1" s="1"/>
  <c r="I176" i="1"/>
  <c r="G176" i="1"/>
  <c r="M176" i="1" s="1"/>
  <c r="I175" i="1"/>
  <c r="L175" i="1" s="1"/>
  <c r="I174" i="1"/>
  <c r="G174" i="1"/>
  <c r="M174" i="1" s="1"/>
  <c r="M175" i="1"/>
  <c r="I173" i="1"/>
  <c r="G173" i="1"/>
  <c r="M173" i="1" s="1"/>
  <c r="I172" i="1"/>
  <c r="G172" i="1"/>
  <c r="M172" i="1"/>
  <c r="I171" i="1"/>
  <c r="M170" i="1"/>
  <c r="L170" i="1"/>
  <c r="J170" i="1"/>
  <c r="J169" i="1"/>
  <c r="G169" i="1"/>
  <c r="L169" i="1" s="1"/>
  <c r="G168" i="1"/>
  <c r="M168" i="1" s="1"/>
  <c r="G167" i="1"/>
  <c r="M167" i="1" s="1"/>
  <c r="I168" i="1"/>
  <c r="L168" i="1" s="1"/>
  <c r="I167" i="1"/>
  <c r="G165" i="1"/>
  <c r="M165" i="1" s="1"/>
  <c r="G166" i="1"/>
  <c r="M166" i="1"/>
  <c r="I166" i="1"/>
  <c r="I165" i="1"/>
  <c r="L165" i="1" s="1"/>
  <c r="I164" i="1"/>
  <c r="I163" i="1"/>
  <c r="L163" i="1" s="1"/>
  <c r="G163" i="1"/>
  <c r="I162" i="1"/>
  <c r="G162" i="1"/>
  <c r="M161" i="1"/>
  <c r="L161" i="1"/>
  <c r="J161" i="1"/>
  <c r="I160" i="1"/>
  <c r="L160" i="1" s="1"/>
  <c r="G160" i="1"/>
  <c r="M160" i="1" s="1"/>
  <c r="I159" i="1"/>
  <c r="M158" i="1"/>
  <c r="I158" i="1"/>
  <c r="L158" i="1" s="1"/>
  <c r="I157" i="1"/>
  <c r="G157" i="1"/>
  <c r="M157" i="1" s="1"/>
  <c r="M156" i="1"/>
  <c r="I156" i="1"/>
  <c r="L156" i="1" s="1"/>
  <c r="M155" i="1"/>
  <c r="I155" i="1"/>
  <c r="L155" i="1" s="1"/>
  <c r="I154" i="1"/>
  <c r="I153" i="1"/>
  <c r="M152" i="1"/>
  <c r="I152" i="1"/>
  <c r="L152" i="1" s="1"/>
  <c r="M151" i="1"/>
  <c r="I151" i="1"/>
  <c r="L151" i="1" s="1"/>
  <c r="I150" i="1"/>
  <c r="G150" i="1"/>
  <c r="M150" i="1"/>
  <c r="I149" i="1"/>
  <c r="I148" i="1"/>
  <c r="H147" i="1"/>
  <c r="G147" i="1"/>
  <c r="M14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201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I120" i="1"/>
  <c r="L120" i="1"/>
  <c r="M120" i="1"/>
  <c r="I119" i="1"/>
  <c r="L119" i="1" s="1"/>
  <c r="M119" i="1"/>
  <c r="G146" i="1"/>
  <c r="I146" i="1"/>
  <c r="I145" i="1"/>
  <c r="G145" i="1"/>
  <c r="M145" i="1" s="1"/>
  <c r="J144" i="1"/>
  <c r="I136" i="1"/>
  <c r="G136" i="1"/>
  <c r="M136" i="1" s="1"/>
  <c r="I143" i="1"/>
  <c r="G143" i="1"/>
  <c r="M143" i="1" s="1"/>
  <c r="I142" i="1"/>
  <c r="G142" i="1"/>
  <c r="M142" i="1" s="1"/>
  <c r="M141" i="1"/>
  <c r="I141" i="1"/>
  <c r="L141" i="1" s="1"/>
  <c r="G141" i="1"/>
  <c r="M140" i="1"/>
  <c r="M139" i="1"/>
  <c r="G139" i="1"/>
  <c r="I140" i="1"/>
  <c r="L140" i="1"/>
  <c r="I139" i="1"/>
  <c r="L139" i="1" s="1"/>
  <c r="I138" i="1"/>
  <c r="I137" i="1"/>
  <c r="L137" i="1"/>
  <c r="G137" i="1"/>
  <c r="M137" i="1" s="1"/>
  <c r="I135" i="1"/>
  <c r="L135" i="1" s="1"/>
  <c r="G135" i="1"/>
  <c r="M135" i="1" s="1"/>
  <c r="I134" i="1"/>
  <c r="H134" i="1"/>
  <c r="G134" i="1"/>
  <c r="L134" i="1" s="1"/>
  <c r="M133" i="1"/>
  <c r="J133" i="1"/>
  <c r="L133" i="1"/>
  <c r="J132" i="1"/>
  <c r="M132" i="1"/>
  <c r="L132" i="1"/>
  <c r="G131" i="1"/>
  <c r="M131" i="1" s="1"/>
  <c r="G130" i="1"/>
  <c r="M130" i="1" s="1"/>
  <c r="I131" i="1"/>
  <c r="I130" i="1"/>
  <c r="G129" i="1"/>
  <c r="M129" i="1" s="1"/>
  <c r="G128" i="1"/>
  <c r="M128" i="1" s="1"/>
  <c r="I128" i="1"/>
  <c r="L128" i="1" s="1"/>
  <c r="I127" i="1"/>
  <c r="I129" i="1"/>
  <c r="L129" i="1"/>
  <c r="I126" i="1"/>
  <c r="I125" i="1"/>
  <c r="G125" i="1"/>
  <c r="M125" i="1"/>
  <c r="I124" i="1"/>
  <c r="I121" i="1"/>
  <c r="G121" i="1"/>
  <c r="M121" i="1" s="1"/>
  <c r="I122" i="1"/>
  <c r="L122" i="1" s="1"/>
  <c r="G122" i="1"/>
  <c r="M122" i="1" s="1"/>
  <c r="M123" i="1"/>
  <c r="L123" i="1"/>
  <c r="J123" i="1"/>
  <c r="M118" i="1"/>
  <c r="L118" i="1"/>
  <c r="J118" i="1"/>
  <c r="M117" i="1"/>
  <c r="I117" i="1"/>
  <c r="L117" i="1" s="1"/>
  <c r="I116" i="1"/>
  <c r="G116" i="1"/>
  <c r="M116" i="1" s="1"/>
  <c r="M115" i="1"/>
  <c r="I115" i="1"/>
  <c r="L115" i="1"/>
  <c r="G114" i="1"/>
  <c r="M114" i="1" s="1"/>
  <c r="M113" i="1"/>
  <c r="I114" i="1"/>
  <c r="I113" i="1"/>
  <c r="L113" i="1" s="1"/>
  <c r="G112" i="1"/>
  <c r="L112" i="1" s="1"/>
  <c r="I112" i="1"/>
  <c r="G111" i="1"/>
  <c r="L111" i="1" s="1"/>
  <c r="I111" i="1"/>
  <c r="I110" i="1"/>
  <c r="I109" i="1"/>
  <c r="M108" i="1"/>
  <c r="L108" i="1"/>
  <c r="J108" i="1"/>
  <c r="I107" i="1"/>
  <c r="G107" i="1"/>
  <c r="G106" i="1"/>
  <c r="G105" i="1"/>
  <c r="L105" i="1" s="1"/>
  <c r="I106" i="1"/>
  <c r="L106" i="1" s="1"/>
  <c r="I105" i="1"/>
  <c r="I104" i="1"/>
  <c r="L104" i="1"/>
  <c r="G104" i="1"/>
  <c r="I103" i="1"/>
  <c r="G103" i="1"/>
  <c r="G102" i="1"/>
  <c r="I102" i="1"/>
  <c r="I101" i="1"/>
  <c r="L101" i="1" s="1"/>
  <c r="I100" i="1"/>
  <c r="G97" i="1"/>
  <c r="I98" i="1"/>
  <c r="I97" i="1"/>
  <c r="I95" i="1"/>
  <c r="I89" i="1"/>
  <c r="L89" i="1" s="1"/>
  <c r="G89" i="1"/>
  <c r="I90" i="1"/>
  <c r="G90" i="1"/>
  <c r="L90" i="1" s="1"/>
  <c r="I91" i="1"/>
  <c r="G91" i="1"/>
  <c r="I93" i="1"/>
  <c r="G93" i="1"/>
  <c r="I92" i="1"/>
  <c r="G88" i="1"/>
  <c r="M88" i="1" s="1"/>
  <c r="I88" i="1"/>
  <c r="J86" i="1"/>
  <c r="J87" i="1"/>
  <c r="G87" i="1"/>
  <c r="G86" i="1"/>
  <c r="M86" i="1" s="1"/>
  <c r="G84" i="1"/>
  <c r="M84" i="1" s="1"/>
  <c r="I84" i="1"/>
  <c r="I85" i="1"/>
  <c r="M83" i="1"/>
  <c r="I83" i="1"/>
  <c r="L83" i="1" s="1"/>
  <c r="M82" i="1"/>
  <c r="L82" i="1"/>
  <c r="J82" i="1"/>
  <c r="I81" i="1"/>
  <c r="G81" i="1"/>
  <c r="M81" i="1" s="1"/>
  <c r="I80" i="1"/>
  <c r="G80" i="1"/>
  <c r="M80" i="1" s="1"/>
  <c r="M79" i="1"/>
  <c r="I79" i="1"/>
  <c r="L79" i="1"/>
  <c r="I78" i="1"/>
  <c r="L78" i="1" s="1"/>
  <c r="G78" i="1"/>
  <c r="M78" i="1"/>
  <c r="I77" i="1"/>
  <c r="L77" i="1" s="1"/>
  <c r="G77" i="1"/>
  <c r="M77" i="1" s="1"/>
  <c r="I76" i="1"/>
  <c r="I75" i="1"/>
  <c r="I74" i="1"/>
  <c r="I73" i="1"/>
  <c r="G73" i="1"/>
  <c r="L73" i="1" s="1"/>
  <c r="I72" i="1"/>
  <c r="G72" i="1"/>
  <c r="L72" i="1" s="1"/>
  <c r="I71" i="1"/>
  <c r="I70" i="1"/>
  <c r="I69" i="1"/>
  <c r="I68" i="1"/>
  <c r="G68" i="1"/>
  <c r="M67" i="1"/>
  <c r="I67" i="1"/>
  <c r="L67" i="1" s="1"/>
  <c r="G64" i="1"/>
  <c r="G65" i="1"/>
  <c r="G63" i="1"/>
  <c r="M63" i="1" s="1"/>
  <c r="G62" i="1"/>
  <c r="M62" i="1" s="1"/>
  <c r="M66" i="1"/>
  <c r="L66" i="1"/>
  <c r="I65" i="1"/>
  <c r="I64" i="1"/>
  <c r="L64" i="1" s="1"/>
  <c r="I63" i="1"/>
  <c r="L63" i="1" s="1"/>
  <c r="I62" i="1"/>
  <c r="L62" i="1" s="1"/>
  <c r="I61" i="1"/>
  <c r="G61" i="1"/>
  <c r="M61" i="1" s="1"/>
  <c r="I60" i="1"/>
  <c r="I59" i="1"/>
  <c r="G58" i="1"/>
  <c r="M58" i="1" s="1"/>
  <c r="I58" i="1"/>
  <c r="I57" i="1"/>
  <c r="G57" i="1"/>
  <c r="L57" i="1" s="1"/>
  <c r="M56" i="1"/>
  <c r="L56" i="1"/>
  <c r="J56" i="1"/>
  <c r="I55" i="1"/>
  <c r="G55" i="1"/>
  <c r="G54" i="1"/>
  <c r="H54" i="1" s="1"/>
  <c r="I54" i="1"/>
  <c r="L54" i="1" s="1"/>
  <c r="I53" i="1"/>
  <c r="L53" i="1" s="1"/>
  <c r="G53" i="1"/>
  <c r="M53" i="1" s="1"/>
  <c r="I52" i="1"/>
  <c r="L52" i="1"/>
  <c r="G52" i="1"/>
  <c r="M52" i="1" s="1"/>
  <c r="I51" i="1"/>
  <c r="L51" i="1"/>
  <c r="G51" i="1"/>
  <c r="M51" i="1" s="1"/>
  <c r="I50" i="1"/>
  <c r="L50" i="1"/>
  <c r="G50" i="1"/>
  <c r="M50" i="1" s="1"/>
  <c r="I49" i="1"/>
  <c r="L49" i="1"/>
  <c r="G49" i="1"/>
  <c r="M49" i="1" s="1"/>
  <c r="G48" i="1"/>
  <c r="M48" i="1"/>
  <c r="G40" i="1"/>
  <c r="M40" i="1" s="1"/>
  <c r="I47" i="1"/>
  <c r="L47" i="1"/>
  <c r="G47" i="1"/>
  <c r="H46" i="1"/>
  <c r="I46" i="1" s="1"/>
  <c r="L46" i="1" s="1"/>
  <c r="G43" i="1"/>
  <c r="L43" i="1"/>
  <c r="M45" i="1"/>
  <c r="I45" i="1"/>
  <c r="L45" i="1" s="1"/>
  <c r="I44" i="1"/>
  <c r="G35" i="1"/>
  <c r="I42" i="1"/>
  <c r="L42" i="1" s="1"/>
  <c r="G42" i="1"/>
  <c r="M42" i="1" s="1"/>
  <c r="G38" i="1"/>
  <c r="M38" i="1" s="1"/>
  <c r="G15" i="1"/>
  <c r="M17" i="1"/>
  <c r="G16" i="1"/>
  <c r="M41" i="1"/>
  <c r="L41" i="1"/>
  <c r="J41" i="1"/>
  <c r="M39" i="1"/>
  <c r="L39" i="1"/>
  <c r="J39" i="1"/>
  <c r="I40" i="1"/>
  <c r="L40" i="1" s="1"/>
  <c r="I38" i="1"/>
  <c r="M37" i="1"/>
  <c r="I37" i="1"/>
  <c r="L37" i="1" s="1"/>
  <c r="I36" i="1"/>
  <c r="I35" i="1"/>
  <c r="I34" i="1"/>
  <c r="M34" i="1" s="1"/>
  <c r="G34" i="1"/>
  <c r="I33" i="1"/>
  <c r="G33" i="1"/>
  <c r="I32" i="1"/>
  <c r="M32" i="1" s="1"/>
  <c r="G32" i="1"/>
  <c r="G31" i="1"/>
  <c r="I31" i="1"/>
  <c r="M31" i="1" s="1"/>
  <c r="I30" i="1"/>
  <c r="I29" i="1"/>
  <c r="G29" i="1"/>
  <c r="M29" i="1" s="1"/>
  <c r="L28" i="1"/>
  <c r="M28" i="1"/>
  <c r="I27" i="1"/>
  <c r="G27" i="1"/>
  <c r="I26" i="1"/>
  <c r="M26" i="1" s="1"/>
  <c r="G26" i="1"/>
  <c r="I25" i="1"/>
  <c r="G25" i="1"/>
  <c r="M25" i="1" s="1"/>
  <c r="I24" i="1"/>
  <c r="M24" i="1" s="1"/>
  <c r="G24" i="1"/>
  <c r="I23" i="1"/>
  <c r="M23" i="1" s="1"/>
  <c r="I22" i="1"/>
  <c r="L22" i="1" s="1"/>
  <c r="I21" i="1"/>
  <c r="G21" i="1"/>
  <c r="I20" i="1"/>
  <c r="M20" i="1" s="1"/>
  <c r="G20" i="1"/>
  <c r="I17" i="1"/>
  <c r="L17" i="1" s="1"/>
  <c r="I18" i="1"/>
  <c r="J19" i="1"/>
  <c r="G19" i="1"/>
  <c r="M13" i="1"/>
  <c r="I13" i="1"/>
  <c r="L13" i="1" s="1"/>
  <c r="I14" i="1"/>
  <c r="H16" i="1"/>
  <c r="M16" i="1" s="1"/>
  <c r="I16" i="1"/>
  <c r="L16" i="1" s="1"/>
  <c r="H15" i="1"/>
  <c r="I15" i="1" s="1"/>
  <c r="L15" i="1" s="1"/>
  <c r="G10" i="1"/>
  <c r="H10" i="1" s="1"/>
  <c r="I10" i="1" s="1"/>
  <c r="L10" i="1" s="1"/>
  <c r="G3" i="1"/>
  <c r="G12" i="1"/>
  <c r="M12" i="1" s="1"/>
  <c r="I12" i="1"/>
  <c r="I11" i="1"/>
  <c r="J11" i="1" s="1"/>
  <c r="H9" i="1"/>
  <c r="I9" i="1" s="1"/>
  <c r="G9" i="1"/>
  <c r="H8" i="1"/>
  <c r="I8" i="1" s="1"/>
  <c r="L8" i="1" s="1"/>
  <c r="G8" i="1"/>
  <c r="I7" i="1"/>
  <c r="H7" i="1"/>
  <c r="J7" i="1" s="1"/>
  <c r="G7" i="1"/>
  <c r="J6" i="1"/>
  <c r="G6" i="1"/>
  <c r="M6" i="1"/>
  <c r="M5" i="1"/>
  <c r="L5" i="1"/>
  <c r="J5" i="1"/>
  <c r="H281" i="1"/>
  <c r="I4" i="1"/>
  <c r="L4" i="1" s="1"/>
  <c r="I3" i="1"/>
  <c r="M3" i="1" s="1"/>
  <c r="H327" i="1"/>
  <c r="H325" i="1"/>
  <c r="H323" i="1"/>
  <c r="H324" i="1"/>
  <c r="L2" i="1"/>
  <c r="M2" i="1"/>
  <c r="M43" i="1"/>
  <c r="L189" i="1"/>
  <c r="L24" i="1"/>
  <c r="L6" i="1"/>
  <c r="L107" i="1"/>
  <c r="M169" i="1"/>
  <c r="I147" i="1"/>
  <c r="L147" i="1"/>
  <c r="L7" i="1"/>
  <c r="M22" i="1"/>
  <c r="L21" i="1"/>
  <c r="M19" i="1"/>
  <c r="L19" i="1"/>
  <c r="L31" i="1"/>
  <c r="L48" i="1"/>
  <c r="M57" i="1"/>
  <c r="L87" i="1"/>
  <c r="M87" i="1"/>
  <c r="M68" i="1"/>
  <c r="L68" i="1"/>
  <c r="L81" i="1"/>
  <c r="L172" i="1"/>
  <c r="L180" i="1"/>
  <c r="L179" i="1"/>
  <c r="L202" i="1"/>
  <c r="L220" i="1"/>
  <c r="L176" i="1" l="1"/>
  <c r="L26" i="1"/>
  <c r="L34" i="1"/>
  <c r="L9" i="1"/>
  <c r="L25" i="1"/>
  <c r="M35" i="1"/>
  <c r="L61" i="1"/>
  <c r="L80" i="1"/>
  <c r="L86" i="1"/>
  <c r="L114" i="1"/>
  <c r="L131" i="1"/>
  <c r="M134" i="1"/>
  <c r="L143" i="1"/>
  <c r="L146" i="1"/>
  <c r="L162" i="1"/>
  <c r="L173" i="1"/>
  <c r="L196" i="1"/>
  <c r="L199" i="1"/>
  <c r="L225" i="1"/>
  <c r="L3" i="1"/>
  <c r="L20" i="1"/>
  <c r="M15" i="1"/>
  <c r="M4" i="1"/>
  <c r="M21" i="1"/>
  <c r="M27" i="1"/>
  <c r="L29" i="1"/>
  <c r="L33" i="1"/>
  <c r="L38" i="1"/>
  <c r="L58" i="1"/>
  <c r="L65" i="1"/>
  <c r="L91" i="1"/>
  <c r="L103" i="1"/>
  <c r="L121" i="1"/>
  <c r="L125" i="1"/>
  <c r="L150" i="1"/>
  <c r="L219" i="1"/>
  <c r="L224" i="1"/>
  <c r="L32" i="1"/>
  <c r="L23" i="1"/>
  <c r="G253" i="1"/>
  <c r="L12" i="1"/>
  <c r="L55" i="1"/>
  <c r="L102" i="1"/>
  <c r="L167" i="1"/>
  <c r="I291" i="1"/>
  <c r="L145" i="1"/>
  <c r="L35" i="1"/>
  <c r="H291" i="1"/>
  <c r="L27" i="1"/>
  <c r="M7" i="1"/>
  <c r="L116" i="1"/>
  <c r="J134" i="1"/>
  <c r="J291" i="1" s="1"/>
  <c r="L136" i="1"/>
  <c r="M146" i="1"/>
  <c r="L174" i="1"/>
  <c r="L184" i="1"/>
  <c r="L185" i="1"/>
  <c r="G291" i="1"/>
  <c r="L157" i="1"/>
  <c r="M33" i="1"/>
  <c r="L84" i="1"/>
  <c r="L88" i="1"/>
  <c r="L130" i="1"/>
  <c r="L142" i="1"/>
  <c r="L198" i="1"/>
  <c r="L93" i="1"/>
  <c r="L166" i="1"/>
  <c r="L213" i="1"/>
</calcChain>
</file>

<file path=xl/comments1.xml><?xml version="1.0" encoding="utf-8"?>
<comments xmlns="http://schemas.openxmlformats.org/spreadsheetml/2006/main">
  <authors>
    <author>INBHBAS</author>
  </authors>
  <commentList>
    <comment ref="E237" authorId="0" shapeId="0">
      <text>
        <r>
          <rPr>
            <b/>
            <sz val="8"/>
            <color indexed="81"/>
            <rFont val="Tahoma"/>
            <family val="2"/>
          </rPr>
          <t>INBHBAS:</t>
        </r>
        <r>
          <rPr>
            <sz val="8"/>
            <color indexed="81"/>
            <rFont val="Tahoma"/>
            <family val="2"/>
          </rPr>
          <t xml:space="preserve">
RELAYS, MSEB LEASING</t>
        </r>
      </text>
    </comment>
    <comment ref="E242" authorId="0" shapeId="0">
      <text>
        <r>
          <rPr>
            <b/>
            <sz val="8"/>
            <color indexed="81"/>
            <rFont val="Tahoma"/>
            <family val="2"/>
          </rPr>
          <t>INBHBAS:</t>
        </r>
        <r>
          <rPr>
            <sz val="8"/>
            <color indexed="81"/>
            <rFont val="Tahoma"/>
            <family val="2"/>
          </rPr>
          <t xml:space="preserve">
RELAYS, MSEB LEASING</t>
        </r>
      </text>
    </comment>
  </commentList>
</comments>
</file>

<file path=xl/sharedStrings.xml><?xml version="1.0" encoding="utf-8"?>
<sst xmlns="http://schemas.openxmlformats.org/spreadsheetml/2006/main" count="1403" uniqueCount="191">
  <si>
    <t>REGION</t>
  </si>
  <si>
    <t>KV</t>
  </si>
  <si>
    <t>MVAR</t>
  </si>
  <si>
    <t>TINR</t>
  </si>
  <si>
    <t>OWNTINR</t>
  </si>
  <si>
    <t>TRGTINR</t>
  </si>
  <si>
    <t>ENGR</t>
  </si>
  <si>
    <t>OWNKVAR</t>
  </si>
  <si>
    <t>TOTKVAR</t>
  </si>
  <si>
    <t>MONTH</t>
  </si>
  <si>
    <t>GM</t>
  </si>
  <si>
    <t>OI NUMBER</t>
  </si>
  <si>
    <t>CTG</t>
  </si>
  <si>
    <t>REMARKS</t>
  </si>
  <si>
    <t>#</t>
  </si>
  <si>
    <t>TYPE</t>
  </si>
  <si>
    <t>CUSTOMER</t>
  </si>
  <si>
    <t>Type</t>
  </si>
  <si>
    <t>EXP</t>
  </si>
  <si>
    <t>JAN</t>
  </si>
  <si>
    <t>DryQ (HVDC Light)</t>
  </si>
  <si>
    <t>DryQ (SVC Light)</t>
  </si>
  <si>
    <t>FACTS applications</t>
  </si>
  <si>
    <t>FACTS</t>
  </si>
  <si>
    <t>Conventional capacitor units</t>
  </si>
  <si>
    <t>VP</t>
  </si>
  <si>
    <t>I</t>
  </si>
  <si>
    <t>Shunt capacitor banks</t>
  </si>
  <si>
    <t>Open type banks,&lt;72 kV</t>
  </si>
  <si>
    <t>Pole mounted</t>
  </si>
  <si>
    <t>Sub-transmission,&gt;72 kV</t>
  </si>
  <si>
    <t>DryQ</t>
  </si>
  <si>
    <t>Filter banks</t>
  </si>
  <si>
    <t>Harmonic filters</t>
  </si>
  <si>
    <t>HVDC Capacitor Banks</t>
  </si>
  <si>
    <t>Capacitor units</t>
  </si>
  <si>
    <t>Speciallty capacitors</t>
  </si>
  <si>
    <t>Capacitor switch</t>
  </si>
  <si>
    <t>Misc</t>
  </si>
  <si>
    <t>EXPI</t>
  </si>
  <si>
    <t>Metal Enclosed</t>
  </si>
  <si>
    <t>RE</t>
  </si>
  <si>
    <t>TOTAL</t>
  </si>
  <si>
    <t>U</t>
  </si>
  <si>
    <t>RS</t>
  </si>
  <si>
    <t>CPU</t>
  </si>
  <si>
    <t>RN</t>
  </si>
  <si>
    <t>DS</t>
  </si>
  <si>
    <t xml:space="preserve">TOTAL </t>
  </si>
  <si>
    <t>RP</t>
  </si>
  <si>
    <t>CPI</t>
  </si>
  <si>
    <t>bel a/c msetcl</t>
  </si>
  <si>
    <t>Qpower bank -Amendment</t>
  </si>
  <si>
    <t xml:space="preserve">Qpower </t>
  </si>
  <si>
    <t>Simhapuri FerroAlloys</t>
  </si>
  <si>
    <t>Easen Reyrolle Limited a/C CSPTCL</t>
  </si>
  <si>
    <t>RW</t>
  </si>
  <si>
    <t>EPCOS a/c HVPNL</t>
  </si>
  <si>
    <t>ABB CANADA</t>
  </si>
  <si>
    <t>ABB AUSTRALIA</t>
  </si>
  <si>
    <t>PGCIL KOLAR</t>
  </si>
  <si>
    <t>IDTO</t>
  </si>
  <si>
    <t>Tata Steel</t>
  </si>
  <si>
    <t>Jindal Stainless Limited</t>
  </si>
  <si>
    <t>FEB</t>
  </si>
  <si>
    <t>SKS BUILDTECH</t>
  </si>
  <si>
    <t>SAMHITA TECHNOLOGIES</t>
  </si>
  <si>
    <t>SUN COMPUTECH</t>
  </si>
  <si>
    <t>SPECTRUM CONSULTANTS</t>
  </si>
  <si>
    <t>KSEB</t>
  </si>
  <si>
    <t>SS ENTERPRISE</t>
  </si>
  <si>
    <t>HINDALCO INDUSTRIES</t>
  </si>
  <si>
    <t>QUALITY POWER</t>
  </si>
  <si>
    <t>ABB LTD A/C LT CAPACITORS</t>
  </si>
  <si>
    <t>IDTOI</t>
  </si>
  <si>
    <t>OVAC SWITCHGEAR SERVICES PVT LTD</t>
  </si>
  <si>
    <t>bajaj a/c jodhpur</t>
  </si>
  <si>
    <t>CB 2000</t>
  </si>
  <si>
    <t>ADITYA BIRLA INDIAN RAYON</t>
  </si>
  <si>
    <t>GRAPHITE INDIA LIMITED</t>
  </si>
  <si>
    <t>ABB LTD A/C LT CAPACITORS A/C KALYANI GARUDA</t>
  </si>
  <si>
    <t>MAR</t>
  </si>
  <si>
    <t>APR</t>
  </si>
  <si>
    <t>JARVIS</t>
  </si>
  <si>
    <t>CABCHEM A/C MSETCL</t>
  </si>
  <si>
    <t>Quality POWER A/c Railways A/c Loose units with fuses</t>
  </si>
  <si>
    <t>ABB Limited A/c LT Caps A/c Kalyani Garuda</t>
  </si>
  <si>
    <t>KS</t>
  </si>
  <si>
    <t>ETA ENGINEERS A/C KPTCL</t>
  </si>
  <si>
    <t>Quality POWER A/c Railways Amendment</t>
  </si>
  <si>
    <t>JINDAL STRUCTURES LIMITED A/C CSPTCL</t>
  </si>
  <si>
    <t>JYOTI LIMITED</t>
  </si>
  <si>
    <t>Trading Engineers</t>
  </si>
  <si>
    <t>MAY</t>
  </si>
  <si>
    <t>JUN</t>
  </si>
  <si>
    <t>ABB LTD A/C PA A/C DUNGSUM CEMENT</t>
  </si>
  <si>
    <t>ABB LTD A/C PA A/C VSP</t>
  </si>
  <si>
    <t>TAMIL NADU GEN &amp; DIS CO LTD</t>
  </si>
  <si>
    <t>RC</t>
  </si>
  <si>
    <t>BS TRANSCOM LIMITED</t>
  </si>
  <si>
    <t>NARESH AGARWAL CONSTRUCTIONS PVT LTD</t>
  </si>
  <si>
    <t>NIKUM INDUCTION PVT LTD</t>
  </si>
  <si>
    <t>VEE VEE CONTROLS</t>
  </si>
  <si>
    <t>NIKET UDYOG</t>
  </si>
  <si>
    <t>HARIKA AGENCIES</t>
  </si>
  <si>
    <t>ABB TURKEY</t>
  </si>
  <si>
    <t>DRUK WANG ALLOYS</t>
  </si>
  <si>
    <t>INNOTECH A/C APTRANSCO</t>
  </si>
  <si>
    <t>SIEMENS A/C ROHIT FERRO</t>
  </si>
  <si>
    <t>ABB SWEDEN</t>
  </si>
  <si>
    <t>Graphite</t>
  </si>
  <si>
    <t>JUL</t>
  </si>
  <si>
    <t>Bharat Electricals</t>
  </si>
  <si>
    <t>Sharavathy Conductors</t>
  </si>
  <si>
    <t>PSTCL</t>
  </si>
  <si>
    <t>Swastik engineers</t>
  </si>
  <si>
    <t>Gangavaram Port</t>
  </si>
  <si>
    <t>Powergear</t>
  </si>
  <si>
    <t>ABB Bangladesh A/C MAGNUM STEELS</t>
  </si>
  <si>
    <t>SIEMENS A/C BALIPARA</t>
  </si>
  <si>
    <t>ALSTHOM A/C HINDALCO ADITYA</t>
  </si>
  <si>
    <t>IDTOU</t>
  </si>
  <si>
    <t>ABB LIMITED A/C PTPS A/C ISOLUX A/C UPPTCL</t>
  </si>
  <si>
    <t>SIGMA A/C RAILWAYS</t>
  </si>
  <si>
    <t>Shree Nursingsahay Mudungopal Engg Pvt Ltd</t>
  </si>
  <si>
    <t>SIMARTECH PROJECTS</t>
  </si>
  <si>
    <t>ABB LTD A/C PPHV-SER A/C KHYBER INDUSTRIES</t>
  </si>
  <si>
    <t>Quality POWER A/c Railways A/c Loose units with fuses Amendment</t>
  </si>
  <si>
    <t>SGS</t>
  </si>
  <si>
    <t>INELEC</t>
  </si>
  <si>
    <t>ABB LIMITED A/C ATPA A/C RECTIFIERS A/C NUBERG</t>
  </si>
  <si>
    <t>BS TRANSCOM LIMITED A/C MPPTCL</t>
  </si>
  <si>
    <t>Bharat Electricals A/c getco</t>
  </si>
  <si>
    <t>hindalco mahan</t>
  </si>
  <si>
    <t>Angelique International Limited a/c Laos</t>
  </si>
  <si>
    <t>Micron Electricals A/C KPTCL</t>
  </si>
  <si>
    <t>Quality Power</t>
  </si>
  <si>
    <t>L&amp;T SPECIAL STEELS &amp; HEAVY FORGING PVT LTD</t>
  </si>
  <si>
    <t>Powergrid Pisauli,BIHAR</t>
  </si>
  <si>
    <t>Reliance Industries Limited</t>
  </si>
  <si>
    <t>QUALITY POWER ENGINEERING PVT LTD</t>
  </si>
  <si>
    <t>alstom a/c megha</t>
  </si>
  <si>
    <t>isolux a/c mpptcl</t>
  </si>
  <si>
    <t>ALSTOM T&amp;D A/C PGCIL CHAMPA</t>
  </si>
  <si>
    <t>ALSTOM T&amp;D A/C PGCIL KURUKSHETA</t>
  </si>
  <si>
    <t>AUG</t>
  </si>
  <si>
    <t>BPCL</t>
  </si>
  <si>
    <t>VP/RY</t>
  </si>
  <si>
    <t>CENTRAL ENGINEERING COMPANY</t>
  </si>
  <si>
    <t>DS/KS</t>
  </si>
  <si>
    <t>POPULAR SWITCHGEAR A/C MSETCL</t>
  </si>
  <si>
    <t>POWERGEAR</t>
  </si>
  <si>
    <t>HAROLD INDUSTRIES PVT LTD</t>
  </si>
  <si>
    <t>CAPITAL ELECTRIC A/C UPPTCL</t>
  </si>
  <si>
    <t>GETCO</t>
  </si>
  <si>
    <t>SEP</t>
  </si>
  <si>
    <t>132/33</t>
  </si>
  <si>
    <t>ILFS A/C HVPNL</t>
  </si>
  <si>
    <t>SAFETY CONTROLS A/C UPPTCL</t>
  </si>
  <si>
    <t>RC Automation</t>
  </si>
  <si>
    <t>BINANI ZINC LIMITED</t>
  </si>
  <si>
    <t>SKILL TECH A/C KPTCL</t>
  </si>
  <si>
    <t>OCT</t>
  </si>
  <si>
    <t>TATA HALDIA</t>
  </si>
  <si>
    <t>KEC A/C LAOS</t>
  </si>
  <si>
    <t>ENZEN GLOBAL SOLUTIONS PVT LTD</t>
  </si>
  <si>
    <t>SIEMENS A/C PGCB BHERMARA</t>
  </si>
  <si>
    <t>RY</t>
  </si>
  <si>
    <t>EXPU</t>
  </si>
  <si>
    <t>ABB BAngladesh A/C ENERGYPAC</t>
  </si>
  <si>
    <t>ABB LIMITED A/C PPHVS</t>
  </si>
  <si>
    <t>NOV</t>
  </si>
  <si>
    <t>Tejaswini Electrical A/C KPTCL</t>
  </si>
  <si>
    <t>Siemens A/c Bhermara</t>
  </si>
  <si>
    <t>Quality Power A/c Bedas &amp; Meram</t>
  </si>
  <si>
    <t>ABB LTD A/C PA A/C TATA JODA</t>
  </si>
  <si>
    <t>inelec</t>
  </si>
  <si>
    <t>getco reactor</t>
  </si>
  <si>
    <t xml:space="preserve">ABB LTD A/C PA A/C lafarge </t>
  </si>
  <si>
    <t>ABB LTD A/C PPHVS A/C WBSETCL</t>
  </si>
  <si>
    <t>ABB BULGARIA</t>
  </si>
  <si>
    <t>Vimal Engineers and Contractors</t>
  </si>
  <si>
    <t>DEC</t>
  </si>
  <si>
    <t>Jarvis Systems</t>
  </si>
  <si>
    <t>ABB LTD A/C DMMG-HV MACHINES</t>
  </si>
  <si>
    <t>Lectronics A/c Central Railways</t>
  </si>
  <si>
    <t>INELEC ENGINEERS</t>
  </si>
  <si>
    <t>BALAKRISHNA INDUSTRIES LIMITED</t>
  </si>
  <si>
    <t>ALLIED STRIPS LIMITED</t>
  </si>
  <si>
    <t>ABB INDIA LTD - PS HVDC Sys</t>
  </si>
  <si>
    <t>PV claim for 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</si>
</sst>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&quot;\&quot;#,##0.00;[Red]\-&quot;\&quot;#,##0.00"/>
  </numFmts>
  <fonts count="1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2"/>
      <name val="Arial"/>
      <family val="2"/>
    </font>
    <font>
      <u/>
      <sz val="9"/>
      <color indexed="12"/>
      <name val="Arial"/>
      <family val="2"/>
    </font>
    <font>
      <sz val="7"/>
      <name val="Small Fonts"/>
      <family val="2"/>
    </font>
    <font>
      <b/>
      <sz val="10"/>
      <name val="Arial CE"/>
      <family val="2"/>
      <charset val="238"/>
    </font>
    <font>
      <u/>
      <sz val="9"/>
      <color indexed="36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>
      <alignment vertical="top"/>
    </xf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0" fontId="5" fillId="0" borderId="0" applyNumberFormat="0" applyFill="0" applyBorder="0" applyAlignment="0" applyProtection="0">
      <alignment vertical="top"/>
      <protection locked="0"/>
    </xf>
    <xf numFmtId="37" fontId="6" fillId="0" borderId="0"/>
    <xf numFmtId="164" fontId="1" fillId="0" borderId="0"/>
    <xf numFmtId="0" fontId="14" fillId="0" borderId="0"/>
    <xf numFmtId="9" fontId="1" fillId="0" borderId="0" applyFont="0" applyFill="0" applyBorder="0" applyAlignment="0" applyProtection="0"/>
    <xf numFmtId="0" fontId="7" fillId="0" borderId="0" applyFont="0"/>
    <xf numFmtId="0" fontId="8" fillId="0" borderId="0" applyNumberFormat="0" applyFill="0" applyBorder="0" applyAlignment="0" applyProtection="0">
      <alignment vertical="top"/>
      <protection locked="0"/>
    </xf>
    <xf numFmtId="0" fontId="13" fillId="0" borderId="0">
      <alignment vertical="top"/>
    </xf>
  </cellStyleXfs>
  <cellXfs count="61">
    <xf numFmtId="0" fontId="0" fillId="0" borderId="0" xfId="0" applyAlignment="1"/>
    <xf numFmtId="0" fontId="2" fillId="0" borderId="0" xfId="0" applyFont="1" applyAlignment="1"/>
    <xf numFmtId="0" fontId="0" fillId="0" borderId="3" xfId="0" applyBorder="1" applyAlignment="1"/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Alignment="1">
      <alignment horizontal="right"/>
    </xf>
    <xf numFmtId="2" fontId="0" fillId="0" borderId="3" xfId="0" applyNumberFormat="1" applyBorder="1" applyAlignment="1"/>
    <xf numFmtId="0" fontId="3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Fill="1" applyBorder="1" applyAlignment="1"/>
    <xf numFmtId="43" fontId="2" fillId="0" borderId="3" xfId="1" applyFont="1" applyBorder="1"/>
    <xf numFmtId="43" fontId="0" fillId="0" borderId="0" xfId="0" applyNumberFormat="1" applyAlignment="1"/>
    <xf numFmtId="0" fontId="0" fillId="0" borderId="0" xfId="0" applyFill="1" applyBorder="1" applyAlignment="1"/>
    <xf numFmtId="0" fontId="0" fillId="0" borderId="0" xfId="0" applyBorder="1" applyAlignment="1"/>
    <xf numFmtId="0" fontId="0" fillId="0" borderId="6" xfId="0" applyFill="1" applyBorder="1" applyAlignment="1"/>
    <xf numFmtId="10" fontId="0" fillId="0" borderId="3" xfId="0" applyNumberFormat="1" applyBorder="1" applyAlignment="1"/>
    <xf numFmtId="0" fontId="3" fillId="2" borderId="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3" fontId="9" fillId="0" borderId="3" xfId="1" applyFont="1" applyBorder="1"/>
    <xf numFmtId="0" fontId="10" fillId="0" borderId="0" xfId="0" applyFont="1">
      <alignment vertical="top"/>
    </xf>
    <xf numFmtId="0" fontId="2" fillId="0" borderId="0" xfId="0" applyFont="1">
      <alignment vertical="top"/>
    </xf>
    <xf numFmtId="43" fontId="9" fillId="0" borderId="0" xfId="1" applyFont="1" applyFill="1" applyBorder="1"/>
    <xf numFmtId="43" fontId="9" fillId="0" borderId="7" xfId="1" applyFont="1" applyFill="1" applyBorder="1"/>
    <xf numFmtId="43" fontId="0" fillId="0" borderId="3" xfId="0" applyNumberFormat="1" applyBorder="1" applyAlignment="1"/>
    <xf numFmtId="2" fontId="0" fillId="0" borderId="0" xfId="0" applyNumberFormat="1" applyBorder="1" applyAlignment="1"/>
    <xf numFmtId="9" fontId="0" fillId="0" borderId="3" xfId="16" applyFont="1" applyFill="1" applyBorder="1"/>
    <xf numFmtId="0" fontId="9" fillId="0" borderId="3" xfId="0" applyFont="1" applyFill="1" applyBorder="1" applyAlignment="1"/>
    <xf numFmtId="43" fontId="0" fillId="0" borderId="0" xfId="0" applyNumberFormat="1" applyAlignment="1">
      <alignment horizontal="right"/>
    </xf>
    <xf numFmtId="0" fontId="10" fillId="0" borderId="0" xfId="0" applyFont="1" applyAlignment="1">
      <alignment horizontal="center" vertical="top"/>
    </xf>
    <xf numFmtId="0" fontId="10" fillId="0" borderId="0" xfId="0" applyFont="1" applyAlignment="1">
      <alignment horizontal="center"/>
    </xf>
    <xf numFmtId="43" fontId="0" fillId="0" borderId="0" xfId="0" applyNumberFormat="1" applyAlignment="1">
      <alignment horizontal="center"/>
    </xf>
    <xf numFmtId="2" fontId="0" fillId="0" borderId="0" xfId="0" applyNumberFormat="1" applyAlignment="1"/>
    <xf numFmtId="9" fontId="0" fillId="0" borderId="0" xfId="0" applyNumberFormat="1" applyAlignment="1"/>
    <xf numFmtId="9" fontId="0" fillId="0" borderId="0" xfId="0" applyNumberFormat="1" applyFill="1" applyBorder="1" applyAlignment="1"/>
    <xf numFmtId="0" fontId="15" fillId="0" borderId="3" xfId="0" applyFont="1" applyFill="1" applyBorder="1" applyAlignment="1"/>
    <xf numFmtId="0" fontId="9" fillId="0" borderId="3" xfId="0" applyFont="1" applyBorder="1" applyAlignment="1"/>
    <xf numFmtId="0" fontId="9" fillId="0" borderId="3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0" fillId="0" borderId="8" xfId="0" applyBorder="1" applyAlignment="1"/>
    <xf numFmtId="0" fontId="10" fillId="0" borderId="8" xfId="0" applyFont="1" applyBorder="1" applyAlignment="1">
      <alignment horizontal="center" vertical="top"/>
    </xf>
    <xf numFmtId="0" fontId="10" fillId="0" borderId="8" xfId="0" applyFont="1" applyBorder="1">
      <alignment vertical="top"/>
    </xf>
    <xf numFmtId="0" fontId="0" fillId="0" borderId="3" xfId="0" applyFont="1" applyFill="1" applyBorder="1" applyAlignment="1"/>
    <xf numFmtId="0" fontId="9" fillId="0" borderId="0" xfId="0" applyFont="1" applyFill="1" applyBorder="1" applyAlignment="1"/>
    <xf numFmtId="0" fontId="9" fillId="0" borderId="0" xfId="0" applyFont="1" applyAlignment="1"/>
    <xf numFmtId="0" fontId="0" fillId="0" borderId="0" xfId="0" applyFont="1" applyFill="1" applyBorder="1" applyAlignment="1"/>
    <xf numFmtId="2" fontId="0" fillId="0" borderId="0" xfId="0" applyNumberFormat="1" applyAlignment="1">
      <alignment horizontal="right"/>
    </xf>
    <xf numFmtId="9" fontId="0" fillId="0" borderId="0" xfId="16" applyFont="1" applyFill="1" applyBorder="1"/>
    <xf numFmtId="10" fontId="9" fillId="0" borderId="3" xfId="0" applyNumberFormat="1" applyFont="1" applyBorder="1" applyAlignment="1"/>
    <xf numFmtId="0" fontId="9" fillId="0" borderId="9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center"/>
    </xf>
    <xf numFmtId="43" fontId="9" fillId="0" borderId="0" xfId="1" applyFont="1" applyBorder="1"/>
    <xf numFmtId="2" fontId="9" fillId="0" borderId="3" xfId="0" applyNumberFormat="1" applyFont="1" applyBorder="1" applyAlignment="1"/>
    <xf numFmtId="0" fontId="9" fillId="0" borderId="0" xfId="0" applyFont="1" applyBorder="1" applyAlignment="1">
      <alignment horizontal="center"/>
    </xf>
    <xf numFmtId="9" fontId="9" fillId="0" borderId="0" xfId="16" applyFont="1" applyFill="1" applyBorder="1"/>
    <xf numFmtId="0" fontId="16" fillId="0" borderId="3" xfId="0" applyFont="1" applyFill="1" applyBorder="1" applyAlignment="1"/>
    <xf numFmtId="0" fontId="9" fillId="0" borderId="0" xfId="0" applyFont="1" applyAlignment="1">
      <alignment horizontal="center"/>
    </xf>
    <xf numFmtId="0" fontId="17" fillId="0" borderId="4" xfId="0" applyFont="1" applyFill="1" applyBorder="1" applyAlignment="1">
      <alignment vertical="center"/>
    </xf>
    <xf numFmtId="0" fontId="18" fillId="0" borderId="4" xfId="15" applyFont="1" applyFill="1" applyBorder="1" applyAlignment="1">
      <alignment horizontal="center" vertical="center"/>
    </xf>
  </cellXfs>
  <cellStyles count="20">
    <cellStyle name="Comma" xfId="1" builtinId="3"/>
    <cellStyle name="Comma  - Style1" xfId="2"/>
    <cellStyle name="Comma  - Style2" xfId="3"/>
    <cellStyle name="Comma  - Style3" xfId="4"/>
    <cellStyle name="Comma  - Style4" xfId="5"/>
    <cellStyle name="Comma  - Style5" xfId="6"/>
    <cellStyle name="Comma  - Style6" xfId="7"/>
    <cellStyle name="Comma  - Style7" xfId="8"/>
    <cellStyle name="Comma  - Style8" xfId="9"/>
    <cellStyle name="Header1" xfId="10"/>
    <cellStyle name="Header2" xfId="11"/>
    <cellStyle name="Hypertextový odkaz" xfId="12"/>
    <cellStyle name="no dec" xfId="13"/>
    <cellStyle name="Normal" xfId="0" builtinId="0"/>
    <cellStyle name="Normal - Style1" xfId="14"/>
    <cellStyle name="Normal 14" xfId="15"/>
    <cellStyle name="Percent" xfId="16" builtinId="5"/>
    <cellStyle name="Popis" xfId="17"/>
    <cellStyle name="Sledovaný hypertextový odkaz" xfId="18"/>
    <cellStyle name="Style 1" xfId="1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38100</xdr:colOff>
      <xdr:row>2</xdr:row>
      <xdr:rowOff>0</xdr:rowOff>
    </xdr:from>
    <xdr:to>
      <xdr:col>30</xdr:col>
      <xdr:colOff>47625</xdr:colOff>
      <xdr:row>6</xdr:row>
      <xdr:rowOff>47625</xdr:rowOff>
    </xdr:to>
    <xdr:pic>
      <xdr:nvPicPr>
        <xdr:cNvPr id="1465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88275" y="381000"/>
          <a:ext cx="305752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7"/>
  <sheetViews>
    <sheetView tabSelected="1" workbookViewId="0">
      <pane xSplit="5" ySplit="1" topLeftCell="F231" activePane="bottomRight" state="frozen"/>
      <selection pane="topRight" activeCell="F1" sqref="F1"/>
      <selection pane="bottomLeft" activeCell="A2" sqref="A2"/>
      <selection pane="bottomRight" activeCell="H253" sqref="H253"/>
    </sheetView>
  </sheetViews>
  <sheetFormatPr defaultRowHeight="12.75" x14ac:dyDescent="0.2"/>
  <cols>
    <col min="1" max="1" width="4.28515625" customWidth="1"/>
    <col min="2" max="2" width="8.140625" customWidth="1"/>
    <col min="3" max="3" width="7.7109375" customWidth="1"/>
    <col min="4" max="4" width="65.5703125" bestFit="1" customWidth="1"/>
    <col min="5" max="5" width="13.140625" customWidth="1"/>
    <col min="6" max="6" width="10.7109375" style="11" customWidth="1"/>
    <col min="7" max="7" width="12.140625" customWidth="1"/>
    <col min="8" max="8" width="16.5703125" bestFit="1" customWidth="1"/>
    <col min="9" max="9" width="12.140625" customWidth="1"/>
    <col min="10" max="10" width="11.28515625" customWidth="1"/>
    <col min="11" max="11" width="6.140625" customWidth="1"/>
    <col min="12" max="12" width="10.7109375" customWidth="1"/>
    <col min="13" max="13" width="11.85546875" style="8" customWidth="1"/>
    <col min="14" max="14" width="7.7109375" bestFit="1" customWidth="1"/>
    <col min="15" max="15" width="7.7109375" customWidth="1"/>
    <col min="16" max="16" width="9.28515625" bestFit="1" customWidth="1"/>
    <col min="17" max="17" width="18.42578125" bestFit="1" customWidth="1"/>
  </cols>
  <sheetData>
    <row r="1" spans="1:22" s="1" customFormat="1" ht="15.75" customHeight="1" x14ac:dyDescent="0.2">
      <c r="A1" s="4" t="s">
        <v>14</v>
      </c>
      <c r="B1" s="3" t="s">
        <v>0</v>
      </c>
      <c r="C1" s="3" t="s">
        <v>9</v>
      </c>
      <c r="D1" s="10" t="s">
        <v>16</v>
      </c>
      <c r="E1" s="3" t="s">
        <v>11</v>
      </c>
      <c r="F1" s="10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7" t="s">
        <v>8</v>
      </c>
      <c r="N1" s="3" t="s">
        <v>12</v>
      </c>
      <c r="O1" s="3"/>
      <c r="P1" s="3" t="s">
        <v>10</v>
      </c>
      <c r="Q1" s="19" t="s">
        <v>13</v>
      </c>
      <c r="R1" s="19" t="s">
        <v>15</v>
      </c>
      <c r="U1" s="31"/>
      <c r="V1" s="22" t="s">
        <v>17</v>
      </c>
    </row>
    <row r="2" spans="1:22" ht="14.25" customHeight="1" x14ac:dyDescent="0.2">
      <c r="A2" s="17">
        <v>1</v>
      </c>
      <c r="B2" s="39" t="s">
        <v>18</v>
      </c>
      <c r="C2" s="20" t="s">
        <v>19</v>
      </c>
      <c r="D2" s="29" t="s">
        <v>53</v>
      </c>
      <c r="E2" s="12">
        <v>2360040683</v>
      </c>
      <c r="F2" s="5"/>
      <c r="G2" s="21">
        <v>8.6</v>
      </c>
      <c r="H2" s="21">
        <v>600</v>
      </c>
      <c r="I2" s="9">
        <v>677</v>
      </c>
      <c r="J2" s="9"/>
      <c r="K2" s="38" t="s">
        <v>25</v>
      </c>
      <c r="L2" s="9">
        <f t="shared" ref="L2:L7" si="0">I2/G2</f>
        <v>78.720930232558146</v>
      </c>
      <c r="M2" s="6">
        <f>I2/G2</f>
        <v>78.720930232558146</v>
      </c>
      <c r="N2" s="38" t="s">
        <v>50</v>
      </c>
      <c r="O2" s="38" t="s">
        <v>26</v>
      </c>
      <c r="P2" s="18">
        <v>0.224</v>
      </c>
      <c r="Q2" s="2"/>
      <c r="R2" s="2">
        <v>11</v>
      </c>
      <c r="T2" s="1"/>
      <c r="U2" s="31"/>
      <c r="V2" s="22" t="s">
        <v>27</v>
      </c>
    </row>
    <row r="3" spans="1:22" ht="14.25" customHeight="1" x14ac:dyDescent="0.2">
      <c r="A3" s="17">
        <f>A2+1</f>
        <v>2</v>
      </c>
      <c r="B3" s="39" t="s">
        <v>46</v>
      </c>
      <c r="C3" s="40" t="s">
        <v>19</v>
      </c>
      <c r="D3" s="29" t="s">
        <v>60</v>
      </c>
      <c r="E3" s="12">
        <v>2360040957</v>
      </c>
      <c r="F3" s="5"/>
      <c r="G3" s="21">
        <f>0.4196*20</f>
        <v>8.3919999999999995</v>
      </c>
      <c r="H3" s="21">
        <v>800</v>
      </c>
      <c r="I3" s="9">
        <f>H3</f>
        <v>800</v>
      </c>
      <c r="J3" s="9"/>
      <c r="K3" s="38" t="s">
        <v>25</v>
      </c>
      <c r="L3" s="9">
        <f t="shared" si="0"/>
        <v>95.328884652049581</v>
      </c>
      <c r="M3" s="6">
        <f>I3/G3</f>
        <v>95.328884652049581</v>
      </c>
      <c r="N3" s="38" t="s">
        <v>43</v>
      </c>
      <c r="O3" s="38" t="s">
        <v>43</v>
      </c>
      <c r="P3" s="50">
        <v>0.3</v>
      </c>
      <c r="Q3" s="2"/>
      <c r="R3" s="2">
        <v>11</v>
      </c>
      <c r="U3" s="31">
        <v>1</v>
      </c>
      <c r="V3" s="22" t="s">
        <v>28</v>
      </c>
    </row>
    <row r="4" spans="1:22" ht="14.25" customHeight="1" x14ac:dyDescent="0.2">
      <c r="A4" s="17">
        <f t="shared" ref="A4:A67" si="1">A3+1</f>
        <v>3</v>
      </c>
      <c r="B4" s="39" t="s">
        <v>46</v>
      </c>
      <c r="C4" s="40" t="s">
        <v>19</v>
      </c>
      <c r="D4" s="29" t="s">
        <v>52</v>
      </c>
      <c r="E4" s="12">
        <v>4200650431</v>
      </c>
      <c r="F4" s="5">
        <v>33</v>
      </c>
      <c r="G4" s="21">
        <v>3.31</v>
      </c>
      <c r="H4" s="21">
        <v>323</v>
      </c>
      <c r="I4" s="9">
        <f>H4</f>
        <v>323</v>
      </c>
      <c r="J4" s="9"/>
      <c r="K4" s="38" t="s">
        <v>49</v>
      </c>
      <c r="L4" s="9">
        <f t="shared" si="0"/>
        <v>97.583081570996981</v>
      </c>
      <c r="M4" s="6">
        <f>I4/G4</f>
        <v>97.583081570996981</v>
      </c>
      <c r="N4" s="38" t="s">
        <v>26</v>
      </c>
      <c r="O4" s="38" t="s">
        <v>26</v>
      </c>
      <c r="P4" s="18">
        <v>0.28999999999999998</v>
      </c>
      <c r="Q4" s="2"/>
      <c r="R4" s="2">
        <v>1</v>
      </c>
      <c r="U4" s="31">
        <v>2</v>
      </c>
      <c r="V4" s="22" t="s">
        <v>40</v>
      </c>
    </row>
    <row r="5" spans="1:22" ht="14.25" customHeight="1" x14ac:dyDescent="0.2">
      <c r="A5" s="17">
        <f t="shared" si="1"/>
        <v>4</v>
      </c>
      <c r="B5" s="39" t="s">
        <v>44</v>
      </c>
      <c r="C5" s="40" t="s">
        <v>19</v>
      </c>
      <c r="D5" s="29" t="s">
        <v>54</v>
      </c>
      <c r="E5" s="12">
        <v>4200657446</v>
      </c>
      <c r="F5" s="5">
        <v>33</v>
      </c>
      <c r="G5" s="21">
        <v>1.82</v>
      </c>
      <c r="H5" s="21">
        <v>509</v>
      </c>
      <c r="I5" s="9">
        <v>225</v>
      </c>
      <c r="J5" s="9">
        <f>H5-I5</f>
        <v>284</v>
      </c>
      <c r="K5" s="38" t="s">
        <v>47</v>
      </c>
      <c r="L5" s="9">
        <f t="shared" si="0"/>
        <v>123.62637362637362</v>
      </c>
      <c r="M5" s="6">
        <f>H5/G5</f>
        <v>279.67032967032964</v>
      </c>
      <c r="N5" s="38" t="s">
        <v>26</v>
      </c>
      <c r="O5" s="38" t="s">
        <v>26</v>
      </c>
      <c r="P5" s="18">
        <v>0.26</v>
      </c>
      <c r="Q5" s="2"/>
      <c r="R5" s="2">
        <v>1</v>
      </c>
      <c r="U5" s="31"/>
      <c r="V5" s="22"/>
    </row>
    <row r="6" spans="1:22" ht="14.25" customHeight="1" x14ac:dyDescent="0.2">
      <c r="A6" s="17">
        <f t="shared" si="1"/>
        <v>5</v>
      </c>
      <c r="B6" s="39" t="s">
        <v>44</v>
      </c>
      <c r="C6" s="40" t="s">
        <v>19</v>
      </c>
      <c r="D6" s="29" t="s">
        <v>55</v>
      </c>
      <c r="E6" s="12">
        <v>4200654951</v>
      </c>
      <c r="F6" s="5">
        <v>33</v>
      </c>
      <c r="G6" s="21">
        <f>166.7*80/1000</f>
        <v>13.336</v>
      </c>
      <c r="H6" s="21">
        <v>1456</v>
      </c>
      <c r="I6" s="26">
        <v>1020</v>
      </c>
      <c r="J6" s="9">
        <f>H6-I6</f>
        <v>436</v>
      </c>
      <c r="K6" s="38" t="s">
        <v>47</v>
      </c>
      <c r="L6" s="9">
        <f t="shared" si="0"/>
        <v>76.484703059388124</v>
      </c>
      <c r="M6" s="6">
        <f>I6/G6</f>
        <v>76.484703059388124</v>
      </c>
      <c r="N6" s="38" t="s">
        <v>45</v>
      </c>
      <c r="O6" s="38" t="s">
        <v>43</v>
      </c>
      <c r="P6" s="18">
        <v>0.14000000000000001</v>
      </c>
      <c r="Q6" s="2"/>
      <c r="R6" s="2">
        <v>1</v>
      </c>
      <c r="U6" s="31">
        <v>3</v>
      </c>
      <c r="V6" s="22" t="s">
        <v>29</v>
      </c>
    </row>
    <row r="7" spans="1:22" ht="14.25" customHeight="1" x14ac:dyDescent="0.2">
      <c r="A7" s="17">
        <f t="shared" si="1"/>
        <v>6</v>
      </c>
      <c r="B7" s="39" t="s">
        <v>41</v>
      </c>
      <c r="C7" s="40" t="s">
        <v>19</v>
      </c>
      <c r="D7" s="29" t="s">
        <v>55</v>
      </c>
      <c r="E7" s="12">
        <v>4200654970</v>
      </c>
      <c r="F7" s="5">
        <v>33</v>
      </c>
      <c r="G7" s="21">
        <f>166.7*80*2/1000</f>
        <v>26.672000000000001</v>
      </c>
      <c r="H7" s="21">
        <f>1456*2</f>
        <v>2912</v>
      </c>
      <c r="I7" s="26">
        <f>1020*2</f>
        <v>2040</v>
      </c>
      <c r="J7" s="9">
        <f>H7-I7</f>
        <v>872</v>
      </c>
      <c r="K7" s="38" t="s">
        <v>47</v>
      </c>
      <c r="L7" s="9">
        <f t="shared" si="0"/>
        <v>76.484703059388124</v>
      </c>
      <c r="M7" s="6">
        <f>I7/G7</f>
        <v>76.484703059388124</v>
      </c>
      <c r="N7" s="38" t="s">
        <v>45</v>
      </c>
      <c r="O7" s="38" t="s">
        <v>43</v>
      </c>
      <c r="P7" s="18">
        <v>0.14000000000000001</v>
      </c>
      <c r="Q7" s="2"/>
      <c r="R7" s="2">
        <v>1</v>
      </c>
      <c r="U7" s="31">
        <v>4</v>
      </c>
      <c r="V7" s="22" t="s">
        <v>30</v>
      </c>
    </row>
    <row r="8" spans="1:22" ht="14.25" customHeight="1" x14ac:dyDescent="0.2">
      <c r="A8" s="17">
        <f t="shared" si="1"/>
        <v>7</v>
      </c>
      <c r="B8" s="39" t="s">
        <v>56</v>
      </c>
      <c r="C8" s="40" t="s">
        <v>19</v>
      </c>
      <c r="D8" s="29" t="s">
        <v>57</v>
      </c>
      <c r="E8" s="51">
        <v>2360040906</v>
      </c>
      <c r="F8" s="5"/>
      <c r="G8" s="21">
        <f>550*0.2</f>
        <v>110</v>
      </c>
      <c r="H8" s="21">
        <f>54*110</f>
        <v>5940</v>
      </c>
      <c r="I8" s="26">
        <f t="shared" ref="I8:I14" si="2">H8</f>
        <v>5940</v>
      </c>
      <c r="J8" s="9"/>
      <c r="K8" s="38" t="s">
        <v>49</v>
      </c>
      <c r="L8" s="9">
        <f>I8/G8</f>
        <v>54</v>
      </c>
      <c r="M8" s="6"/>
      <c r="N8" s="38" t="s">
        <v>45</v>
      </c>
      <c r="O8" s="38" t="s">
        <v>43</v>
      </c>
      <c r="P8" s="18">
        <v>9.4500000000000001E-2</v>
      </c>
      <c r="Q8" s="2"/>
      <c r="R8" s="2">
        <v>11</v>
      </c>
      <c r="U8" s="31">
        <v>5</v>
      </c>
      <c r="V8" s="22" t="s">
        <v>31</v>
      </c>
    </row>
    <row r="9" spans="1:22" ht="14.25" customHeight="1" x14ac:dyDescent="0.2">
      <c r="A9" s="17">
        <f t="shared" si="1"/>
        <v>8</v>
      </c>
      <c r="B9" s="39" t="s">
        <v>56</v>
      </c>
      <c r="C9" s="40" t="s">
        <v>19</v>
      </c>
      <c r="D9" s="29" t="s">
        <v>57</v>
      </c>
      <c r="E9" s="51">
        <v>2360040907</v>
      </c>
      <c r="F9" s="5"/>
      <c r="G9" s="21">
        <f>550*0.2</f>
        <v>110</v>
      </c>
      <c r="H9" s="21">
        <f>54*110</f>
        <v>5940</v>
      </c>
      <c r="I9" s="26">
        <f t="shared" si="2"/>
        <v>5940</v>
      </c>
      <c r="J9" s="9"/>
      <c r="K9" s="38" t="s">
        <v>49</v>
      </c>
      <c r="L9" s="9">
        <f>I9/G9</f>
        <v>54</v>
      </c>
      <c r="M9" s="6"/>
      <c r="N9" s="38" t="s">
        <v>45</v>
      </c>
      <c r="O9" s="38" t="s">
        <v>43</v>
      </c>
      <c r="P9" s="18">
        <v>9.4500000000000001E-2</v>
      </c>
      <c r="Q9" s="2"/>
      <c r="R9" s="2">
        <v>11</v>
      </c>
      <c r="U9" s="31"/>
      <c r="V9" s="23" t="s">
        <v>32</v>
      </c>
    </row>
    <row r="10" spans="1:22" ht="14.25" customHeight="1" x14ac:dyDescent="0.2">
      <c r="A10" s="17">
        <f t="shared" si="1"/>
        <v>9</v>
      </c>
      <c r="B10" s="5" t="s">
        <v>56</v>
      </c>
      <c r="C10" s="20" t="s">
        <v>19</v>
      </c>
      <c r="D10" s="29" t="s">
        <v>57</v>
      </c>
      <c r="E10" s="51">
        <v>2360040908</v>
      </c>
      <c r="F10" s="5"/>
      <c r="G10" s="21">
        <f>600*0.2</f>
        <v>120</v>
      </c>
      <c r="H10" s="21">
        <f>54*G10</f>
        <v>6480</v>
      </c>
      <c r="I10" s="26">
        <f t="shared" si="2"/>
        <v>6480</v>
      </c>
      <c r="J10" s="9"/>
      <c r="K10" s="38" t="s">
        <v>49</v>
      </c>
      <c r="L10" s="9">
        <f>I10/G10</f>
        <v>54</v>
      </c>
      <c r="M10" s="6"/>
      <c r="N10" s="38" t="s">
        <v>45</v>
      </c>
      <c r="O10" s="38" t="s">
        <v>43</v>
      </c>
      <c r="P10" s="18">
        <v>9.4500000000000001E-2</v>
      </c>
      <c r="Q10" s="2"/>
      <c r="R10" s="2">
        <v>11</v>
      </c>
      <c r="U10" s="31">
        <v>6</v>
      </c>
      <c r="V10" s="22" t="s">
        <v>33</v>
      </c>
    </row>
    <row r="11" spans="1:22" ht="14.25" customHeight="1" x14ac:dyDescent="0.2">
      <c r="A11" s="17">
        <f t="shared" si="1"/>
        <v>10</v>
      </c>
      <c r="B11" s="39" t="s">
        <v>18</v>
      </c>
      <c r="C11" s="20" t="s">
        <v>19</v>
      </c>
      <c r="D11" s="29" t="s">
        <v>58</v>
      </c>
      <c r="E11" s="12">
        <v>5000020135</v>
      </c>
      <c r="G11" s="9"/>
      <c r="H11" s="24">
        <v>2668</v>
      </c>
      <c r="I11" s="26">
        <f t="shared" si="2"/>
        <v>2668</v>
      </c>
      <c r="J11" s="9">
        <f>H11-I11</f>
        <v>0</v>
      </c>
      <c r="K11" s="2" t="s">
        <v>49</v>
      </c>
      <c r="L11" s="9"/>
      <c r="M11" s="6"/>
      <c r="N11" s="38" t="s">
        <v>39</v>
      </c>
      <c r="O11" s="38" t="s">
        <v>26</v>
      </c>
      <c r="P11" s="18">
        <v>0.18</v>
      </c>
      <c r="Q11" s="2"/>
      <c r="R11" s="2">
        <v>12</v>
      </c>
      <c r="U11" s="31"/>
      <c r="V11" s="22"/>
    </row>
    <row r="12" spans="1:22" ht="14.25" customHeight="1" x14ac:dyDescent="0.2">
      <c r="A12" s="17">
        <f t="shared" si="1"/>
        <v>11</v>
      </c>
      <c r="B12" s="39" t="s">
        <v>18</v>
      </c>
      <c r="C12" s="40" t="s">
        <v>19</v>
      </c>
      <c r="D12" s="29" t="s">
        <v>59</v>
      </c>
      <c r="E12" s="12">
        <v>5000020252</v>
      </c>
      <c r="G12" s="9">
        <f>0.302</f>
        <v>0.30199999999999999</v>
      </c>
      <c r="H12" s="24">
        <v>33.78</v>
      </c>
      <c r="I12" s="26">
        <f t="shared" si="2"/>
        <v>33.78</v>
      </c>
      <c r="J12" s="9"/>
      <c r="K12" s="38" t="s">
        <v>47</v>
      </c>
      <c r="L12" s="9">
        <f t="shared" ref="L12:L20" si="3">I12/G12</f>
        <v>111.85430463576159</v>
      </c>
      <c r="M12" s="6">
        <f>H12/G12</f>
        <v>111.85430463576159</v>
      </c>
      <c r="N12" s="38" t="s">
        <v>39</v>
      </c>
      <c r="O12" s="38" t="s">
        <v>26</v>
      </c>
      <c r="P12" s="18">
        <v>0.3</v>
      </c>
      <c r="Q12" s="2"/>
      <c r="R12" s="2">
        <v>12</v>
      </c>
      <c r="U12" s="31"/>
      <c r="V12" s="23" t="s">
        <v>34</v>
      </c>
    </row>
    <row r="13" spans="1:22" ht="14.25" customHeight="1" x14ac:dyDescent="0.2">
      <c r="A13" s="17">
        <f t="shared" si="1"/>
        <v>12</v>
      </c>
      <c r="B13" s="39" t="s">
        <v>61</v>
      </c>
      <c r="C13" s="40" t="s">
        <v>19</v>
      </c>
      <c r="D13" s="29" t="s">
        <v>63</v>
      </c>
      <c r="E13" s="12">
        <v>2360041066</v>
      </c>
      <c r="F13" s="5"/>
      <c r="G13" s="21">
        <v>28.82</v>
      </c>
      <c r="H13" s="21">
        <v>1849</v>
      </c>
      <c r="I13" s="26">
        <f t="shared" si="2"/>
        <v>1849</v>
      </c>
      <c r="J13" s="9"/>
      <c r="K13" s="38" t="s">
        <v>25</v>
      </c>
      <c r="L13" s="9">
        <f t="shared" si="3"/>
        <v>64.156835530881338</v>
      </c>
      <c r="M13" s="6">
        <f>H13/G13</f>
        <v>64.156835530881338</v>
      </c>
      <c r="N13" s="38" t="s">
        <v>26</v>
      </c>
      <c r="O13" s="38" t="s">
        <v>26</v>
      </c>
      <c r="P13" s="18">
        <v>0.24</v>
      </c>
      <c r="Q13" s="2"/>
      <c r="R13" s="2">
        <v>11</v>
      </c>
      <c r="U13" s="32"/>
      <c r="V13" s="22"/>
    </row>
    <row r="14" spans="1:22" ht="14.25" customHeight="1" x14ac:dyDescent="0.2">
      <c r="A14" s="17">
        <f t="shared" si="1"/>
        <v>13</v>
      </c>
      <c r="B14" s="39" t="s">
        <v>18</v>
      </c>
      <c r="C14" s="40" t="s">
        <v>19</v>
      </c>
      <c r="D14" s="29" t="s">
        <v>58</v>
      </c>
      <c r="E14" s="12">
        <v>5000020342</v>
      </c>
      <c r="F14" s="33"/>
      <c r="G14" s="2"/>
      <c r="H14" s="24">
        <v>1115</v>
      </c>
      <c r="I14" s="26">
        <f t="shared" si="2"/>
        <v>1115</v>
      </c>
      <c r="J14" s="9"/>
      <c r="K14" s="38" t="s">
        <v>25</v>
      </c>
      <c r="L14" s="9"/>
      <c r="M14" s="6"/>
      <c r="N14" s="38" t="s">
        <v>39</v>
      </c>
      <c r="O14" s="38" t="s">
        <v>26</v>
      </c>
      <c r="P14" s="18">
        <v>0.20469999999999999</v>
      </c>
      <c r="Q14" s="2"/>
      <c r="R14" s="2">
        <v>12</v>
      </c>
      <c r="U14" s="31">
        <v>8</v>
      </c>
      <c r="V14" s="22" t="s">
        <v>20</v>
      </c>
    </row>
    <row r="15" spans="1:22" ht="14.25" customHeight="1" x14ac:dyDescent="0.2">
      <c r="A15" s="17">
        <f t="shared" si="1"/>
        <v>14</v>
      </c>
      <c r="B15" s="39" t="s">
        <v>41</v>
      </c>
      <c r="C15" s="40" t="s">
        <v>64</v>
      </c>
      <c r="D15" s="29" t="s">
        <v>62</v>
      </c>
      <c r="E15" s="2">
        <v>2360041633</v>
      </c>
      <c r="F15" s="5"/>
      <c r="G15" s="21">
        <f>0.212*4+0.191*4</f>
        <v>1.6120000000000001</v>
      </c>
      <c r="H15" s="21">
        <f>78+67.2</f>
        <v>145.19999999999999</v>
      </c>
      <c r="I15" s="26">
        <f>H15</f>
        <v>145.19999999999999</v>
      </c>
      <c r="J15" s="9"/>
      <c r="K15" s="38" t="s">
        <v>25</v>
      </c>
      <c r="L15" s="9">
        <f>I15/G15</f>
        <v>90.074441687344901</v>
      </c>
      <c r="M15" s="6">
        <f>H15/G15</f>
        <v>90.074441687344901</v>
      </c>
      <c r="N15" s="38" t="s">
        <v>39</v>
      </c>
      <c r="O15" s="38" t="s">
        <v>26</v>
      </c>
      <c r="P15" s="18">
        <v>0.34</v>
      </c>
      <c r="Q15" s="2"/>
      <c r="R15" s="2">
        <v>12</v>
      </c>
      <c r="U15" s="31">
        <v>9</v>
      </c>
      <c r="V15" s="22" t="s">
        <v>21</v>
      </c>
    </row>
    <row r="16" spans="1:22" ht="14.25" customHeight="1" x14ac:dyDescent="0.2">
      <c r="A16" s="17">
        <f t="shared" si="1"/>
        <v>15</v>
      </c>
      <c r="B16" s="39" t="s">
        <v>41</v>
      </c>
      <c r="C16" s="40" t="s">
        <v>64</v>
      </c>
      <c r="D16" s="29" t="s">
        <v>62</v>
      </c>
      <c r="E16" s="2">
        <v>2360041632</v>
      </c>
      <c r="F16" s="5"/>
      <c r="G16" s="21">
        <f>0.226*6+0.212*2+0.191*2</f>
        <v>2.1619999999999999</v>
      </c>
      <c r="H16" s="21">
        <f>117+37+39.6</f>
        <v>193.6</v>
      </c>
      <c r="I16" s="26">
        <f>H16</f>
        <v>193.6</v>
      </c>
      <c r="J16" s="9"/>
      <c r="K16" s="38" t="s">
        <v>25</v>
      </c>
      <c r="L16" s="9">
        <f>I16/G16</f>
        <v>89.546716003700283</v>
      </c>
      <c r="M16" s="6">
        <f>H16/G16</f>
        <v>89.546716003700283</v>
      </c>
      <c r="N16" s="38" t="s">
        <v>39</v>
      </c>
      <c r="O16" s="38" t="s">
        <v>26</v>
      </c>
      <c r="P16" s="18">
        <v>0.23699999999999999</v>
      </c>
      <c r="Q16" s="2"/>
      <c r="R16" s="2">
        <v>12</v>
      </c>
      <c r="U16" s="31"/>
      <c r="V16" s="22"/>
    </row>
    <row r="17" spans="1:32" ht="14.25" customHeight="1" x14ac:dyDescent="0.2">
      <c r="A17" s="17">
        <f t="shared" si="1"/>
        <v>16</v>
      </c>
      <c r="B17" s="39" t="s">
        <v>18</v>
      </c>
      <c r="C17" s="40" t="s">
        <v>64</v>
      </c>
      <c r="D17" s="29" t="s">
        <v>58</v>
      </c>
      <c r="E17" s="2">
        <v>5000020541</v>
      </c>
      <c r="F17" s="5"/>
      <c r="G17" s="21"/>
      <c r="H17" s="21">
        <v>157.9</v>
      </c>
      <c r="I17" s="26">
        <f>H17</f>
        <v>157.9</v>
      </c>
      <c r="J17" s="9"/>
      <c r="K17" s="38" t="s">
        <v>25</v>
      </c>
      <c r="L17" s="9" t="e">
        <f>I17/G17</f>
        <v>#DIV/0!</v>
      </c>
      <c r="M17" s="6" t="e">
        <f>H17/G17</f>
        <v>#DIV/0!</v>
      </c>
      <c r="N17" s="38" t="s">
        <v>39</v>
      </c>
      <c r="O17" s="38" t="s">
        <v>26</v>
      </c>
      <c r="P17" s="18">
        <v>0.22</v>
      </c>
      <c r="Q17" s="2"/>
      <c r="R17" s="2">
        <v>12</v>
      </c>
      <c r="U17" s="31"/>
      <c r="V17" s="23" t="s">
        <v>22</v>
      </c>
    </row>
    <row r="18" spans="1:32" ht="14.25" customHeight="1" x14ac:dyDescent="0.2">
      <c r="A18" s="17">
        <f t="shared" si="1"/>
        <v>17</v>
      </c>
      <c r="B18" s="39" t="s">
        <v>18</v>
      </c>
      <c r="C18" s="40" t="s">
        <v>64</v>
      </c>
      <c r="D18" s="29" t="s">
        <v>58</v>
      </c>
      <c r="E18" s="2">
        <v>5000020542</v>
      </c>
      <c r="F18" s="5"/>
      <c r="G18" s="21"/>
      <c r="H18" s="21">
        <v>301.71899999999999</v>
      </c>
      <c r="I18" s="26">
        <f>H18</f>
        <v>301.71899999999999</v>
      </c>
      <c r="J18" s="9"/>
      <c r="K18" s="38" t="s">
        <v>25</v>
      </c>
      <c r="L18" s="9"/>
      <c r="M18" s="6"/>
      <c r="N18" s="38" t="s">
        <v>39</v>
      </c>
      <c r="O18" s="38" t="s">
        <v>26</v>
      </c>
      <c r="P18" s="18">
        <v>0.27</v>
      </c>
      <c r="Q18" s="2"/>
      <c r="R18" s="2">
        <v>12</v>
      </c>
      <c r="U18" s="31">
        <v>10</v>
      </c>
      <c r="V18" s="22" t="s">
        <v>23</v>
      </c>
    </row>
    <row r="19" spans="1:32" ht="14.25" customHeight="1" x14ac:dyDescent="0.2">
      <c r="A19" s="17">
        <f t="shared" si="1"/>
        <v>18</v>
      </c>
      <c r="B19" s="5" t="s">
        <v>46</v>
      </c>
      <c r="C19" s="5" t="s">
        <v>64</v>
      </c>
      <c r="D19" s="12" t="s">
        <v>65</v>
      </c>
      <c r="E19" s="17">
        <v>4200663832</v>
      </c>
      <c r="F19" s="11">
        <v>33</v>
      </c>
      <c r="G19" s="2">
        <f>6.63*2</f>
        <v>13.26</v>
      </c>
      <c r="H19" s="24">
        <v>1280</v>
      </c>
      <c r="I19" s="26">
        <v>890</v>
      </c>
      <c r="J19" s="26">
        <f>H19-I19</f>
        <v>390</v>
      </c>
      <c r="K19" s="9" t="s">
        <v>49</v>
      </c>
      <c r="L19" s="9">
        <f t="shared" si="3"/>
        <v>67.119155354449475</v>
      </c>
      <c r="M19" s="6">
        <f>H19/G19</f>
        <v>96.530920060331823</v>
      </c>
      <c r="N19" s="2" t="s">
        <v>45</v>
      </c>
      <c r="O19" s="2" t="s">
        <v>43</v>
      </c>
      <c r="P19" s="18">
        <v>0.15570000000000001</v>
      </c>
      <c r="Q19" s="2"/>
      <c r="R19" s="2">
        <v>1</v>
      </c>
      <c r="T19" s="22"/>
      <c r="U19" s="22"/>
      <c r="V19" s="22"/>
    </row>
    <row r="20" spans="1:32" ht="14.25" customHeight="1" x14ac:dyDescent="0.2">
      <c r="A20" s="17">
        <f t="shared" si="1"/>
        <v>19</v>
      </c>
      <c r="B20" s="39" t="s">
        <v>18</v>
      </c>
      <c r="C20" s="39" t="s">
        <v>64</v>
      </c>
      <c r="D20" s="29" t="s">
        <v>59</v>
      </c>
      <c r="E20" s="17">
        <v>5000020543</v>
      </c>
      <c r="F20" s="33"/>
      <c r="G20" s="2">
        <f>0.061</f>
        <v>6.0999999999999999E-2</v>
      </c>
      <c r="H20" s="25">
        <v>20.76</v>
      </c>
      <c r="I20" s="21">
        <f t="shared" ref="I20:I27" si="4">H20</f>
        <v>20.76</v>
      </c>
      <c r="J20" s="13"/>
      <c r="K20" s="38" t="s">
        <v>25</v>
      </c>
      <c r="L20" s="9">
        <f t="shared" si="3"/>
        <v>340.32786885245906</v>
      </c>
      <c r="M20" s="6">
        <f t="shared" ref="M20:M27" si="5">I20/G20</f>
        <v>340.32786885245906</v>
      </c>
      <c r="N20" s="2" t="s">
        <v>50</v>
      </c>
      <c r="O20" s="2" t="s">
        <v>26</v>
      </c>
      <c r="P20" s="18">
        <v>0.25659999999999999</v>
      </c>
      <c r="Q20" s="2"/>
      <c r="R20" s="2">
        <v>12</v>
      </c>
      <c r="U20" s="31"/>
      <c r="V20" s="23" t="s">
        <v>35</v>
      </c>
    </row>
    <row r="21" spans="1:32" ht="14.25" customHeight="1" x14ac:dyDescent="0.2">
      <c r="A21" s="17">
        <f t="shared" si="1"/>
        <v>20</v>
      </c>
      <c r="B21" s="39" t="s">
        <v>46</v>
      </c>
      <c r="C21" s="40" t="s">
        <v>64</v>
      </c>
      <c r="D21" s="29" t="s">
        <v>66</v>
      </c>
      <c r="E21" s="12">
        <v>2360041356</v>
      </c>
      <c r="F21" s="5"/>
      <c r="G21" s="21">
        <f>0.285*3</f>
        <v>0.85499999999999998</v>
      </c>
      <c r="H21" s="21">
        <v>81</v>
      </c>
      <c r="I21" s="26">
        <f t="shared" si="4"/>
        <v>81</v>
      </c>
      <c r="J21" s="26"/>
      <c r="K21" s="54" t="s">
        <v>25</v>
      </c>
      <c r="L21" s="9">
        <f t="shared" ref="L21:L28" si="6">I21/G21</f>
        <v>94.736842105263165</v>
      </c>
      <c r="M21" s="6">
        <f t="shared" si="5"/>
        <v>94.736842105263165</v>
      </c>
      <c r="N21" s="2" t="s">
        <v>50</v>
      </c>
      <c r="O21" s="2" t="s">
        <v>26</v>
      </c>
      <c r="P21" s="18">
        <v>0.2853</v>
      </c>
      <c r="Q21" s="2"/>
      <c r="R21" s="2">
        <v>11</v>
      </c>
      <c r="U21" s="42">
        <v>11</v>
      </c>
      <c r="V21" s="43" t="s">
        <v>24</v>
      </c>
    </row>
    <row r="22" spans="1:32" ht="14.25" customHeight="1" x14ac:dyDescent="0.2">
      <c r="A22" s="17">
        <f t="shared" si="1"/>
        <v>21</v>
      </c>
      <c r="B22" s="39" t="s">
        <v>46</v>
      </c>
      <c r="C22" s="40" t="s">
        <v>64</v>
      </c>
      <c r="D22" s="29" t="s">
        <v>67</v>
      </c>
      <c r="E22" s="12">
        <v>2360041343</v>
      </c>
      <c r="F22" s="5"/>
      <c r="G22" s="21">
        <v>0.25800000000000001</v>
      </c>
      <c r="H22" s="21">
        <v>24.54</v>
      </c>
      <c r="I22" s="26">
        <f t="shared" si="4"/>
        <v>24.54</v>
      </c>
      <c r="J22" s="13"/>
      <c r="K22" s="38" t="s">
        <v>25</v>
      </c>
      <c r="L22" s="9">
        <f t="shared" si="6"/>
        <v>95.11627906976743</v>
      </c>
      <c r="M22" s="6">
        <f t="shared" si="5"/>
        <v>95.11627906976743</v>
      </c>
      <c r="N22" s="2" t="s">
        <v>50</v>
      </c>
      <c r="O22" s="2" t="s">
        <v>26</v>
      </c>
      <c r="P22" s="18">
        <v>0.27389999999999998</v>
      </c>
      <c r="Q22" s="2"/>
      <c r="R22" s="2">
        <v>11</v>
      </c>
      <c r="U22" s="31">
        <v>12</v>
      </c>
      <c r="V22" s="22" t="s">
        <v>36</v>
      </c>
    </row>
    <row r="23" spans="1:32" ht="14.25" customHeight="1" x14ac:dyDescent="0.2">
      <c r="A23" s="17">
        <f t="shared" si="1"/>
        <v>22</v>
      </c>
      <c r="B23" s="39" t="s">
        <v>44</v>
      </c>
      <c r="C23" s="40" t="s">
        <v>64</v>
      </c>
      <c r="D23" s="29" t="s">
        <v>68</v>
      </c>
      <c r="E23" s="12">
        <v>2360041339</v>
      </c>
      <c r="F23" s="5"/>
      <c r="G23" s="21">
        <v>0.24199999999999999</v>
      </c>
      <c r="H23" s="21">
        <v>24.8</v>
      </c>
      <c r="I23" s="26">
        <f t="shared" si="4"/>
        <v>24.8</v>
      </c>
      <c r="J23" s="9"/>
      <c r="K23" s="38" t="s">
        <v>25</v>
      </c>
      <c r="L23" s="9">
        <f t="shared" si="6"/>
        <v>102.47933884297521</v>
      </c>
      <c r="M23" s="6">
        <f t="shared" si="5"/>
        <v>102.47933884297521</v>
      </c>
      <c r="N23" s="38" t="s">
        <v>45</v>
      </c>
      <c r="O23" s="38" t="s">
        <v>43</v>
      </c>
      <c r="P23" s="18">
        <v>0.2752</v>
      </c>
      <c r="Q23" s="2"/>
      <c r="R23" s="2">
        <v>11</v>
      </c>
      <c r="U23" s="31"/>
      <c r="V23" s="22"/>
    </row>
    <row r="24" spans="1:32" ht="14.25" customHeight="1" x14ac:dyDescent="0.2">
      <c r="A24" s="17">
        <f t="shared" si="1"/>
        <v>23</v>
      </c>
      <c r="B24" s="39" t="s">
        <v>44</v>
      </c>
      <c r="C24" s="40" t="s">
        <v>64</v>
      </c>
      <c r="D24" s="29" t="s">
        <v>69</v>
      </c>
      <c r="E24" s="12">
        <v>2360041337</v>
      </c>
      <c r="G24" s="34">
        <f>0.595*7</f>
        <v>4.165</v>
      </c>
      <c r="H24" s="24">
        <v>430.5</v>
      </c>
      <c r="I24" s="26">
        <f t="shared" si="4"/>
        <v>430.5</v>
      </c>
      <c r="J24" s="26"/>
      <c r="K24" s="38" t="s">
        <v>25</v>
      </c>
      <c r="L24" s="9">
        <f t="shared" si="6"/>
        <v>103.36134453781513</v>
      </c>
      <c r="M24" s="6">
        <f t="shared" si="5"/>
        <v>103.36134453781513</v>
      </c>
      <c r="N24" s="38" t="s">
        <v>43</v>
      </c>
      <c r="O24" s="38" t="s">
        <v>43</v>
      </c>
      <c r="P24" s="18">
        <v>0.34820000000000001</v>
      </c>
      <c r="Q24" s="2"/>
      <c r="R24" s="2">
        <v>11</v>
      </c>
      <c r="S24" s="16"/>
      <c r="T24" s="16"/>
      <c r="U24" s="31">
        <v>13</v>
      </c>
      <c r="V24" s="22" t="s">
        <v>77</v>
      </c>
      <c r="W24" s="41"/>
      <c r="X24" s="41"/>
    </row>
    <row r="25" spans="1:32" x14ac:dyDescent="0.2">
      <c r="A25" s="17">
        <f t="shared" si="1"/>
        <v>24</v>
      </c>
      <c r="B25" s="39" t="s">
        <v>41</v>
      </c>
      <c r="C25" s="40" t="s">
        <v>64</v>
      </c>
      <c r="D25" s="29" t="s">
        <v>70</v>
      </c>
      <c r="E25" s="12">
        <v>2360041336</v>
      </c>
      <c r="G25" s="34">
        <f>0.6*2</f>
        <v>1.2</v>
      </c>
      <c r="H25" s="24">
        <v>100.98</v>
      </c>
      <c r="I25" s="26">
        <f t="shared" si="4"/>
        <v>100.98</v>
      </c>
      <c r="J25" s="26"/>
      <c r="K25" s="54" t="s">
        <v>25</v>
      </c>
      <c r="L25" s="9">
        <f t="shared" si="6"/>
        <v>84.15</v>
      </c>
      <c r="M25" s="6">
        <f t="shared" si="5"/>
        <v>84.15</v>
      </c>
      <c r="N25" s="38" t="s">
        <v>45</v>
      </c>
      <c r="O25" s="38" t="s">
        <v>43</v>
      </c>
      <c r="P25" s="18">
        <v>0.35</v>
      </c>
      <c r="Q25" s="2"/>
      <c r="R25" s="2">
        <v>11</v>
      </c>
      <c r="S25" s="16"/>
      <c r="T25" s="16"/>
      <c r="U25" s="31">
        <v>14</v>
      </c>
      <c r="V25" s="22" t="s">
        <v>37</v>
      </c>
      <c r="W25" s="2"/>
      <c r="X25" s="5"/>
      <c r="Y25" s="21"/>
      <c r="Z25" s="21"/>
      <c r="AA25" s="21"/>
      <c r="AB25" s="13"/>
      <c r="AC25" s="2"/>
      <c r="AD25" s="13"/>
      <c r="AE25" s="2"/>
      <c r="AF25" s="9"/>
    </row>
    <row r="26" spans="1:32" x14ac:dyDescent="0.2">
      <c r="A26" s="17">
        <f t="shared" si="1"/>
        <v>25</v>
      </c>
      <c r="B26" s="39" t="s">
        <v>46</v>
      </c>
      <c r="C26" s="40" t="s">
        <v>64</v>
      </c>
      <c r="D26" s="29" t="s">
        <v>71</v>
      </c>
      <c r="E26" s="12">
        <v>2360041324</v>
      </c>
      <c r="F26" s="5"/>
      <c r="G26" s="21">
        <f>0.287*3+0.273*5</f>
        <v>2.226</v>
      </c>
      <c r="H26" s="21">
        <v>216.42</v>
      </c>
      <c r="I26" s="26">
        <f t="shared" si="4"/>
        <v>216.42</v>
      </c>
      <c r="J26" s="26"/>
      <c r="K26" s="54" t="s">
        <v>25</v>
      </c>
      <c r="L26" s="9">
        <f t="shared" si="6"/>
        <v>97.223719676549862</v>
      </c>
      <c r="M26" s="6">
        <f t="shared" si="5"/>
        <v>97.223719676549862</v>
      </c>
      <c r="N26" s="38" t="s">
        <v>26</v>
      </c>
      <c r="O26" s="2" t="s">
        <v>26</v>
      </c>
      <c r="P26" s="18">
        <v>0.28549999999999998</v>
      </c>
      <c r="Q26" s="2"/>
      <c r="R26" s="2">
        <v>11</v>
      </c>
      <c r="U26" s="31">
        <v>15</v>
      </c>
      <c r="V26" s="22" t="s">
        <v>38</v>
      </c>
      <c r="W26" s="2"/>
      <c r="X26" s="5"/>
      <c r="Y26" s="21"/>
      <c r="Z26" s="21"/>
      <c r="AA26" s="21"/>
      <c r="AB26" s="13"/>
      <c r="AC26" s="2"/>
      <c r="AD26" s="13"/>
      <c r="AE26" s="2"/>
      <c r="AF26" s="9"/>
    </row>
    <row r="27" spans="1:32" x14ac:dyDescent="0.2">
      <c r="A27" s="17">
        <f t="shared" si="1"/>
        <v>26</v>
      </c>
      <c r="B27" s="39" t="s">
        <v>56</v>
      </c>
      <c r="C27" s="40" t="s">
        <v>64</v>
      </c>
      <c r="D27" s="29" t="s">
        <v>72</v>
      </c>
      <c r="E27" s="12">
        <v>2360041257</v>
      </c>
      <c r="F27" s="33"/>
      <c r="G27">
        <f>(0.566+0.283+0.141)*6</f>
        <v>5.9399999999999995</v>
      </c>
      <c r="H27" s="24">
        <v>587.73</v>
      </c>
      <c r="I27" s="26">
        <f t="shared" si="4"/>
        <v>587.73</v>
      </c>
      <c r="K27" s="29" t="s">
        <v>25</v>
      </c>
      <c r="L27" s="14">
        <f t="shared" si="6"/>
        <v>98.944444444444457</v>
      </c>
      <c r="M27" s="48">
        <f t="shared" si="5"/>
        <v>98.944444444444457</v>
      </c>
      <c r="N27" s="29" t="s">
        <v>50</v>
      </c>
      <c r="O27" s="29" t="s">
        <v>26</v>
      </c>
      <c r="P27" s="28">
        <v>0.16689999999999999</v>
      </c>
      <c r="R27" s="12">
        <v>11</v>
      </c>
      <c r="S27" s="22"/>
      <c r="T27" s="22"/>
      <c r="U27" s="22"/>
      <c r="V27" s="22"/>
      <c r="W27" s="22"/>
      <c r="Y27" s="21"/>
      <c r="Z27" s="21"/>
      <c r="AA27" s="21"/>
      <c r="AB27" s="13"/>
      <c r="AC27" s="2"/>
      <c r="AD27" s="13"/>
      <c r="AE27" s="2"/>
      <c r="AF27" s="9"/>
    </row>
    <row r="28" spans="1:32" x14ac:dyDescent="0.2">
      <c r="A28" s="17">
        <f t="shared" si="1"/>
        <v>27</v>
      </c>
      <c r="B28" s="40" t="s">
        <v>44</v>
      </c>
      <c r="C28" s="39" t="s">
        <v>64</v>
      </c>
      <c r="D28" s="29" t="s">
        <v>80</v>
      </c>
      <c r="E28" s="12">
        <v>4200666324</v>
      </c>
      <c r="F28" s="5">
        <v>11</v>
      </c>
      <c r="G28" s="21">
        <v>2.4</v>
      </c>
      <c r="H28" s="21">
        <v>1383.69</v>
      </c>
      <c r="I28" s="14">
        <v>189.53</v>
      </c>
      <c r="K28" s="29" t="s">
        <v>49</v>
      </c>
      <c r="L28" s="14">
        <f t="shared" si="6"/>
        <v>78.970833333333331</v>
      </c>
      <c r="M28" s="48">
        <f>H28/G28</f>
        <v>576.53750000000002</v>
      </c>
      <c r="N28" s="29" t="s">
        <v>74</v>
      </c>
      <c r="O28" s="29" t="s">
        <v>26</v>
      </c>
      <c r="P28" s="28">
        <v>0.3</v>
      </c>
      <c r="R28" s="12">
        <v>1</v>
      </c>
      <c r="S28" s="22"/>
      <c r="T28" s="22"/>
      <c r="U28" s="22"/>
      <c r="V28" s="22"/>
      <c r="W28" s="22"/>
      <c r="Y28" s="21"/>
      <c r="Z28" s="21"/>
      <c r="AA28" s="21"/>
      <c r="AB28" s="13"/>
      <c r="AC28" s="2"/>
      <c r="AD28" s="13"/>
      <c r="AE28" s="2"/>
      <c r="AF28" s="9"/>
    </row>
    <row r="29" spans="1:32" x14ac:dyDescent="0.2">
      <c r="A29" s="17">
        <f t="shared" si="1"/>
        <v>28</v>
      </c>
      <c r="B29" s="20" t="s">
        <v>44</v>
      </c>
      <c r="C29" s="5" t="s">
        <v>64</v>
      </c>
      <c r="D29" s="29" t="s">
        <v>75</v>
      </c>
      <c r="E29" s="12">
        <v>2360042525</v>
      </c>
      <c r="F29" s="5"/>
      <c r="G29" s="21">
        <f>5*0.416</f>
        <v>2.08</v>
      </c>
      <c r="H29" s="21">
        <v>197.5</v>
      </c>
      <c r="I29" s="14">
        <f t="shared" ref="I29:I40" si="7">H29</f>
        <v>197.5</v>
      </c>
      <c r="J29" s="14"/>
      <c r="K29" s="12" t="s">
        <v>25</v>
      </c>
      <c r="L29" s="14">
        <f>I29/G29</f>
        <v>94.95192307692308</v>
      </c>
      <c r="M29" s="48">
        <f>H29/G29</f>
        <v>94.95192307692308</v>
      </c>
      <c r="N29" s="12" t="s">
        <v>50</v>
      </c>
      <c r="O29" s="12" t="s">
        <v>26</v>
      </c>
      <c r="P29" s="28">
        <v>0.28000000000000003</v>
      </c>
      <c r="R29" s="12">
        <v>11</v>
      </c>
      <c r="S29" s="22"/>
      <c r="T29" s="22"/>
      <c r="U29" s="22"/>
      <c r="V29" s="22"/>
      <c r="W29" s="22"/>
      <c r="Y29" s="21"/>
      <c r="Z29" s="21"/>
      <c r="AA29" s="21"/>
      <c r="AB29" s="13"/>
      <c r="AC29" s="2"/>
      <c r="AD29" s="13"/>
      <c r="AE29" s="2"/>
      <c r="AF29" s="9"/>
    </row>
    <row r="30" spans="1:32" x14ac:dyDescent="0.2">
      <c r="A30" s="17">
        <f t="shared" si="1"/>
        <v>29</v>
      </c>
      <c r="B30" s="40" t="s">
        <v>61</v>
      </c>
      <c r="C30" s="39" t="s">
        <v>64</v>
      </c>
      <c r="D30" s="29" t="s">
        <v>73</v>
      </c>
      <c r="E30" s="12">
        <v>2360041502</v>
      </c>
      <c r="F30" s="5"/>
      <c r="G30" s="21"/>
      <c r="H30" s="21">
        <v>1000</v>
      </c>
      <c r="I30" s="14">
        <f t="shared" si="7"/>
        <v>1000</v>
      </c>
      <c r="K30" s="29" t="s">
        <v>25</v>
      </c>
      <c r="L30" s="14"/>
      <c r="N30" s="29" t="s">
        <v>50</v>
      </c>
      <c r="O30" s="29" t="s">
        <v>26</v>
      </c>
      <c r="P30" s="28">
        <v>0.33</v>
      </c>
      <c r="R30" s="12">
        <v>13</v>
      </c>
      <c r="S30" s="22"/>
      <c r="T30" s="22"/>
      <c r="U30" s="22"/>
      <c r="V30" s="22"/>
      <c r="W30" s="22"/>
      <c r="Y30" s="21"/>
      <c r="Z30" s="21"/>
      <c r="AA30" s="21"/>
      <c r="AB30" s="13"/>
      <c r="AC30" s="2"/>
      <c r="AD30" s="13"/>
      <c r="AE30" s="2"/>
      <c r="AF30" s="9"/>
    </row>
    <row r="31" spans="1:32" x14ac:dyDescent="0.2">
      <c r="A31" s="17">
        <f t="shared" si="1"/>
        <v>30</v>
      </c>
      <c r="B31" s="40" t="s">
        <v>18</v>
      </c>
      <c r="C31" s="39" t="s">
        <v>64</v>
      </c>
      <c r="D31" s="29" t="s">
        <v>59</v>
      </c>
      <c r="E31" s="17">
        <v>5000020745</v>
      </c>
      <c r="F31" s="33"/>
      <c r="G31" s="2">
        <f>0.13</f>
        <v>0.13</v>
      </c>
      <c r="H31" s="25">
        <v>23</v>
      </c>
      <c r="I31" s="21">
        <f t="shared" si="7"/>
        <v>23</v>
      </c>
      <c r="J31" s="13"/>
      <c r="K31" s="38" t="s">
        <v>25</v>
      </c>
      <c r="L31" s="9">
        <f>I31/G31</f>
        <v>176.92307692307691</v>
      </c>
      <c r="M31" s="6">
        <f>I31/G31</f>
        <v>176.92307692307691</v>
      </c>
      <c r="N31" s="2" t="s">
        <v>50</v>
      </c>
      <c r="O31" s="2" t="s">
        <v>26</v>
      </c>
      <c r="P31" s="18">
        <v>0.28999999999999998</v>
      </c>
      <c r="Q31" s="2"/>
      <c r="R31" s="2">
        <v>12</v>
      </c>
      <c r="S31" s="22"/>
      <c r="T31" s="22"/>
      <c r="U31" s="22"/>
      <c r="V31" s="22"/>
      <c r="W31" s="22"/>
      <c r="Y31" s="21"/>
      <c r="Z31" s="21"/>
      <c r="AA31" s="21"/>
      <c r="AB31" s="13"/>
      <c r="AC31" s="2"/>
      <c r="AD31" s="13"/>
      <c r="AE31" s="2"/>
      <c r="AF31" s="9"/>
    </row>
    <row r="32" spans="1:32" x14ac:dyDescent="0.2">
      <c r="A32" s="17">
        <f t="shared" si="1"/>
        <v>31</v>
      </c>
      <c r="B32" s="40" t="s">
        <v>56</v>
      </c>
      <c r="C32" s="39" t="s">
        <v>64</v>
      </c>
      <c r="D32" s="29" t="s">
        <v>72</v>
      </c>
      <c r="E32" s="12">
        <v>2360041415</v>
      </c>
      <c r="F32" s="5"/>
      <c r="G32" s="21">
        <f>0.363*4</f>
        <v>1.452</v>
      </c>
      <c r="H32" s="21">
        <v>130.68</v>
      </c>
      <c r="I32" s="14">
        <f t="shared" si="7"/>
        <v>130.68</v>
      </c>
      <c r="K32" s="29" t="s">
        <v>25</v>
      </c>
      <c r="L32" s="14">
        <f>I32/G32</f>
        <v>90.000000000000014</v>
      </c>
      <c r="M32" s="6">
        <f>I32/G32</f>
        <v>90.000000000000014</v>
      </c>
      <c r="N32" s="29" t="s">
        <v>39</v>
      </c>
      <c r="O32" s="29" t="s">
        <v>26</v>
      </c>
      <c r="P32" s="28">
        <v>0.3</v>
      </c>
      <c r="R32" s="12">
        <v>11</v>
      </c>
      <c r="S32" s="22"/>
      <c r="T32" s="22"/>
      <c r="U32" s="22"/>
      <c r="V32" s="22"/>
      <c r="W32" s="22"/>
      <c r="Y32" s="21"/>
      <c r="Z32" s="21"/>
      <c r="AA32" s="21"/>
      <c r="AB32" s="13"/>
      <c r="AC32" s="2"/>
      <c r="AD32" s="13"/>
      <c r="AE32" s="2"/>
      <c r="AF32" s="9"/>
    </row>
    <row r="33" spans="1:32" x14ac:dyDescent="0.2">
      <c r="A33" s="17">
        <f t="shared" si="1"/>
        <v>32</v>
      </c>
      <c r="B33" s="40" t="s">
        <v>56</v>
      </c>
      <c r="C33" s="55" t="s">
        <v>64</v>
      </c>
      <c r="D33" s="29" t="s">
        <v>78</v>
      </c>
      <c r="E33" s="12">
        <v>2360041504</v>
      </c>
      <c r="F33" s="5"/>
      <c r="G33" s="21">
        <f>0.279*3+0.265*3+0.284*3</f>
        <v>2.484</v>
      </c>
      <c r="H33" s="21">
        <v>298</v>
      </c>
      <c r="I33" s="14">
        <f t="shared" si="7"/>
        <v>298</v>
      </c>
      <c r="K33" s="29" t="s">
        <v>25</v>
      </c>
      <c r="L33" s="14">
        <f>I33/G33</f>
        <v>119.96779388083736</v>
      </c>
      <c r="M33" s="6">
        <f>I33/G33</f>
        <v>119.96779388083736</v>
      </c>
      <c r="N33" s="29" t="s">
        <v>26</v>
      </c>
      <c r="O33" s="29" t="s">
        <v>26</v>
      </c>
      <c r="P33" s="28">
        <v>0.4</v>
      </c>
      <c r="R33" s="12">
        <v>11</v>
      </c>
      <c r="S33" s="22"/>
      <c r="T33" s="22"/>
      <c r="U33" s="22"/>
      <c r="V33" s="22"/>
      <c r="W33" s="22"/>
      <c r="Y33" s="21"/>
      <c r="Z33" s="21"/>
      <c r="AA33" s="21"/>
      <c r="AB33" s="13"/>
      <c r="AC33" s="2"/>
      <c r="AD33" s="13"/>
      <c r="AE33" s="2"/>
      <c r="AF33" s="9"/>
    </row>
    <row r="34" spans="1:32" x14ac:dyDescent="0.2">
      <c r="A34" s="17">
        <f t="shared" si="1"/>
        <v>33</v>
      </c>
      <c r="B34" s="40" t="s">
        <v>56</v>
      </c>
      <c r="C34" s="55" t="s">
        <v>64</v>
      </c>
      <c r="D34" s="29" t="s">
        <v>79</v>
      </c>
      <c r="E34" s="12">
        <v>2360041523</v>
      </c>
      <c r="F34" s="5"/>
      <c r="G34" s="21">
        <f>0.266*2+0.492*2</f>
        <v>1.516</v>
      </c>
      <c r="H34" s="21">
        <v>130.56</v>
      </c>
      <c r="I34" s="14">
        <f t="shared" si="7"/>
        <v>130.56</v>
      </c>
      <c r="K34" s="29" t="s">
        <v>25</v>
      </c>
      <c r="L34" s="14">
        <f>I34/G34</f>
        <v>86.121372031662276</v>
      </c>
      <c r="M34" s="6">
        <f>I34/G34</f>
        <v>86.121372031662276</v>
      </c>
      <c r="N34" s="29" t="s">
        <v>26</v>
      </c>
      <c r="O34" s="29" t="s">
        <v>26</v>
      </c>
      <c r="P34" s="28">
        <v>0.28000000000000003</v>
      </c>
      <c r="R34" s="12">
        <v>11</v>
      </c>
      <c r="S34" s="22"/>
      <c r="T34" s="22"/>
      <c r="U34" s="22"/>
      <c r="V34" s="22"/>
      <c r="W34" s="22"/>
      <c r="Y34" s="21"/>
      <c r="Z34" s="21"/>
      <c r="AA34" s="21"/>
      <c r="AB34" s="13"/>
      <c r="AC34" s="2"/>
      <c r="AD34" s="13"/>
      <c r="AE34" s="2"/>
      <c r="AF34" s="9"/>
    </row>
    <row r="35" spans="1:32" x14ac:dyDescent="0.2">
      <c r="A35" s="17">
        <f t="shared" si="1"/>
        <v>34</v>
      </c>
      <c r="B35" s="40" t="s">
        <v>56</v>
      </c>
      <c r="C35" s="55" t="s">
        <v>64</v>
      </c>
      <c r="D35" s="29" t="s">
        <v>72</v>
      </c>
      <c r="E35" s="12">
        <v>2360041631</v>
      </c>
      <c r="F35" s="5"/>
      <c r="G35" s="21">
        <f>0.13*6+0.26*3+0.305*9+0.61*9</f>
        <v>9.7949999999999999</v>
      </c>
      <c r="H35" s="21">
        <v>813.96</v>
      </c>
      <c r="I35" s="14">
        <f t="shared" si="7"/>
        <v>813.96</v>
      </c>
      <c r="K35" s="29" t="s">
        <v>25</v>
      </c>
      <c r="L35" s="14">
        <f>I35/G35</f>
        <v>83.09954058192956</v>
      </c>
      <c r="M35" s="6">
        <f>I35/G35</f>
        <v>83.09954058192956</v>
      </c>
      <c r="N35" s="29" t="s">
        <v>39</v>
      </c>
      <c r="O35" s="29" t="s">
        <v>26</v>
      </c>
      <c r="P35" s="28">
        <v>0.27</v>
      </c>
      <c r="R35" s="12">
        <v>11</v>
      </c>
      <c r="S35" s="22"/>
      <c r="T35" s="22"/>
      <c r="U35" s="22"/>
      <c r="V35" s="22"/>
      <c r="W35" s="22"/>
      <c r="Y35" s="21"/>
      <c r="Z35" s="21"/>
      <c r="AA35" s="21"/>
      <c r="AB35" s="13"/>
      <c r="AC35" s="2"/>
      <c r="AD35" s="13"/>
      <c r="AE35" s="2"/>
      <c r="AF35" s="9"/>
    </row>
    <row r="36" spans="1:32" x14ac:dyDescent="0.2">
      <c r="A36" s="17">
        <f t="shared" si="1"/>
        <v>35</v>
      </c>
      <c r="B36" s="40" t="s">
        <v>18</v>
      </c>
      <c r="C36" s="55" t="s">
        <v>64</v>
      </c>
      <c r="D36" s="29" t="s">
        <v>58</v>
      </c>
      <c r="E36" s="12">
        <v>5000020890</v>
      </c>
      <c r="F36" s="5"/>
      <c r="G36" s="21"/>
      <c r="H36" s="21">
        <v>39.889000000000003</v>
      </c>
      <c r="I36" s="14">
        <f t="shared" si="7"/>
        <v>39.889000000000003</v>
      </c>
      <c r="K36" s="29" t="s">
        <v>25</v>
      </c>
      <c r="L36" s="14"/>
      <c r="N36" s="29" t="s">
        <v>39</v>
      </c>
      <c r="O36" s="29" t="s">
        <v>26</v>
      </c>
      <c r="P36" s="28">
        <v>0.23</v>
      </c>
      <c r="R36" s="12">
        <v>12</v>
      </c>
      <c r="S36" s="22"/>
      <c r="T36" s="22"/>
      <c r="U36" s="22"/>
      <c r="V36" s="22"/>
      <c r="W36" s="22"/>
      <c r="Y36" s="21"/>
      <c r="Z36" s="21"/>
      <c r="AA36" s="21"/>
      <c r="AB36" s="13"/>
      <c r="AC36" s="2"/>
      <c r="AD36" s="13"/>
      <c r="AE36" s="2"/>
      <c r="AF36" s="9"/>
    </row>
    <row r="37" spans="1:32" x14ac:dyDescent="0.2">
      <c r="A37" s="17">
        <f t="shared" si="1"/>
        <v>36</v>
      </c>
      <c r="B37" s="40" t="s">
        <v>56</v>
      </c>
      <c r="C37" s="55" t="s">
        <v>64</v>
      </c>
      <c r="D37" s="29" t="s">
        <v>72</v>
      </c>
      <c r="E37" s="12">
        <v>4200672931</v>
      </c>
      <c r="F37" s="5">
        <v>33</v>
      </c>
      <c r="G37" s="21">
        <v>5.5</v>
      </c>
      <c r="H37" s="21">
        <v>497.72</v>
      </c>
      <c r="I37" s="14">
        <f t="shared" si="7"/>
        <v>497.72</v>
      </c>
      <c r="K37" s="29" t="s">
        <v>49</v>
      </c>
      <c r="L37" s="14">
        <f t="shared" ref="L37:L43" si="8">I37/G37</f>
        <v>90.49454545454546</v>
      </c>
      <c r="M37" s="48">
        <f t="shared" ref="M37:M43" si="9">H37/G37</f>
        <v>90.49454545454546</v>
      </c>
      <c r="N37" s="29" t="s">
        <v>39</v>
      </c>
      <c r="O37" s="29" t="s">
        <v>26</v>
      </c>
      <c r="P37" s="28">
        <v>0.16569999999999999</v>
      </c>
      <c r="R37" s="12">
        <v>1</v>
      </c>
      <c r="S37" s="22"/>
      <c r="T37" s="22"/>
      <c r="U37" s="22"/>
      <c r="V37" s="22"/>
      <c r="W37" s="22"/>
      <c r="Y37" s="21"/>
      <c r="Z37" s="21"/>
      <c r="AA37" s="21"/>
      <c r="AB37" s="13"/>
      <c r="AC37" s="2"/>
      <c r="AD37" s="13"/>
      <c r="AE37" s="2"/>
      <c r="AF37" s="9"/>
    </row>
    <row r="38" spans="1:32" x14ac:dyDescent="0.2">
      <c r="A38" s="17">
        <f t="shared" si="1"/>
        <v>37</v>
      </c>
      <c r="B38" s="40" t="s">
        <v>44</v>
      </c>
      <c r="C38" s="55" t="s">
        <v>64</v>
      </c>
      <c r="D38" s="29" t="s">
        <v>83</v>
      </c>
      <c r="E38" s="12">
        <v>2360041724</v>
      </c>
      <c r="F38" s="5"/>
      <c r="G38" s="21">
        <f>0.25*18</f>
        <v>4.5</v>
      </c>
      <c r="H38" s="21">
        <v>315</v>
      </c>
      <c r="I38" s="14">
        <f t="shared" si="7"/>
        <v>315</v>
      </c>
      <c r="K38" s="29" t="s">
        <v>25</v>
      </c>
      <c r="L38" s="14">
        <f t="shared" si="8"/>
        <v>70</v>
      </c>
      <c r="M38" s="48">
        <f t="shared" si="9"/>
        <v>70</v>
      </c>
      <c r="N38" s="29" t="s">
        <v>50</v>
      </c>
      <c r="O38" s="29" t="s">
        <v>26</v>
      </c>
      <c r="P38" s="28">
        <v>0.22</v>
      </c>
      <c r="R38" s="12">
        <v>11</v>
      </c>
      <c r="S38" s="22"/>
      <c r="T38" s="22"/>
      <c r="U38" s="22"/>
      <c r="V38" s="22"/>
      <c r="W38" s="22"/>
      <c r="Y38" s="21"/>
      <c r="Z38" s="21"/>
      <c r="AA38" s="21"/>
      <c r="AB38" s="13"/>
      <c r="AC38" s="2"/>
      <c r="AD38" s="13"/>
      <c r="AE38" s="2"/>
      <c r="AF38" s="9"/>
    </row>
    <row r="39" spans="1:32" x14ac:dyDescent="0.2">
      <c r="A39" s="17">
        <f t="shared" si="1"/>
        <v>38</v>
      </c>
      <c r="B39" s="40" t="s">
        <v>56</v>
      </c>
      <c r="C39" s="55" t="s">
        <v>64</v>
      </c>
      <c r="D39" s="29" t="s">
        <v>84</v>
      </c>
      <c r="E39" s="12">
        <v>4200526868</v>
      </c>
      <c r="F39" s="5">
        <v>11</v>
      </c>
      <c r="G39" s="21">
        <v>29.04</v>
      </c>
      <c r="H39" s="21">
        <v>2800</v>
      </c>
      <c r="I39" s="14">
        <v>2074</v>
      </c>
      <c r="J39" s="14">
        <f>H39-I39</f>
        <v>726</v>
      </c>
      <c r="K39" s="29" t="s">
        <v>87</v>
      </c>
      <c r="L39" s="14">
        <f t="shared" si="8"/>
        <v>71.418732782369148</v>
      </c>
      <c r="M39" s="48">
        <f t="shared" si="9"/>
        <v>96.418732782369148</v>
      </c>
      <c r="N39" s="29" t="s">
        <v>45</v>
      </c>
      <c r="O39" s="29" t="s">
        <v>43</v>
      </c>
      <c r="P39" s="28">
        <v>0.17</v>
      </c>
      <c r="R39" s="12">
        <v>1</v>
      </c>
      <c r="S39" s="22"/>
      <c r="T39" s="22"/>
      <c r="U39" s="22"/>
      <c r="V39" s="22"/>
      <c r="W39" s="22"/>
      <c r="Y39" s="21"/>
      <c r="Z39" s="21"/>
      <c r="AA39" s="21"/>
      <c r="AB39" s="13"/>
      <c r="AC39" s="2"/>
      <c r="AD39" s="13"/>
      <c r="AE39" s="2"/>
      <c r="AF39" s="9"/>
    </row>
    <row r="40" spans="1:32" x14ac:dyDescent="0.2">
      <c r="A40" s="17">
        <f t="shared" si="1"/>
        <v>39</v>
      </c>
      <c r="B40" s="40" t="s">
        <v>56</v>
      </c>
      <c r="C40" s="55" t="s">
        <v>64</v>
      </c>
      <c r="D40" s="29" t="s">
        <v>85</v>
      </c>
      <c r="E40" s="12">
        <v>2360041758</v>
      </c>
      <c r="F40" s="52"/>
      <c r="G40" s="53">
        <f>0.133*12+0.1*12+0.133*228+0.2*336+0.266*231</f>
        <v>161.76600000000002</v>
      </c>
      <c r="H40" s="53">
        <v>12134</v>
      </c>
      <c r="I40" s="14">
        <f t="shared" si="7"/>
        <v>12134</v>
      </c>
      <c r="K40" s="29" t="s">
        <v>49</v>
      </c>
      <c r="L40" s="14">
        <f t="shared" si="8"/>
        <v>75.009581741527882</v>
      </c>
      <c r="M40" s="48">
        <f t="shared" si="9"/>
        <v>75.009581741527882</v>
      </c>
      <c r="N40" s="29" t="s">
        <v>39</v>
      </c>
      <c r="O40" s="29" t="s">
        <v>26</v>
      </c>
      <c r="P40" s="28">
        <v>0.159</v>
      </c>
      <c r="R40" s="12">
        <v>11</v>
      </c>
      <c r="S40" s="22"/>
      <c r="T40" s="22"/>
      <c r="U40" s="22"/>
      <c r="V40" s="22"/>
      <c r="W40" s="22"/>
      <c r="Y40" s="21"/>
      <c r="Z40" s="21"/>
      <c r="AA40" s="21"/>
      <c r="AB40" s="13"/>
      <c r="AC40" s="2"/>
      <c r="AD40" s="13"/>
      <c r="AE40" s="2"/>
      <c r="AF40" s="9"/>
    </row>
    <row r="41" spans="1:32" x14ac:dyDescent="0.2">
      <c r="A41" s="17">
        <f t="shared" si="1"/>
        <v>40</v>
      </c>
      <c r="B41" s="40" t="s">
        <v>61</v>
      </c>
      <c r="C41" s="55" t="s">
        <v>64</v>
      </c>
      <c r="D41" s="29" t="s">
        <v>86</v>
      </c>
      <c r="E41" s="12">
        <v>4200672899</v>
      </c>
      <c r="F41" s="52">
        <v>11</v>
      </c>
      <c r="G41" s="53">
        <v>4.63</v>
      </c>
      <c r="H41" s="53">
        <v>1181</v>
      </c>
      <c r="I41" s="14">
        <v>334</v>
      </c>
      <c r="J41" s="14">
        <f>H41-I41</f>
        <v>847</v>
      </c>
      <c r="K41" s="29" t="s">
        <v>49</v>
      </c>
      <c r="L41" s="14">
        <f t="shared" si="8"/>
        <v>72.138228941684673</v>
      </c>
      <c r="M41" s="48">
        <f t="shared" si="9"/>
        <v>255.07559395248381</v>
      </c>
      <c r="N41" s="29" t="s">
        <v>74</v>
      </c>
      <c r="O41" s="29" t="s">
        <v>26</v>
      </c>
      <c r="P41" s="28">
        <v>0.247</v>
      </c>
      <c r="R41" s="12">
        <v>6</v>
      </c>
      <c r="S41" s="22"/>
      <c r="T41" s="22"/>
      <c r="U41" s="22"/>
      <c r="V41" s="22"/>
      <c r="W41" s="22"/>
      <c r="Y41" s="21"/>
      <c r="Z41" s="21"/>
      <c r="AA41" s="21"/>
      <c r="AB41" s="13"/>
      <c r="AC41" s="2"/>
      <c r="AD41" s="13"/>
      <c r="AE41" s="2"/>
      <c r="AF41" s="9"/>
    </row>
    <row r="42" spans="1:32" x14ac:dyDescent="0.2">
      <c r="A42" s="17">
        <f t="shared" si="1"/>
        <v>41</v>
      </c>
      <c r="B42" s="40" t="s">
        <v>18</v>
      </c>
      <c r="C42" s="55" t="s">
        <v>64</v>
      </c>
      <c r="D42" s="29" t="s">
        <v>59</v>
      </c>
      <c r="E42" s="12">
        <v>5000020832</v>
      </c>
      <c r="F42" s="52"/>
      <c r="G42" s="53">
        <f>0.1*2</f>
        <v>0.2</v>
      </c>
      <c r="H42" s="53">
        <v>50.6</v>
      </c>
      <c r="I42" s="14">
        <f>H42</f>
        <v>50.6</v>
      </c>
      <c r="K42" s="29" t="s">
        <v>25</v>
      </c>
      <c r="L42" s="14">
        <f t="shared" si="8"/>
        <v>253</v>
      </c>
      <c r="M42" s="48">
        <f t="shared" si="9"/>
        <v>253</v>
      </c>
      <c r="N42" s="29" t="s">
        <v>39</v>
      </c>
      <c r="O42" s="29" t="s">
        <v>26</v>
      </c>
      <c r="P42" s="28">
        <v>0.4</v>
      </c>
      <c r="R42" s="12">
        <v>12</v>
      </c>
      <c r="S42" s="22"/>
      <c r="T42" s="22"/>
      <c r="U42" s="22"/>
      <c r="V42" s="22"/>
      <c r="W42" s="22"/>
      <c r="Y42" s="21"/>
      <c r="Z42" s="21"/>
      <c r="AA42" s="21"/>
      <c r="AB42" s="13"/>
      <c r="AC42" s="2"/>
      <c r="AD42" s="13"/>
      <c r="AE42" s="2"/>
      <c r="AF42" s="9"/>
    </row>
    <row r="43" spans="1:32" x14ac:dyDescent="0.2">
      <c r="A43" s="17">
        <f t="shared" si="1"/>
        <v>42</v>
      </c>
      <c r="B43" s="40" t="s">
        <v>18</v>
      </c>
      <c r="C43" s="55" t="s">
        <v>64</v>
      </c>
      <c r="D43" s="29" t="s">
        <v>59</v>
      </c>
      <c r="E43" s="12">
        <v>5000020833</v>
      </c>
      <c r="F43" s="52"/>
      <c r="G43" s="53">
        <f>0.25*1</f>
        <v>0.25</v>
      </c>
      <c r="H43" s="53">
        <v>31</v>
      </c>
      <c r="I43" s="14">
        <v>31.65</v>
      </c>
      <c r="K43" s="29" t="s">
        <v>25</v>
      </c>
      <c r="L43" s="14">
        <f t="shared" si="8"/>
        <v>126.6</v>
      </c>
      <c r="M43" s="48">
        <f t="shared" si="9"/>
        <v>124</v>
      </c>
      <c r="N43" s="29" t="s">
        <v>39</v>
      </c>
      <c r="O43" s="29" t="s">
        <v>26</v>
      </c>
      <c r="P43" s="28">
        <v>0.27</v>
      </c>
      <c r="R43" s="12">
        <v>12</v>
      </c>
      <c r="S43" s="22"/>
      <c r="T43" s="22"/>
      <c r="U43" s="22"/>
      <c r="V43" s="22"/>
      <c r="W43" s="22"/>
      <c r="Y43" s="21"/>
      <c r="Z43" s="21"/>
      <c r="AA43" s="21"/>
      <c r="AB43" s="13"/>
      <c r="AC43" s="2"/>
      <c r="AD43" s="13"/>
      <c r="AE43" s="2"/>
      <c r="AF43" s="9"/>
    </row>
    <row r="44" spans="1:32" x14ac:dyDescent="0.2">
      <c r="A44" s="17">
        <f t="shared" si="1"/>
        <v>43</v>
      </c>
      <c r="B44" s="40" t="s">
        <v>18</v>
      </c>
      <c r="C44" s="55" t="s">
        <v>81</v>
      </c>
      <c r="D44" s="29" t="s">
        <v>58</v>
      </c>
      <c r="E44" s="12">
        <v>5000020005</v>
      </c>
      <c r="F44" s="52"/>
      <c r="G44" s="53"/>
      <c r="H44" s="53">
        <v>379.48</v>
      </c>
      <c r="I44" s="14">
        <f>H44</f>
        <v>379.48</v>
      </c>
      <c r="K44" s="29" t="s">
        <v>25</v>
      </c>
      <c r="L44" s="14"/>
      <c r="N44" s="29" t="s">
        <v>39</v>
      </c>
      <c r="O44" s="29" t="s">
        <v>26</v>
      </c>
      <c r="P44" s="28">
        <v>0.17</v>
      </c>
      <c r="R44" s="12">
        <v>12</v>
      </c>
      <c r="S44" s="22"/>
      <c r="T44" s="22"/>
      <c r="U44" s="22"/>
      <c r="V44" s="22"/>
      <c r="W44" s="22"/>
      <c r="Y44" s="21"/>
      <c r="Z44" s="21"/>
      <c r="AA44" s="21"/>
      <c r="AB44" s="13"/>
      <c r="AC44" s="2"/>
      <c r="AD44" s="13"/>
      <c r="AE44" s="2"/>
      <c r="AF44" s="9"/>
    </row>
    <row r="45" spans="1:32" x14ac:dyDescent="0.2">
      <c r="A45" s="17">
        <f t="shared" si="1"/>
        <v>44</v>
      </c>
      <c r="B45" s="40" t="s">
        <v>44</v>
      </c>
      <c r="C45" s="55" t="s">
        <v>81</v>
      </c>
      <c r="D45" s="29" t="s">
        <v>88</v>
      </c>
      <c r="E45" s="12">
        <v>4200679022</v>
      </c>
      <c r="F45" s="52">
        <v>11</v>
      </c>
      <c r="G45" s="53">
        <v>5.8</v>
      </c>
      <c r="H45" s="53">
        <v>430</v>
      </c>
      <c r="I45" s="14">
        <f>H45</f>
        <v>430</v>
      </c>
      <c r="K45" s="29" t="s">
        <v>25</v>
      </c>
      <c r="L45" s="14">
        <f t="shared" ref="L45:L53" si="10">I45/G45</f>
        <v>74.137931034482762</v>
      </c>
      <c r="M45" s="48">
        <f>H45/G45</f>
        <v>74.137931034482762</v>
      </c>
      <c r="N45" s="29" t="s">
        <v>45</v>
      </c>
      <c r="O45" s="29" t="s">
        <v>43</v>
      </c>
      <c r="P45" s="28">
        <v>0.17</v>
      </c>
      <c r="R45" s="12">
        <v>1</v>
      </c>
      <c r="S45" s="22"/>
      <c r="T45" s="22"/>
      <c r="U45" s="22"/>
      <c r="V45" s="22"/>
      <c r="W45" s="22"/>
      <c r="Y45" s="21"/>
      <c r="Z45" s="21"/>
      <c r="AA45" s="21"/>
      <c r="AB45" s="13"/>
      <c r="AC45" s="2"/>
      <c r="AD45" s="13"/>
      <c r="AE45" s="2"/>
      <c r="AF45" s="9"/>
    </row>
    <row r="46" spans="1:32" x14ac:dyDescent="0.2">
      <c r="A46" s="17">
        <f t="shared" si="1"/>
        <v>45</v>
      </c>
      <c r="B46" s="40" t="s">
        <v>56</v>
      </c>
      <c r="C46" s="55" t="s">
        <v>81</v>
      </c>
      <c r="D46" s="29" t="s">
        <v>89</v>
      </c>
      <c r="E46" s="12">
        <v>2360040541</v>
      </c>
      <c r="F46" s="52"/>
      <c r="G46" s="53">
        <v>55</v>
      </c>
      <c r="H46" s="53">
        <f>19114-14742</f>
        <v>4372</v>
      </c>
      <c r="I46" s="14">
        <f>H46</f>
        <v>4372</v>
      </c>
      <c r="K46" s="29" t="s">
        <v>49</v>
      </c>
      <c r="L46" s="14">
        <f t="shared" si="10"/>
        <v>79.490909090909085</v>
      </c>
      <c r="N46" s="29" t="s">
        <v>39</v>
      </c>
      <c r="O46" s="29" t="s">
        <v>26</v>
      </c>
      <c r="P46" s="28">
        <v>0.14699999999999999</v>
      </c>
      <c r="R46" s="12">
        <v>11</v>
      </c>
      <c r="S46" s="22"/>
      <c r="T46" s="22"/>
      <c r="U46" s="22"/>
      <c r="V46" s="22"/>
      <c r="W46" s="22"/>
      <c r="Y46" s="21"/>
      <c r="Z46" s="21"/>
      <c r="AA46" s="21"/>
      <c r="AB46" s="13"/>
      <c r="AC46" s="2"/>
      <c r="AD46" s="13"/>
      <c r="AE46" s="2"/>
      <c r="AF46" s="9"/>
    </row>
    <row r="47" spans="1:32" x14ac:dyDescent="0.2">
      <c r="A47" s="17">
        <f t="shared" si="1"/>
        <v>46</v>
      </c>
      <c r="B47" s="40" t="s">
        <v>56</v>
      </c>
      <c r="C47" s="55" t="s">
        <v>81</v>
      </c>
      <c r="D47" s="29" t="s">
        <v>72</v>
      </c>
      <c r="E47" s="12">
        <v>2360042097</v>
      </c>
      <c r="F47" s="52"/>
      <c r="G47" s="53">
        <f>0.069*138</f>
        <v>9.5220000000000002</v>
      </c>
      <c r="H47" s="53">
        <v>2139</v>
      </c>
      <c r="I47" s="14">
        <f>H47</f>
        <v>2139</v>
      </c>
      <c r="K47" s="29" t="s">
        <v>25</v>
      </c>
      <c r="L47" s="14">
        <f t="shared" si="10"/>
        <v>224.63768115942028</v>
      </c>
      <c r="N47" s="29" t="s">
        <v>39</v>
      </c>
      <c r="O47" s="29" t="s">
        <v>26</v>
      </c>
      <c r="P47" s="28">
        <v>0.2286</v>
      </c>
      <c r="R47" s="12">
        <v>12</v>
      </c>
      <c r="S47" s="22"/>
      <c r="T47" s="22"/>
      <c r="U47" s="22"/>
      <c r="V47" s="22"/>
      <c r="W47" s="22"/>
      <c r="Y47" s="21"/>
      <c r="Z47" s="21"/>
      <c r="AA47" s="21"/>
      <c r="AB47" s="13"/>
      <c r="AC47" s="2"/>
      <c r="AD47" s="13"/>
      <c r="AE47" s="2"/>
      <c r="AF47" s="9"/>
    </row>
    <row r="48" spans="1:32" x14ac:dyDescent="0.2">
      <c r="A48" s="17">
        <f t="shared" si="1"/>
        <v>47</v>
      </c>
      <c r="B48" s="40" t="s">
        <v>46</v>
      </c>
      <c r="C48" s="55" t="s">
        <v>81</v>
      </c>
      <c r="D48" s="29" t="s">
        <v>90</v>
      </c>
      <c r="E48" s="12">
        <v>4200674027</v>
      </c>
      <c r="F48" s="52">
        <v>33</v>
      </c>
      <c r="G48" s="53">
        <f>0.1667*80*3</f>
        <v>40.007999999999996</v>
      </c>
      <c r="H48" s="53">
        <v>4660</v>
      </c>
      <c r="I48" s="14">
        <v>2113</v>
      </c>
      <c r="K48" s="29" t="s">
        <v>47</v>
      </c>
      <c r="L48" s="14">
        <f t="shared" si="10"/>
        <v>52.814437112577494</v>
      </c>
      <c r="M48" s="48">
        <f t="shared" ref="M48:M53" si="11">H48/G48</f>
        <v>116.4767046590682</v>
      </c>
      <c r="N48" s="29" t="s">
        <v>45</v>
      </c>
      <c r="O48" s="29" t="s">
        <v>43</v>
      </c>
      <c r="P48" s="28">
        <v>0.154</v>
      </c>
      <c r="R48" s="12">
        <v>1</v>
      </c>
      <c r="S48" s="22"/>
      <c r="T48" s="22"/>
      <c r="U48" s="22"/>
      <c r="V48" s="22"/>
      <c r="W48" s="22"/>
      <c r="Y48" s="21"/>
      <c r="Z48" s="21"/>
      <c r="AA48" s="21"/>
      <c r="AB48" s="13"/>
      <c r="AC48" s="2"/>
      <c r="AD48" s="13"/>
      <c r="AE48" s="2"/>
      <c r="AF48" s="9"/>
    </row>
    <row r="49" spans="1:32" x14ac:dyDescent="0.2">
      <c r="A49" s="17">
        <f t="shared" si="1"/>
        <v>48</v>
      </c>
      <c r="B49" s="40" t="s">
        <v>44</v>
      </c>
      <c r="C49" s="55" t="s">
        <v>81</v>
      </c>
      <c r="D49" s="29" t="s">
        <v>69</v>
      </c>
      <c r="E49" s="12">
        <v>2360042225</v>
      </c>
      <c r="F49" s="52"/>
      <c r="G49" s="53">
        <f>0.595*2</f>
        <v>1.19</v>
      </c>
      <c r="H49" s="53">
        <v>128</v>
      </c>
      <c r="I49" s="14">
        <f t="shared" ref="I49:I54" si="12">H49</f>
        <v>128</v>
      </c>
      <c r="K49" s="29" t="s">
        <v>25</v>
      </c>
      <c r="L49" s="14">
        <f t="shared" si="10"/>
        <v>107.56302521008404</v>
      </c>
      <c r="M49" s="48">
        <f t="shared" si="11"/>
        <v>107.56302521008404</v>
      </c>
      <c r="N49" s="29" t="s">
        <v>43</v>
      </c>
      <c r="O49" s="29" t="s">
        <v>43</v>
      </c>
      <c r="P49" s="28">
        <v>0.35</v>
      </c>
      <c r="R49" s="12">
        <v>11</v>
      </c>
      <c r="S49" s="22"/>
      <c r="T49" s="22"/>
      <c r="U49" s="22"/>
      <c r="V49" s="22"/>
      <c r="W49" s="22"/>
      <c r="Y49" s="21"/>
      <c r="Z49" s="21"/>
      <c r="AA49" s="21"/>
      <c r="AB49" s="13"/>
      <c r="AC49" s="2"/>
      <c r="AD49" s="13"/>
      <c r="AE49" s="2"/>
      <c r="AF49" s="9"/>
    </row>
    <row r="50" spans="1:32" x14ac:dyDescent="0.2">
      <c r="A50" s="17">
        <f t="shared" si="1"/>
        <v>49</v>
      </c>
      <c r="B50" s="40" t="s">
        <v>56</v>
      </c>
      <c r="C50" s="55" t="s">
        <v>81</v>
      </c>
      <c r="D50" s="29" t="s">
        <v>91</v>
      </c>
      <c r="E50" s="12">
        <v>2360042178</v>
      </c>
      <c r="F50" s="52"/>
      <c r="G50" s="53">
        <f>0.2*18</f>
        <v>3.6</v>
      </c>
      <c r="H50" s="53">
        <v>223</v>
      </c>
      <c r="I50" s="14">
        <f t="shared" si="12"/>
        <v>223</v>
      </c>
      <c r="K50" s="29" t="s">
        <v>25</v>
      </c>
      <c r="L50" s="14">
        <f t="shared" si="10"/>
        <v>61.944444444444443</v>
      </c>
      <c r="M50" s="48">
        <f t="shared" si="11"/>
        <v>61.944444444444443</v>
      </c>
      <c r="N50" s="29" t="s">
        <v>45</v>
      </c>
      <c r="O50" s="29" t="s">
        <v>43</v>
      </c>
      <c r="P50" s="28">
        <v>0.15</v>
      </c>
      <c r="R50" s="12">
        <v>11</v>
      </c>
      <c r="S50" s="22"/>
      <c r="T50" s="22"/>
      <c r="U50" s="22"/>
      <c r="V50" s="22"/>
      <c r="W50" s="22"/>
      <c r="Y50" s="21"/>
      <c r="Z50" s="21"/>
      <c r="AA50" s="21"/>
      <c r="AB50" s="13"/>
      <c r="AC50" s="2"/>
      <c r="AD50" s="13"/>
      <c r="AE50" s="2"/>
      <c r="AF50" s="9"/>
    </row>
    <row r="51" spans="1:32" x14ac:dyDescent="0.2">
      <c r="A51" s="17">
        <f t="shared" si="1"/>
        <v>50</v>
      </c>
      <c r="B51" s="40" t="s">
        <v>44</v>
      </c>
      <c r="C51" s="55" t="s">
        <v>81</v>
      </c>
      <c r="D51" s="29" t="s">
        <v>68</v>
      </c>
      <c r="E51" s="12">
        <v>2360042179</v>
      </c>
      <c r="F51" s="52"/>
      <c r="G51" s="53">
        <f>0.242*2</f>
        <v>0.48399999999999999</v>
      </c>
      <c r="H51" s="53">
        <v>48.4</v>
      </c>
      <c r="I51" s="14">
        <f t="shared" si="12"/>
        <v>48.4</v>
      </c>
      <c r="K51" s="29" t="s">
        <v>25</v>
      </c>
      <c r="L51" s="14">
        <f t="shared" si="10"/>
        <v>100</v>
      </c>
      <c r="M51" s="48">
        <f t="shared" si="11"/>
        <v>100</v>
      </c>
      <c r="N51" s="29" t="s">
        <v>45</v>
      </c>
      <c r="O51" s="29" t="s">
        <v>43</v>
      </c>
      <c r="P51" s="28">
        <v>0.27</v>
      </c>
      <c r="R51" s="12">
        <v>11</v>
      </c>
      <c r="S51" s="22"/>
      <c r="T51" s="22"/>
      <c r="U51" s="22"/>
      <c r="V51" s="22"/>
      <c r="W51" s="22"/>
      <c r="Y51" s="21"/>
      <c r="Z51" s="21"/>
      <c r="AA51" s="21"/>
      <c r="AB51" s="13"/>
      <c r="AC51" s="2"/>
      <c r="AD51" s="13"/>
      <c r="AE51" s="2"/>
      <c r="AF51" s="9"/>
    </row>
    <row r="52" spans="1:32" x14ac:dyDescent="0.2">
      <c r="A52" s="17">
        <f t="shared" si="1"/>
        <v>51</v>
      </c>
      <c r="B52" s="40" t="s">
        <v>44</v>
      </c>
      <c r="C52" s="55" t="s">
        <v>81</v>
      </c>
      <c r="D52" s="29" t="s">
        <v>69</v>
      </c>
      <c r="E52" s="12">
        <v>2360042200</v>
      </c>
      <c r="F52" s="52"/>
      <c r="G52" s="53">
        <f>0.595*2</f>
        <v>1.19</v>
      </c>
      <c r="H52" s="53">
        <v>123</v>
      </c>
      <c r="I52" s="14">
        <f t="shared" si="12"/>
        <v>123</v>
      </c>
      <c r="K52" s="29" t="s">
        <v>25</v>
      </c>
      <c r="L52" s="14">
        <f t="shared" si="10"/>
        <v>103.36134453781513</v>
      </c>
      <c r="M52" s="48">
        <f t="shared" si="11"/>
        <v>103.36134453781513</v>
      </c>
      <c r="N52" s="29" t="s">
        <v>43</v>
      </c>
      <c r="O52" s="29" t="s">
        <v>43</v>
      </c>
      <c r="P52" s="28">
        <v>0.35</v>
      </c>
      <c r="R52" s="12">
        <v>11</v>
      </c>
      <c r="S52" s="22"/>
      <c r="T52" s="22"/>
      <c r="U52" s="22"/>
      <c r="V52" s="22"/>
      <c r="W52" s="22"/>
      <c r="Y52" s="21"/>
      <c r="Z52" s="21"/>
      <c r="AA52" s="21"/>
      <c r="AB52" s="13"/>
      <c r="AC52" s="2"/>
      <c r="AD52" s="13"/>
      <c r="AE52" s="2"/>
      <c r="AF52" s="9"/>
    </row>
    <row r="53" spans="1:32" x14ac:dyDescent="0.2">
      <c r="A53" s="17">
        <f t="shared" si="1"/>
        <v>52</v>
      </c>
      <c r="B53" s="40" t="s">
        <v>61</v>
      </c>
      <c r="C53" s="55" t="s">
        <v>81</v>
      </c>
      <c r="D53" s="29" t="s">
        <v>96</v>
      </c>
      <c r="E53" s="12">
        <v>2360042199</v>
      </c>
      <c r="F53" s="52"/>
      <c r="G53" s="53">
        <f>0.444</f>
        <v>0.44400000000000001</v>
      </c>
      <c r="H53" s="53">
        <v>59.71</v>
      </c>
      <c r="I53" s="14">
        <f t="shared" si="12"/>
        <v>59.71</v>
      </c>
      <c r="K53" s="29" t="s">
        <v>25</v>
      </c>
      <c r="L53" s="14">
        <f t="shared" si="10"/>
        <v>134.48198198198199</v>
      </c>
      <c r="M53" s="48">
        <f t="shared" si="11"/>
        <v>134.48198198198199</v>
      </c>
      <c r="N53" s="29" t="s">
        <v>74</v>
      </c>
      <c r="O53" s="29" t="s">
        <v>26</v>
      </c>
      <c r="P53" s="28">
        <v>0.3</v>
      </c>
      <c r="R53" s="12">
        <v>11</v>
      </c>
      <c r="S53" s="22"/>
      <c r="T53" s="22"/>
      <c r="U53" s="22"/>
      <c r="V53" s="22"/>
      <c r="W53" s="22"/>
      <c r="Y53" s="21"/>
      <c r="Z53" s="21"/>
      <c r="AA53" s="21"/>
      <c r="AB53" s="13"/>
      <c r="AC53" s="2"/>
      <c r="AD53" s="13"/>
      <c r="AE53" s="2"/>
      <c r="AF53" s="9"/>
    </row>
    <row r="54" spans="1:32" x14ac:dyDescent="0.2">
      <c r="A54" s="17">
        <f t="shared" si="1"/>
        <v>53</v>
      </c>
      <c r="B54" s="40" t="s">
        <v>56</v>
      </c>
      <c r="C54" s="55" t="s">
        <v>81</v>
      </c>
      <c r="D54" s="29" t="s">
        <v>57</v>
      </c>
      <c r="E54" s="51">
        <v>2360040908</v>
      </c>
      <c r="F54" s="5"/>
      <c r="G54" s="21">
        <f>480*0.2</f>
        <v>96</v>
      </c>
      <c r="H54" s="21">
        <f>54*G54</f>
        <v>5184</v>
      </c>
      <c r="I54" s="26">
        <f t="shared" si="12"/>
        <v>5184</v>
      </c>
      <c r="J54" s="9"/>
      <c r="K54" s="38" t="s">
        <v>49</v>
      </c>
      <c r="L54" s="9">
        <f>I54/G54</f>
        <v>54</v>
      </c>
      <c r="M54" s="6"/>
      <c r="N54" s="38" t="s">
        <v>45</v>
      </c>
      <c r="O54" s="38" t="s">
        <v>43</v>
      </c>
      <c r="P54" s="18">
        <v>9.4500000000000001E-2</v>
      </c>
      <c r="Q54" s="2"/>
      <c r="R54" s="2">
        <v>11</v>
      </c>
      <c r="S54" s="22"/>
      <c r="T54" s="22"/>
      <c r="U54" s="22"/>
      <c r="V54" s="22"/>
      <c r="W54" s="22"/>
      <c r="Y54" s="21"/>
      <c r="Z54" s="21"/>
      <c r="AA54" s="21"/>
      <c r="AB54" s="13"/>
      <c r="AC54" s="2"/>
      <c r="AD54" s="13"/>
      <c r="AE54" s="2"/>
      <c r="AF54" s="9"/>
    </row>
    <row r="55" spans="1:32" x14ac:dyDescent="0.2">
      <c r="A55" s="17">
        <f t="shared" si="1"/>
        <v>54</v>
      </c>
      <c r="B55" s="40" t="s">
        <v>44</v>
      </c>
      <c r="C55" s="55" t="s">
        <v>81</v>
      </c>
      <c r="D55" s="29" t="s">
        <v>68</v>
      </c>
      <c r="E55" s="12">
        <v>2360042388</v>
      </c>
      <c r="F55" s="52"/>
      <c r="G55" s="53">
        <f>0.312*19</f>
        <v>5.9279999999999999</v>
      </c>
      <c r="H55" s="53">
        <v>560</v>
      </c>
      <c r="I55" s="14">
        <f>H55</f>
        <v>560</v>
      </c>
      <c r="K55" s="29" t="s">
        <v>25</v>
      </c>
      <c r="L55" s="14">
        <f>I55/G55</f>
        <v>94.466936572199728</v>
      </c>
      <c r="N55" s="29" t="s">
        <v>45</v>
      </c>
      <c r="O55" s="29" t="s">
        <v>43</v>
      </c>
      <c r="P55" s="28">
        <v>0.3</v>
      </c>
      <c r="R55" s="12">
        <v>11</v>
      </c>
      <c r="S55" s="22"/>
      <c r="T55" s="22"/>
      <c r="U55" s="22"/>
      <c r="V55" s="22"/>
      <c r="W55" s="22"/>
      <c r="Y55" s="21"/>
      <c r="Z55" s="21"/>
      <c r="AA55" s="21"/>
      <c r="AB55" s="13"/>
      <c r="AC55" s="2"/>
      <c r="AD55" s="13"/>
      <c r="AE55" s="2"/>
      <c r="AF55" s="9"/>
    </row>
    <row r="56" spans="1:32" x14ac:dyDescent="0.2">
      <c r="A56" s="17">
        <f t="shared" si="1"/>
        <v>55</v>
      </c>
      <c r="B56" s="40" t="s">
        <v>46</v>
      </c>
      <c r="C56" s="55" t="s">
        <v>81</v>
      </c>
      <c r="D56" s="29" t="s">
        <v>92</v>
      </c>
      <c r="E56" s="12">
        <v>4200684337</v>
      </c>
      <c r="F56" s="52"/>
      <c r="G56" s="53">
        <v>13.26</v>
      </c>
      <c r="H56" s="53">
        <v>1275</v>
      </c>
      <c r="I56" s="14">
        <v>891</v>
      </c>
      <c r="J56" s="14">
        <f>H56-I56</f>
        <v>384</v>
      </c>
      <c r="K56" s="29" t="s">
        <v>49</v>
      </c>
      <c r="L56" s="14">
        <f>I56/G56</f>
        <v>67.194570135746602</v>
      </c>
      <c r="M56" s="48">
        <f>H56/G56</f>
        <v>96.15384615384616</v>
      </c>
      <c r="N56" s="29" t="s">
        <v>45</v>
      </c>
      <c r="O56" s="29" t="s">
        <v>43</v>
      </c>
      <c r="P56" s="28">
        <v>0.15279999999999999</v>
      </c>
      <c r="R56" s="12">
        <v>1</v>
      </c>
      <c r="S56" s="22"/>
      <c r="T56" s="22"/>
      <c r="U56" s="22"/>
      <c r="V56" s="22"/>
      <c r="W56" s="22"/>
      <c r="Y56" s="21"/>
      <c r="Z56" s="21"/>
      <c r="AA56" s="21"/>
      <c r="AB56" s="13"/>
      <c r="AC56" s="2"/>
      <c r="AD56" s="13"/>
      <c r="AE56" s="2"/>
      <c r="AF56" s="9"/>
    </row>
    <row r="57" spans="1:32" x14ac:dyDescent="0.2">
      <c r="A57" s="17">
        <f t="shared" si="1"/>
        <v>56</v>
      </c>
      <c r="B57" s="40" t="s">
        <v>18</v>
      </c>
      <c r="C57" s="55" t="s">
        <v>81</v>
      </c>
      <c r="D57" s="29" t="s">
        <v>59</v>
      </c>
      <c r="E57" s="12">
        <v>5000021358</v>
      </c>
      <c r="F57" s="52"/>
      <c r="G57" s="53">
        <f>0.0667*6+0.116*6</f>
        <v>1.0962000000000001</v>
      </c>
      <c r="H57" s="53">
        <v>224</v>
      </c>
      <c r="I57" s="14">
        <f t="shared" ref="I57:I65" si="13">H57</f>
        <v>224</v>
      </c>
      <c r="K57" s="29" t="s">
        <v>25</v>
      </c>
      <c r="L57" s="14">
        <f>I57/G57</f>
        <v>204.34227330779055</v>
      </c>
      <c r="M57" s="48">
        <f>H57/G57</f>
        <v>204.34227330779055</v>
      </c>
      <c r="N57" s="29" t="s">
        <v>39</v>
      </c>
      <c r="O57" s="29" t="s">
        <v>26</v>
      </c>
      <c r="P57" s="28">
        <v>0.17</v>
      </c>
      <c r="R57" s="12">
        <v>12</v>
      </c>
      <c r="S57" s="22"/>
      <c r="T57" s="22"/>
      <c r="U57" s="22"/>
      <c r="V57" s="22"/>
      <c r="W57" s="22"/>
      <c r="Y57" s="21"/>
      <c r="Z57" s="21"/>
      <c r="AA57" s="21"/>
      <c r="AB57" s="13"/>
      <c r="AC57" s="2"/>
      <c r="AD57" s="13"/>
      <c r="AE57" s="2"/>
      <c r="AF57" s="9"/>
    </row>
    <row r="58" spans="1:32" x14ac:dyDescent="0.2">
      <c r="A58" s="17">
        <f t="shared" si="1"/>
        <v>57</v>
      </c>
      <c r="B58" s="40" t="s">
        <v>61</v>
      </c>
      <c r="C58" s="55" t="s">
        <v>81</v>
      </c>
      <c r="D58" s="29" t="s">
        <v>95</v>
      </c>
      <c r="E58" s="12">
        <v>2360042334</v>
      </c>
      <c r="F58" s="52"/>
      <c r="G58" s="53">
        <f>0.143+0.534+0.363+0.454+0.178+0.327+0.613</f>
        <v>2.6120000000000001</v>
      </c>
      <c r="H58" s="53">
        <v>250</v>
      </c>
      <c r="I58" s="14">
        <f t="shared" si="13"/>
        <v>250</v>
      </c>
      <c r="K58" s="29" t="s">
        <v>25</v>
      </c>
      <c r="L58" s="14">
        <f>I58/G58</f>
        <v>95.712098009188352</v>
      </c>
      <c r="M58" s="48">
        <f>H58/G58</f>
        <v>95.712098009188352</v>
      </c>
      <c r="N58" s="29" t="s">
        <v>74</v>
      </c>
      <c r="O58" s="29" t="s">
        <v>26</v>
      </c>
      <c r="P58" s="28">
        <v>0.3</v>
      </c>
      <c r="R58" s="12">
        <v>11</v>
      </c>
      <c r="S58" s="22"/>
      <c r="T58" s="22"/>
      <c r="U58" s="22"/>
      <c r="V58" s="22"/>
      <c r="W58" s="22"/>
      <c r="Y58" s="21"/>
      <c r="Z58" s="21"/>
      <c r="AA58" s="21"/>
      <c r="AB58" s="13"/>
      <c r="AC58" s="2"/>
      <c r="AD58" s="13"/>
      <c r="AE58" s="2"/>
      <c r="AF58" s="9"/>
    </row>
    <row r="59" spans="1:32" x14ac:dyDescent="0.2">
      <c r="A59" s="17">
        <f t="shared" si="1"/>
        <v>58</v>
      </c>
      <c r="B59" s="40" t="s">
        <v>61</v>
      </c>
      <c r="C59" s="55" t="s">
        <v>81</v>
      </c>
      <c r="D59" s="29" t="s">
        <v>96</v>
      </c>
      <c r="E59" s="12">
        <v>2360042337</v>
      </c>
      <c r="F59" s="52"/>
      <c r="G59" s="53"/>
      <c r="H59" s="53">
        <v>202</v>
      </c>
      <c r="I59" s="14">
        <f t="shared" si="13"/>
        <v>202</v>
      </c>
      <c r="K59" s="29" t="s">
        <v>25</v>
      </c>
      <c r="L59" s="14"/>
      <c r="M59" s="48"/>
      <c r="N59" s="29" t="s">
        <v>74</v>
      </c>
      <c r="O59" s="29" t="s">
        <v>26</v>
      </c>
      <c r="P59" s="28">
        <v>0.39</v>
      </c>
      <c r="R59" s="12">
        <v>15</v>
      </c>
      <c r="S59" s="22"/>
      <c r="T59" s="22"/>
      <c r="U59" s="22"/>
      <c r="V59" s="22"/>
      <c r="W59" s="22"/>
      <c r="Y59" s="21"/>
      <c r="Z59" s="21"/>
      <c r="AA59" s="21"/>
      <c r="AB59" s="13"/>
      <c r="AC59" s="2"/>
      <c r="AD59" s="13"/>
      <c r="AE59" s="2"/>
      <c r="AF59" s="9"/>
    </row>
    <row r="60" spans="1:32" x14ac:dyDescent="0.2">
      <c r="A60" s="17">
        <f t="shared" si="1"/>
        <v>59</v>
      </c>
      <c r="B60" s="40" t="s">
        <v>41</v>
      </c>
      <c r="C60" s="55" t="s">
        <v>81</v>
      </c>
      <c r="D60" s="29" t="s">
        <v>63</v>
      </c>
      <c r="E60" s="12">
        <v>2360042352</v>
      </c>
      <c r="F60" s="5"/>
      <c r="G60" s="21"/>
      <c r="H60" s="21">
        <v>738</v>
      </c>
      <c r="I60" s="26">
        <f t="shared" si="13"/>
        <v>738</v>
      </c>
      <c r="J60" s="9"/>
      <c r="K60" s="38" t="s">
        <v>25</v>
      </c>
      <c r="L60" s="9"/>
      <c r="M60" s="6"/>
      <c r="N60" s="38" t="s">
        <v>26</v>
      </c>
      <c r="O60" s="38" t="s">
        <v>26</v>
      </c>
      <c r="P60" s="18">
        <v>0.45</v>
      </c>
      <c r="Q60" s="2"/>
      <c r="R60" s="2">
        <v>13</v>
      </c>
      <c r="S60" s="22"/>
      <c r="T60" s="22"/>
      <c r="U60" s="22"/>
      <c r="V60" s="22"/>
      <c r="W60" s="22"/>
      <c r="Y60" s="21"/>
      <c r="Z60" s="21"/>
      <c r="AA60" s="21"/>
      <c r="AB60" s="13"/>
      <c r="AC60" s="2"/>
      <c r="AD60" s="13"/>
      <c r="AE60" s="2"/>
      <c r="AF60" s="9"/>
    </row>
    <row r="61" spans="1:32" x14ac:dyDescent="0.2">
      <c r="A61" s="17">
        <f t="shared" si="1"/>
        <v>60</v>
      </c>
      <c r="B61" s="40" t="s">
        <v>98</v>
      </c>
      <c r="C61" s="55" t="s">
        <v>81</v>
      </c>
      <c r="D61" s="29" t="s">
        <v>97</v>
      </c>
      <c r="E61" s="12">
        <v>2360042360</v>
      </c>
      <c r="F61" s="52"/>
      <c r="G61" s="53">
        <f>0.1*12</f>
        <v>1.2000000000000002</v>
      </c>
      <c r="H61" s="53">
        <v>168</v>
      </c>
      <c r="I61" s="14">
        <f t="shared" si="13"/>
        <v>168</v>
      </c>
      <c r="J61" s="14"/>
      <c r="K61" s="29" t="s">
        <v>25</v>
      </c>
      <c r="L61" s="14">
        <f t="shared" ref="L61:L66" si="14">I61/G61</f>
        <v>139.99999999999997</v>
      </c>
      <c r="M61" s="48">
        <f>H61/G61</f>
        <v>139.99999999999997</v>
      </c>
      <c r="N61" s="29" t="s">
        <v>43</v>
      </c>
      <c r="O61" s="29" t="s">
        <v>43</v>
      </c>
      <c r="P61" s="28">
        <v>0.22</v>
      </c>
      <c r="R61" s="12">
        <v>11</v>
      </c>
      <c r="S61" s="22"/>
      <c r="T61" s="22"/>
      <c r="U61" s="22"/>
      <c r="V61" s="22"/>
      <c r="W61" s="22"/>
      <c r="Y61" s="21"/>
      <c r="Z61" s="21"/>
      <c r="AA61" s="21"/>
      <c r="AB61" s="13"/>
      <c r="AC61" s="2"/>
      <c r="AD61" s="13"/>
      <c r="AE61" s="2"/>
      <c r="AF61" s="9"/>
    </row>
    <row r="62" spans="1:32" x14ac:dyDescent="0.2">
      <c r="A62" s="17">
        <f t="shared" si="1"/>
        <v>61</v>
      </c>
      <c r="B62" s="40" t="s">
        <v>98</v>
      </c>
      <c r="C62" s="55" t="s">
        <v>81</v>
      </c>
      <c r="D62" s="29" t="s">
        <v>97</v>
      </c>
      <c r="E62" s="12">
        <v>2360042361</v>
      </c>
      <c r="F62" s="52"/>
      <c r="G62" s="53">
        <f>0.264*6</f>
        <v>1.5840000000000001</v>
      </c>
      <c r="H62" s="53">
        <v>151</v>
      </c>
      <c r="I62" s="14">
        <f t="shared" si="13"/>
        <v>151</v>
      </c>
      <c r="J62" s="14"/>
      <c r="K62" s="29" t="s">
        <v>25</v>
      </c>
      <c r="L62" s="14">
        <f t="shared" si="14"/>
        <v>95.328282828282823</v>
      </c>
      <c r="M62" s="48">
        <f>H62/G62</f>
        <v>95.328282828282823</v>
      </c>
      <c r="N62" s="29" t="s">
        <v>43</v>
      </c>
      <c r="O62" s="29" t="s">
        <v>43</v>
      </c>
      <c r="P62" s="28">
        <v>0.22</v>
      </c>
      <c r="R62" s="12">
        <v>11</v>
      </c>
      <c r="S62" s="22"/>
      <c r="T62" s="22"/>
      <c r="U62" s="22"/>
      <c r="V62" s="22"/>
      <c r="W62" s="22"/>
      <c r="Y62" s="21"/>
      <c r="Z62" s="21"/>
      <c r="AA62" s="21"/>
      <c r="AB62" s="13"/>
      <c r="AC62" s="2"/>
      <c r="AD62" s="13"/>
      <c r="AE62" s="2"/>
      <c r="AF62" s="9"/>
    </row>
    <row r="63" spans="1:32" x14ac:dyDescent="0.2">
      <c r="A63" s="17">
        <f t="shared" si="1"/>
        <v>62</v>
      </c>
      <c r="B63" s="40" t="s">
        <v>98</v>
      </c>
      <c r="C63" s="55" t="s">
        <v>81</v>
      </c>
      <c r="D63" s="29" t="s">
        <v>97</v>
      </c>
      <c r="E63" s="12">
        <v>2360042362</v>
      </c>
      <c r="F63" s="52"/>
      <c r="G63" s="53">
        <f>0.264*3</f>
        <v>0.79200000000000004</v>
      </c>
      <c r="H63" s="53">
        <v>75.599999999999994</v>
      </c>
      <c r="I63" s="14">
        <f t="shared" si="13"/>
        <v>75.599999999999994</v>
      </c>
      <c r="J63" s="14"/>
      <c r="K63" s="29" t="s">
        <v>25</v>
      </c>
      <c r="L63" s="14">
        <f t="shared" si="14"/>
        <v>95.454545454545439</v>
      </c>
      <c r="M63" s="48">
        <f>H63/G63</f>
        <v>95.454545454545439</v>
      </c>
      <c r="N63" s="29" t="s">
        <v>43</v>
      </c>
      <c r="O63" s="29" t="s">
        <v>43</v>
      </c>
      <c r="P63" s="28">
        <v>0.22</v>
      </c>
      <c r="R63" s="12">
        <v>11</v>
      </c>
      <c r="S63" s="22"/>
      <c r="T63" s="22"/>
      <c r="U63" s="22"/>
      <c r="V63" s="22"/>
      <c r="W63" s="22"/>
      <c r="Y63" s="21"/>
      <c r="Z63" s="21"/>
      <c r="AA63" s="21"/>
      <c r="AB63" s="13"/>
      <c r="AC63" s="2"/>
      <c r="AD63" s="13"/>
      <c r="AE63" s="2"/>
      <c r="AF63" s="9"/>
    </row>
    <row r="64" spans="1:32" x14ac:dyDescent="0.2">
      <c r="A64" s="17">
        <f t="shared" si="1"/>
        <v>63</v>
      </c>
      <c r="B64" s="40" t="s">
        <v>44</v>
      </c>
      <c r="C64" s="55" t="s">
        <v>81</v>
      </c>
      <c r="D64" s="29" t="s">
        <v>68</v>
      </c>
      <c r="E64" s="29">
        <v>2360042388</v>
      </c>
      <c r="F64" s="55"/>
      <c r="G64" s="53">
        <f>0.22*9</f>
        <v>1.98</v>
      </c>
      <c r="H64" s="53">
        <v>217</v>
      </c>
      <c r="I64" s="14">
        <f t="shared" si="13"/>
        <v>217</v>
      </c>
      <c r="K64" s="29" t="s">
        <v>25</v>
      </c>
      <c r="L64" s="14">
        <f t="shared" si="14"/>
        <v>109.5959595959596</v>
      </c>
      <c r="N64" s="29" t="s">
        <v>45</v>
      </c>
      <c r="O64" s="29" t="s">
        <v>43</v>
      </c>
      <c r="P64" s="28">
        <v>0.33</v>
      </c>
      <c r="R64" s="12">
        <v>11</v>
      </c>
      <c r="S64" s="22"/>
      <c r="T64" s="22"/>
      <c r="U64" s="22"/>
      <c r="V64" s="22"/>
      <c r="W64" s="22"/>
      <c r="Y64" s="21"/>
      <c r="Z64" s="21"/>
      <c r="AA64" s="21"/>
      <c r="AB64" s="13"/>
      <c r="AC64" s="2"/>
      <c r="AD64" s="13"/>
      <c r="AE64" s="2"/>
      <c r="AF64" s="9"/>
    </row>
    <row r="65" spans="1:32" x14ac:dyDescent="0.2">
      <c r="A65" s="17">
        <f t="shared" si="1"/>
        <v>64</v>
      </c>
      <c r="B65" s="40" t="s">
        <v>44</v>
      </c>
      <c r="C65" s="55" t="s">
        <v>81</v>
      </c>
      <c r="D65" s="29" t="s">
        <v>68</v>
      </c>
      <c r="E65" s="29">
        <v>2360042435</v>
      </c>
      <c r="F65" s="55"/>
      <c r="G65" s="53">
        <f>0.416*7</f>
        <v>2.9119999999999999</v>
      </c>
      <c r="H65" s="53">
        <v>277</v>
      </c>
      <c r="I65" s="14">
        <f t="shared" si="13"/>
        <v>277</v>
      </c>
      <c r="K65" s="29" t="s">
        <v>25</v>
      </c>
      <c r="L65" s="14">
        <f t="shared" si="14"/>
        <v>95.123626373626379</v>
      </c>
      <c r="N65" s="29" t="s">
        <v>45</v>
      </c>
      <c r="O65" s="29" t="s">
        <v>43</v>
      </c>
      <c r="P65" s="28">
        <v>0.35</v>
      </c>
      <c r="R65" s="12">
        <v>11</v>
      </c>
      <c r="S65" s="22"/>
      <c r="T65" s="22"/>
      <c r="U65" s="22"/>
      <c r="V65" s="22"/>
      <c r="W65" s="22"/>
      <c r="Y65" s="21"/>
      <c r="Z65" s="21"/>
      <c r="AA65" s="21"/>
      <c r="AB65" s="13"/>
      <c r="AC65" s="2"/>
      <c r="AD65" s="13"/>
      <c r="AE65" s="2"/>
      <c r="AF65" s="9"/>
    </row>
    <row r="66" spans="1:32" x14ac:dyDescent="0.2">
      <c r="A66" s="17">
        <f t="shared" si="1"/>
        <v>65</v>
      </c>
      <c r="B66" s="40" t="s">
        <v>44</v>
      </c>
      <c r="C66" s="40" t="s">
        <v>81</v>
      </c>
      <c r="D66" s="29" t="s">
        <v>99</v>
      </c>
      <c r="E66" s="12">
        <v>4200686510</v>
      </c>
      <c r="F66" s="52">
        <v>33</v>
      </c>
      <c r="G66" s="53">
        <v>12</v>
      </c>
      <c r="H66" s="53">
        <v>1605</v>
      </c>
      <c r="I66" s="14">
        <v>1105</v>
      </c>
      <c r="K66" s="29" t="s">
        <v>47</v>
      </c>
      <c r="L66" s="14">
        <f t="shared" si="14"/>
        <v>92.083333333333329</v>
      </c>
      <c r="M66" s="48">
        <f>H66/G66</f>
        <v>133.75</v>
      </c>
      <c r="N66" s="29" t="s">
        <v>45</v>
      </c>
      <c r="O66" s="29" t="s">
        <v>43</v>
      </c>
      <c r="P66" s="28">
        <v>0.16</v>
      </c>
      <c r="R66" s="12">
        <v>1</v>
      </c>
      <c r="S66" s="22"/>
      <c r="T66" s="22"/>
      <c r="U66" s="22"/>
      <c r="V66" s="22"/>
      <c r="W66" s="22"/>
      <c r="Y66" s="21"/>
      <c r="Z66" s="21"/>
      <c r="AA66" s="21"/>
      <c r="AB66" s="13"/>
      <c r="AC66" s="2"/>
      <c r="AD66" s="13"/>
      <c r="AE66" s="2"/>
      <c r="AF66" s="9"/>
    </row>
    <row r="67" spans="1:32" x14ac:dyDescent="0.2">
      <c r="A67" s="17">
        <f t="shared" si="1"/>
        <v>66</v>
      </c>
      <c r="B67" s="40" t="s">
        <v>46</v>
      </c>
      <c r="C67" s="40" t="s">
        <v>81</v>
      </c>
      <c r="D67" s="29" t="s">
        <v>100</v>
      </c>
      <c r="E67" s="12">
        <v>4200687013</v>
      </c>
      <c r="F67" s="52">
        <v>33</v>
      </c>
      <c r="G67" s="53">
        <v>13.26</v>
      </c>
      <c r="H67" s="53">
        <v>1270</v>
      </c>
      <c r="I67" s="14">
        <f>890</f>
        <v>890</v>
      </c>
      <c r="K67" s="29" t="s">
        <v>49</v>
      </c>
      <c r="L67" s="14">
        <f>I67/G67</f>
        <v>67.119155354449475</v>
      </c>
      <c r="M67" s="48">
        <f>H67/G67</f>
        <v>95.776772247360483</v>
      </c>
      <c r="N67" s="29" t="s">
        <v>45</v>
      </c>
      <c r="O67" s="29" t="s">
        <v>43</v>
      </c>
      <c r="P67" s="28">
        <v>0.15</v>
      </c>
      <c r="R67" s="12">
        <v>1</v>
      </c>
      <c r="S67" s="22"/>
      <c r="T67" s="22"/>
      <c r="U67" s="22"/>
      <c r="V67" s="22"/>
      <c r="W67" s="22"/>
      <c r="Y67" s="21"/>
      <c r="Z67" s="21"/>
      <c r="AA67" s="21"/>
      <c r="AB67" s="13"/>
      <c r="AC67" s="2"/>
      <c r="AD67" s="13"/>
      <c r="AE67" s="2"/>
      <c r="AF67" s="9"/>
    </row>
    <row r="68" spans="1:32" x14ac:dyDescent="0.2">
      <c r="A68" s="17">
        <f t="shared" ref="A68:A131" si="15">A67+1</f>
        <v>67</v>
      </c>
      <c r="B68" s="39" t="s">
        <v>46</v>
      </c>
      <c r="C68" s="40" t="s">
        <v>81</v>
      </c>
      <c r="D68" s="29" t="s">
        <v>101</v>
      </c>
      <c r="E68" s="12">
        <v>2360042490</v>
      </c>
      <c r="F68" s="33"/>
      <c r="G68">
        <f>0.15*50</f>
        <v>7.5</v>
      </c>
      <c r="H68" s="24">
        <v>742</v>
      </c>
      <c r="I68" s="26">
        <f t="shared" ref="I68:I81" si="16">H68</f>
        <v>742</v>
      </c>
      <c r="J68" s="13"/>
      <c r="K68" s="29" t="s">
        <v>25</v>
      </c>
      <c r="L68" s="14">
        <f>I68/G68</f>
        <v>98.933333333333337</v>
      </c>
      <c r="M68" s="48">
        <f>H68/G68</f>
        <v>98.933333333333337</v>
      </c>
      <c r="N68" s="29" t="s">
        <v>50</v>
      </c>
      <c r="O68" s="29" t="s">
        <v>26</v>
      </c>
      <c r="P68" s="28">
        <v>0.17</v>
      </c>
      <c r="R68" s="12">
        <v>11</v>
      </c>
      <c r="S68" s="22"/>
      <c r="T68" s="22"/>
      <c r="U68" s="22"/>
      <c r="V68" s="22"/>
      <c r="W68" s="22"/>
      <c r="Y68" s="21"/>
      <c r="Z68" s="21"/>
      <c r="AA68" s="21"/>
      <c r="AB68" s="13"/>
      <c r="AC68" s="2"/>
      <c r="AD68" s="13"/>
      <c r="AE68" s="2"/>
      <c r="AF68" s="9"/>
    </row>
    <row r="69" spans="1:32" x14ac:dyDescent="0.2">
      <c r="A69" s="17">
        <f t="shared" si="15"/>
        <v>68</v>
      </c>
      <c r="B69" s="5" t="s">
        <v>18</v>
      </c>
      <c r="C69" s="40" t="s">
        <v>82</v>
      </c>
      <c r="D69" s="29" t="s">
        <v>58</v>
      </c>
      <c r="E69" s="12">
        <v>5000021469</v>
      </c>
      <c r="F69" s="33"/>
      <c r="H69" s="24">
        <v>148</v>
      </c>
      <c r="I69" s="26">
        <f t="shared" si="16"/>
        <v>148</v>
      </c>
      <c r="J69" s="9"/>
      <c r="K69" s="29" t="s">
        <v>25</v>
      </c>
      <c r="L69" s="9"/>
      <c r="N69" s="29" t="s">
        <v>39</v>
      </c>
      <c r="O69" s="29" t="s">
        <v>26</v>
      </c>
      <c r="P69" s="28">
        <v>0.26</v>
      </c>
      <c r="R69" s="12">
        <v>12</v>
      </c>
      <c r="S69" s="22"/>
      <c r="T69" s="22"/>
      <c r="U69" s="22"/>
      <c r="V69" s="22"/>
      <c r="W69" s="22"/>
      <c r="Y69" s="21"/>
      <c r="Z69" s="21"/>
      <c r="AA69" s="21"/>
      <c r="AB69" s="13"/>
      <c r="AC69" s="2"/>
      <c r="AD69" s="13"/>
      <c r="AE69" s="2"/>
      <c r="AF69" s="9"/>
    </row>
    <row r="70" spans="1:32" x14ac:dyDescent="0.2">
      <c r="A70" s="17">
        <f t="shared" si="15"/>
        <v>69</v>
      </c>
      <c r="B70" s="5" t="s">
        <v>18</v>
      </c>
      <c r="C70" s="40" t="s">
        <v>82</v>
      </c>
      <c r="D70" s="29" t="s">
        <v>58</v>
      </c>
      <c r="E70" s="12">
        <v>5000021514</v>
      </c>
      <c r="F70" s="33"/>
      <c r="H70" s="24">
        <v>672</v>
      </c>
      <c r="I70" s="26">
        <f t="shared" si="16"/>
        <v>672</v>
      </c>
      <c r="J70" s="9"/>
      <c r="K70" s="29" t="s">
        <v>25</v>
      </c>
      <c r="L70" s="9"/>
      <c r="N70" s="29" t="s">
        <v>39</v>
      </c>
      <c r="O70" s="29" t="s">
        <v>26</v>
      </c>
      <c r="P70" s="28">
        <v>0.17</v>
      </c>
      <c r="R70" s="12">
        <v>12</v>
      </c>
      <c r="S70" s="22"/>
      <c r="T70" s="22"/>
      <c r="U70" s="22"/>
      <c r="V70" s="22"/>
      <c r="W70" s="22"/>
      <c r="Y70" s="21"/>
      <c r="Z70" s="21"/>
      <c r="AA70" s="21"/>
      <c r="AB70" s="13"/>
      <c r="AC70" s="2"/>
      <c r="AD70" s="13"/>
      <c r="AE70" s="2"/>
      <c r="AF70" s="9"/>
    </row>
    <row r="71" spans="1:32" x14ac:dyDescent="0.2">
      <c r="A71" s="17">
        <f t="shared" si="15"/>
        <v>70</v>
      </c>
      <c r="B71" s="5" t="s">
        <v>44</v>
      </c>
      <c r="C71" s="40" t="s">
        <v>82</v>
      </c>
      <c r="D71" s="29" t="s">
        <v>102</v>
      </c>
      <c r="E71" s="12">
        <v>2360042837</v>
      </c>
      <c r="F71" s="33"/>
      <c r="H71" s="24">
        <v>36</v>
      </c>
      <c r="I71" s="26">
        <f t="shared" si="16"/>
        <v>36</v>
      </c>
      <c r="J71" s="9"/>
      <c r="K71" s="29" t="s">
        <v>25</v>
      </c>
      <c r="L71" s="9"/>
      <c r="N71" s="29" t="s">
        <v>50</v>
      </c>
      <c r="O71" s="29" t="s">
        <v>26</v>
      </c>
      <c r="P71" s="28">
        <v>0.19</v>
      </c>
      <c r="R71" s="12">
        <v>12</v>
      </c>
      <c r="S71" s="22"/>
      <c r="T71" s="22"/>
      <c r="U71" s="22"/>
      <c r="V71" s="22"/>
      <c r="W71" s="22"/>
      <c r="Y71" s="21"/>
      <c r="Z71" s="21"/>
      <c r="AA71" s="21"/>
      <c r="AB71" s="13"/>
      <c r="AC71" s="2"/>
      <c r="AD71" s="13"/>
      <c r="AE71" s="2"/>
      <c r="AF71" s="9"/>
    </row>
    <row r="72" spans="1:32" x14ac:dyDescent="0.2">
      <c r="A72" s="17">
        <f t="shared" si="15"/>
        <v>71</v>
      </c>
      <c r="B72" s="5" t="s">
        <v>44</v>
      </c>
      <c r="C72" s="40" t="s">
        <v>82</v>
      </c>
      <c r="D72" s="29" t="s">
        <v>68</v>
      </c>
      <c r="E72" s="12">
        <v>2360042836</v>
      </c>
      <c r="F72" s="33"/>
      <c r="G72">
        <f>0.484</f>
        <v>0.48399999999999999</v>
      </c>
      <c r="H72" s="24">
        <v>45.98</v>
      </c>
      <c r="I72" s="26">
        <f t="shared" si="16"/>
        <v>45.98</v>
      </c>
      <c r="J72" s="9"/>
      <c r="K72" s="29" t="s">
        <v>25</v>
      </c>
      <c r="L72" s="9">
        <f>H72/G72</f>
        <v>95</v>
      </c>
      <c r="N72" s="29" t="s">
        <v>50</v>
      </c>
      <c r="O72" s="29" t="s">
        <v>26</v>
      </c>
      <c r="P72" s="28">
        <v>0.28999999999999998</v>
      </c>
      <c r="R72" s="12">
        <v>11</v>
      </c>
      <c r="S72" s="22"/>
      <c r="T72" s="22"/>
      <c r="U72" s="22"/>
      <c r="V72" s="22"/>
      <c r="W72" s="22"/>
      <c r="Y72" s="21"/>
      <c r="Z72" s="21"/>
      <c r="AA72" s="21"/>
      <c r="AB72" s="13"/>
      <c r="AC72" s="2"/>
      <c r="AD72" s="13"/>
      <c r="AE72" s="2"/>
      <c r="AF72" s="9"/>
    </row>
    <row r="73" spans="1:32" x14ac:dyDescent="0.2">
      <c r="A73" s="17">
        <f t="shared" si="15"/>
        <v>72</v>
      </c>
      <c r="B73" s="5" t="s">
        <v>41</v>
      </c>
      <c r="C73" s="40" t="s">
        <v>82</v>
      </c>
      <c r="D73" s="29" t="s">
        <v>103</v>
      </c>
      <c r="E73" s="12">
        <v>2360042835</v>
      </c>
      <c r="F73" s="33"/>
      <c r="G73">
        <f>0.085*2</f>
        <v>0.17</v>
      </c>
      <c r="H73" s="24">
        <v>25.6</v>
      </c>
      <c r="I73" s="26">
        <f t="shared" si="16"/>
        <v>25.6</v>
      </c>
      <c r="J73" s="9"/>
      <c r="K73" s="29" t="s">
        <v>25</v>
      </c>
      <c r="L73" s="9">
        <f>H73/G73</f>
        <v>150.58823529411765</v>
      </c>
      <c r="N73" s="29" t="s">
        <v>50</v>
      </c>
      <c r="O73" s="29" t="s">
        <v>26</v>
      </c>
      <c r="P73" s="28">
        <v>0.22</v>
      </c>
      <c r="R73" s="12">
        <v>11</v>
      </c>
      <c r="S73" s="22"/>
      <c r="T73" s="22"/>
      <c r="U73" s="22"/>
      <c r="V73" s="22"/>
      <c r="W73" s="22"/>
      <c r="Y73" s="21"/>
      <c r="Z73" s="21"/>
      <c r="AA73" s="21"/>
      <c r="AB73" s="13"/>
      <c r="AC73" s="2"/>
      <c r="AD73" s="13"/>
      <c r="AE73" s="2"/>
      <c r="AF73" s="9"/>
    </row>
    <row r="74" spans="1:32" x14ac:dyDescent="0.2">
      <c r="A74" s="17">
        <f t="shared" si="15"/>
        <v>73</v>
      </c>
      <c r="B74" s="5" t="s">
        <v>18</v>
      </c>
      <c r="C74" s="40" t="s">
        <v>82</v>
      </c>
      <c r="D74" s="29" t="s">
        <v>58</v>
      </c>
      <c r="E74" s="12">
        <v>5000021670</v>
      </c>
      <c r="F74" s="33"/>
      <c r="H74" s="24">
        <v>142</v>
      </c>
      <c r="I74" s="26">
        <f t="shared" si="16"/>
        <v>142</v>
      </c>
      <c r="J74" s="9"/>
      <c r="K74" s="29" t="s">
        <v>25</v>
      </c>
      <c r="L74" s="9"/>
      <c r="N74" s="29" t="s">
        <v>39</v>
      </c>
      <c r="O74" s="29" t="s">
        <v>26</v>
      </c>
      <c r="P74" s="28">
        <v>0.17</v>
      </c>
      <c r="R74" s="12">
        <v>12</v>
      </c>
      <c r="S74" s="22"/>
      <c r="T74" s="22"/>
      <c r="U74" s="22"/>
      <c r="V74" s="22"/>
      <c r="W74" s="22"/>
      <c r="Y74" s="21"/>
      <c r="Z74" s="21"/>
      <c r="AA74" s="21"/>
      <c r="AB74" s="13"/>
      <c r="AC74" s="2"/>
      <c r="AD74" s="13"/>
      <c r="AE74" s="2"/>
      <c r="AF74" s="9"/>
    </row>
    <row r="75" spans="1:32" x14ac:dyDescent="0.2">
      <c r="A75" s="17">
        <f t="shared" si="15"/>
        <v>74</v>
      </c>
      <c r="B75" s="5" t="s">
        <v>44</v>
      </c>
      <c r="C75" s="40" t="s">
        <v>82</v>
      </c>
      <c r="D75" s="29" t="s">
        <v>104</v>
      </c>
      <c r="E75" s="12">
        <v>2360042845</v>
      </c>
      <c r="F75" s="33"/>
      <c r="H75" s="24">
        <v>122</v>
      </c>
      <c r="I75" s="26">
        <f t="shared" si="16"/>
        <v>122</v>
      </c>
      <c r="J75" s="9"/>
      <c r="K75" s="29" t="s">
        <v>25</v>
      </c>
      <c r="L75" s="9"/>
      <c r="N75" s="29" t="s">
        <v>50</v>
      </c>
      <c r="O75" s="29" t="s">
        <v>26</v>
      </c>
      <c r="P75" s="28">
        <v>0.24</v>
      </c>
      <c r="R75" s="12">
        <v>12</v>
      </c>
      <c r="S75" s="22"/>
      <c r="T75" s="22"/>
      <c r="U75" s="22"/>
      <c r="V75" s="22"/>
      <c r="W75" s="22"/>
      <c r="Y75" s="21"/>
      <c r="Z75" s="21"/>
      <c r="AA75" s="21"/>
      <c r="AB75" s="13"/>
      <c r="AC75" s="2"/>
      <c r="AD75" s="13"/>
      <c r="AE75" s="2"/>
      <c r="AF75" s="9"/>
    </row>
    <row r="76" spans="1:32" x14ac:dyDescent="0.2">
      <c r="A76" s="17">
        <f t="shared" si="15"/>
        <v>75</v>
      </c>
      <c r="B76" s="5" t="s">
        <v>18</v>
      </c>
      <c r="C76" s="40" t="s">
        <v>82</v>
      </c>
      <c r="D76" s="29" t="s">
        <v>58</v>
      </c>
      <c r="E76" s="12">
        <v>5000021806</v>
      </c>
      <c r="F76" s="33"/>
      <c r="H76" s="24">
        <v>664</v>
      </c>
      <c r="I76" s="26">
        <f t="shared" si="16"/>
        <v>664</v>
      </c>
      <c r="J76" s="9"/>
      <c r="K76" s="29" t="s">
        <v>25</v>
      </c>
      <c r="L76" s="9"/>
      <c r="N76" s="29" t="s">
        <v>39</v>
      </c>
      <c r="O76" s="29" t="s">
        <v>26</v>
      </c>
      <c r="P76" s="28">
        <v>0.16</v>
      </c>
      <c r="R76" s="12">
        <v>12</v>
      </c>
      <c r="S76" s="22"/>
      <c r="T76" s="22"/>
      <c r="U76" s="22"/>
      <c r="V76" s="22"/>
      <c r="W76" s="22"/>
      <c r="Y76" s="21"/>
      <c r="Z76" s="21"/>
      <c r="AA76" s="21"/>
      <c r="AB76" s="13"/>
      <c r="AC76" s="2"/>
      <c r="AD76" s="13"/>
      <c r="AE76" s="2"/>
      <c r="AF76" s="9"/>
    </row>
    <row r="77" spans="1:32" x14ac:dyDescent="0.2">
      <c r="A77" s="17">
        <f t="shared" si="15"/>
        <v>76</v>
      </c>
      <c r="B77" s="5" t="s">
        <v>18</v>
      </c>
      <c r="C77" s="40" t="s">
        <v>82</v>
      </c>
      <c r="D77" s="29" t="s">
        <v>105</v>
      </c>
      <c r="E77" s="12">
        <v>5000021807</v>
      </c>
      <c r="F77" s="33"/>
      <c r="G77">
        <f>0.2*5</f>
        <v>1</v>
      </c>
      <c r="H77" s="24">
        <v>127</v>
      </c>
      <c r="I77" s="26">
        <f t="shared" si="16"/>
        <v>127</v>
      </c>
      <c r="J77" s="9"/>
      <c r="K77" s="29" t="s">
        <v>25</v>
      </c>
      <c r="L77" s="9">
        <f t="shared" ref="L77:L82" si="17">I77/G77</f>
        <v>127</v>
      </c>
      <c r="M77" s="30">
        <f t="shared" ref="M77:M82" si="18">H77/G77</f>
        <v>127</v>
      </c>
      <c r="N77" s="29" t="s">
        <v>39</v>
      </c>
      <c r="O77" s="29" t="s">
        <v>26</v>
      </c>
      <c r="P77" s="28">
        <v>0.42</v>
      </c>
      <c r="R77" s="12">
        <v>11</v>
      </c>
      <c r="S77" s="22"/>
      <c r="T77" s="22"/>
      <c r="U77" s="22"/>
      <c r="V77" s="22"/>
      <c r="W77" s="22"/>
      <c r="Y77" s="21"/>
      <c r="Z77" s="21"/>
      <c r="AA77" s="21"/>
      <c r="AB77" s="13"/>
      <c r="AC77" s="2"/>
      <c r="AD77" s="13"/>
      <c r="AE77" s="2"/>
      <c r="AF77" s="9"/>
    </row>
    <row r="78" spans="1:32" x14ac:dyDescent="0.2">
      <c r="A78" s="17">
        <f t="shared" si="15"/>
        <v>77</v>
      </c>
      <c r="B78" s="5" t="s">
        <v>18</v>
      </c>
      <c r="C78" s="40" t="s">
        <v>82</v>
      </c>
      <c r="D78" s="29" t="s">
        <v>106</v>
      </c>
      <c r="E78" s="12">
        <v>5000021781</v>
      </c>
      <c r="F78" s="33"/>
      <c r="G78">
        <f>0.325*4</f>
        <v>1.3</v>
      </c>
      <c r="H78" s="24">
        <v>126</v>
      </c>
      <c r="I78" s="26">
        <f t="shared" si="16"/>
        <v>126</v>
      </c>
      <c r="J78" s="9"/>
      <c r="K78" s="29" t="s">
        <v>25</v>
      </c>
      <c r="L78" s="9">
        <f t="shared" si="17"/>
        <v>96.92307692307692</v>
      </c>
      <c r="M78" s="30">
        <f t="shared" si="18"/>
        <v>96.92307692307692</v>
      </c>
      <c r="N78" s="29" t="s">
        <v>39</v>
      </c>
      <c r="O78" s="29" t="s">
        <v>26</v>
      </c>
      <c r="P78" s="28">
        <v>0.38</v>
      </c>
      <c r="R78" s="12">
        <v>11</v>
      </c>
      <c r="S78" s="22"/>
      <c r="T78" s="22"/>
      <c r="U78" s="22"/>
      <c r="V78" s="22"/>
      <c r="W78" s="22"/>
      <c r="Y78" s="21"/>
      <c r="Z78" s="21"/>
      <c r="AA78" s="21"/>
      <c r="AB78" s="13"/>
      <c r="AC78" s="2"/>
      <c r="AD78" s="13"/>
      <c r="AE78" s="2"/>
      <c r="AF78" s="9"/>
    </row>
    <row r="79" spans="1:32" x14ac:dyDescent="0.2">
      <c r="A79" s="17">
        <f t="shared" si="15"/>
        <v>78</v>
      </c>
      <c r="B79" s="5" t="s">
        <v>18</v>
      </c>
      <c r="C79" s="40" t="s">
        <v>82</v>
      </c>
      <c r="D79" s="29" t="s">
        <v>59</v>
      </c>
      <c r="E79" s="12">
        <v>5000021780</v>
      </c>
      <c r="F79" s="33"/>
      <c r="G79">
        <v>0.45500000000000002</v>
      </c>
      <c r="H79" s="24">
        <v>37.950000000000003</v>
      </c>
      <c r="I79" s="26">
        <f t="shared" si="16"/>
        <v>37.950000000000003</v>
      </c>
      <c r="J79" s="9"/>
      <c r="K79" s="29" t="s">
        <v>25</v>
      </c>
      <c r="L79" s="9">
        <f t="shared" si="17"/>
        <v>83.406593406593416</v>
      </c>
      <c r="M79" s="30">
        <f t="shared" si="18"/>
        <v>83.406593406593416</v>
      </c>
      <c r="N79" s="29" t="s">
        <v>39</v>
      </c>
      <c r="O79" s="29" t="s">
        <v>26</v>
      </c>
      <c r="P79" s="28">
        <v>0.32</v>
      </c>
      <c r="R79" s="12">
        <v>12</v>
      </c>
      <c r="S79" s="22"/>
      <c r="T79" s="22"/>
      <c r="U79" s="22"/>
      <c r="V79" s="22"/>
      <c r="W79" s="22"/>
      <c r="Y79" s="21"/>
      <c r="Z79" s="21"/>
      <c r="AA79" s="21"/>
      <c r="AB79" s="13"/>
      <c r="AC79" s="2"/>
      <c r="AD79" s="13"/>
      <c r="AE79" s="2"/>
      <c r="AF79" s="9"/>
    </row>
    <row r="80" spans="1:32" x14ac:dyDescent="0.2">
      <c r="A80" s="17">
        <f t="shared" si="15"/>
        <v>79</v>
      </c>
      <c r="B80" s="5" t="s">
        <v>98</v>
      </c>
      <c r="C80" s="40" t="s">
        <v>82</v>
      </c>
      <c r="D80" s="29" t="s">
        <v>97</v>
      </c>
      <c r="E80" s="12">
        <v>2360042982</v>
      </c>
      <c r="F80" s="33"/>
      <c r="G80">
        <f>0.386*4</f>
        <v>1.544</v>
      </c>
      <c r="H80" s="24">
        <v>148.4</v>
      </c>
      <c r="I80" s="26">
        <f t="shared" si="16"/>
        <v>148.4</v>
      </c>
      <c r="J80" s="9"/>
      <c r="K80" s="29" t="s">
        <v>25</v>
      </c>
      <c r="L80" s="9">
        <f t="shared" si="17"/>
        <v>96.113989637305707</v>
      </c>
      <c r="M80" s="30">
        <f t="shared" si="18"/>
        <v>96.113989637305707</v>
      </c>
      <c r="N80" s="29" t="s">
        <v>43</v>
      </c>
      <c r="O80" s="29" t="s">
        <v>43</v>
      </c>
      <c r="P80" s="28">
        <v>0.36</v>
      </c>
      <c r="R80" s="12">
        <v>11</v>
      </c>
      <c r="S80" s="22"/>
      <c r="T80" s="22"/>
      <c r="U80" s="22"/>
      <c r="V80" s="22"/>
      <c r="W80" s="22"/>
      <c r="Y80" s="21"/>
      <c r="Z80" s="21"/>
      <c r="AA80" s="21"/>
      <c r="AB80" s="13"/>
      <c r="AC80" s="2"/>
      <c r="AD80" s="13"/>
      <c r="AE80" s="2"/>
      <c r="AF80" s="9"/>
    </row>
    <row r="81" spans="1:32" x14ac:dyDescent="0.2">
      <c r="A81" s="17">
        <f t="shared" si="15"/>
        <v>80</v>
      </c>
      <c r="B81" s="5" t="s">
        <v>44</v>
      </c>
      <c r="C81" s="40" t="s">
        <v>82</v>
      </c>
      <c r="D81" s="29" t="s">
        <v>107</v>
      </c>
      <c r="E81" s="12">
        <v>2360043065</v>
      </c>
      <c r="F81" s="33"/>
      <c r="G81">
        <f>0.2*24</f>
        <v>4.8000000000000007</v>
      </c>
      <c r="H81" s="24">
        <v>324.67</v>
      </c>
      <c r="I81" s="26">
        <f t="shared" si="16"/>
        <v>324.67</v>
      </c>
      <c r="J81" s="9"/>
      <c r="K81" s="29" t="s">
        <v>25</v>
      </c>
      <c r="L81" s="9">
        <f t="shared" si="17"/>
        <v>67.63958333333332</v>
      </c>
      <c r="M81" s="48">
        <f t="shared" si="18"/>
        <v>67.63958333333332</v>
      </c>
      <c r="N81" s="29" t="s">
        <v>45</v>
      </c>
      <c r="O81" s="29" t="s">
        <v>43</v>
      </c>
      <c r="P81" s="28">
        <v>0.15</v>
      </c>
      <c r="R81" s="12">
        <v>11</v>
      </c>
      <c r="S81" s="22"/>
      <c r="T81" s="22"/>
      <c r="U81" s="22"/>
      <c r="V81" s="22"/>
      <c r="W81" s="22"/>
      <c r="Y81" s="21"/>
      <c r="Z81" s="21"/>
      <c r="AA81" s="21"/>
      <c r="AB81" s="13"/>
      <c r="AC81" s="2"/>
      <c r="AD81" s="13"/>
      <c r="AE81" s="2"/>
      <c r="AF81" s="9"/>
    </row>
    <row r="82" spans="1:32" x14ac:dyDescent="0.2">
      <c r="A82" s="17">
        <f t="shared" si="15"/>
        <v>81</v>
      </c>
      <c r="B82" s="5" t="s">
        <v>41</v>
      </c>
      <c r="C82" s="40" t="s">
        <v>82</v>
      </c>
      <c r="D82" s="29" t="s">
        <v>108</v>
      </c>
      <c r="E82" s="12">
        <v>4200696976</v>
      </c>
      <c r="F82" s="33">
        <v>33</v>
      </c>
      <c r="G82">
        <v>30.38</v>
      </c>
      <c r="H82" s="24">
        <v>5678</v>
      </c>
      <c r="I82" s="26">
        <v>2037</v>
      </c>
      <c r="J82" s="9">
        <f>H82-I82</f>
        <v>3641</v>
      </c>
      <c r="K82" s="29" t="s">
        <v>49</v>
      </c>
      <c r="L82" s="9">
        <f t="shared" si="17"/>
        <v>67.05069124423963</v>
      </c>
      <c r="M82" s="48">
        <f t="shared" si="18"/>
        <v>186.89927583936802</v>
      </c>
      <c r="N82" s="29" t="s">
        <v>50</v>
      </c>
      <c r="O82" s="29" t="s">
        <v>26</v>
      </c>
      <c r="P82" s="28">
        <v>0.14369999999999999</v>
      </c>
      <c r="R82" s="12">
        <v>6</v>
      </c>
      <c r="S82" s="22"/>
      <c r="T82" s="22"/>
      <c r="U82" s="22"/>
      <c r="V82" s="22"/>
      <c r="W82" s="22"/>
      <c r="Y82" s="21"/>
      <c r="Z82" s="21"/>
      <c r="AA82" s="21"/>
      <c r="AB82" s="13"/>
      <c r="AC82" s="2"/>
      <c r="AD82" s="13"/>
      <c r="AE82" s="2"/>
      <c r="AF82" s="9"/>
    </row>
    <row r="83" spans="1:32" x14ac:dyDescent="0.2">
      <c r="A83" s="17">
        <f t="shared" si="15"/>
        <v>82</v>
      </c>
      <c r="B83" s="39" t="s">
        <v>18</v>
      </c>
      <c r="C83" s="40" t="s">
        <v>93</v>
      </c>
      <c r="D83" s="29" t="s">
        <v>59</v>
      </c>
      <c r="E83" s="12">
        <v>5000021869</v>
      </c>
      <c r="F83" s="33"/>
      <c r="G83">
        <v>0.21299999999999999</v>
      </c>
      <c r="H83" s="24">
        <v>27</v>
      </c>
      <c r="I83" s="26">
        <f>H83</f>
        <v>27</v>
      </c>
      <c r="J83" s="9"/>
      <c r="K83" s="29" t="s">
        <v>25</v>
      </c>
      <c r="L83" s="9">
        <f>I83/G83</f>
        <v>126.7605633802817</v>
      </c>
      <c r="M83" s="48">
        <f>H83/G83</f>
        <v>126.7605633802817</v>
      </c>
      <c r="N83" s="29" t="s">
        <v>39</v>
      </c>
      <c r="O83" s="29" t="s">
        <v>26</v>
      </c>
      <c r="P83" s="28">
        <v>0.34</v>
      </c>
      <c r="R83" s="12">
        <v>12</v>
      </c>
      <c r="S83" s="22"/>
      <c r="T83" s="22"/>
      <c r="U83" s="22"/>
      <c r="V83" s="22"/>
      <c r="W83" s="22"/>
      <c r="Y83" s="21"/>
      <c r="Z83" s="21"/>
      <c r="AA83" s="21"/>
      <c r="AB83" s="13"/>
      <c r="AC83" s="2"/>
      <c r="AD83" s="13"/>
      <c r="AE83" s="2"/>
      <c r="AF83" s="9"/>
    </row>
    <row r="84" spans="1:32" x14ac:dyDescent="0.2">
      <c r="A84" s="17">
        <f t="shared" si="15"/>
        <v>83</v>
      </c>
      <c r="B84" s="39" t="s">
        <v>18</v>
      </c>
      <c r="C84" s="40" t="s">
        <v>93</v>
      </c>
      <c r="D84" s="29" t="s">
        <v>109</v>
      </c>
      <c r="E84" s="12">
        <v>5000021963</v>
      </c>
      <c r="F84" s="33"/>
      <c r="G84">
        <f>0.15*2*6</f>
        <v>1.7999999999999998</v>
      </c>
      <c r="H84" s="24">
        <v>207</v>
      </c>
      <c r="I84" s="26">
        <f>H84</f>
        <v>207</v>
      </c>
      <c r="J84" s="9"/>
      <c r="K84" s="29" t="s">
        <v>25</v>
      </c>
      <c r="L84" s="9">
        <f>I84/G84</f>
        <v>115.00000000000001</v>
      </c>
      <c r="M84" s="48">
        <f>H84/G84</f>
        <v>115.00000000000001</v>
      </c>
      <c r="N84" s="29" t="s">
        <v>39</v>
      </c>
      <c r="O84" s="29" t="s">
        <v>26</v>
      </c>
      <c r="P84" s="28">
        <v>0.3</v>
      </c>
      <c r="R84" s="12">
        <v>12</v>
      </c>
      <c r="S84" s="22"/>
      <c r="T84" s="22"/>
      <c r="U84" s="22"/>
      <c r="V84" s="22"/>
      <c r="W84" s="22"/>
      <c r="Y84" s="21"/>
      <c r="Z84" s="21"/>
      <c r="AA84" s="21"/>
      <c r="AB84" s="13"/>
      <c r="AC84" s="2"/>
      <c r="AD84" s="13"/>
      <c r="AE84" s="2"/>
      <c r="AF84" s="9"/>
    </row>
    <row r="85" spans="1:32" x14ac:dyDescent="0.2">
      <c r="A85" s="17">
        <f t="shared" si="15"/>
        <v>84</v>
      </c>
      <c r="B85" s="39" t="s">
        <v>18</v>
      </c>
      <c r="C85" s="40" t="s">
        <v>93</v>
      </c>
      <c r="D85" s="29" t="s">
        <v>58</v>
      </c>
      <c r="E85" s="12">
        <v>5000021982</v>
      </c>
      <c r="F85" s="33"/>
      <c r="H85" s="24">
        <v>41</v>
      </c>
      <c r="I85" s="26">
        <f>H85</f>
        <v>41</v>
      </c>
      <c r="J85" s="9"/>
      <c r="K85" s="29" t="s">
        <v>25</v>
      </c>
      <c r="L85" s="9"/>
      <c r="N85" s="29" t="s">
        <v>39</v>
      </c>
      <c r="O85" s="29" t="s">
        <v>26</v>
      </c>
      <c r="P85" s="28">
        <v>0.22</v>
      </c>
      <c r="R85" s="12">
        <v>12</v>
      </c>
      <c r="S85" s="22"/>
      <c r="T85" s="22"/>
      <c r="U85" s="22"/>
      <c r="V85" s="22"/>
      <c r="W85" s="22"/>
      <c r="Y85" s="21"/>
      <c r="Z85" s="21"/>
      <c r="AA85" s="21"/>
      <c r="AB85" s="13"/>
      <c r="AC85" s="2"/>
      <c r="AD85" s="13"/>
      <c r="AE85" s="2"/>
      <c r="AF85" s="9"/>
    </row>
    <row r="86" spans="1:32" x14ac:dyDescent="0.2">
      <c r="A86" s="17">
        <f t="shared" si="15"/>
        <v>85</v>
      </c>
      <c r="B86" s="5" t="s">
        <v>56</v>
      </c>
      <c r="C86" s="40" t="s">
        <v>93</v>
      </c>
      <c r="D86" s="29" t="s">
        <v>112</v>
      </c>
      <c r="E86" s="29">
        <v>4200697262</v>
      </c>
      <c r="F86" s="11">
        <v>11</v>
      </c>
      <c r="G86">
        <f>2.9*4</f>
        <v>11.6</v>
      </c>
      <c r="H86" s="24">
        <v>1327</v>
      </c>
      <c r="I86" s="26">
        <v>600</v>
      </c>
      <c r="J86" s="26">
        <f>H86-I86</f>
        <v>727</v>
      </c>
      <c r="K86" s="29" t="s">
        <v>25</v>
      </c>
      <c r="L86" s="9">
        <f t="shared" ref="L86:L91" si="19">I86/G86</f>
        <v>51.724137931034484</v>
      </c>
      <c r="M86" s="48">
        <f>H86/G86</f>
        <v>114.39655172413794</v>
      </c>
      <c r="N86" s="29" t="s">
        <v>45</v>
      </c>
      <c r="O86" s="29" t="s">
        <v>43</v>
      </c>
      <c r="P86" s="28">
        <v>0.14349999999999999</v>
      </c>
      <c r="R86" s="12">
        <v>1</v>
      </c>
      <c r="S86" s="22"/>
      <c r="T86" s="22"/>
      <c r="U86" s="22"/>
      <c r="V86" s="22"/>
      <c r="W86" s="22"/>
      <c r="Y86" s="21"/>
      <c r="Z86" s="21"/>
      <c r="AA86" s="21"/>
      <c r="AB86" s="13"/>
      <c r="AC86" s="2"/>
      <c r="AD86" s="13"/>
      <c r="AE86" s="2"/>
      <c r="AF86" s="9"/>
    </row>
    <row r="87" spans="1:32" x14ac:dyDescent="0.2">
      <c r="A87" s="17">
        <f t="shared" si="15"/>
        <v>86</v>
      </c>
      <c r="B87" s="5" t="s">
        <v>44</v>
      </c>
      <c r="C87" s="40" t="s">
        <v>93</v>
      </c>
      <c r="D87" s="29" t="s">
        <v>113</v>
      </c>
      <c r="E87" s="29">
        <v>4200708548</v>
      </c>
      <c r="F87" s="11">
        <v>11</v>
      </c>
      <c r="G87">
        <f>2.9*5</f>
        <v>14.5</v>
      </c>
      <c r="H87" s="24">
        <v>1825</v>
      </c>
      <c r="I87" s="26">
        <v>992</v>
      </c>
      <c r="J87" s="26">
        <f>H87-I87</f>
        <v>833</v>
      </c>
      <c r="K87" s="29" t="s">
        <v>25</v>
      </c>
      <c r="L87" s="9">
        <f t="shared" si="19"/>
        <v>68.41379310344827</v>
      </c>
      <c r="M87" s="30">
        <f>H87/G87</f>
        <v>125.86206896551724</v>
      </c>
      <c r="N87" s="29" t="s">
        <v>45</v>
      </c>
      <c r="O87" s="29" t="s">
        <v>43</v>
      </c>
      <c r="P87" s="49">
        <v>0.16</v>
      </c>
      <c r="R87" s="12">
        <v>1</v>
      </c>
      <c r="S87" s="22"/>
      <c r="T87" s="22"/>
      <c r="U87" s="22"/>
      <c r="V87" s="22"/>
      <c r="W87" s="22"/>
      <c r="Y87" s="21"/>
      <c r="Z87" s="21"/>
      <c r="AA87" s="21"/>
      <c r="AB87" s="13"/>
      <c r="AC87" s="2"/>
      <c r="AD87" s="13"/>
      <c r="AE87" s="2"/>
      <c r="AF87" s="9"/>
    </row>
    <row r="88" spans="1:32" x14ac:dyDescent="0.2">
      <c r="A88" s="17">
        <f t="shared" si="15"/>
        <v>87</v>
      </c>
      <c r="B88" s="5" t="s">
        <v>46</v>
      </c>
      <c r="C88" s="40" t="s">
        <v>93</v>
      </c>
      <c r="D88" s="29" t="s">
        <v>114</v>
      </c>
      <c r="E88" s="12">
        <v>4200710391</v>
      </c>
      <c r="F88" s="11">
        <v>66</v>
      </c>
      <c r="G88">
        <f>364*39*50/1000</f>
        <v>709.8</v>
      </c>
      <c r="H88" s="24">
        <v>52767</v>
      </c>
      <c r="I88" s="26">
        <f t="shared" ref="I88:I98" si="20">H88</f>
        <v>52767</v>
      </c>
      <c r="J88" s="26"/>
      <c r="K88" s="29" t="s">
        <v>49</v>
      </c>
      <c r="L88" s="27">
        <f t="shared" si="19"/>
        <v>74.340659340659343</v>
      </c>
      <c r="M88" s="30">
        <f>H88/G88</f>
        <v>74.340659340659343</v>
      </c>
      <c r="N88" s="29" t="s">
        <v>43</v>
      </c>
      <c r="O88" s="29" t="s">
        <v>43</v>
      </c>
      <c r="P88" s="49">
        <v>4.2299999999999997E-2</v>
      </c>
      <c r="R88" s="12">
        <v>1</v>
      </c>
      <c r="S88" s="22"/>
      <c r="T88" s="22"/>
      <c r="U88" s="22"/>
      <c r="V88" s="22"/>
      <c r="W88" s="22"/>
      <c r="Y88" s="21"/>
      <c r="Z88" s="21"/>
      <c r="AA88" s="21"/>
      <c r="AB88" s="13"/>
      <c r="AC88" s="2"/>
      <c r="AD88" s="13"/>
      <c r="AE88" s="2"/>
      <c r="AF88" s="9"/>
    </row>
    <row r="89" spans="1:32" x14ac:dyDescent="0.2">
      <c r="A89" s="17">
        <f t="shared" si="15"/>
        <v>88</v>
      </c>
      <c r="B89" s="5" t="s">
        <v>46</v>
      </c>
      <c r="C89" s="40" t="s">
        <v>93</v>
      </c>
      <c r="D89" s="29" t="s">
        <v>115</v>
      </c>
      <c r="E89" s="12">
        <v>2360043630</v>
      </c>
      <c r="G89">
        <f>(100*23+150*18)/1000</f>
        <v>5</v>
      </c>
      <c r="H89" s="24">
        <v>508</v>
      </c>
      <c r="I89" s="26">
        <f t="shared" si="20"/>
        <v>508</v>
      </c>
      <c r="J89" s="26"/>
      <c r="K89" s="29" t="s">
        <v>25</v>
      </c>
      <c r="L89" s="27">
        <f t="shared" si="19"/>
        <v>101.6</v>
      </c>
      <c r="M89" s="30"/>
      <c r="N89" s="29" t="s">
        <v>50</v>
      </c>
      <c r="O89" s="29" t="s">
        <v>26</v>
      </c>
      <c r="P89" s="49">
        <v>0.14349999999999999</v>
      </c>
      <c r="R89" s="12">
        <v>11</v>
      </c>
      <c r="S89" s="22"/>
      <c r="T89" s="22"/>
      <c r="U89" s="22"/>
      <c r="V89" s="22"/>
      <c r="W89" s="22"/>
      <c r="Y89" s="21"/>
      <c r="Z89" s="21"/>
      <c r="AA89" s="21"/>
      <c r="AB89" s="13"/>
      <c r="AC89" s="2"/>
      <c r="AD89" s="13"/>
      <c r="AE89" s="2"/>
      <c r="AF89" s="9"/>
    </row>
    <row r="90" spans="1:32" x14ac:dyDescent="0.2">
      <c r="A90" s="17">
        <f t="shared" si="15"/>
        <v>89</v>
      </c>
      <c r="B90" s="5" t="s">
        <v>44</v>
      </c>
      <c r="C90" s="40" t="s">
        <v>93</v>
      </c>
      <c r="D90" s="29" t="s">
        <v>116</v>
      </c>
      <c r="E90" s="12">
        <v>2360043557</v>
      </c>
      <c r="G90">
        <f>428*1/1000</f>
        <v>0.42799999999999999</v>
      </c>
      <c r="H90" s="24">
        <v>69</v>
      </c>
      <c r="I90" s="26">
        <f t="shared" si="20"/>
        <v>69</v>
      </c>
      <c r="J90" s="26"/>
      <c r="K90" s="29" t="s">
        <v>25</v>
      </c>
      <c r="L90" s="27">
        <f t="shared" si="19"/>
        <v>161.21495327102804</v>
      </c>
      <c r="M90" s="30"/>
      <c r="N90" s="29" t="s">
        <v>26</v>
      </c>
      <c r="O90" s="29" t="s">
        <v>26</v>
      </c>
      <c r="P90" s="49">
        <v>0.43</v>
      </c>
      <c r="R90" s="12">
        <v>11</v>
      </c>
      <c r="S90" s="22"/>
      <c r="T90" s="22"/>
      <c r="U90" s="22"/>
      <c r="V90" s="22"/>
      <c r="W90" s="22"/>
      <c r="Y90" s="21"/>
      <c r="Z90" s="21"/>
      <c r="AA90" s="21"/>
      <c r="AB90" s="13"/>
      <c r="AC90" s="2"/>
      <c r="AD90" s="13"/>
      <c r="AE90" s="2"/>
      <c r="AF90" s="9"/>
    </row>
    <row r="91" spans="1:32" x14ac:dyDescent="0.2">
      <c r="A91" s="17">
        <f t="shared" si="15"/>
        <v>90</v>
      </c>
      <c r="B91" s="5" t="s">
        <v>18</v>
      </c>
      <c r="C91" s="40" t="s">
        <v>93</v>
      </c>
      <c r="D91" s="29" t="s">
        <v>118</v>
      </c>
      <c r="E91" s="12">
        <v>5000022313</v>
      </c>
      <c r="G91">
        <f>75*8/1000</f>
        <v>0.6</v>
      </c>
      <c r="H91" s="24">
        <v>189</v>
      </c>
      <c r="I91" s="26">
        <f t="shared" si="20"/>
        <v>189</v>
      </c>
      <c r="J91" s="26"/>
      <c r="K91" s="29" t="s">
        <v>25</v>
      </c>
      <c r="L91" s="27">
        <f t="shared" si="19"/>
        <v>315</v>
      </c>
      <c r="M91" s="30"/>
      <c r="N91" s="29" t="s">
        <v>39</v>
      </c>
      <c r="O91" s="29" t="s">
        <v>26</v>
      </c>
      <c r="P91" s="49">
        <v>0.28999999999999998</v>
      </c>
      <c r="R91" s="12">
        <v>11</v>
      </c>
      <c r="S91" s="22"/>
      <c r="T91" s="22"/>
      <c r="U91" s="22"/>
      <c r="V91" s="22"/>
      <c r="W91" s="22"/>
      <c r="Y91" s="21"/>
      <c r="Z91" s="21"/>
      <c r="AA91" s="21"/>
      <c r="AB91" s="13"/>
      <c r="AC91" s="2"/>
      <c r="AD91" s="13"/>
      <c r="AE91" s="2"/>
      <c r="AF91" s="9"/>
    </row>
    <row r="92" spans="1:32" x14ac:dyDescent="0.2">
      <c r="A92" s="17">
        <f t="shared" si="15"/>
        <v>91</v>
      </c>
      <c r="B92" s="5" t="s">
        <v>98</v>
      </c>
      <c r="C92" s="40" t="s">
        <v>93</v>
      </c>
      <c r="D92" s="29" t="s">
        <v>117</v>
      </c>
      <c r="E92" s="12">
        <v>2360043692</v>
      </c>
      <c r="H92" s="24">
        <v>55.148000000000003</v>
      </c>
      <c r="I92" s="26">
        <f t="shared" si="20"/>
        <v>55.148000000000003</v>
      </c>
      <c r="J92" s="26"/>
      <c r="K92" s="29" t="s">
        <v>25</v>
      </c>
      <c r="L92" s="27"/>
      <c r="M92" s="30"/>
      <c r="N92" s="29" t="s">
        <v>26</v>
      </c>
      <c r="O92" s="29" t="s">
        <v>26</v>
      </c>
      <c r="P92" s="56">
        <v>0.45</v>
      </c>
      <c r="R92" s="12">
        <v>12</v>
      </c>
      <c r="S92" s="22"/>
      <c r="T92" s="22"/>
      <c r="U92" s="22"/>
      <c r="V92" s="22"/>
      <c r="W92" s="22"/>
      <c r="Y92" s="21"/>
      <c r="Z92" s="21"/>
      <c r="AA92" s="21"/>
      <c r="AB92" s="13"/>
      <c r="AC92" s="2"/>
      <c r="AD92" s="13"/>
      <c r="AE92" s="2"/>
      <c r="AF92" s="9"/>
    </row>
    <row r="93" spans="1:32" x14ac:dyDescent="0.2">
      <c r="A93" s="17">
        <f t="shared" si="15"/>
        <v>92</v>
      </c>
      <c r="B93" s="5" t="s">
        <v>44</v>
      </c>
      <c r="C93" s="40" t="s">
        <v>93</v>
      </c>
      <c r="D93" s="29" t="s">
        <v>107</v>
      </c>
      <c r="E93" s="12">
        <v>2360043685</v>
      </c>
      <c r="G93">
        <f>400*9/1000</f>
        <v>3.6</v>
      </c>
      <c r="H93" s="24">
        <v>306</v>
      </c>
      <c r="I93" s="26">
        <f t="shared" si="20"/>
        <v>306</v>
      </c>
      <c r="J93" s="26"/>
      <c r="K93" s="29" t="s">
        <v>25</v>
      </c>
      <c r="L93" s="27">
        <f>I93/G93</f>
        <v>85</v>
      </c>
      <c r="M93" s="30"/>
      <c r="N93" s="29" t="s">
        <v>45</v>
      </c>
      <c r="O93" s="29" t="s">
        <v>43</v>
      </c>
      <c r="P93" s="49">
        <v>0.33</v>
      </c>
      <c r="R93" s="12">
        <v>11</v>
      </c>
      <c r="S93" s="22"/>
      <c r="T93" s="22"/>
      <c r="U93" s="22"/>
      <c r="V93" s="22"/>
      <c r="W93" s="22"/>
      <c r="Y93" s="21"/>
      <c r="Z93" s="21"/>
      <c r="AA93" s="21"/>
      <c r="AB93" s="13"/>
      <c r="AC93" s="2"/>
      <c r="AD93" s="13"/>
      <c r="AE93" s="2"/>
      <c r="AF93" s="9"/>
    </row>
    <row r="94" spans="1:32" x14ac:dyDescent="0.2">
      <c r="A94" s="17">
        <f t="shared" si="15"/>
        <v>93</v>
      </c>
      <c r="B94" s="39" t="s">
        <v>46</v>
      </c>
      <c r="C94" s="40" t="s">
        <v>93</v>
      </c>
      <c r="D94" s="29" t="s">
        <v>119</v>
      </c>
      <c r="E94" s="12">
        <v>4200708375</v>
      </c>
      <c r="H94" s="24">
        <v>625</v>
      </c>
      <c r="I94" s="26"/>
      <c r="J94" s="26"/>
      <c r="K94" s="29" t="s">
        <v>47</v>
      </c>
      <c r="L94" s="27"/>
      <c r="M94" s="30"/>
      <c r="N94" s="29" t="s">
        <v>45</v>
      </c>
      <c r="O94" s="29" t="s">
        <v>43</v>
      </c>
      <c r="P94" s="49">
        <v>0.5</v>
      </c>
      <c r="R94" s="12">
        <v>15</v>
      </c>
      <c r="S94" s="22"/>
      <c r="T94" s="22"/>
      <c r="U94" s="22"/>
      <c r="V94" s="22"/>
      <c r="W94" s="22"/>
      <c r="Y94" s="21"/>
      <c r="Z94" s="21"/>
      <c r="AA94" s="21"/>
      <c r="AB94" s="13"/>
      <c r="AC94" s="2"/>
      <c r="AD94" s="13"/>
      <c r="AE94" s="2"/>
      <c r="AF94" s="9"/>
    </row>
    <row r="95" spans="1:32" x14ac:dyDescent="0.2">
      <c r="A95" s="17">
        <f t="shared" si="15"/>
        <v>94</v>
      </c>
      <c r="B95" s="39" t="s">
        <v>61</v>
      </c>
      <c r="C95" s="40" t="s">
        <v>93</v>
      </c>
      <c r="D95" s="29" t="s">
        <v>122</v>
      </c>
      <c r="E95" s="51">
        <v>4200480217</v>
      </c>
      <c r="H95" s="24">
        <v>630</v>
      </c>
      <c r="I95" s="26">
        <f t="shared" si="20"/>
        <v>630</v>
      </c>
      <c r="J95" s="26"/>
      <c r="K95" s="29" t="s">
        <v>87</v>
      </c>
      <c r="L95" s="27"/>
      <c r="M95" s="30"/>
      <c r="N95" s="29" t="s">
        <v>121</v>
      </c>
      <c r="O95" s="29" t="s">
        <v>43</v>
      </c>
      <c r="P95" s="49">
        <v>0.5</v>
      </c>
      <c r="R95" s="12">
        <v>15</v>
      </c>
      <c r="S95" s="22"/>
      <c r="T95" s="22"/>
      <c r="U95" s="22"/>
      <c r="V95" s="22"/>
      <c r="W95" s="22"/>
      <c r="Y95" s="21"/>
      <c r="Z95" s="21"/>
      <c r="AA95" s="21"/>
      <c r="AB95" s="13"/>
      <c r="AC95" s="2"/>
      <c r="AD95" s="13"/>
      <c r="AE95" s="2"/>
      <c r="AF95" s="9"/>
    </row>
    <row r="96" spans="1:32" x14ac:dyDescent="0.2">
      <c r="A96" s="17">
        <f t="shared" si="15"/>
        <v>95</v>
      </c>
      <c r="B96" s="39" t="s">
        <v>46</v>
      </c>
      <c r="C96" s="40" t="s">
        <v>93</v>
      </c>
      <c r="D96" s="29" t="s">
        <v>120</v>
      </c>
      <c r="E96" s="12">
        <v>4200707356</v>
      </c>
      <c r="H96" s="24">
        <v>385</v>
      </c>
      <c r="I96" s="26"/>
      <c r="J96" s="26"/>
      <c r="K96" s="29" t="s">
        <v>47</v>
      </c>
      <c r="L96" s="27"/>
      <c r="M96" s="30"/>
      <c r="N96" s="29" t="s">
        <v>50</v>
      </c>
      <c r="O96" s="29" t="s">
        <v>26</v>
      </c>
      <c r="P96" s="49">
        <v>0.5</v>
      </c>
      <c r="R96" s="12">
        <v>15</v>
      </c>
      <c r="S96" s="22"/>
      <c r="T96" s="22"/>
      <c r="U96" s="22"/>
      <c r="V96" s="22"/>
      <c r="W96" s="22"/>
      <c r="Y96" s="21"/>
      <c r="Z96" s="21"/>
      <c r="AA96" s="21"/>
      <c r="AB96" s="13"/>
      <c r="AC96" s="2"/>
      <c r="AD96" s="13"/>
      <c r="AE96" s="2"/>
      <c r="AF96" s="9"/>
    </row>
    <row r="97" spans="1:32" x14ac:dyDescent="0.2">
      <c r="A97" s="17">
        <f t="shared" si="15"/>
        <v>96</v>
      </c>
      <c r="B97" s="39" t="s">
        <v>44</v>
      </c>
      <c r="C97" s="40" t="s">
        <v>93</v>
      </c>
      <c r="D97" s="29" t="s">
        <v>68</v>
      </c>
      <c r="E97" s="29">
        <v>2360043559</v>
      </c>
      <c r="G97">
        <f>0.484</f>
        <v>0.48399999999999999</v>
      </c>
      <c r="H97" s="24">
        <v>45.98</v>
      </c>
      <c r="I97" s="26">
        <f t="shared" si="20"/>
        <v>45.98</v>
      </c>
      <c r="J97" s="26"/>
      <c r="K97" s="29" t="s">
        <v>25</v>
      </c>
      <c r="L97" s="27"/>
      <c r="M97" s="30"/>
      <c r="N97" s="29" t="s">
        <v>45</v>
      </c>
      <c r="O97" s="29" t="s">
        <v>43</v>
      </c>
      <c r="P97" s="49">
        <v>0.5</v>
      </c>
      <c r="R97" s="12">
        <v>11</v>
      </c>
      <c r="S97" s="22"/>
      <c r="T97" s="22"/>
      <c r="U97" s="22"/>
      <c r="V97" s="22"/>
      <c r="W97" s="22"/>
      <c r="Y97" s="21"/>
      <c r="Z97" s="21"/>
      <c r="AA97" s="21"/>
      <c r="AB97" s="13"/>
      <c r="AC97" s="2"/>
      <c r="AD97" s="13"/>
      <c r="AE97" s="2"/>
      <c r="AF97" s="9"/>
    </row>
    <row r="98" spans="1:32" x14ac:dyDescent="0.2">
      <c r="A98" s="17">
        <f t="shared" si="15"/>
        <v>97</v>
      </c>
      <c r="B98" s="39" t="s">
        <v>44</v>
      </c>
      <c r="C98" s="40" t="s">
        <v>93</v>
      </c>
      <c r="D98" s="29" t="s">
        <v>68</v>
      </c>
      <c r="E98" s="29">
        <v>2360043689</v>
      </c>
      <c r="G98">
        <v>0.24199999999999999</v>
      </c>
      <c r="H98" s="24">
        <v>49.6</v>
      </c>
      <c r="I98" s="26">
        <f t="shared" si="20"/>
        <v>49.6</v>
      </c>
      <c r="J98" s="26"/>
      <c r="K98" s="29" t="s">
        <v>25</v>
      </c>
      <c r="L98" s="27"/>
      <c r="M98" s="30"/>
      <c r="N98" s="29" t="s">
        <v>45</v>
      </c>
      <c r="O98" s="29" t="s">
        <v>43</v>
      </c>
      <c r="P98" s="49">
        <v>0.5</v>
      </c>
      <c r="R98" s="12">
        <v>11</v>
      </c>
      <c r="S98" s="22"/>
      <c r="T98" s="22"/>
      <c r="U98" s="22"/>
      <c r="V98" s="22"/>
      <c r="W98" s="22"/>
      <c r="Y98" s="21"/>
      <c r="Z98" s="21"/>
      <c r="AA98" s="21"/>
      <c r="AB98" s="13"/>
      <c r="AC98" s="2"/>
      <c r="AD98" s="13"/>
      <c r="AE98" s="2"/>
      <c r="AF98" s="9"/>
    </row>
    <row r="99" spans="1:32" x14ac:dyDescent="0.2">
      <c r="A99" s="17">
        <f t="shared" si="15"/>
        <v>98</v>
      </c>
      <c r="B99" s="39" t="s">
        <v>56</v>
      </c>
      <c r="C99" s="40" t="s">
        <v>93</v>
      </c>
      <c r="D99" s="29" t="s">
        <v>72</v>
      </c>
      <c r="E99" s="12">
        <v>2360042097</v>
      </c>
      <c r="H99" s="24">
        <v>760</v>
      </c>
      <c r="I99" s="26"/>
      <c r="J99" s="26"/>
      <c r="K99" s="29" t="s">
        <v>25</v>
      </c>
      <c r="L99" s="27"/>
      <c r="M99" s="30"/>
      <c r="N99" s="29" t="s">
        <v>50</v>
      </c>
      <c r="O99" s="29" t="s">
        <v>26</v>
      </c>
      <c r="P99" s="49">
        <v>0.6</v>
      </c>
      <c r="R99" s="12">
        <v>15</v>
      </c>
      <c r="S99" s="22"/>
      <c r="T99" s="22"/>
      <c r="U99" s="22"/>
      <c r="V99" s="22"/>
      <c r="W99" s="22"/>
      <c r="Y99" s="21"/>
      <c r="Z99" s="21"/>
      <c r="AA99" s="21"/>
      <c r="AB99" s="13"/>
      <c r="AC99" s="2"/>
      <c r="AD99" s="13"/>
      <c r="AE99" s="2"/>
      <c r="AF99" s="9"/>
    </row>
    <row r="100" spans="1:32" x14ac:dyDescent="0.2">
      <c r="A100" s="17">
        <f t="shared" si="15"/>
        <v>99</v>
      </c>
      <c r="B100" s="5" t="s">
        <v>18</v>
      </c>
      <c r="C100" s="40" t="s">
        <v>93</v>
      </c>
      <c r="D100" s="29" t="s">
        <v>58</v>
      </c>
      <c r="E100" s="29">
        <v>5000022273</v>
      </c>
      <c r="H100" s="24">
        <v>883</v>
      </c>
      <c r="I100" s="26">
        <f t="shared" ref="I100:I107" si="21">H100</f>
        <v>883</v>
      </c>
      <c r="J100" s="26"/>
      <c r="K100" s="29" t="s">
        <v>25</v>
      </c>
      <c r="L100" s="27"/>
      <c r="M100" s="30"/>
      <c r="N100" s="29" t="s">
        <v>39</v>
      </c>
      <c r="O100" s="29" t="s">
        <v>26</v>
      </c>
      <c r="P100" s="49">
        <v>0.18</v>
      </c>
      <c r="R100" s="12">
        <v>12</v>
      </c>
      <c r="S100" s="22"/>
      <c r="T100" s="22"/>
      <c r="U100" s="22"/>
      <c r="V100" s="22"/>
      <c r="W100" s="22"/>
      <c r="Y100" s="21"/>
      <c r="Z100" s="21"/>
      <c r="AA100" s="21"/>
      <c r="AB100" s="13"/>
      <c r="AC100" s="2"/>
      <c r="AD100" s="13"/>
      <c r="AE100" s="2"/>
      <c r="AF100" s="9"/>
    </row>
    <row r="101" spans="1:32" x14ac:dyDescent="0.2">
      <c r="A101" s="17">
        <f t="shared" si="15"/>
        <v>100</v>
      </c>
      <c r="B101" s="5" t="s">
        <v>18</v>
      </c>
      <c r="C101" s="40" t="s">
        <v>93</v>
      </c>
      <c r="D101" s="29" t="s">
        <v>59</v>
      </c>
      <c r="E101" s="29">
        <v>5000022276</v>
      </c>
      <c r="G101">
        <v>0.2</v>
      </c>
      <c r="H101" s="24">
        <v>36.86</v>
      </c>
      <c r="I101" s="26">
        <f t="shared" si="21"/>
        <v>36.86</v>
      </c>
      <c r="J101" s="26"/>
      <c r="K101" s="29" t="s">
        <v>25</v>
      </c>
      <c r="L101" s="27">
        <f t="shared" ref="L101:L108" si="22">I101/G101</f>
        <v>184.29999999999998</v>
      </c>
      <c r="M101" s="30"/>
      <c r="N101" s="29" t="s">
        <v>39</v>
      </c>
      <c r="O101" s="29" t="s">
        <v>26</v>
      </c>
      <c r="P101" s="49">
        <v>0.43</v>
      </c>
      <c r="R101" s="12">
        <v>12</v>
      </c>
      <c r="S101" s="22"/>
      <c r="T101" s="22"/>
      <c r="U101" s="22"/>
      <c r="V101" s="22"/>
      <c r="W101" s="22"/>
      <c r="Y101" s="21"/>
      <c r="Z101" s="21"/>
      <c r="AA101" s="21"/>
      <c r="AB101" s="13"/>
      <c r="AC101" s="2"/>
      <c r="AD101" s="13"/>
      <c r="AE101" s="2"/>
      <c r="AF101" s="9"/>
    </row>
    <row r="102" spans="1:32" x14ac:dyDescent="0.2">
      <c r="A102" s="17">
        <f t="shared" si="15"/>
        <v>101</v>
      </c>
      <c r="B102" s="5" t="s">
        <v>18</v>
      </c>
      <c r="C102" s="40" t="s">
        <v>93</v>
      </c>
      <c r="D102" s="29" t="s">
        <v>59</v>
      </c>
      <c r="E102" s="29">
        <v>5000022274</v>
      </c>
      <c r="G102">
        <f>0.1*2</f>
        <v>0.2</v>
      </c>
      <c r="H102" s="24">
        <v>51.58</v>
      </c>
      <c r="I102" s="26">
        <f t="shared" si="21"/>
        <v>51.58</v>
      </c>
      <c r="J102" s="26"/>
      <c r="K102" s="29" t="s">
        <v>25</v>
      </c>
      <c r="L102" s="27">
        <f t="shared" si="22"/>
        <v>257.89999999999998</v>
      </c>
      <c r="M102" s="30"/>
      <c r="N102" s="29" t="s">
        <v>39</v>
      </c>
      <c r="O102" s="29" t="s">
        <v>26</v>
      </c>
      <c r="P102" s="49">
        <v>0.39</v>
      </c>
      <c r="R102" s="12">
        <v>12</v>
      </c>
      <c r="S102" s="22"/>
      <c r="T102" s="22"/>
      <c r="U102" s="22"/>
      <c r="V102" s="22"/>
      <c r="W102" s="22"/>
      <c r="Y102" s="21"/>
      <c r="Z102" s="21"/>
      <c r="AA102" s="21"/>
      <c r="AB102" s="13"/>
      <c r="AC102" s="2"/>
      <c r="AD102" s="13"/>
      <c r="AE102" s="2"/>
      <c r="AF102" s="9"/>
    </row>
    <row r="103" spans="1:32" x14ac:dyDescent="0.2">
      <c r="A103" s="17">
        <f t="shared" si="15"/>
        <v>102</v>
      </c>
      <c r="B103" s="5" t="s">
        <v>18</v>
      </c>
      <c r="C103" s="40" t="s">
        <v>93</v>
      </c>
      <c r="D103" s="29" t="s">
        <v>59</v>
      </c>
      <c r="E103" s="29">
        <v>5000022278</v>
      </c>
      <c r="G103">
        <f>0.1*2</f>
        <v>0.2</v>
      </c>
      <c r="H103" s="24">
        <v>54.75</v>
      </c>
      <c r="I103" s="26">
        <f t="shared" si="21"/>
        <v>54.75</v>
      </c>
      <c r="J103" s="26"/>
      <c r="K103" s="29" t="s">
        <v>25</v>
      </c>
      <c r="L103" s="27">
        <f t="shared" si="22"/>
        <v>273.75</v>
      </c>
      <c r="M103" s="30"/>
      <c r="N103" s="29" t="s">
        <v>39</v>
      </c>
      <c r="O103" s="29" t="s">
        <v>26</v>
      </c>
      <c r="P103" s="49">
        <v>0.3</v>
      </c>
      <c r="R103" s="12">
        <v>12</v>
      </c>
      <c r="S103" s="22"/>
      <c r="T103" s="22"/>
      <c r="U103" s="22"/>
      <c r="V103" s="22"/>
      <c r="W103" s="22"/>
      <c r="Y103" s="21"/>
      <c r="Z103" s="21"/>
      <c r="AA103" s="21"/>
      <c r="AB103" s="13"/>
      <c r="AC103" s="2"/>
      <c r="AD103" s="13"/>
      <c r="AE103" s="2"/>
      <c r="AF103" s="9"/>
    </row>
    <row r="104" spans="1:32" x14ac:dyDescent="0.2">
      <c r="A104" s="17">
        <f t="shared" si="15"/>
        <v>103</v>
      </c>
      <c r="B104" s="5" t="s">
        <v>18</v>
      </c>
      <c r="C104" s="40" t="s">
        <v>93</v>
      </c>
      <c r="D104" s="29" t="s">
        <v>59</v>
      </c>
      <c r="E104" s="29">
        <v>5000022277</v>
      </c>
      <c r="G104">
        <f>0.1*2</f>
        <v>0.2</v>
      </c>
      <c r="H104" s="24">
        <v>91.71</v>
      </c>
      <c r="I104" s="26">
        <f t="shared" si="21"/>
        <v>91.71</v>
      </c>
      <c r="J104" s="26"/>
      <c r="K104" s="29" t="s">
        <v>25</v>
      </c>
      <c r="L104" s="27">
        <f t="shared" si="22"/>
        <v>458.54999999999995</v>
      </c>
      <c r="M104" s="30"/>
      <c r="N104" s="29" t="s">
        <v>39</v>
      </c>
      <c r="O104" s="29" t="s">
        <v>26</v>
      </c>
      <c r="P104" s="49">
        <v>0.41</v>
      </c>
      <c r="R104" s="12">
        <v>12</v>
      </c>
      <c r="S104" s="22"/>
      <c r="T104" s="22"/>
      <c r="U104" s="22"/>
      <c r="V104" s="22"/>
      <c r="W104" s="22"/>
      <c r="Y104" s="21"/>
      <c r="Z104" s="21"/>
      <c r="AA104" s="21"/>
      <c r="AB104" s="13"/>
      <c r="AC104" s="2"/>
      <c r="AD104" s="13"/>
      <c r="AE104" s="2"/>
      <c r="AF104" s="9"/>
    </row>
    <row r="105" spans="1:32" x14ac:dyDescent="0.2">
      <c r="A105" s="17">
        <f t="shared" si="15"/>
        <v>104</v>
      </c>
      <c r="B105" s="5" t="s">
        <v>18</v>
      </c>
      <c r="C105" s="40" t="s">
        <v>93</v>
      </c>
      <c r="D105" s="29" t="s">
        <v>59</v>
      </c>
      <c r="E105" s="29">
        <v>5000022279</v>
      </c>
      <c r="G105">
        <f>0.275*2</f>
        <v>0.55000000000000004</v>
      </c>
      <c r="H105" s="24">
        <v>66.7</v>
      </c>
      <c r="I105" s="26">
        <f t="shared" si="21"/>
        <v>66.7</v>
      </c>
      <c r="J105" s="26"/>
      <c r="K105" s="29" t="s">
        <v>25</v>
      </c>
      <c r="L105" s="27">
        <f t="shared" si="22"/>
        <v>121.27272727272727</v>
      </c>
      <c r="M105" s="30"/>
      <c r="N105" s="29" t="s">
        <v>39</v>
      </c>
      <c r="O105" s="29" t="s">
        <v>26</v>
      </c>
      <c r="P105" s="49">
        <v>0.34</v>
      </c>
      <c r="R105" s="12">
        <v>12</v>
      </c>
      <c r="S105" s="22"/>
      <c r="T105" s="22"/>
      <c r="U105" s="22"/>
      <c r="V105" s="22"/>
      <c r="W105" s="22"/>
      <c r="Y105" s="21"/>
      <c r="Z105" s="21"/>
      <c r="AA105" s="21"/>
      <c r="AB105" s="13"/>
      <c r="AC105" s="2"/>
      <c r="AD105" s="13"/>
      <c r="AE105" s="2"/>
      <c r="AF105" s="9"/>
    </row>
    <row r="106" spans="1:32" x14ac:dyDescent="0.2">
      <c r="A106" s="17">
        <f t="shared" si="15"/>
        <v>105</v>
      </c>
      <c r="B106" s="5" t="s">
        <v>18</v>
      </c>
      <c r="C106" s="40" t="s">
        <v>93</v>
      </c>
      <c r="D106" s="29" t="s">
        <v>59</v>
      </c>
      <c r="E106" s="29">
        <v>5000022280</v>
      </c>
      <c r="G106">
        <f>0.1*1</f>
        <v>0.1</v>
      </c>
      <c r="H106" s="24">
        <v>20.56</v>
      </c>
      <c r="I106" s="26">
        <f t="shared" si="21"/>
        <v>20.56</v>
      </c>
      <c r="J106" s="26"/>
      <c r="K106" s="29" t="s">
        <v>25</v>
      </c>
      <c r="L106" s="27">
        <f t="shared" si="22"/>
        <v>205.59999999999997</v>
      </c>
      <c r="M106" s="30"/>
      <c r="N106" s="29" t="s">
        <v>39</v>
      </c>
      <c r="O106" s="29" t="s">
        <v>26</v>
      </c>
      <c r="P106" s="49">
        <v>0.35</v>
      </c>
      <c r="R106" s="12">
        <v>12</v>
      </c>
      <c r="S106" s="22"/>
      <c r="T106" s="22"/>
      <c r="U106" s="22"/>
      <c r="V106" s="22"/>
      <c r="W106" s="22"/>
      <c r="Y106" s="21"/>
      <c r="Z106" s="21"/>
      <c r="AA106" s="21"/>
      <c r="AB106" s="13"/>
      <c r="AC106" s="2"/>
      <c r="AD106" s="13"/>
      <c r="AE106" s="2"/>
      <c r="AF106" s="9"/>
    </row>
    <row r="107" spans="1:32" x14ac:dyDescent="0.2">
      <c r="A107" s="17">
        <f t="shared" si="15"/>
        <v>106</v>
      </c>
      <c r="B107" s="5" t="s">
        <v>41</v>
      </c>
      <c r="C107" s="40" t="s">
        <v>94</v>
      </c>
      <c r="D107" s="29" t="s">
        <v>123</v>
      </c>
      <c r="E107" s="29">
        <v>4200717762</v>
      </c>
      <c r="F107" s="11">
        <v>33</v>
      </c>
      <c r="G107">
        <f>5.5*2</f>
        <v>11</v>
      </c>
      <c r="H107" s="24">
        <v>1110</v>
      </c>
      <c r="I107" s="26">
        <f t="shared" si="21"/>
        <v>1110</v>
      </c>
      <c r="J107" s="26"/>
      <c r="K107" s="29" t="s">
        <v>47</v>
      </c>
      <c r="L107" s="27">
        <f t="shared" si="22"/>
        <v>100.90909090909091</v>
      </c>
      <c r="M107" s="30"/>
      <c r="N107" s="29" t="s">
        <v>45</v>
      </c>
      <c r="O107" s="29" t="s">
        <v>43</v>
      </c>
      <c r="P107" s="49">
        <v>0.15</v>
      </c>
      <c r="R107" s="12">
        <v>1</v>
      </c>
      <c r="S107" s="22"/>
      <c r="T107" s="22"/>
      <c r="U107" s="22"/>
      <c r="V107" s="22"/>
      <c r="W107" s="22"/>
      <c r="Y107" s="21"/>
      <c r="Z107" s="21"/>
      <c r="AA107" s="21"/>
      <c r="AB107" s="13"/>
      <c r="AC107" s="2"/>
      <c r="AD107" s="13"/>
      <c r="AE107" s="2"/>
      <c r="AF107" s="9"/>
    </row>
    <row r="108" spans="1:32" x14ac:dyDescent="0.2">
      <c r="A108" s="17">
        <f t="shared" si="15"/>
        <v>107</v>
      </c>
      <c r="B108" s="5" t="s">
        <v>46</v>
      </c>
      <c r="C108" s="40" t="s">
        <v>94</v>
      </c>
      <c r="D108" s="29" t="s">
        <v>124</v>
      </c>
      <c r="E108" s="29">
        <v>4200718674</v>
      </c>
      <c r="F108" s="11">
        <v>11</v>
      </c>
      <c r="G108">
        <v>1.65</v>
      </c>
      <c r="H108" s="24">
        <v>235</v>
      </c>
      <c r="I108" s="26">
        <v>211</v>
      </c>
      <c r="J108" s="26">
        <f>H108-I108</f>
        <v>24</v>
      </c>
      <c r="K108" s="29" t="s">
        <v>25</v>
      </c>
      <c r="L108" s="27">
        <f t="shared" si="22"/>
        <v>127.87878787878789</v>
      </c>
      <c r="M108" s="30">
        <f>H108/G108</f>
        <v>142.42424242424244</v>
      </c>
      <c r="N108" s="29" t="s">
        <v>50</v>
      </c>
      <c r="O108" s="29" t="s">
        <v>26</v>
      </c>
      <c r="P108" s="49">
        <v>0.25</v>
      </c>
      <c r="R108" s="12">
        <v>1</v>
      </c>
      <c r="S108" s="22"/>
      <c r="T108" s="22"/>
      <c r="U108" s="22"/>
      <c r="V108" s="22"/>
      <c r="W108" s="22"/>
      <c r="Y108" s="21"/>
      <c r="Z108" s="21"/>
      <c r="AA108" s="21"/>
      <c r="AB108" s="13"/>
      <c r="AC108" s="2"/>
      <c r="AD108" s="13"/>
      <c r="AE108" s="2"/>
      <c r="AF108" s="9"/>
    </row>
    <row r="109" spans="1:32" x14ac:dyDescent="0.2">
      <c r="A109" s="17">
        <f t="shared" si="15"/>
        <v>108</v>
      </c>
      <c r="B109" s="5" t="s">
        <v>18</v>
      </c>
      <c r="C109" s="40" t="s">
        <v>94</v>
      </c>
      <c r="D109" s="29" t="s">
        <v>58</v>
      </c>
      <c r="E109" s="29">
        <v>5000022522</v>
      </c>
      <c r="H109" s="24">
        <v>744</v>
      </c>
      <c r="I109" s="26">
        <f t="shared" ref="I109:I117" si="23">H109</f>
        <v>744</v>
      </c>
      <c r="J109" s="26"/>
      <c r="K109" s="29" t="s">
        <v>25</v>
      </c>
      <c r="L109" s="27"/>
      <c r="M109" s="30"/>
      <c r="N109" s="29" t="s">
        <v>39</v>
      </c>
      <c r="O109" s="29" t="s">
        <v>26</v>
      </c>
      <c r="P109" s="49">
        <v>0.18729999999999999</v>
      </c>
      <c r="R109" s="12">
        <v>12</v>
      </c>
      <c r="S109" s="22"/>
      <c r="T109" s="22"/>
      <c r="U109" s="22"/>
      <c r="V109" s="22"/>
      <c r="W109" s="22"/>
      <c r="Y109" s="21"/>
      <c r="Z109" s="21"/>
      <c r="AA109" s="21"/>
      <c r="AB109" s="13"/>
      <c r="AC109" s="2"/>
      <c r="AD109" s="13"/>
      <c r="AE109" s="2"/>
      <c r="AF109" s="9"/>
    </row>
    <row r="110" spans="1:32" x14ac:dyDescent="0.2">
      <c r="A110" s="17">
        <f t="shared" si="15"/>
        <v>109</v>
      </c>
      <c r="B110" s="5" t="s">
        <v>18</v>
      </c>
      <c r="C110" s="40" t="s">
        <v>94</v>
      </c>
      <c r="D110" s="29" t="s">
        <v>58</v>
      </c>
      <c r="E110" s="29">
        <v>5000022433</v>
      </c>
      <c r="H110" s="24">
        <v>44.8</v>
      </c>
      <c r="I110" s="26">
        <f t="shared" si="23"/>
        <v>44.8</v>
      </c>
      <c r="J110" s="26"/>
      <c r="K110" s="29" t="s">
        <v>25</v>
      </c>
      <c r="L110" s="27"/>
      <c r="M110" s="30"/>
      <c r="N110" s="29" t="s">
        <v>39</v>
      </c>
      <c r="O110" s="29" t="s">
        <v>26</v>
      </c>
      <c r="P110" s="49">
        <v>0.18729999999999999</v>
      </c>
      <c r="R110" s="12">
        <v>12</v>
      </c>
      <c r="S110" s="22"/>
      <c r="T110" s="22"/>
      <c r="U110" s="22"/>
      <c r="V110" s="22"/>
      <c r="W110" s="22"/>
      <c r="Y110" s="21"/>
      <c r="Z110" s="21"/>
      <c r="AA110" s="21"/>
      <c r="AB110" s="13"/>
      <c r="AC110" s="2"/>
      <c r="AD110" s="13"/>
      <c r="AE110" s="2"/>
      <c r="AF110" s="9"/>
    </row>
    <row r="111" spans="1:32" x14ac:dyDescent="0.2">
      <c r="A111" s="17">
        <f t="shared" si="15"/>
        <v>110</v>
      </c>
      <c r="B111" s="5" t="s">
        <v>18</v>
      </c>
      <c r="C111" s="40" t="s">
        <v>94</v>
      </c>
      <c r="D111" s="29" t="s">
        <v>59</v>
      </c>
      <c r="E111" s="29">
        <v>5000022543</v>
      </c>
      <c r="G111">
        <f>0.0583*2*3</f>
        <v>0.3498</v>
      </c>
      <c r="H111" s="24">
        <v>78</v>
      </c>
      <c r="I111" s="26">
        <f t="shared" si="23"/>
        <v>78</v>
      </c>
      <c r="J111" s="26"/>
      <c r="K111" s="29" t="s">
        <v>25</v>
      </c>
      <c r="L111" s="27">
        <f t="shared" ref="L111:L117" si="24">I111/G111</f>
        <v>222.98456260720411</v>
      </c>
      <c r="M111" s="30"/>
      <c r="N111" s="29" t="s">
        <v>39</v>
      </c>
      <c r="O111" s="29" t="s">
        <v>26</v>
      </c>
      <c r="P111" s="49">
        <v>0.35</v>
      </c>
      <c r="R111" s="12">
        <v>12</v>
      </c>
      <c r="S111" s="22"/>
      <c r="T111" s="22"/>
      <c r="U111" s="22"/>
      <c r="V111" s="22"/>
      <c r="W111" s="22"/>
      <c r="Y111" s="21"/>
      <c r="Z111" s="21"/>
      <c r="AA111" s="21"/>
      <c r="AB111" s="13"/>
      <c r="AC111" s="2"/>
      <c r="AD111" s="13"/>
      <c r="AE111" s="2"/>
      <c r="AF111" s="9"/>
    </row>
    <row r="112" spans="1:32" x14ac:dyDescent="0.2">
      <c r="A112" s="17">
        <f t="shared" si="15"/>
        <v>111</v>
      </c>
      <c r="B112" s="5" t="s">
        <v>18</v>
      </c>
      <c r="C112" s="40" t="s">
        <v>94</v>
      </c>
      <c r="D112" s="29" t="s">
        <v>59</v>
      </c>
      <c r="E112" s="29">
        <v>5000022643</v>
      </c>
      <c r="G112">
        <f>0.532+0.4+0.2+0.05</f>
        <v>1.1820000000000002</v>
      </c>
      <c r="H112" s="24">
        <v>116.81699999999999</v>
      </c>
      <c r="I112" s="26">
        <f t="shared" si="23"/>
        <v>116.81699999999999</v>
      </c>
      <c r="J112" s="26"/>
      <c r="K112" s="29" t="s">
        <v>25</v>
      </c>
      <c r="L112" s="27">
        <f t="shared" si="24"/>
        <v>98.829949238578664</v>
      </c>
      <c r="M112" s="30"/>
      <c r="N112" s="29" t="s">
        <v>39</v>
      </c>
      <c r="O112" s="29" t="s">
        <v>26</v>
      </c>
      <c r="P112" s="49">
        <v>0.23</v>
      </c>
      <c r="R112" s="12">
        <v>12</v>
      </c>
      <c r="S112" s="22"/>
      <c r="T112" s="22"/>
      <c r="U112" s="22"/>
      <c r="V112" s="22"/>
      <c r="W112" s="22"/>
      <c r="Y112" s="21"/>
      <c r="Z112" s="21"/>
      <c r="AA112" s="21"/>
      <c r="AB112" s="13"/>
      <c r="AC112" s="2"/>
      <c r="AD112" s="13"/>
      <c r="AE112" s="2"/>
      <c r="AF112" s="9"/>
    </row>
    <row r="113" spans="1:32" x14ac:dyDescent="0.2">
      <c r="A113" s="17">
        <f t="shared" si="15"/>
        <v>112</v>
      </c>
      <c r="B113" s="5" t="s">
        <v>44</v>
      </c>
      <c r="C113" s="40" t="s">
        <v>94</v>
      </c>
      <c r="D113" s="29" t="s">
        <v>68</v>
      </c>
      <c r="E113" s="29">
        <v>2360043922</v>
      </c>
      <c r="G113">
        <v>0.41599999999999998</v>
      </c>
      <c r="H113" s="24">
        <v>39.6</v>
      </c>
      <c r="I113" s="26">
        <f t="shared" si="23"/>
        <v>39.6</v>
      </c>
      <c r="J113" s="26"/>
      <c r="K113" s="29" t="s">
        <v>25</v>
      </c>
      <c r="L113" s="27">
        <f t="shared" si="24"/>
        <v>95.192307692307693</v>
      </c>
      <c r="M113" s="30">
        <f t="shared" ref="M113:M120" si="25">H113/G113</f>
        <v>95.192307692307693</v>
      </c>
      <c r="N113" s="29" t="s">
        <v>45</v>
      </c>
      <c r="O113" s="29" t="s">
        <v>43</v>
      </c>
      <c r="P113" s="49">
        <v>0.35</v>
      </c>
      <c r="R113" s="12">
        <v>11</v>
      </c>
      <c r="S113" s="22"/>
      <c r="T113" s="22"/>
      <c r="U113" s="22"/>
      <c r="V113" s="22"/>
      <c r="W113" s="22"/>
      <c r="Y113" s="21"/>
      <c r="Z113" s="21"/>
      <c r="AA113" s="21"/>
      <c r="AB113" s="13"/>
      <c r="AC113" s="2"/>
      <c r="AD113" s="13"/>
      <c r="AE113" s="2"/>
      <c r="AF113" s="9"/>
    </row>
    <row r="114" spans="1:32" x14ac:dyDescent="0.2">
      <c r="A114" s="17">
        <f t="shared" si="15"/>
        <v>113</v>
      </c>
      <c r="B114" s="5" t="s">
        <v>44</v>
      </c>
      <c r="C114" s="40" t="s">
        <v>94</v>
      </c>
      <c r="D114" s="29" t="s">
        <v>68</v>
      </c>
      <c r="E114" s="29">
        <v>2360043923</v>
      </c>
      <c r="G114">
        <f>0.484*6</f>
        <v>2.9039999999999999</v>
      </c>
      <c r="H114" s="24">
        <v>261</v>
      </c>
      <c r="I114" s="26">
        <f t="shared" si="23"/>
        <v>261</v>
      </c>
      <c r="J114" s="26"/>
      <c r="K114" s="29" t="s">
        <v>25</v>
      </c>
      <c r="L114" s="27">
        <f t="shared" si="24"/>
        <v>89.876033057851245</v>
      </c>
      <c r="M114" s="30">
        <f t="shared" si="25"/>
        <v>89.876033057851245</v>
      </c>
      <c r="N114" s="29" t="s">
        <v>45</v>
      </c>
      <c r="O114" s="29" t="s">
        <v>43</v>
      </c>
      <c r="P114" s="49">
        <v>0.32</v>
      </c>
      <c r="R114" s="12">
        <v>11</v>
      </c>
      <c r="S114" s="22"/>
      <c r="T114" s="22"/>
      <c r="U114" s="22"/>
      <c r="V114" s="22"/>
      <c r="W114" s="22"/>
      <c r="Y114" s="21"/>
      <c r="Z114" s="21"/>
      <c r="AA114" s="21"/>
      <c r="AB114" s="13"/>
      <c r="AC114" s="2"/>
      <c r="AD114" s="13"/>
      <c r="AE114" s="2"/>
      <c r="AF114" s="9"/>
    </row>
    <row r="115" spans="1:32" x14ac:dyDescent="0.2">
      <c r="A115" s="17">
        <f t="shared" si="15"/>
        <v>114</v>
      </c>
      <c r="B115" s="5" t="s">
        <v>46</v>
      </c>
      <c r="C115" s="40" t="s">
        <v>94</v>
      </c>
      <c r="D115" s="29" t="s">
        <v>125</v>
      </c>
      <c r="E115" s="29">
        <v>2360044106</v>
      </c>
      <c r="G115">
        <v>0.21</v>
      </c>
      <c r="H115" s="24">
        <v>23.5</v>
      </c>
      <c r="I115" s="26">
        <f t="shared" si="23"/>
        <v>23.5</v>
      </c>
      <c r="J115" s="26"/>
      <c r="K115" s="29" t="s">
        <v>25</v>
      </c>
      <c r="L115" s="27">
        <f t="shared" si="24"/>
        <v>111.90476190476191</v>
      </c>
      <c r="M115" s="30">
        <f t="shared" si="25"/>
        <v>111.90476190476191</v>
      </c>
      <c r="N115" s="29" t="s">
        <v>50</v>
      </c>
      <c r="O115" s="29" t="s">
        <v>26</v>
      </c>
      <c r="P115" s="49">
        <v>0.3</v>
      </c>
      <c r="R115" s="12">
        <v>11</v>
      </c>
      <c r="S115" s="22"/>
      <c r="T115" s="22"/>
      <c r="U115" s="22"/>
      <c r="V115" s="22"/>
      <c r="W115" s="22"/>
      <c r="Y115" s="21"/>
      <c r="Z115" s="21"/>
      <c r="AA115" s="21"/>
      <c r="AB115" s="13"/>
      <c r="AC115" s="2"/>
      <c r="AD115" s="13"/>
      <c r="AE115" s="2"/>
      <c r="AF115" s="9"/>
    </row>
    <row r="116" spans="1:32" x14ac:dyDescent="0.2">
      <c r="A116" s="17">
        <f t="shared" si="15"/>
        <v>115</v>
      </c>
      <c r="B116" s="5" t="s">
        <v>56</v>
      </c>
      <c r="C116" s="40" t="s">
        <v>94</v>
      </c>
      <c r="D116" s="29" t="s">
        <v>126</v>
      </c>
      <c r="E116" s="29">
        <v>2360043854</v>
      </c>
      <c r="G116">
        <f>0.24</f>
        <v>0.24</v>
      </c>
      <c r="H116" s="24">
        <v>118.34</v>
      </c>
      <c r="I116" s="26">
        <f t="shared" si="23"/>
        <v>118.34</v>
      </c>
      <c r="J116" s="26"/>
      <c r="K116" s="29" t="s">
        <v>25</v>
      </c>
      <c r="L116" s="27">
        <f t="shared" si="24"/>
        <v>493.08333333333337</v>
      </c>
      <c r="M116" s="30">
        <f t="shared" si="25"/>
        <v>493.08333333333337</v>
      </c>
      <c r="N116" s="29" t="s">
        <v>74</v>
      </c>
      <c r="O116" s="29" t="s">
        <v>26</v>
      </c>
      <c r="P116" s="49">
        <v>0.3</v>
      </c>
      <c r="R116" s="12">
        <v>11</v>
      </c>
      <c r="S116" s="22"/>
      <c r="T116" s="22"/>
      <c r="U116" s="22"/>
      <c r="V116" s="22"/>
      <c r="W116" s="22"/>
      <c r="Y116" s="21"/>
      <c r="Z116" s="21"/>
      <c r="AA116" s="21"/>
      <c r="AB116" s="13"/>
      <c r="AC116" s="2"/>
      <c r="AD116" s="13"/>
      <c r="AE116" s="2"/>
      <c r="AF116" s="9"/>
    </row>
    <row r="117" spans="1:32" x14ac:dyDescent="0.2">
      <c r="A117" s="17">
        <f t="shared" si="15"/>
        <v>116</v>
      </c>
      <c r="B117" s="39" t="s">
        <v>56</v>
      </c>
      <c r="C117" s="40" t="s">
        <v>94</v>
      </c>
      <c r="D117" s="29" t="s">
        <v>127</v>
      </c>
      <c r="E117" s="12">
        <v>2360041758</v>
      </c>
      <c r="F117" s="52"/>
      <c r="G117" s="53">
        <v>36.68</v>
      </c>
      <c r="H117" s="53">
        <v>3923</v>
      </c>
      <c r="I117" s="14">
        <f t="shared" si="23"/>
        <v>3923</v>
      </c>
      <c r="K117" s="29" t="s">
        <v>49</v>
      </c>
      <c r="L117" s="14">
        <f t="shared" si="24"/>
        <v>106.95201744820065</v>
      </c>
      <c r="M117" s="48">
        <f t="shared" si="25"/>
        <v>106.95201744820065</v>
      </c>
      <c r="N117" s="29" t="s">
        <v>39</v>
      </c>
      <c r="O117" s="29" t="s">
        <v>26</v>
      </c>
      <c r="P117" s="28">
        <v>0.159</v>
      </c>
      <c r="R117" s="12">
        <v>11</v>
      </c>
      <c r="S117" s="22"/>
      <c r="T117" s="22"/>
      <c r="U117" s="22"/>
      <c r="V117" s="22"/>
      <c r="W117" s="22"/>
      <c r="Y117" s="21"/>
      <c r="Z117" s="21"/>
      <c r="AA117" s="21"/>
      <c r="AB117" s="13"/>
      <c r="AC117" s="2"/>
      <c r="AD117" s="13"/>
      <c r="AE117" s="2"/>
      <c r="AF117" s="9"/>
    </row>
    <row r="118" spans="1:32" x14ac:dyDescent="0.2">
      <c r="A118" s="17">
        <f t="shared" si="15"/>
        <v>117</v>
      </c>
      <c r="B118" s="39" t="s">
        <v>44</v>
      </c>
      <c r="C118" s="40" t="s">
        <v>94</v>
      </c>
      <c r="D118" s="29" t="s">
        <v>131</v>
      </c>
      <c r="E118" s="29">
        <v>4200722301</v>
      </c>
      <c r="F118" s="11">
        <v>33</v>
      </c>
      <c r="G118">
        <v>91</v>
      </c>
      <c r="H118" s="24">
        <v>9292</v>
      </c>
      <c r="I118" s="26">
        <v>8241</v>
      </c>
      <c r="J118" s="26">
        <f>H118-I118</f>
        <v>1051</v>
      </c>
      <c r="K118" s="29" t="s">
        <v>47</v>
      </c>
      <c r="L118" s="14">
        <f t="shared" ref="L118:L123" si="26">I118/G118</f>
        <v>90.560439560439562</v>
      </c>
      <c r="M118" s="48">
        <f t="shared" si="25"/>
        <v>102.10989010989012</v>
      </c>
      <c r="N118" s="29" t="s">
        <v>45</v>
      </c>
      <c r="O118" s="29" t="s">
        <v>43</v>
      </c>
      <c r="P118" s="49">
        <v>0.15</v>
      </c>
      <c r="R118" s="12">
        <v>1</v>
      </c>
      <c r="S118" s="22"/>
      <c r="T118" s="22"/>
      <c r="U118" s="22"/>
      <c r="V118" s="22"/>
      <c r="W118" s="22"/>
      <c r="Y118" s="21"/>
      <c r="Z118" s="21"/>
      <c r="AA118" s="21"/>
      <c r="AB118" s="13"/>
      <c r="AC118" s="2"/>
      <c r="AD118" s="13"/>
      <c r="AE118" s="2"/>
      <c r="AF118" s="9"/>
    </row>
    <row r="119" spans="1:32" x14ac:dyDescent="0.2">
      <c r="A119" s="17">
        <f t="shared" si="15"/>
        <v>118</v>
      </c>
      <c r="B119" s="39" t="s">
        <v>46</v>
      </c>
      <c r="C119" s="40" t="s">
        <v>94</v>
      </c>
      <c r="D119" s="29" t="s">
        <v>143</v>
      </c>
      <c r="E119" s="29">
        <v>4200721279</v>
      </c>
      <c r="F119" s="11">
        <v>400</v>
      </c>
      <c r="G119">
        <v>3162</v>
      </c>
      <c r="H119" s="24">
        <v>221995</v>
      </c>
      <c r="I119" s="26">
        <f>H119</f>
        <v>221995</v>
      </c>
      <c r="J119" s="26"/>
      <c r="K119" s="29" t="s">
        <v>87</v>
      </c>
      <c r="L119" s="14">
        <f t="shared" si="26"/>
        <v>70.20714737507906</v>
      </c>
      <c r="M119" s="48">
        <f t="shared" si="25"/>
        <v>70.20714737507906</v>
      </c>
      <c r="N119" s="29" t="s">
        <v>45</v>
      </c>
      <c r="O119" s="29" t="s">
        <v>43</v>
      </c>
      <c r="P119" s="49">
        <v>0.23449999999999999</v>
      </c>
      <c r="R119" s="12">
        <v>8</v>
      </c>
      <c r="S119" s="22"/>
      <c r="T119" s="22"/>
      <c r="U119" s="22"/>
      <c r="V119" s="22"/>
      <c r="W119" s="22"/>
      <c r="Y119" s="21"/>
      <c r="Z119" s="21"/>
      <c r="AA119" s="21"/>
      <c r="AB119" s="13"/>
      <c r="AC119" s="2"/>
      <c r="AD119" s="13"/>
      <c r="AE119" s="2"/>
      <c r="AF119" s="9"/>
    </row>
    <row r="120" spans="1:32" x14ac:dyDescent="0.2">
      <c r="A120" s="17">
        <f t="shared" si="15"/>
        <v>119</v>
      </c>
      <c r="B120" s="39" t="s">
        <v>46</v>
      </c>
      <c r="C120" s="40" t="s">
        <v>94</v>
      </c>
      <c r="D120" s="29" t="s">
        <v>144</v>
      </c>
      <c r="E120" s="29">
        <v>4200721280</v>
      </c>
      <c r="F120" s="11">
        <v>400</v>
      </c>
      <c r="G120">
        <v>3341</v>
      </c>
      <c r="H120" s="24">
        <v>226450</v>
      </c>
      <c r="I120" s="26">
        <f>H120</f>
        <v>226450</v>
      </c>
      <c r="J120" s="26"/>
      <c r="K120" s="29" t="s">
        <v>87</v>
      </c>
      <c r="L120" s="14">
        <f t="shared" si="26"/>
        <v>67.779108051481586</v>
      </c>
      <c r="M120" s="48">
        <f t="shared" si="25"/>
        <v>67.779108051481586</v>
      </c>
      <c r="N120" s="29" t="s">
        <v>45</v>
      </c>
      <c r="O120" s="29" t="s">
        <v>43</v>
      </c>
      <c r="P120" s="49">
        <v>0.2346</v>
      </c>
      <c r="R120" s="12">
        <v>8</v>
      </c>
      <c r="S120" s="22"/>
      <c r="T120" s="22"/>
      <c r="U120" s="22"/>
      <c r="V120" s="22"/>
      <c r="W120" s="22"/>
      <c r="Y120" s="21"/>
      <c r="Z120" s="21"/>
      <c r="AA120" s="21"/>
      <c r="AB120" s="13"/>
      <c r="AC120" s="2"/>
      <c r="AD120" s="13"/>
      <c r="AE120" s="2"/>
      <c r="AF120" s="9"/>
    </row>
    <row r="121" spans="1:32" x14ac:dyDescent="0.2">
      <c r="A121" s="17">
        <f t="shared" si="15"/>
        <v>120</v>
      </c>
      <c r="B121" s="39" t="s">
        <v>46</v>
      </c>
      <c r="C121" s="40" t="s">
        <v>111</v>
      </c>
      <c r="D121" s="29" t="s">
        <v>128</v>
      </c>
      <c r="E121" s="29">
        <v>2360044544</v>
      </c>
      <c r="G121">
        <f>0.15*100+0.25*2</f>
        <v>15.5</v>
      </c>
      <c r="H121" s="24">
        <v>1296</v>
      </c>
      <c r="I121" s="26">
        <f>H121</f>
        <v>1296</v>
      </c>
      <c r="J121" s="26"/>
      <c r="K121" s="29" t="s">
        <v>25</v>
      </c>
      <c r="L121" s="14">
        <f t="shared" si="26"/>
        <v>83.612903225806448</v>
      </c>
      <c r="M121" s="48">
        <f>H121/G121</f>
        <v>83.612903225806448</v>
      </c>
      <c r="N121" s="29" t="s">
        <v>50</v>
      </c>
      <c r="O121" s="29" t="s">
        <v>26</v>
      </c>
      <c r="P121" s="49">
        <v>0.14000000000000001</v>
      </c>
      <c r="R121" s="12">
        <v>11</v>
      </c>
      <c r="S121" s="22"/>
      <c r="T121" s="22"/>
      <c r="U121" s="22"/>
      <c r="V121" s="22"/>
      <c r="W121" s="22"/>
      <c r="Y121" s="21"/>
      <c r="Z121" s="21"/>
      <c r="AA121" s="21"/>
      <c r="AB121" s="13"/>
      <c r="AC121" s="2"/>
      <c r="AD121" s="13"/>
      <c r="AE121" s="2"/>
      <c r="AF121" s="9"/>
    </row>
    <row r="122" spans="1:32" x14ac:dyDescent="0.2">
      <c r="A122" s="17">
        <f t="shared" si="15"/>
        <v>121</v>
      </c>
      <c r="B122" s="39" t="s">
        <v>44</v>
      </c>
      <c r="C122" s="40" t="s">
        <v>111</v>
      </c>
      <c r="D122" s="29" t="s">
        <v>129</v>
      </c>
      <c r="E122" s="29">
        <v>2360044578</v>
      </c>
      <c r="G122">
        <f>0.2*4+0.61+0.56+0.5+0.376+0.59*4+0.29+0.42*3+0.25+0.65*4</f>
        <v>9.6059999999999999</v>
      </c>
      <c r="H122" s="24">
        <v>815.46</v>
      </c>
      <c r="I122" s="26">
        <f>H122</f>
        <v>815.46</v>
      </c>
      <c r="J122" s="26"/>
      <c r="K122" s="29" t="s">
        <v>25</v>
      </c>
      <c r="L122" s="14">
        <f t="shared" si="26"/>
        <v>84.890693316677087</v>
      </c>
      <c r="M122" s="48">
        <f>H122/G122</f>
        <v>84.890693316677087</v>
      </c>
      <c r="N122" s="29" t="s">
        <v>50</v>
      </c>
      <c r="O122" s="29" t="s">
        <v>26</v>
      </c>
      <c r="P122" s="49">
        <v>0.31</v>
      </c>
      <c r="R122" s="12">
        <v>11</v>
      </c>
      <c r="S122" s="22"/>
      <c r="T122" s="22"/>
      <c r="U122" s="22"/>
      <c r="V122" s="22"/>
      <c r="W122" s="22"/>
      <c r="Y122" s="21"/>
      <c r="Z122" s="21"/>
      <c r="AA122" s="21"/>
      <c r="AB122" s="13"/>
      <c r="AC122" s="2"/>
      <c r="AD122" s="13"/>
      <c r="AE122" s="2"/>
      <c r="AF122" s="9"/>
    </row>
    <row r="123" spans="1:32" x14ac:dyDescent="0.2">
      <c r="A123" s="17">
        <f t="shared" si="15"/>
        <v>122</v>
      </c>
      <c r="B123" s="39" t="s">
        <v>61</v>
      </c>
      <c r="C123" s="40" t="s">
        <v>111</v>
      </c>
      <c r="D123" s="29" t="s">
        <v>130</v>
      </c>
      <c r="E123" s="29">
        <v>4200723505</v>
      </c>
      <c r="F123" s="11">
        <v>11</v>
      </c>
      <c r="G123">
        <v>11.75</v>
      </c>
      <c r="H123" s="24">
        <v>4800</v>
      </c>
      <c r="I123" s="26">
        <v>906</v>
      </c>
      <c r="J123" s="26">
        <f>H123-I123</f>
        <v>3894</v>
      </c>
      <c r="K123" s="29" t="s">
        <v>49</v>
      </c>
      <c r="L123" s="14">
        <f t="shared" si="26"/>
        <v>77.106382978723403</v>
      </c>
      <c r="M123" s="48">
        <f>H123/G123</f>
        <v>408.51063829787233</v>
      </c>
      <c r="N123" s="29" t="s">
        <v>74</v>
      </c>
      <c r="O123" s="29" t="s">
        <v>26</v>
      </c>
      <c r="P123" s="49">
        <v>0.20499999999999999</v>
      </c>
      <c r="R123" s="12">
        <v>6</v>
      </c>
      <c r="S123" s="22"/>
      <c r="T123" s="22"/>
      <c r="U123" s="22"/>
      <c r="V123" s="22"/>
      <c r="W123" s="22"/>
      <c r="Y123" s="21"/>
      <c r="Z123" s="21"/>
      <c r="AA123" s="21"/>
      <c r="AB123" s="13"/>
      <c r="AC123" s="2"/>
      <c r="AD123" s="13"/>
      <c r="AE123" s="2"/>
      <c r="AF123" s="9"/>
    </row>
    <row r="124" spans="1:32" x14ac:dyDescent="0.2">
      <c r="A124" s="17">
        <f t="shared" si="15"/>
        <v>123</v>
      </c>
      <c r="B124" s="5" t="s">
        <v>56</v>
      </c>
      <c r="C124" s="40" t="s">
        <v>111</v>
      </c>
      <c r="D124" s="29" t="s">
        <v>132</v>
      </c>
      <c r="E124" s="29">
        <v>2360044195</v>
      </c>
      <c r="H124" s="24">
        <v>60</v>
      </c>
      <c r="I124" s="26">
        <f t="shared" ref="I124:I131" si="27">H124</f>
        <v>60</v>
      </c>
      <c r="J124" s="26"/>
      <c r="K124" s="29" t="s">
        <v>25</v>
      </c>
      <c r="L124" s="27"/>
      <c r="M124" s="30"/>
      <c r="N124" s="29" t="s">
        <v>45</v>
      </c>
      <c r="O124" s="29" t="s">
        <v>43</v>
      </c>
      <c r="P124" s="49">
        <v>0.51</v>
      </c>
      <c r="R124" s="12">
        <v>15</v>
      </c>
      <c r="S124" s="22"/>
      <c r="T124" s="22"/>
      <c r="U124" s="22"/>
      <c r="V124" s="22"/>
      <c r="W124" s="22"/>
      <c r="Y124" s="21"/>
      <c r="Z124" s="21"/>
      <c r="AA124" s="21"/>
      <c r="AB124" s="13"/>
      <c r="AC124" s="2"/>
      <c r="AD124" s="13"/>
      <c r="AE124" s="2"/>
      <c r="AF124" s="9"/>
    </row>
    <row r="125" spans="1:32" x14ac:dyDescent="0.2">
      <c r="A125" s="17">
        <f t="shared" si="15"/>
        <v>124</v>
      </c>
      <c r="B125" s="5" t="s">
        <v>41</v>
      </c>
      <c r="C125" s="40" t="s">
        <v>111</v>
      </c>
      <c r="D125" s="29" t="s">
        <v>70</v>
      </c>
      <c r="E125" s="29">
        <v>2360044535</v>
      </c>
      <c r="G125">
        <f>0.4*6</f>
        <v>2.4000000000000004</v>
      </c>
      <c r="H125" s="24">
        <v>244.8</v>
      </c>
      <c r="I125" s="26">
        <f t="shared" si="27"/>
        <v>244.8</v>
      </c>
      <c r="J125" s="26"/>
      <c r="K125" s="29" t="s">
        <v>25</v>
      </c>
      <c r="L125" s="14">
        <f>I125/G125</f>
        <v>101.99999999999999</v>
      </c>
      <c r="M125" s="48">
        <f>H125/G125</f>
        <v>101.99999999999999</v>
      </c>
      <c r="N125" s="29" t="s">
        <v>45</v>
      </c>
      <c r="O125" s="29" t="s">
        <v>43</v>
      </c>
      <c r="P125" s="49">
        <v>0.36</v>
      </c>
      <c r="R125" s="12">
        <v>11</v>
      </c>
      <c r="S125" s="22"/>
      <c r="T125" s="22"/>
      <c r="U125" s="22"/>
      <c r="V125" s="22"/>
      <c r="W125" s="22"/>
      <c r="Y125" s="21"/>
      <c r="Z125" s="21"/>
      <c r="AA125" s="21"/>
      <c r="AB125" s="13"/>
      <c r="AC125" s="2"/>
      <c r="AD125" s="13"/>
      <c r="AE125" s="2"/>
      <c r="AF125" s="9"/>
    </row>
    <row r="126" spans="1:32" x14ac:dyDescent="0.2">
      <c r="A126" s="17">
        <f t="shared" si="15"/>
        <v>125</v>
      </c>
      <c r="B126" s="5" t="s">
        <v>18</v>
      </c>
      <c r="C126" s="40" t="s">
        <v>111</v>
      </c>
      <c r="D126" s="29" t="s">
        <v>58</v>
      </c>
      <c r="E126" s="29">
        <v>5000023034</v>
      </c>
      <c r="H126" s="24">
        <v>415.64</v>
      </c>
      <c r="I126" s="26">
        <f t="shared" si="27"/>
        <v>415.64</v>
      </c>
      <c r="J126" s="26"/>
      <c r="K126" s="29" t="s">
        <v>25</v>
      </c>
      <c r="L126" s="27"/>
      <c r="M126" s="30"/>
      <c r="N126" s="29" t="s">
        <v>39</v>
      </c>
      <c r="O126" s="29" t="s">
        <v>26</v>
      </c>
      <c r="P126" s="49">
        <v>0.18729999999999999</v>
      </c>
      <c r="R126" s="12">
        <v>12</v>
      </c>
      <c r="S126" s="22"/>
      <c r="T126" s="22"/>
      <c r="U126" s="22"/>
      <c r="V126" s="22"/>
      <c r="W126" s="22"/>
      <c r="Y126" s="21"/>
      <c r="Z126" s="21"/>
      <c r="AA126" s="21"/>
      <c r="AB126" s="13"/>
      <c r="AC126" s="2"/>
      <c r="AD126" s="13"/>
      <c r="AE126" s="2"/>
      <c r="AF126" s="9"/>
    </row>
    <row r="127" spans="1:32" x14ac:dyDescent="0.2">
      <c r="A127" s="17">
        <f t="shared" si="15"/>
        <v>126</v>
      </c>
      <c r="B127" s="5" t="s">
        <v>18</v>
      </c>
      <c r="C127" s="40" t="s">
        <v>111</v>
      </c>
      <c r="D127" s="29" t="s">
        <v>58</v>
      </c>
      <c r="E127" s="29">
        <v>5000023033</v>
      </c>
      <c r="H127" s="24">
        <v>46.12</v>
      </c>
      <c r="I127" s="26">
        <f t="shared" si="27"/>
        <v>46.12</v>
      </c>
      <c r="J127" s="26"/>
      <c r="K127" s="29" t="s">
        <v>25</v>
      </c>
      <c r="L127" s="27"/>
      <c r="M127" s="30"/>
      <c r="N127" s="29" t="s">
        <v>39</v>
      </c>
      <c r="O127" s="29" t="s">
        <v>26</v>
      </c>
      <c r="P127" s="49">
        <v>0.18</v>
      </c>
      <c r="R127" s="12">
        <v>12</v>
      </c>
      <c r="S127" s="22"/>
      <c r="T127" s="22"/>
      <c r="U127" s="22"/>
      <c r="V127" s="22"/>
      <c r="W127" s="22"/>
      <c r="Y127" s="21"/>
      <c r="Z127" s="21"/>
      <c r="AA127" s="21"/>
      <c r="AB127" s="13"/>
      <c r="AC127" s="2"/>
      <c r="AD127" s="13"/>
      <c r="AE127" s="2"/>
      <c r="AF127" s="9"/>
    </row>
    <row r="128" spans="1:32" x14ac:dyDescent="0.2">
      <c r="A128" s="17">
        <f t="shared" si="15"/>
        <v>127</v>
      </c>
      <c r="B128" s="5" t="s">
        <v>18</v>
      </c>
      <c r="C128" s="40" t="s">
        <v>111</v>
      </c>
      <c r="D128" s="29" t="s">
        <v>59</v>
      </c>
      <c r="E128" s="29">
        <v>5000023032</v>
      </c>
      <c r="G128">
        <f>0.278*12</f>
        <v>3.3360000000000003</v>
      </c>
      <c r="H128" s="24">
        <v>434</v>
      </c>
      <c r="I128" s="26">
        <f t="shared" si="27"/>
        <v>434</v>
      </c>
      <c r="J128" s="26"/>
      <c r="K128" s="29" t="s">
        <v>25</v>
      </c>
      <c r="L128" s="14">
        <f t="shared" ref="L128:L134" si="28">I128/G128</f>
        <v>130.09592326139088</v>
      </c>
      <c r="M128" s="48">
        <f t="shared" ref="M128:M134" si="29">H128/G128</f>
        <v>130.09592326139088</v>
      </c>
      <c r="N128" s="29" t="s">
        <v>39</v>
      </c>
      <c r="O128" s="29" t="s">
        <v>26</v>
      </c>
      <c r="P128" s="49">
        <v>0.26</v>
      </c>
      <c r="R128" s="12">
        <v>12</v>
      </c>
      <c r="S128" s="22"/>
      <c r="T128" s="22"/>
      <c r="U128" s="22"/>
      <c r="V128" s="22"/>
      <c r="W128" s="22"/>
      <c r="Y128" s="21"/>
      <c r="Z128" s="21"/>
      <c r="AA128" s="21"/>
      <c r="AB128" s="13"/>
      <c r="AC128" s="2"/>
      <c r="AD128" s="13"/>
      <c r="AF128" s="12">
        <v>12</v>
      </c>
    </row>
    <row r="129" spans="1:32" x14ac:dyDescent="0.2">
      <c r="A129" s="17">
        <f t="shared" si="15"/>
        <v>128</v>
      </c>
      <c r="B129" s="5" t="s">
        <v>18</v>
      </c>
      <c r="C129" s="40" t="s">
        <v>111</v>
      </c>
      <c r="D129" s="29" t="s">
        <v>59</v>
      </c>
      <c r="E129" s="29">
        <v>5000023031</v>
      </c>
      <c r="G129">
        <f>0.075*6</f>
        <v>0.44999999999999996</v>
      </c>
      <c r="H129" s="24">
        <v>139.27000000000001</v>
      </c>
      <c r="I129" s="26">
        <f t="shared" si="27"/>
        <v>139.27000000000001</v>
      </c>
      <c r="J129" s="26"/>
      <c r="K129" s="29" t="s">
        <v>25</v>
      </c>
      <c r="L129" s="14">
        <f t="shared" si="28"/>
        <v>309.48888888888894</v>
      </c>
      <c r="M129" s="48">
        <f t="shared" si="29"/>
        <v>309.48888888888894</v>
      </c>
      <c r="N129" s="29" t="s">
        <v>39</v>
      </c>
      <c r="O129" s="29" t="s">
        <v>26</v>
      </c>
      <c r="P129" s="49">
        <v>0.28000000000000003</v>
      </c>
      <c r="R129" s="12">
        <v>12</v>
      </c>
      <c r="S129" s="22"/>
      <c r="T129" s="22"/>
      <c r="U129" s="22"/>
      <c r="V129" s="22"/>
      <c r="W129" s="22"/>
      <c r="Y129" s="21"/>
      <c r="Z129" s="21"/>
      <c r="AA129" s="21"/>
      <c r="AB129" s="13"/>
      <c r="AC129" s="2"/>
      <c r="AD129" s="13"/>
      <c r="AE129" s="2"/>
      <c r="AF129" s="9"/>
    </row>
    <row r="130" spans="1:32" x14ac:dyDescent="0.2">
      <c r="A130" s="17">
        <f t="shared" si="15"/>
        <v>129</v>
      </c>
      <c r="B130" s="5" t="s">
        <v>18</v>
      </c>
      <c r="C130" s="40" t="s">
        <v>111</v>
      </c>
      <c r="D130" s="29" t="s">
        <v>59</v>
      </c>
      <c r="E130" s="29">
        <v>5000022875</v>
      </c>
      <c r="G130">
        <f>0.32*4</f>
        <v>1.28</v>
      </c>
      <c r="H130" s="24">
        <v>134.99</v>
      </c>
      <c r="I130" s="26">
        <f t="shared" si="27"/>
        <v>134.99</v>
      </c>
      <c r="J130" s="26"/>
      <c r="K130" s="29" t="s">
        <v>25</v>
      </c>
      <c r="L130" s="14">
        <f t="shared" si="28"/>
        <v>105.4609375</v>
      </c>
      <c r="M130" s="48">
        <f t="shared" si="29"/>
        <v>105.4609375</v>
      </c>
      <c r="N130" s="29" t="s">
        <v>39</v>
      </c>
      <c r="O130" s="29" t="s">
        <v>26</v>
      </c>
      <c r="P130" s="49">
        <v>0.26700000000000002</v>
      </c>
      <c r="R130" s="12">
        <v>12</v>
      </c>
      <c r="S130" s="22"/>
      <c r="T130" s="22"/>
      <c r="U130" s="22"/>
      <c r="V130" s="22"/>
      <c r="W130" s="22"/>
      <c r="Y130" s="21"/>
      <c r="Z130" s="21"/>
      <c r="AA130" s="21"/>
      <c r="AB130" s="13"/>
      <c r="AC130" s="2"/>
      <c r="AD130" s="13"/>
      <c r="AE130" s="2"/>
      <c r="AF130" s="9"/>
    </row>
    <row r="131" spans="1:32" x14ac:dyDescent="0.2">
      <c r="A131" s="17">
        <f t="shared" si="15"/>
        <v>130</v>
      </c>
      <c r="B131" s="5" t="s">
        <v>18</v>
      </c>
      <c r="C131" s="40" t="s">
        <v>111</v>
      </c>
      <c r="D131" s="29" t="s">
        <v>59</v>
      </c>
      <c r="E131" s="29">
        <v>5000022874</v>
      </c>
      <c r="G131">
        <f>0.425*6</f>
        <v>2.5499999999999998</v>
      </c>
      <c r="H131" s="24">
        <v>307.35000000000002</v>
      </c>
      <c r="I131" s="26">
        <f t="shared" si="27"/>
        <v>307.35000000000002</v>
      </c>
      <c r="J131" s="26"/>
      <c r="K131" s="29" t="s">
        <v>25</v>
      </c>
      <c r="L131" s="14">
        <f t="shared" si="28"/>
        <v>120.5294117647059</v>
      </c>
      <c r="M131" s="48">
        <f t="shared" si="29"/>
        <v>120.5294117647059</v>
      </c>
      <c r="N131" s="29" t="s">
        <v>39</v>
      </c>
      <c r="O131" s="29" t="s">
        <v>26</v>
      </c>
      <c r="P131" s="49">
        <v>0.17</v>
      </c>
      <c r="R131" s="12">
        <v>12</v>
      </c>
      <c r="S131" s="22"/>
      <c r="T131" s="22"/>
      <c r="U131" s="22"/>
      <c r="V131" s="22"/>
      <c r="W131" s="22"/>
      <c r="Y131" s="21"/>
      <c r="Z131" s="21"/>
      <c r="AA131" s="21"/>
      <c r="AB131" s="13"/>
      <c r="AC131" s="2"/>
      <c r="AD131" s="13"/>
      <c r="AE131" s="2"/>
      <c r="AF131" s="9"/>
    </row>
    <row r="132" spans="1:32" x14ac:dyDescent="0.2">
      <c r="A132" s="17">
        <f t="shared" ref="A132:A147" si="30">A131+1</f>
        <v>131</v>
      </c>
      <c r="B132" s="5" t="s">
        <v>46</v>
      </c>
      <c r="C132" s="40" t="s">
        <v>111</v>
      </c>
      <c r="D132" s="29" t="s">
        <v>134</v>
      </c>
      <c r="E132" s="29">
        <v>4200731628</v>
      </c>
      <c r="F132" s="11">
        <v>33</v>
      </c>
      <c r="G132">
        <v>3.03</v>
      </c>
      <c r="H132" s="24">
        <v>740</v>
      </c>
      <c r="I132" s="26">
        <v>309</v>
      </c>
      <c r="J132" s="26">
        <f>H132-I132</f>
        <v>431</v>
      </c>
      <c r="K132" s="29" t="s">
        <v>49</v>
      </c>
      <c r="L132" s="14">
        <f t="shared" si="28"/>
        <v>101.98019801980199</v>
      </c>
      <c r="M132" s="48">
        <f t="shared" si="29"/>
        <v>244.22442244224425</v>
      </c>
      <c r="N132" s="29" t="s">
        <v>50</v>
      </c>
      <c r="O132" s="29" t="s">
        <v>26</v>
      </c>
      <c r="P132" s="49">
        <v>0.3</v>
      </c>
      <c r="R132" s="12">
        <v>1</v>
      </c>
      <c r="S132" s="22"/>
      <c r="T132" s="22"/>
      <c r="U132" s="22"/>
      <c r="V132" s="22"/>
      <c r="W132" s="22"/>
      <c r="Y132" s="21"/>
      <c r="Z132" s="21"/>
      <c r="AA132" s="21"/>
      <c r="AB132" s="13"/>
      <c r="AC132" s="2"/>
      <c r="AD132" s="13"/>
      <c r="AE132" s="2"/>
      <c r="AF132" s="9"/>
    </row>
    <row r="133" spans="1:32" x14ac:dyDescent="0.2">
      <c r="A133" s="17">
        <f t="shared" si="30"/>
        <v>132</v>
      </c>
      <c r="B133" s="5" t="s">
        <v>44</v>
      </c>
      <c r="C133" s="40" t="s">
        <v>111</v>
      </c>
      <c r="D133" s="29" t="s">
        <v>135</v>
      </c>
      <c r="E133" s="29">
        <v>4200732101</v>
      </c>
      <c r="F133" s="11">
        <v>11</v>
      </c>
      <c r="G133">
        <v>2.9</v>
      </c>
      <c r="H133" s="24">
        <v>315</v>
      </c>
      <c r="I133" s="26">
        <v>181</v>
      </c>
      <c r="J133" s="26">
        <f>H133-I133</f>
        <v>134</v>
      </c>
      <c r="K133" s="29" t="s">
        <v>25</v>
      </c>
      <c r="L133" s="14">
        <f t="shared" si="28"/>
        <v>62.413793103448278</v>
      </c>
      <c r="M133" s="48">
        <f t="shared" si="29"/>
        <v>108.62068965517241</v>
      </c>
      <c r="N133" s="29" t="s">
        <v>45</v>
      </c>
      <c r="O133" s="29" t="s">
        <v>43</v>
      </c>
      <c r="P133" s="49">
        <v>0.14000000000000001</v>
      </c>
      <c r="R133" s="12">
        <v>1</v>
      </c>
      <c r="S133" s="22"/>
      <c r="T133" s="22"/>
      <c r="U133" s="22"/>
      <c r="V133" s="22"/>
      <c r="W133" s="22"/>
      <c r="Y133" s="21"/>
      <c r="Z133" s="21"/>
      <c r="AA133" s="21"/>
      <c r="AB133" s="13"/>
      <c r="AC133" s="2"/>
      <c r="AD133" s="13"/>
      <c r="AE133" s="2"/>
      <c r="AF133" s="9"/>
    </row>
    <row r="134" spans="1:32" x14ac:dyDescent="0.2">
      <c r="A134" s="17">
        <f t="shared" si="30"/>
        <v>133</v>
      </c>
      <c r="B134" s="5" t="s">
        <v>44</v>
      </c>
      <c r="C134" s="40" t="s">
        <v>111</v>
      </c>
      <c r="D134" s="29" t="s">
        <v>135</v>
      </c>
      <c r="E134" s="29">
        <v>4200731883</v>
      </c>
      <c r="F134" s="11">
        <v>11</v>
      </c>
      <c r="G134">
        <f>2.9*2</f>
        <v>5.8</v>
      </c>
      <c r="H134" s="24">
        <f>315*2</f>
        <v>630</v>
      </c>
      <c r="I134" s="26">
        <f>181*2</f>
        <v>362</v>
      </c>
      <c r="J134" s="26">
        <f>H134-I134</f>
        <v>268</v>
      </c>
      <c r="K134" s="29" t="s">
        <v>25</v>
      </c>
      <c r="L134" s="14">
        <f t="shared" si="28"/>
        <v>62.413793103448278</v>
      </c>
      <c r="M134" s="48">
        <f t="shared" si="29"/>
        <v>108.62068965517241</v>
      </c>
      <c r="N134" s="29" t="s">
        <v>45</v>
      </c>
      <c r="O134" s="29" t="s">
        <v>43</v>
      </c>
      <c r="P134" s="49">
        <v>0.14000000000000001</v>
      </c>
      <c r="R134" s="12">
        <v>1</v>
      </c>
      <c r="S134" s="22"/>
      <c r="T134" s="22"/>
      <c r="U134" s="22"/>
      <c r="V134" s="22"/>
      <c r="W134" s="22"/>
      <c r="Y134" s="21"/>
      <c r="Z134" s="21"/>
      <c r="AA134" s="21"/>
      <c r="AB134" s="13"/>
      <c r="AC134" s="2"/>
      <c r="AD134" s="13"/>
      <c r="AE134" s="2"/>
      <c r="AF134" s="9"/>
    </row>
    <row r="135" spans="1:32" x14ac:dyDescent="0.2">
      <c r="A135" s="17">
        <f t="shared" si="30"/>
        <v>134</v>
      </c>
      <c r="B135" s="5" t="s">
        <v>44</v>
      </c>
      <c r="C135" s="40" t="s">
        <v>111</v>
      </c>
      <c r="D135" s="29" t="s">
        <v>129</v>
      </c>
      <c r="E135" s="29">
        <v>2360044928</v>
      </c>
      <c r="G135">
        <f>0.5*11+0.61*6</f>
        <v>9.16</v>
      </c>
      <c r="H135" s="24">
        <v>725</v>
      </c>
      <c r="I135" s="26">
        <f t="shared" ref="I135:I143" si="31">H135</f>
        <v>725</v>
      </c>
      <c r="J135" s="26"/>
      <c r="K135" s="29" t="s">
        <v>147</v>
      </c>
      <c r="L135" s="14">
        <f>I135/G135</f>
        <v>79.148471615720524</v>
      </c>
      <c r="M135" s="48">
        <f>H135/G135</f>
        <v>79.148471615720524</v>
      </c>
      <c r="N135" s="29" t="s">
        <v>50</v>
      </c>
      <c r="O135" s="29" t="s">
        <v>26</v>
      </c>
      <c r="P135" s="49">
        <v>0.34</v>
      </c>
      <c r="R135" s="12">
        <v>11</v>
      </c>
      <c r="S135" s="22"/>
      <c r="T135" s="22"/>
      <c r="U135" s="22"/>
      <c r="V135" s="22"/>
      <c r="W135" s="22"/>
      <c r="Y135" s="21"/>
      <c r="Z135" s="21"/>
      <c r="AA135" s="21"/>
      <c r="AB135" s="13"/>
      <c r="AC135" s="2"/>
      <c r="AD135" s="13"/>
      <c r="AE135" s="2"/>
      <c r="AF135" s="9"/>
    </row>
    <row r="136" spans="1:32" x14ac:dyDescent="0.2">
      <c r="A136" s="17">
        <f t="shared" si="30"/>
        <v>135</v>
      </c>
      <c r="B136" s="5" t="s">
        <v>41</v>
      </c>
      <c r="C136" s="40" t="s">
        <v>111</v>
      </c>
      <c r="D136" s="29" t="s">
        <v>138</v>
      </c>
      <c r="E136" s="29">
        <v>2360044918</v>
      </c>
      <c r="G136">
        <f>0.529*10+0.259*3+0.515*20+0.316*3</f>
        <v>17.315000000000001</v>
      </c>
      <c r="H136" s="24">
        <v>1460</v>
      </c>
      <c r="I136" s="26">
        <f t="shared" si="31"/>
        <v>1460</v>
      </c>
      <c r="J136" s="26"/>
      <c r="K136" s="29" t="s">
        <v>25</v>
      </c>
      <c r="L136" s="14">
        <f>I136/G136</f>
        <v>84.319953797285578</v>
      </c>
      <c r="M136" s="48">
        <f>H136/G136</f>
        <v>84.319953797285578</v>
      </c>
      <c r="N136" s="29" t="s">
        <v>43</v>
      </c>
      <c r="O136" s="29" t="s">
        <v>43</v>
      </c>
      <c r="P136" s="49">
        <v>0.26</v>
      </c>
      <c r="R136" s="12">
        <v>11</v>
      </c>
      <c r="S136" s="22"/>
      <c r="T136" s="22"/>
      <c r="U136" s="22"/>
      <c r="V136" s="22"/>
      <c r="W136" s="22"/>
      <c r="Y136" s="21"/>
      <c r="Z136" s="21"/>
      <c r="AA136" s="21"/>
      <c r="AB136" s="13"/>
      <c r="AC136" s="2"/>
      <c r="AD136" s="13"/>
      <c r="AE136" s="2"/>
      <c r="AF136" s="9"/>
    </row>
    <row r="137" spans="1:32" x14ac:dyDescent="0.2">
      <c r="A137" s="17">
        <f t="shared" si="30"/>
        <v>136</v>
      </c>
      <c r="B137" s="5" t="s">
        <v>56</v>
      </c>
      <c r="C137" s="40" t="s">
        <v>111</v>
      </c>
      <c r="D137" s="29" t="s">
        <v>136</v>
      </c>
      <c r="E137" s="29">
        <v>2360044646</v>
      </c>
      <c r="G137">
        <f>0.481*13+0.68*26</f>
        <v>23.933</v>
      </c>
      <c r="H137" s="24">
        <v>1437</v>
      </c>
      <c r="I137" s="26">
        <f t="shared" si="31"/>
        <v>1437</v>
      </c>
      <c r="J137" s="26"/>
      <c r="K137" s="29" t="s">
        <v>147</v>
      </c>
      <c r="L137" s="14">
        <f>I137/G137</f>
        <v>60.042618977980197</v>
      </c>
      <c r="M137" s="48">
        <f>H137/G137</f>
        <v>60.042618977980197</v>
      </c>
      <c r="N137" s="29" t="s">
        <v>50</v>
      </c>
      <c r="O137" s="29" t="s">
        <v>26</v>
      </c>
      <c r="P137" s="49">
        <v>0.16</v>
      </c>
      <c r="R137" s="12">
        <v>11</v>
      </c>
      <c r="S137" s="22"/>
      <c r="T137" s="22"/>
      <c r="U137" s="22"/>
      <c r="V137" s="22"/>
      <c r="W137" s="22"/>
      <c r="Y137" s="21"/>
      <c r="Z137" s="21"/>
      <c r="AA137" s="21"/>
      <c r="AB137" s="13"/>
      <c r="AC137" s="2"/>
      <c r="AD137" s="13"/>
      <c r="AE137" s="2"/>
      <c r="AF137" s="9"/>
    </row>
    <row r="138" spans="1:32" x14ac:dyDescent="0.2">
      <c r="A138" s="17">
        <f t="shared" si="30"/>
        <v>137</v>
      </c>
      <c r="B138" s="5" t="s">
        <v>18</v>
      </c>
      <c r="C138" s="40" t="s">
        <v>111</v>
      </c>
      <c r="D138" s="29" t="s">
        <v>58</v>
      </c>
      <c r="E138" s="29">
        <v>5000023234</v>
      </c>
      <c r="H138" s="24">
        <v>508</v>
      </c>
      <c r="I138" s="26">
        <f t="shared" si="31"/>
        <v>508</v>
      </c>
      <c r="J138" s="26"/>
      <c r="K138" s="29" t="s">
        <v>25</v>
      </c>
      <c r="L138" s="14"/>
      <c r="M138" s="48"/>
      <c r="N138" s="29" t="s">
        <v>39</v>
      </c>
      <c r="O138" s="29" t="s">
        <v>26</v>
      </c>
      <c r="P138" s="49">
        <v>0.18</v>
      </c>
      <c r="R138" s="12">
        <v>12</v>
      </c>
      <c r="S138" s="22"/>
      <c r="T138" s="22"/>
      <c r="U138" s="22"/>
      <c r="V138" s="22"/>
      <c r="W138" s="22"/>
      <c r="Y138" s="21"/>
      <c r="Z138" s="21"/>
      <c r="AA138" s="21"/>
      <c r="AB138" s="13"/>
      <c r="AC138" s="2"/>
      <c r="AD138" s="13"/>
      <c r="AE138" s="2"/>
      <c r="AF138" s="9"/>
    </row>
    <row r="139" spans="1:32" x14ac:dyDescent="0.2">
      <c r="A139" s="17">
        <f t="shared" si="30"/>
        <v>138</v>
      </c>
      <c r="B139" s="5" t="s">
        <v>18</v>
      </c>
      <c r="C139" s="40" t="s">
        <v>111</v>
      </c>
      <c r="D139" s="29" t="s">
        <v>59</v>
      </c>
      <c r="E139" s="29">
        <v>5000023331</v>
      </c>
      <c r="G139">
        <f>0.133*6</f>
        <v>0.79800000000000004</v>
      </c>
      <c r="H139" s="24">
        <v>103</v>
      </c>
      <c r="I139" s="26">
        <f t="shared" si="31"/>
        <v>103</v>
      </c>
      <c r="J139" s="26"/>
      <c r="K139" s="29" t="s">
        <v>25</v>
      </c>
      <c r="L139" s="14">
        <f>I139/G139</f>
        <v>129.07268170426065</v>
      </c>
      <c r="M139" s="48">
        <f>H139/G139</f>
        <v>129.07268170426065</v>
      </c>
      <c r="N139" s="29" t="s">
        <v>39</v>
      </c>
      <c r="O139" s="29" t="s">
        <v>26</v>
      </c>
      <c r="P139" s="49">
        <v>0.24</v>
      </c>
      <c r="R139" s="12">
        <v>12</v>
      </c>
      <c r="S139" s="22"/>
      <c r="T139" s="22"/>
      <c r="U139" s="22"/>
      <c r="V139" s="22"/>
      <c r="W139" s="22"/>
      <c r="Y139" s="21"/>
      <c r="Z139" s="21"/>
      <c r="AA139" s="21"/>
      <c r="AB139" s="13"/>
      <c r="AC139" s="2"/>
      <c r="AD139" s="13"/>
      <c r="AE139" s="2"/>
      <c r="AF139" s="9"/>
    </row>
    <row r="140" spans="1:32" x14ac:dyDescent="0.2">
      <c r="A140" s="17">
        <f t="shared" si="30"/>
        <v>139</v>
      </c>
      <c r="B140" s="5" t="s">
        <v>18</v>
      </c>
      <c r="C140" s="40" t="s">
        <v>111</v>
      </c>
      <c r="D140" s="29" t="s">
        <v>59</v>
      </c>
      <c r="E140" s="29">
        <v>5000023330</v>
      </c>
      <c r="G140">
        <v>0.253</v>
      </c>
      <c r="H140" s="24">
        <v>33.36</v>
      </c>
      <c r="I140" s="26">
        <f t="shared" si="31"/>
        <v>33.36</v>
      </c>
      <c r="J140" s="26"/>
      <c r="K140" s="29" t="s">
        <v>25</v>
      </c>
      <c r="L140" s="14">
        <f>I140/G140</f>
        <v>131.85770750988141</v>
      </c>
      <c r="M140" s="48">
        <f>H140/G140</f>
        <v>131.85770750988141</v>
      </c>
      <c r="N140" s="29" t="s">
        <v>39</v>
      </c>
      <c r="O140" s="29" t="s">
        <v>26</v>
      </c>
      <c r="P140" s="49">
        <v>0.24</v>
      </c>
      <c r="R140" s="12">
        <v>12</v>
      </c>
      <c r="S140" s="22"/>
      <c r="T140" s="22"/>
      <c r="U140" s="22"/>
      <c r="V140" s="22"/>
      <c r="W140" s="22"/>
      <c r="Y140" s="21"/>
      <c r="Z140" s="21"/>
      <c r="AA140" s="21"/>
      <c r="AB140" s="13"/>
      <c r="AC140" s="2"/>
      <c r="AD140" s="13"/>
      <c r="AE140" s="2"/>
      <c r="AF140" s="9"/>
    </row>
    <row r="141" spans="1:32" x14ac:dyDescent="0.2">
      <c r="A141" s="17">
        <f t="shared" si="30"/>
        <v>140</v>
      </c>
      <c r="B141" s="5" t="s">
        <v>56</v>
      </c>
      <c r="C141" s="40" t="s">
        <v>111</v>
      </c>
      <c r="D141" s="29" t="s">
        <v>137</v>
      </c>
      <c r="E141" s="29">
        <v>2360044659</v>
      </c>
      <c r="G141">
        <f>0.663*3</f>
        <v>1.9890000000000001</v>
      </c>
      <c r="H141" s="24">
        <v>165</v>
      </c>
      <c r="I141" s="26">
        <f t="shared" si="31"/>
        <v>165</v>
      </c>
      <c r="J141" s="26"/>
      <c r="K141" s="29" t="s">
        <v>147</v>
      </c>
      <c r="L141" s="14">
        <f>I141/G141</f>
        <v>82.956259426847652</v>
      </c>
      <c r="M141" s="48">
        <f>H141/G141</f>
        <v>82.956259426847652</v>
      </c>
      <c r="N141" s="29" t="s">
        <v>26</v>
      </c>
      <c r="O141" s="29" t="s">
        <v>26</v>
      </c>
      <c r="P141" s="49">
        <v>0.32</v>
      </c>
      <c r="R141" s="12">
        <v>11</v>
      </c>
      <c r="S141" s="22"/>
      <c r="T141" s="22"/>
      <c r="U141" s="22"/>
      <c r="V141" s="22"/>
      <c r="W141" s="22"/>
      <c r="Y141" s="21"/>
      <c r="Z141" s="21"/>
      <c r="AA141" s="21"/>
      <c r="AB141" s="13"/>
      <c r="AC141" s="2"/>
      <c r="AD141" s="13"/>
      <c r="AE141" s="2"/>
      <c r="AF141" s="9"/>
    </row>
    <row r="142" spans="1:32" x14ac:dyDescent="0.2">
      <c r="A142" s="17">
        <f t="shared" si="30"/>
        <v>141</v>
      </c>
      <c r="B142" s="5" t="s">
        <v>44</v>
      </c>
      <c r="C142" s="40" t="s">
        <v>111</v>
      </c>
      <c r="D142" s="29" t="s">
        <v>68</v>
      </c>
      <c r="E142" s="29">
        <v>2360044905</v>
      </c>
      <c r="G142">
        <f>0.416*4</f>
        <v>1.6639999999999999</v>
      </c>
      <c r="H142" s="24">
        <v>158.4</v>
      </c>
      <c r="I142" s="26">
        <f t="shared" si="31"/>
        <v>158.4</v>
      </c>
      <c r="J142" s="26"/>
      <c r="K142" s="29" t="s">
        <v>147</v>
      </c>
      <c r="L142" s="14">
        <f>I142/G142</f>
        <v>95.192307692307693</v>
      </c>
      <c r="M142" s="48">
        <f>H142/G142</f>
        <v>95.192307692307693</v>
      </c>
      <c r="N142" s="29" t="s">
        <v>45</v>
      </c>
      <c r="O142" s="29" t="s">
        <v>43</v>
      </c>
      <c r="P142" s="49">
        <v>0.33</v>
      </c>
      <c r="R142" s="12">
        <v>11</v>
      </c>
      <c r="S142" s="22"/>
      <c r="T142" s="22"/>
      <c r="U142" s="22"/>
      <c r="V142" s="22"/>
      <c r="W142" s="22"/>
      <c r="Y142" s="21"/>
      <c r="Z142" s="21"/>
      <c r="AA142" s="21"/>
      <c r="AB142" s="13"/>
      <c r="AC142" s="2"/>
      <c r="AD142" s="13"/>
      <c r="AE142" s="2"/>
      <c r="AF142" s="9"/>
    </row>
    <row r="143" spans="1:32" x14ac:dyDescent="0.2">
      <c r="A143" s="17">
        <f t="shared" si="30"/>
        <v>142</v>
      </c>
      <c r="B143" s="5" t="s">
        <v>44</v>
      </c>
      <c r="C143" s="40" t="s">
        <v>111</v>
      </c>
      <c r="D143" s="29" t="s">
        <v>75</v>
      </c>
      <c r="E143" s="29">
        <v>2360044908</v>
      </c>
      <c r="G143">
        <f>0.242*1</f>
        <v>0.24199999999999999</v>
      </c>
      <c r="H143" s="24">
        <v>26.2</v>
      </c>
      <c r="I143" s="26">
        <f t="shared" si="31"/>
        <v>26.2</v>
      </c>
      <c r="J143" s="26"/>
      <c r="K143" s="29" t="s">
        <v>147</v>
      </c>
      <c r="L143" s="14">
        <f>I143/G143</f>
        <v>108.26446280991736</v>
      </c>
      <c r="M143" s="48">
        <f>H143/G143</f>
        <v>108.26446280991736</v>
      </c>
      <c r="N143" s="29" t="s">
        <v>45</v>
      </c>
      <c r="O143" s="29" t="s">
        <v>43</v>
      </c>
      <c r="P143" s="49">
        <v>0.38</v>
      </c>
      <c r="R143" s="12">
        <v>11</v>
      </c>
      <c r="S143" s="22"/>
      <c r="T143" s="22"/>
      <c r="U143" s="22"/>
      <c r="V143" s="22"/>
      <c r="W143" s="22"/>
      <c r="Y143" s="21"/>
      <c r="Z143" s="21"/>
      <c r="AA143" s="21"/>
      <c r="AB143" s="13"/>
      <c r="AC143" s="2"/>
      <c r="AD143" s="13"/>
      <c r="AE143" s="2"/>
      <c r="AF143" s="9"/>
    </row>
    <row r="144" spans="1:32" x14ac:dyDescent="0.2">
      <c r="A144" s="17">
        <f t="shared" si="30"/>
        <v>143</v>
      </c>
      <c r="B144" s="5" t="s">
        <v>56</v>
      </c>
      <c r="C144" s="40" t="s">
        <v>111</v>
      </c>
      <c r="D144" s="29" t="s">
        <v>139</v>
      </c>
      <c r="E144" s="29">
        <v>2360045086</v>
      </c>
      <c r="H144" s="24">
        <v>2011</v>
      </c>
      <c r="I144" s="26"/>
      <c r="J144" s="26">
        <f>H144</f>
        <v>2011</v>
      </c>
      <c r="K144" s="29" t="s">
        <v>25</v>
      </c>
      <c r="L144" s="14"/>
      <c r="M144" s="48"/>
      <c r="N144" s="29" t="s">
        <v>26</v>
      </c>
      <c r="O144" s="29" t="s">
        <v>26</v>
      </c>
      <c r="P144" s="49">
        <v>0.27</v>
      </c>
      <c r="R144" s="12">
        <v>15</v>
      </c>
      <c r="S144" s="22"/>
      <c r="T144" s="22"/>
      <c r="U144" s="22"/>
      <c r="V144" s="22"/>
      <c r="W144" s="22"/>
      <c r="Y144" s="21"/>
      <c r="Z144" s="21"/>
      <c r="AA144" s="21"/>
      <c r="AB144" s="13"/>
      <c r="AC144" s="2"/>
      <c r="AD144" s="13"/>
      <c r="AE144" s="2"/>
      <c r="AF144" s="9"/>
    </row>
    <row r="145" spans="1:32" x14ac:dyDescent="0.2">
      <c r="A145" s="17">
        <f t="shared" si="30"/>
        <v>144</v>
      </c>
      <c r="B145" s="5" t="s">
        <v>56</v>
      </c>
      <c r="C145" s="40" t="s">
        <v>111</v>
      </c>
      <c r="D145" s="29" t="s">
        <v>140</v>
      </c>
      <c r="E145" s="29">
        <v>2360045106</v>
      </c>
      <c r="G145">
        <f>0.2*12+0.067*18</f>
        <v>3.6060000000000003</v>
      </c>
      <c r="H145" s="24">
        <v>453</v>
      </c>
      <c r="I145" s="26">
        <f t="shared" ref="I145:I155" si="32">H145</f>
        <v>453</v>
      </c>
      <c r="J145" s="26"/>
      <c r="K145" s="29" t="s">
        <v>147</v>
      </c>
      <c r="L145" s="14">
        <f>I145/G145</f>
        <v>125.62396006655572</v>
      </c>
      <c r="M145" s="48">
        <f>H145/G145</f>
        <v>125.62396006655572</v>
      </c>
      <c r="N145" s="29" t="s">
        <v>50</v>
      </c>
      <c r="O145" s="29" t="s">
        <v>26</v>
      </c>
      <c r="P145" s="49">
        <v>0.19</v>
      </c>
      <c r="R145" s="12">
        <v>12</v>
      </c>
      <c r="S145" s="22"/>
      <c r="T145" s="22"/>
      <c r="U145" s="22"/>
      <c r="V145" s="22"/>
      <c r="W145" s="22"/>
      <c r="Y145" s="21"/>
      <c r="Z145" s="21"/>
      <c r="AA145" s="21"/>
      <c r="AB145" s="13"/>
      <c r="AC145" s="2"/>
      <c r="AD145" s="13"/>
      <c r="AE145" s="2"/>
      <c r="AF145" s="9"/>
    </row>
    <row r="146" spans="1:32" x14ac:dyDescent="0.2">
      <c r="A146" s="17">
        <f t="shared" si="30"/>
        <v>145</v>
      </c>
      <c r="B146" s="5" t="s">
        <v>56</v>
      </c>
      <c r="C146" s="40" t="s">
        <v>111</v>
      </c>
      <c r="D146" s="29" t="s">
        <v>107</v>
      </c>
      <c r="E146" s="29">
        <v>2360045140</v>
      </c>
      <c r="G146">
        <f>9*400/1000</f>
        <v>3.6</v>
      </c>
      <c r="H146" s="24">
        <v>316</v>
      </c>
      <c r="I146" s="26">
        <f t="shared" si="32"/>
        <v>316</v>
      </c>
      <c r="J146" s="26"/>
      <c r="K146" s="29" t="s">
        <v>147</v>
      </c>
      <c r="L146" s="14">
        <f>I146/G146</f>
        <v>87.777777777777771</v>
      </c>
      <c r="M146" s="48">
        <f>H146/G146</f>
        <v>87.777777777777771</v>
      </c>
      <c r="N146" s="29" t="s">
        <v>45</v>
      </c>
      <c r="O146" s="29" t="s">
        <v>43</v>
      </c>
      <c r="P146" s="49">
        <v>0.26</v>
      </c>
      <c r="R146" s="12">
        <v>11</v>
      </c>
      <c r="S146" s="22"/>
      <c r="T146" s="22"/>
      <c r="U146" s="22"/>
      <c r="V146" s="22"/>
      <c r="W146" s="22"/>
      <c r="Y146" s="21"/>
      <c r="Z146" s="21"/>
      <c r="AA146" s="21"/>
      <c r="AB146" s="13"/>
      <c r="AC146" s="2"/>
      <c r="AD146" s="13"/>
      <c r="AE146" s="2"/>
      <c r="AF146" s="9"/>
    </row>
    <row r="147" spans="1:32" x14ac:dyDescent="0.2">
      <c r="A147" s="17">
        <f t="shared" si="30"/>
        <v>146</v>
      </c>
      <c r="B147" s="39" t="s">
        <v>56</v>
      </c>
      <c r="C147" s="40" t="s">
        <v>145</v>
      </c>
      <c r="D147" s="29" t="s">
        <v>140</v>
      </c>
      <c r="E147" s="29">
        <v>2360045344</v>
      </c>
      <c r="G147">
        <f>0.45*6</f>
        <v>2.7</v>
      </c>
      <c r="H147" s="24">
        <f>229.5</f>
        <v>229.5</v>
      </c>
      <c r="I147" s="26">
        <f t="shared" si="32"/>
        <v>229.5</v>
      </c>
      <c r="J147" s="26"/>
      <c r="K147" s="29" t="s">
        <v>49</v>
      </c>
      <c r="L147" s="14">
        <f>I147/G147</f>
        <v>85</v>
      </c>
      <c r="M147" s="48">
        <f>H147/G147</f>
        <v>85</v>
      </c>
      <c r="N147" s="29" t="s">
        <v>50</v>
      </c>
      <c r="O147" s="29" t="s">
        <v>26</v>
      </c>
      <c r="P147" s="49">
        <v>0.16800000000000001</v>
      </c>
      <c r="R147" s="12">
        <v>11</v>
      </c>
      <c r="S147" s="22"/>
      <c r="T147" s="22"/>
      <c r="U147" s="22"/>
      <c r="V147" s="22"/>
      <c r="W147" s="22"/>
      <c r="Y147" s="21"/>
      <c r="Z147" s="21"/>
      <c r="AA147" s="21"/>
      <c r="AB147" s="13"/>
      <c r="AC147" s="2"/>
      <c r="AD147" s="13"/>
      <c r="AE147" s="2"/>
      <c r="AF147" s="9"/>
    </row>
    <row r="148" spans="1:32" x14ac:dyDescent="0.2">
      <c r="A148" s="17">
        <v>147</v>
      </c>
      <c r="B148" s="39" t="s">
        <v>56</v>
      </c>
      <c r="C148" s="40" t="s">
        <v>145</v>
      </c>
      <c r="D148" s="29" t="s">
        <v>146</v>
      </c>
      <c r="E148" s="29">
        <v>2360045421</v>
      </c>
      <c r="H148" s="24">
        <v>36</v>
      </c>
      <c r="I148" s="26">
        <f t="shared" si="32"/>
        <v>36</v>
      </c>
      <c r="J148" s="26"/>
      <c r="K148" s="29" t="s">
        <v>147</v>
      </c>
      <c r="L148" s="14"/>
      <c r="M148" s="48"/>
      <c r="N148" s="29" t="s">
        <v>26</v>
      </c>
      <c r="O148" s="29" t="s">
        <v>26</v>
      </c>
      <c r="P148" s="49">
        <v>0.2</v>
      </c>
      <c r="R148" s="12">
        <v>12</v>
      </c>
      <c r="S148" s="22"/>
      <c r="T148" s="22"/>
      <c r="U148" s="22"/>
      <c r="V148" s="22"/>
      <c r="W148" s="22"/>
      <c r="Y148" s="21"/>
      <c r="Z148" s="21"/>
      <c r="AA148" s="21"/>
      <c r="AB148" s="13"/>
      <c r="AC148" s="2"/>
      <c r="AD148" s="13"/>
      <c r="AE148" s="2"/>
      <c r="AF148" s="9"/>
    </row>
    <row r="149" spans="1:32" x14ac:dyDescent="0.2">
      <c r="A149" s="17">
        <v>148</v>
      </c>
      <c r="B149" s="39" t="s">
        <v>44</v>
      </c>
      <c r="C149" s="40" t="s">
        <v>145</v>
      </c>
      <c r="D149" s="29" t="s">
        <v>102</v>
      </c>
      <c r="E149" s="29">
        <v>2360045505</v>
      </c>
      <c r="H149" s="24">
        <v>82.5</v>
      </c>
      <c r="I149" s="26">
        <f t="shared" si="32"/>
        <v>82.5</v>
      </c>
      <c r="J149" s="26"/>
      <c r="K149" s="29" t="s">
        <v>147</v>
      </c>
      <c r="L149" s="14"/>
      <c r="M149" s="48"/>
      <c r="N149" s="29" t="s">
        <v>50</v>
      </c>
      <c r="O149" s="29" t="s">
        <v>26</v>
      </c>
      <c r="P149" s="49">
        <v>0.22</v>
      </c>
      <c r="R149" s="12">
        <v>12</v>
      </c>
      <c r="S149" s="22"/>
      <c r="T149" s="22"/>
      <c r="U149" s="22"/>
      <c r="V149" s="22"/>
      <c r="W149" s="22"/>
      <c r="Y149" s="21"/>
      <c r="Z149" s="21"/>
      <c r="AA149" s="21"/>
      <c r="AB149" s="13"/>
      <c r="AC149" s="2"/>
      <c r="AD149" s="13"/>
      <c r="AE149" s="2"/>
      <c r="AF149" s="9"/>
    </row>
    <row r="150" spans="1:32" x14ac:dyDescent="0.2">
      <c r="A150" s="17">
        <v>149</v>
      </c>
      <c r="B150" s="39" t="s">
        <v>41</v>
      </c>
      <c r="C150" s="40" t="s">
        <v>145</v>
      </c>
      <c r="D150" s="29" t="s">
        <v>148</v>
      </c>
      <c r="E150" s="29">
        <v>2360045476</v>
      </c>
      <c r="G150">
        <f>0.422</f>
        <v>0.42199999999999999</v>
      </c>
      <c r="H150" s="24">
        <v>43.56</v>
      </c>
      <c r="I150" s="26">
        <f t="shared" si="32"/>
        <v>43.56</v>
      </c>
      <c r="J150" s="26"/>
      <c r="K150" s="29" t="s">
        <v>147</v>
      </c>
      <c r="L150" s="14">
        <f>I150/G150</f>
        <v>103.22274881516589</v>
      </c>
      <c r="M150" s="48">
        <f>H150/G150</f>
        <v>103.22274881516589</v>
      </c>
      <c r="N150" s="29" t="s">
        <v>50</v>
      </c>
      <c r="O150" s="29" t="s">
        <v>26</v>
      </c>
      <c r="P150" s="49">
        <v>0.3</v>
      </c>
      <c r="R150" s="12">
        <v>11</v>
      </c>
      <c r="S150" s="22"/>
      <c r="T150" s="22"/>
      <c r="U150" s="22"/>
      <c r="V150" s="22"/>
      <c r="W150" s="22"/>
      <c r="Y150" s="21"/>
      <c r="Z150" s="21"/>
      <c r="AA150" s="21"/>
      <c r="AB150" s="13"/>
      <c r="AC150" s="2"/>
      <c r="AD150" s="13"/>
      <c r="AE150" s="2"/>
      <c r="AF150" s="9"/>
    </row>
    <row r="151" spans="1:32" x14ac:dyDescent="0.2">
      <c r="A151" s="17">
        <v>150</v>
      </c>
      <c r="B151" s="39" t="s">
        <v>56</v>
      </c>
      <c r="C151" s="40" t="s">
        <v>145</v>
      </c>
      <c r="D151" s="29" t="s">
        <v>75</v>
      </c>
      <c r="E151" s="29">
        <v>2360045468</v>
      </c>
      <c r="G151">
        <v>0.41599999999999998</v>
      </c>
      <c r="H151" s="24">
        <v>39.5</v>
      </c>
      <c r="I151" s="26">
        <f t="shared" si="32"/>
        <v>39.5</v>
      </c>
      <c r="J151" s="26"/>
      <c r="K151" s="29" t="s">
        <v>147</v>
      </c>
      <c r="L151" s="14">
        <f>I151/G151</f>
        <v>94.95192307692308</v>
      </c>
      <c r="M151" s="48">
        <f>H151/G151</f>
        <v>94.95192307692308</v>
      </c>
      <c r="N151" s="29" t="s">
        <v>50</v>
      </c>
      <c r="O151" s="29" t="s">
        <v>26</v>
      </c>
      <c r="P151" s="49">
        <v>0.27</v>
      </c>
      <c r="R151" s="12">
        <v>11</v>
      </c>
      <c r="S151" s="22"/>
      <c r="T151" s="22"/>
      <c r="U151" s="22"/>
      <c r="V151" s="22"/>
      <c r="W151" s="22"/>
      <c r="Y151" s="21"/>
      <c r="Z151" s="21"/>
      <c r="AA151" s="21"/>
      <c r="AB151" s="13"/>
      <c r="AC151" s="2"/>
      <c r="AD151" s="13"/>
      <c r="AE151" s="2"/>
      <c r="AF151" s="9"/>
    </row>
    <row r="152" spans="1:32" x14ac:dyDescent="0.2">
      <c r="A152" s="17">
        <v>151</v>
      </c>
      <c r="B152" s="39" t="s">
        <v>56</v>
      </c>
      <c r="C152" s="40" t="s">
        <v>145</v>
      </c>
      <c r="D152" s="57" t="s">
        <v>150</v>
      </c>
      <c r="E152" s="29">
        <v>4200747203</v>
      </c>
      <c r="F152" s="11">
        <v>11</v>
      </c>
      <c r="G152">
        <v>17.399999999999999</v>
      </c>
      <c r="H152" s="24">
        <v>1260</v>
      </c>
      <c r="I152" s="26">
        <f t="shared" si="32"/>
        <v>1260</v>
      </c>
      <c r="J152" s="26"/>
      <c r="K152" s="29" t="s">
        <v>149</v>
      </c>
      <c r="L152" s="14">
        <f>I152/G152</f>
        <v>72.413793103448285</v>
      </c>
      <c r="M152" s="48">
        <f>H152/G152</f>
        <v>72.413793103448285</v>
      </c>
      <c r="N152" s="29" t="s">
        <v>45</v>
      </c>
      <c r="O152" s="29" t="s">
        <v>43</v>
      </c>
      <c r="P152" s="49">
        <v>0.16400000000000001</v>
      </c>
      <c r="R152" s="12">
        <v>1</v>
      </c>
      <c r="S152" s="22"/>
      <c r="T152" s="22"/>
      <c r="U152" s="22"/>
      <c r="V152" s="22"/>
      <c r="W152" s="22"/>
      <c r="Y152" s="21"/>
      <c r="Z152" s="21"/>
      <c r="AA152" s="21"/>
      <c r="AB152" s="13"/>
      <c r="AC152" s="2"/>
      <c r="AD152" s="13"/>
      <c r="AE152" s="2"/>
      <c r="AF152" s="9"/>
    </row>
    <row r="153" spans="1:32" x14ac:dyDescent="0.2">
      <c r="A153" s="17">
        <v>152</v>
      </c>
      <c r="B153" s="39" t="s">
        <v>18</v>
      </c>
      <c r="C153" s="40" t="s">
        <v>145</v>
      </c>
      <c r="D153" s="57" t="s">
        <v>58</v>
      </c>
      <c r="E153" s="29">
        <v>5000023858</v>
      </c>
      <c r="H153" s="24">
        <v>543.58000000000004</v>
      </c>
      <c r="I153" s="26">
        <f t="shared" si="32"/>
        <v>543.58000000000004</v>
      </c>
      <c r="J153" s="26"/>
      <c r="K153" s="29" t="s">
        <v>25</v>
      </c>
      <c r="L153" s="14"/>
      <c r="M153" s="48"/>
      <c r="N153" s="29" t="s">
        <v>39</v>
      </c>
      <c r="O153" s="29" t="s">
        <v>26</v>
      </c>
      <c r="P153" s="49">
        <v>0.22</v>
      </c>
      <c r="R153" s="12">
        <v>12</v>
      </c>
      <c r="S153" s="22"/>
      <c r="T153" s="22"/>
      <c r="U153" s="22"/>
      <c r="V153" s="22"/>
      <c r="W153" s="22"/>
      <c r="Y153" s="21"/>
      <c r="Z153" s="21"/>
      <c r="AA153" s="21"/>
      <c r="AB153" s="13"/>
      <c r="AC153" s="2"/>
      <c r="AD153" s="13"/>
      <c r="AE153" s="2"/>
      <c r="AF153" s="9"/>
    </row>
    <row r="154" spans="1:32" x14ac:dyDescent="0.2">
      <c r="A154" s="17">
        <v>153</v>
      </c>
      <c r="B154" s="39" t="s">
        <v>18</v>
      </c>
      <c r="C154" s="40" t="s">
        <v>145</v>
      </c>
      <c r="D154" s="57" t="s">
        <v>58</v>
      </c>
      <c r="E154" s="29">
        <v>5000023731</v>
      </c>
      <c r="H154" s="24">
        <v>893</v>
      </c>
      <c r="I154" s="26">
        <f t="shared" si="32"/>
        <v>893</v>
      </c>
      <c r="J154" s="26"/>
      <c r="K154" s="29" t="s">
        <v>25</v>
      </c>
      <c r="L154" s="14"/>
      <c r="M154" s="48"/>
      <c r="N154" s="29" t="s">
        <v>39</v>
      </c>
      <c r="O154" s="29" t="s">
        <v>26</v>
      </c>
      <c r="P154" s="49">
        <v>0.2</v>
      </c>
      <c r="R154" s="12">
        <v>12</v>
      </c>
      <c r="S154" s="22"/>
      <c r="T154" s="22"/>
      <c r="U154" s="22"/>
      <c r="V154" s="22"/>
      <c r="W154" s="22"/>
      <c r="Y154" s="21"/>
      <c r="Z154" s="21"/>
      <c r="AA154" s="21"/>
      <c r="AB154" s="13"/>
      <c r="AC154" s="2"/>
      <c r="AD154" s="13"/>
      <c r="AE154" s="2"/>
      <c r="AF154" s="9"/>
    </row>
    <row r="155" spans="1:32" x14ac:dyDescent="0.2">
      <c r="A155" s="17">
        <v>154</v>
      </c>
      <c r="B155" s="39" t="s">
        <v>18</v>
      </c>
      <c r="C155" s="40" t="s">
        <v>145</v>
      </c>
      <c r="D155" s="57" t="s">
        <v>59</v>
      </c>
      <c r="E155" s="29">
        <v>5000023716</v>
      </c>
      <c r="G155">
        <v>0.1</v>
      </c>
      <c r="H155" s="24">
        <v>29.86</v>
      </c>
      <c r="I155" s="26">
        <f t="shared" si="32"/>
        <v>29.86</v>
      </c>
      <c r="J155" s="26"/>
      <c r="K155" s="29" t="s">
        <v>25</v>
      </c>
      <c r="L155" s="14">
        <f>I155/G155</f>
        <v>298.59999999999997</v>
      </c>
      <c r="M155" s="48">
        <f>H155/G155</f>
        <v>298.59999999999997</v>
      </c>
      <c r="N155" s="29" t="s">
        <v>39</v>
      </c>
      <c r="O155" s="29" t="s">
        <v>26</v>
      </c>
      <c r="P155" s="49">
        <v>0.25</v>
      </c>
      <c r="R155" s="12">
        <v>12</v>
      </c>
      <c r="S155" s="22"/>
      <c r="T155" s="22"/>
      <c r="U155" s="22"/>
      <c r="V155" s="22"/>
      <c r="W155" s="22"/>
      <c r="Y155" s="21"/>
      <c r="Z155" s="21"/>
      <c r="AA155" s="21"/>
      <c r="AB155" s="13"/>
      <c r="AC155" s="2"/>
      <c r="AD155" s="13"/>
      <c r="AE155" s="2"/>
      <c r="AF155" s="9"/>
    </row>
    <row r="156" spans="1:32" x14ac:dyDescent="0.2">
      <c r="A156" s="17">
        <v>155</v>
      </c>
      <c r="B156" s="39" t="s">
        <v>18</v>
      </c>
      <c r="C156" s="40" t="s">
        <v>145</v>
      </c>
      <c r="D156" s="57" t="s">
        <v>59</v>
      </c>
      <c r="E156" s="29">
        <v>5000023717</v>
      </c>
      <c r="G156">
        <v>0.1</v>
      </c>
      <c r="H156" s="24">
        <v>29.86</v>
      </c>
      <c r="I156" s="26">
        <f>H156</f>
        <v>29.86</v>
      </c>
      <c r="J156" s="26"/>
      <c r="K156" s="29" t="s">
        <v>25</v>
      </c>
      <c r="L156" s="14">
        <f>I156/G156</f>
        <v>298.59999999999997</v>
      </c>
      <c r="M156" s="48">
        <f>H156/G156</f>
        <v>298.59999999999997</v>
      </c>
      <c r="N156" s="29" t="s">
        <v>39</v>
      </c>
      <c r="O156" s="29" t="s">
        <v>26</v>
      </c>
      <c r="P156" s="49">
        <v>0.25</v>
      </c>
      <c r="R156" s="12">
        <v>12</v>
      </c>
      <c r="S156" s="22"/>
      <c r="T156" s="22"/>
      <c r="U156" s="22"/>
      <c r="V156" s="22"/>
      <c r="W156" s="22"/>
      <c r="Y156" s="21"/>
      <c r="Z156" s="21"/>
      <c r="AA156" s="21"/>
      <c r="AB156" s="13"/>
      <c r="AC156" s="2"/>
      <c r="AD156" s="13"/>
      <c r="AE156" s="2"/>
      <c r="AF156" s="9"/>
    </row>
    <row r="157" spans="1:32" x14ac:dyDescent="0.2">
      <c r="A157" s="17">
        <v>156</v>
      </c>
      <c r="B157" s="39" t="s">
        <v>18</v>
      </c>
      <c r="C157" s="40" t="s">
        <v>145</v>
      </c>
      <c r="D157" s="57" t="s">
        <v>59</v>
      </c>
      <c r="E157" s="29">
        <v>5000023730</v>
      </c>
      <c r="G157">
        <f>0.2</f>
        <v>0.2</v>
      </c>
      <c r="H157" s="24">
        <v>40.72</v>
      </c>
      <c r="I157" s="26">
        <f>H157</f>
        <v>40.72</v>
      </c>
      <c r="J157" s="26"/>
      <c r="K157" s="29" t="s">
        <v>25</v>
      </c>
      <c r="L157" s="14">
        <f>I157/G157</f>
        <v>203.6</v>
      </c>
      <c r="M157" s="48">
        <f>H157/G157</f>
        <v>203.6</v>
      </c>
      <c r="N157" s="29" t="s">
        <v>39</v>
      </c>
      <c r="O157" s="29" t="s">
        <v>26</v>
      </c>
      <c r="P157" s="49">
        <v>0.34</v>
      </c>
      <c r="R157" s="12">
        <v>12</v>
      </c>
      <c r="S157" s="22"/>
      <c r="T157" s="22"/>
      <c r="U157" s="22"/>
      <c r="V157" s="22"/>
      <c r="W157" s="22"/>
      <c r="Y157" s="21"/>
      <c r="Z157" s="21"/>
      <c r="AA157" s="21"/>
      <c r="AB157" s="13"/>
      <c r="AC157" s="2"/>
      <c r="AD157" s="13"/>
      <c r="AE157" s="2"/>
      <c r="AF157" s="9"/>
    </row>
    <row r="158" spans="1:32" x14ac:dyDescent="0.2">
      <c r="A158" s="17">
        <v>157</v>
      </c>
      <c r="B158" s="39" t="s">
        <v>18</v>
      </c>
      <c r="C158" s="40" t="s">
        <v>145</v>
      </c>
      <c r="D158" s="29" t="s">
        <v>109</v>
      </c>
      <c r="E158" s="29">
        <v>5000023892</v>
      </c>
      <c r="G158">
        <v>0.68</v>
      </c>
      <c r="H158" s="24">
        <v>110.27</v>
      </c>
      <c r="I158" s="26">
        <f>H158</f>
        <v>110.27</v>
      </c>
      <c r="J158" s="26"/>
      <c r="K158" s="29" t="s">
        <v>25</v>
      </c>
      <c r="L158" s="14">
        <f>I158/G158</f>
        <v>162.16176470588235</v>
      </c>
      <c r="M158" s="48">
        <f>H158/G158</f>
        <v>162.16176470588235</v>
      </c>
      <c r="N158" s="29" t="s">
        <v>39</v>
      </c>
      <c r="O158" s="29" t="s">
        <v>26</v>
      </c>
      <c r="P158" s="49">
        <v>0.28000000000000003</v>
      </c>
      <c r="R158" s="12">
        <v>12</v>
      </c>
      <c r="S158" s="22"/>
      <c r="T158" s="22"/>
      <c r="U158" s="22"/>
      <c r="V158" s="22"/>
      <c r="W158" s="22"/>
      <c r="Y158" s="21"/>
      <c r="Z158" s="21"/>
      <c r="AA158" s="21"/>
      <c r="AB158" s="13"/>
      <c r="AC158" s="2"/>
      <c r="AD158" s="13"/>
      <c r="AE158" s="2"/>
      <c r="AF158" s="9"/>
    </row>
    <row r="159" spans="1:32" x14ac:dyDescent="0.2">
      <c r="A159" s="17">
        <v>158</v>
      </c>
      <c r="B159" s="39" t="s">
        <v>44</v>
      </c>
      <c r="C159" s="40" t="s">
        <v>145</v>
      </c>
      <c r="D159" s="29" t="s">
        <v>151</v>
      </c>
      <c r="E159" s="29">
        <v>2360045685</v>
      </c>
      <c r="H159" s="24">
        <v>69.825000000000003</v>
      </c>
      <c r="I159" s="26">
        <f>H159</f>
        <v>69.825000000000003</v>
      </c>
      <c r="J159" s="26"/>
      <c r="K159" s="29" t="s">
        <v>25</v>
      </c>
      <c r="L159" s="14"/>
      <c r="M159" s="48"/>
      <c r="N159" s="29" t="s">
        <v>50</v>
      </c>
      <c r="O159" s="29" t="s">
        <v>26</v>
      </c>
      <c r="P159" s="49">
        <v>0.36</v>
      </c>
      <c r="R159" s="12">
        <v>12</v>
      </c>
      <c r="S159" s="22"/>
      <c r="T159" s="22"/>
      <c r="U159" s="22"/>
      <c r="V159" s="22"/>
      <c r="W159" s="22"/>
      <c r="Y159" s="21"/>
      <c r="Z159" s="21"/>
      <c r="AA159" s="21"/>
      <c r="AB159" s="13"/>
      <c r="AC159" s="2"/>
      <c r="AD159" s="13"/>
      <c r="AE159" s="2"/>
      <c r="AF159" s="9"/>
    </row>
    <row r="160" spans="1:32" x14ac:dyDescent="0.2">
      <c r="A160" s="17">
        <v>159</v>
      </c>
      <c r="B160" s="39" t="s">
        <v>98</v>
      </c>
      <c r="C160" s="40" t="s">
        <v>145</v>
      </c>
      <c r="D160" s="29" t="s">
        <v>152</v>
      </c>
      <c r="E160" s="29">
        <v>2360045702</v>
      </c>
      <c r="G160">
        <f>0.115+0.227</f>
        <v>0.34200000000000003</v>
      </c>
      <c r="H160" s="24">
        <v>42.2</v>
      </c>
      <c r="I160" s="26">
        <f>H160</f>
        <v>42.2</v>
      </c>
      <c r="J160" s="26"/>
      <c r="K160" s="29" t="s">
        <v>25</v>
      </c>
      <c r="L160" s="14">
        <f>I160/G160</f>
        <v>123.39181286549707</v>
      </c>
      <c r="M160" s="48">
        <f>H160/G160</f>
        <v>123.39181286549707</v>
      </c>
      <c r="N160" s="29" t="s">
        <v>50</v>
      </c>
      <c r="O160" s="29" t="s">
        <v>26</v>
      </c>
      <c r="P160" s="49">
        <v>0.25</v>
      </c>
      <c r="R160" s="12">
        <v>11</v>
      </c>
      <c r="S160" s="22"/>
      <c r="T160" s="22"/>
      <c r="U160" s="22"/>
      <c r="V160" s="22"/>
      <c r="W160" s="22"/>
      <c r="Y160" s="21"/>
      <c r="Z160" s="21"/>
      <c r="AA160" s="21"/>
      <c r="AB160" s="13"/>
      <c r="AC160" s="2"/>
      <c r="AD160" s="13"/>
      <c r="AE160" s="2"/>
      <c r="AF160" s="9"/>
    </row>
    <row r="161" spans="1:32" x14ac:dyDescent="0.2">
      <c r="A161" s="17">
        <v>160</v>
      </c>
      <c r="B161" s="39" t="s">
        <v>46</v>
      </c>
      <c r="C161" s="40" t="s">
        <v>145</v>
      </c>
      <c r="D161" s="29" t="s">
        <v>153</v>
      </c>
      <c r="E161" s="29">
        <v>4200733887</v>
      </c>
      <c r="F161" s="11">
        <v>132</v>
      </c>
      <c r="G161">
        <v>53</v>
      </c>
      <c r="H161" s="24">
        <v>5742</v>
      </c>
      <c r="I161" s="26">
        <v>2655</v>
      </c>
      <c r="J161" s="26">
        <f>H161-I161</f>
        <v>3087</v>
      </c>
      <c r="K161" s="29" t="s">
        <v>49</v>
      </c>
      <c r="L161" s="14">
        <f>I161/G161</f>
        <v>50.094339622641506</v>
      </c>
      <c r="M161" s="48">
        <f>H161/G161</f>
        <v>108.33962264150944</v>
      </c>
      <c r="N161" s="29" t="s">
        <v>45</v>
      </c>
      <c r="O161" s="29" t="s">
        <v>43</v>
      </c>
      <c r="P161" s="49">
        <v>0.106</v>
      </c>
      <c r="R161" s="12">
        <v>4</v>
      </c>
      <c r="S161" s="22"/>
      <c r="T161" s="22"/>
      <c r="U161" s="22"/>
      <c r="V161" s="22"/>
      <c r="W161" s="22"/>
      <c r="Y161" s="21"/>
      <c r="Z161" s="21"/>
      <c r="AA161" s="21"/>
      <c r="AB161" s="13"/>
      <c r="AC161" s="2"/>
      <c r="AD161" s="13"/>
      <c r="AE161" s="2"/>
      <c r="AF161" s="9"/>
    </row>
    <row r="162" spans="1:32" x14ac:dyDescent="0.2">
      <c r="A162" s="17">
        <v>161</v>
      </c>
      <c r="B162" s="39" t="s">
        <v>44</v>
      </c>
      <c r="C162" s="40" t="s">
        <v>145</v>
      </c>
      <c r="D162" s="29" t="s">
        <v>129</v>
      </c>
      <c r="E162" s="29">
        <v>2360045726</v>
      </c>
      <c r="G162">
        <f>500*42/1000</f>
        <v>21</v>
      </c>
      <c r="H162" s="24">
        <v>1596</v>
      </c>
      <c r="I162" s="26">
        <f t="shared" ref="I162:I168" si="33">H162</f>
        <v>1596</v>
      </c>
      <c r="J162" s="26"/>
      <c r="K162" s="29" t="s">
        <v>25</v>
      </c>
      <c r="L162" s="14">
        <f>I162/G162</f>
        <v>76</v>
      </c>
      <c r="M162" s="48"/>
      <c r="N162" s="29" t="s">
        <v>50</v>
      </c>
      <c r="O162" s="29" t="s">
        <v>26</v>
      </c>
      <c r="P162" s="49">
        <v>0.25</v>
      </c>
      <c r="R162" s="12">
        <v>11</v>
      </c>
      <c r="S162" s="22"/>
      <c r="T162" s="22"/>
      <c r="U162" s="22"/>
      <c r="V162" s="22"/>
      <c r="W162" s="22"/>
      <c r="Y162" s="21"/>
      <c r="Z162" s="21"/>
      <c r="AA162" s="21"/>
      <c r="AB162" s="13"/>
      <c r="AC162" s="2"/>
      <c r="AD162" s="13"/>
      <c r="AE162" s="2"/>
      <c r="AF162" s="9"/>
    </row>
    <row r="163" spans="1:32" x14ac:dyDescent="0.2">
      <c r="A163" s="17">
        <v>162</v>
      </c>
      <c r="B163" s="39" t="s">
        <v>44</v>
      </c>
      <c r="C163" s="40" t="s">
        <v>145</v>
      </c>
      <c r="D163" s="29" t="s">
        <v>68</v>
      </c>
      <c r="E163" s="29">
        <v>2360045729</v>
      </c>
      <c r="G163">
        <f>402.5*15/1000</f>
        <v>6.0374999999999996</v>
      </c>
      <c r="H163" s="24">
        <v>540</v>
      </c>
      <c r="I163" s="26">
        <f t="shared" si="33"/>
        <v>540</v>
      </c>
      <c r="J163" s="26"/>
      <c r="K163" s="29" t="s">
        <v>25</v>
      </c>
      <c r="L163" s="14">
        <f>I163/G163</f>
        <v>89.440993788819881</v>
      </c>
      <c r="M163" s="48"/>
      <c r="N163" s="29" t="s">
        <v>45</v>
      </c>
      <c r="O163" s="29" t="s">
        <v>43</v>
      </c>
      <c r="P163" s="49">
        <v>0.27</v>
      </c>
      <c r="R163" s="12">
        <v>11</v>
      </c>
      <c r="S163" s="22"/>
      <c r="T163" s="22"/>
      <c r="U163" s="22"/>
      <c r="V163" s="22"/>
      <c r="W163" s="22"/>
      <c r="Y163" s="21"/>
      <c r="Z163" s="21"/>
      <c r="AA163" s="21"/>
      <c r="AB163" s="13"/>
      <c r="AC163" s="2"/>
      <c r="AD163" s="13"/>
      <c r="AE163" s="2"/>
      <c r="AF163" s="9"/>
    </row>
    <row r="164" spans="1:32" x14ac:dyDescent="0.2">
      <c r="A164" s="17">
        <v>163</v>
      </c>
      <c r="B164" s="39" t="s">
        <v>18</v>
      </c>
      <c r="C164" s="40" t="s">
        <v>145</v>
      </c>
      <c r="D164" s="29" t="s">
        <v>58</v>
      </c>
      <c r="E164" s="29">
        <v>5000023882</v>
      </c>
      <c r="H164" s="24">
        <v>444.57</v>
      </c>
      <c r="I164" s="26">
        <f t="shared" si="33"/>
        <v>444.57</v>
      </c>
      <c r="J164" s="26"/>
      <c r="K164" s="29" t="s">
        <v>25</v>
      </c>
      <c r="L164" s="14"/>
      <c r="M164" s="48"/>
      <c r="N164" s="29" t="s">
        <v>39</v>
      </c>
      <c r="O164" s="29" t="s">
        <v>26</v>
      </c>
      <c r="P164" s="49">
        <v>0.23</v>
      </c>
      <c r="R164" s="12">
        <v>12</v>
      </c>
      <c r="S164" s="22"/>
      <c r="T164" s="22"/>
      <c r="U164" s="22"/>
      <c r="V164" s="22"/>
      <c r="W164" s="22"/>
      <c r="Y164" s="21"/>
      <c r="Z164" s="21"/>
      <c r="AA164" s="21"/>
      <c r="AB164" s="13"/>
      <c r="AC164" s="2"/>
      <c r="AD164" s="13"/>
      <c r="AE164" s="2"/>
      <c r="AF164" s="9"/>
    </row>
    <row r="165" spans="1:32" x14ac:dyDescent="0.2">
      <c r="A165" s="17">
        <v>164</v>
      </c>
      <c r="B165" s="39" t="s">
        <v>46</v>
      </c>
      <c r="C165" s="40" t="s">
        <v>155</v>
      </c>
      <c r="D165" s="29" t="s">
        <v>157</v>
      </c>
      <c r="E165" s="29">
        <v>4200753930</v>
      </c>
      <c r="F165" s="11">
        <v>33</v>
      </c>
      <c r="G165">
        <f>200*72*4/1000</f>
        <v>57.6</v>
      </c>
      <c r="H165" s="24">
        <v>5700</v>
      </c>
      <c r="I165" s="26">
        <f t="shared" si="33"/>
        <v>5700</v>
      </c>
      <c r="J165" s="26"/>
      <c r="K165" s="29" t="s">
        <v>49</v>
      </c>
      <c r="L165" s="14">
        <f t="shared" ref="L165:L170" si="34">I165/G165</f>
        <v>98.958333333333329</v>
      </c>
      <c r="M165" s="48">
        <f t="shared" ref="M165:M170" si="35">H165/G165</f>
        <v>98.958333333333329</v>
      </c>
      <c r="N165" s="29" t="s">
        <v>45</v>
      </c>
      <c r="O165" s="29" t="s">
        <v>43</v>
      </c>
      <c r="P165" s="49">
        <v>0.15260000000000001</v>
      </c>
      <c r="R165" s="12">
        <v>1</v>
      </c>
      <c r="S165" s="22"/>
      <c r="T165" s="22"/>
      <c r="U165" s="22"/>
      <c r="V165" s="22"/>
      <c r="W165" s="22"/>
      <c r="Y165" s="21"/>
      <c r="Z165" s="21"/>
      <c r="AA165" s="21"/>
      <c r="AB165" s="13"/>
      <c r="AC165" s="2"/>
      <c r="AD165" s="13"/>
      <c r="AE165" s="2"/>
      <c r="AF165" s="9"/>
    </row>
    <row r="166" spans="1:32" x14ac:dyDescent="0.2">
      <c r="A166" s="17">
        <v>165</v>
      </c>
      <c r="B166" s="39" t="s">
        <v>56</v>
      </c>
      <c r="C166" s="40" t="s">
        <v>155</v>
      </c>
      <c r="D166" s="29" t="s">
        <v>154</v>
      </c>
      <c r="E166" s="29">
        <v>2360046039</v>
      </c>
      <c r="G166">
        <f>2823*200/1000</f>
        <v>564.6</v>
      </c>
      <c r="H166" s="24">
        <v>33833</v>
      </c>
      <c r="I166" s="26">
        <f t="shared" si="33"/>
        <v>33833</v>
      </c>
      <c r="J166" s="26"/>
      <c r="K166" s="29" t="s">
        <v>49</v>
      </c>
      <c r="L166" s="14">
        <f t="shared" si="34"/>
        <v>59.923839886645411</v>
      </c>
      <c r="M166" s="48">
        <f t="shared" si="35"/>
        <v>59.923839886645411</v>
      </c>
      <c r="N166" s="29" t="s">
        <v>43</v>
      </c>
      <c r="O166" s="29" t="s">
        <v>43</v>
      </c>
      <c r="P166" s="49">
        <v>5.2900000000000003E-2</v>
      </c>
      <c r="R166" s="12">
        <v>11</v>
      </c>
      <c r="S166" s="22"/>
      <c r="T166" s="22"/>
      <c r="U166" s="22"/>
      <c r="V166" s="22"/>
      <c r="W166" s="22"/>
      <c r="Y166" s="21"/>
      <c r="Z166" s="21"/>
      <c r="AA166" s="21"/>
      <c r="AB166" s="13"/>
      <c r="AC166" s="2"/>
      <c r="AD166" s="13"/>
      <c r="AE166" s="2"/>
      <c r="AF166" s="9"/>
    </row>
    <row r="167" spans="1:32" x14ac:dyDescent="0.2">
      <c r="A167" s="17">
        <v>166</v>
      </c>
      <c r="B167" s="39" t="s">
        <v>18</v>
      </c>
      <c r="C167" s="40" t="s">
        <v>155</v>
      </c>
      <c r="D167" s="57" t="s">
        <v>59</v>
      </c>
      <c r="E167" s="29">
        <v>5000024004</v>
      </c>
      <c r="G167">
        <f>0.075*2+0.15</f>
        <v>0.3</v>
      </c>
      <c r="H167" s="24">
        <v>64.8</v>
      </c>
      <c r="I167" s="26">
        <f t="shared" si="33"/>
        <v>64.8</v>
      </c>
      <c r="J167" s="26"/>
      <c r="K167" s="29" t="s">
        <v>25</v>
      </c>
      <c r="L167" s="14">
        <f t="shared" si="34"/>
        <v>216</v>
      </c>
      <c r="M167" s="48">
        <f t="shared" si="35"/>
        <v>216</v>
      </c>
      <c r="N167" s="29" t="s">
        <v>39</v>
      </c>
      <c r="O167" s="29" t="s">
        <v>26</v>
      </c>
      <c r="P167" s="49">
        <v>0.32</v>
      </c>
      <c r="R167" s="12">
        <v>12</v>
      </c>
      <c r="S167" s="22"/>
      <c r="T167" s="22"/>
      <c r="U167" s="22"/>
      <c r="V167" s="22"/>
      <c r="W167" s="22"/>
      <c r="Y167" s="21"/>
      <c r="Z167" s="21"/>
      <c r="AA167" s="21"/>
      <c r="AB167" s="13"/>
      <c r="AC167" s="2"/>
      <c r="AD167" s="13"/>
      <c r="AE167" s="2"/>
      <c r="AF167" s="9"/>
    </row>
    <row r="168" spans="1:32" x14ac:dyDescent="0.2">
      <c r="A168" s="17">
        <v>167</v>
      </c>
      <c r="B168" s="39" t="s">
        <v>18</v>
      </c>
      <c r="C168" s="40" t="s">
        <v>155</v>
      </c>
      <c r="D168" s="57" t="s">
        <v>59</v>
      </c>
      <c r="E168" s="29">
        <v>5000024005</v>
      </c>
      <c r="G168" s="46">
        <f>0.121*2</f>
        <v>0.24199999999999999</v>
      </c>
      <c r="H168" s="24">
        <v>54.887</v>
      </c>
      <c r="I168" s="26">
        <f t="shared" si="33"/>
        <v>54.887</v>
      </c>
      <c r="J168" s="26"/>
      <c r="K168" s="29" t="s">
        <v>25</v>
      </c>
      <c r="L168" s="14">
        <f t="shared" si="34"/>
        <v>226.80578512396696</v>
      </c>
      <c r="M168" s="48">
        <f t="shared" si="35"/>
        <v>226.80578512396696</v>
      </c>
      <c r="N168" s="29" t="s">
        <v>39</v>
      </c>
      <c r="O168" s="29" t="s">
        <v>26</v>
      </c>
      <c r="P168" s="49">
        <v>0.28000000000000003</v>
      </c>
      <c r="R168" s="12">
        <v>12</v>
      </c>
      <c r="S168" s="22"/>
      <c r="T168" s="22"/>
      <c r="U168" s="22"/>
      <c r="V168" s="22"/>
      <c r="W168" s="22"/>
      <c r="Y168" s="21"/>
      <c r="Z168" s="21"/>
      <c r="AA168" s="21"/>
      <c r="AB168" s="13"/>
      <c r="AC168" s="2"/>
      <c r="AD168" s="13"/>
      <c r="AE168" s="2"/>
      <c r="AF168" s="9"/>
    </row>
    <row r="169" spans="1:32" x14ac:dyDescent="0.2">
      <c r="A169" s="17">
        <v>168</v>
      </c>
      <c r="B169" s="39" t="s">
        <v>46</v>
      </c>
      <c r="C169" s="40" t="s">
        <v>155</v>
      </c>
      <c r="D169" s="29" t="s">
        <v>158</v>
      </c>
      <c r="E169" s="29">
        <v>4200755492</v>
      </c>
      <c r="F169" s="58" t="s">
        <v>156</v>
      </c>
      <c r="G169">
        <f>(144*368*2+273*48*3)/1000</f>
        <v>145.29599999999999</v>
      </c>
      <c r="H169" s="24">
        <v>13000</v>
      </c>
      <c r="I169" s="26">
        <v>9400</v>
      </c>
      <c r="J169" s="26">
        <f>H169-I169</f>
        <v>3600</v>
      </c>
      <c r="K169" s="29" t="s">
        <v>49</v>
      </c>
      <c r="L169" s="14">
        <f t="shared" si="34"/>
        <v>64.69551811474507</v>
      </c>
      <c r="M169" s="48">
        <f t="shared" si="35"/>
        <v>89.47252505230702</v>
      </c>
      <c r="N169" s="29" t="s">
        <v>45</v>
      </c>
      <c r="O169" s="29" t="s">
        <v>43</v>
      </c>
      <c r="P169" s="49">
        <v>9.7500000000000003E-2</v>
      </c>
      <c r="R169" s="12">
        <v>4</v>
      </c>
      <c r="S169" s="22"/>
      <c r="T169" s="22"/>
      <c r="U169" s="22"/>
      <c r="V169" s="22"/>
      <c r="W169" s="22"/>
      <c r="Y169" s="21"/>
      <c r="Z169" s="21"/>
      <c r="AA169" s="21"/>
      <c r="AB169" s="13"/>
      <c r="AC169" s="2"/>
      <c r="AD169" s="13"/>
      <c r="AE169" s="2"/>
      <c r="AF169" s="9"/>
    </row>
    <row r="170" spans="1:32" x14ac:dyDescent="0.2">
      <c r="A170" s="17">
        <v>169</v>
      </c>
      <c r="B170" s="39" t="s">
        <v>56</v>
      </c>
      <c r="C170" s="40" t="s">
        <v>155</v>
      </c>
      <c r="D170" s="29" t="s">
        <v>159</v>
      </c>
      <c r="E170" s="29">
        <v>4200753660</v>
      </c>
      <c r="F170" s="11">
        <v>11</v>
      </c>
      <c r="G170">
        <v>3.27</v>
      </c>
      <c r="H170" s="24">
        <v>450</v>
      </c>
      <c r="I170" s="26">
        <v>296</v>
      </c>
      <c r="J170" s="26">
        <f>H170-I170</f>
        <v>154</v>
      </c>
      <c r="K170" s="29" t="s">
        <v>47</v>
      </c>
      <c r="L170" s="14">
        <f t="shared" si="34"/>
        <v>90.519877675840974</v>
      </c>
      <c r="M170" s="48">
        <f t="shared" si="35"/>
        <v>137.61467889908258</v>
      </c>
      <c r="N170" s="29" t="s">
        <v>50</v>
      </c>
      <c r="O170" s="29" t="s">
        <v>26</v>
      </c>
      <c r="P170" s="49">
        <v>0.246</v>
      </c>
      <c r="R170" s="12">
        <v>1</v>
      </c>
      <c r="S170" s="22"/>
      <c r="T170" s="22"/>
      <c r="U170" s="22"/>
      <c r="V170" s="22"/>
      <c r="W170" s="22"/>
      <c r="Y170" s="21"/>
      <c r="Z170" s="21"/>
      <c r="AA170" s="21"/>
      <c r="AB170" s="13"/>
      <c r="AC170" s="2"/>
      <c r="AD170" s="13"/>
      <c r="AE170" s="2"/>
      <c r="AF170" s="9"/>
    </row>
    <row r="171" spans="1:32" x14ac:dyDescent="0.2">
      <c r="A171" s="17">
        <v>170</v>
      </c>
      <c r="B171" s="39" t="s">
        <v>56</v>
      </c>
      <c r="C171" s="40" t="s">
        <v>155</v>
      </c>
      <c r="D171" s="29" t="s">
        <v>140</v>
      </c>
      <c r="E171" s="29">
        <v>2360046065</v>
      </c>
      <c r="H171" s="24">
        <v>99</v>
      </c>
      <c r="I171" s="26">
        <f t="shared" ref="I171:I178" si="36">H171</f>
        <v>99</v>
      </c>
      <c r="J171" s="26"/>
      <c r="K171" s="29" t="s">
        <v>25</v>
      </c>
      <c r="L171" s="14"/>
      <c r="M171" s="48"/>
      <c r="N171" s="29" t="s">
        <v>50</v>
      </c>
      <c r="O171" s="29" t="s">
        <v>26</v>
      </c>
      <c r="P171" s="49">
        <v>0.32</v>
      </c>
      <c r="R171" s="12">
        <v>12</v>
      </c>
      <c r="S171" s="22"/>
      <c r="T171" s="22"/>
      <c r="U171" s="22"/>
      <c r="V171" s="22"/>
      <c r="W171" s="22"/>
      <c r="Y171" s="21"/>
      <c r="Z171" s="21"/>
      <c r="AA171" s="21"/>
      <c r="AB171" s="13"/>
      <c r="AC171" s="2"/>
      <c r="AD171" s="13"/>
      <c r="AE171" s="2"/>
      <c r="AF171" s="9"/>
    </row>
    <row r="172" spans="1:32" x14ac:dyDescent="0.2">
      <c r="A172" s="17">
        <v>171</v>
      </c>
      <c r="B172" s="39" t="s">
        <v>44</v>
      </c>
      <c r="C172" s="40" t="s">
        <v>155</v>
      </c>
      <c r="D172" s="29" t="s">
        <v>160</v>
      </c>
      <c r="E172" s="29">
        <v>2360046082</v>
      </c>
      <c r="G172">
        <f>0.287*2</f>
        <v>0.57399999999999995</v>
      </c>
      <c r="H172" s="24">
        <v>55</v>
      </c>
      <c r="I172" s="26">
        <f t="shared" si="36"/>
        <v>55</v>
      </c>
      <c r="J172" s="26"/>
      <c r="K172" s="29" t="s">
        <v>25</v>
      </c>
      <c r="L172" s="14">
        <f t="shared" ref="L172:L177" si="37">I172/G172</f>
        <v>95.818815331010455</v>
      </c>
      <c r="M172" s="48">
        <f t="shared" ref="M172:M177" si="38">H172/G172</f>
        <v>95.818815331010455</v>
      </c>
      <c r="N172" s="29" t="s">
        <v>26</v>
      </c>
      <c r="O172" s="29" t="s">
        <v>26</v>
      </c>
      <c r="P172" s="49">
        <v>0.16</v>
      </c>
      <c r="R172" s="12">
        <v>11</v>
      </c>
      <c r="S172" s="22"/>
      <c r="T172" s="22"/>
      <c r="U172" s="22"/>
      <c r="V172" s="22"/>
      <c r="W172" s="22"/>
      <c r="Y172" s="21"/>
      <c r="Z172" s="21"/>
      <c r="AA172" s="21"/>
      <c r="AB172" s="13"/>
      <c r="AC172" s="2"/>
      <c r="AD172" s="13"/>
      <c r="AE172" s="2"/>
      <c r="AF172" s="9"/>
    </row>
    <row r="173" spans="1:32" x14ac:dyDescent="0.2">
      <c r="A173" s="17">
        <v>172</v>
      </c>
      <c r="B173" s="39" t="s">
        <v>18</v>
      </c>
      <c r="C173" s="40" t="s">
        <v>155</v>
      </c>
      <c r="D173" s="57" t="s">
        <v>59</v>
      </c>
      <c r="E173" s="29">
        <v>5000024349</v>
      </c>
      <c r="G173">
        <f>0.318*12</f>
        <v>3.8159999999999998</v>
      </c>
      <c r="H173" s="24">
        <v>460.75900000000001</v>
      </c>
      <c r="I173" s="26">
        <f t="shared" si="36"/>
        <v>460.75900000000001</v>
      </c>
      <c r="J173" s="26"/>
      <c r="K173" s="29" t="s">
        <v>25</v>
      </c>
      <c r="L173" s="14">
        <f t="shared" si="37"/>
        <v>120.74397274633125</v>
      </c>
      <c r="M173" s="48">
        <f t="shared" si="38"/>
        <v>120.74397274633125</v>
      </c>
      <c r="N173" s="29" t="s">
        <v>39</v>
      </c>
      <c r="O173" s="29" t="s">
        <v>26</v>
      </c>
      <c r="P173" s="49">
        <v>0.2</v>
      </c>
      <c r="R173" s="12">
        <v>12</v>
      </c>
      <c r="S173" s="22"/>
      <c r="T173" s="22"/>
      <c r="U173" s="22"/>
      <c r="V173" s="22"/>
      <c r="W173" s="22"/>
      <c r="Y173" s="21"/>
      <c r="Z173" s="21"/>
      <c r="AA173" s="21"/>
      <c r="AB173" s="13"/>
      <c r="AC173" s="2"/>
      <c r="AD173" s="13"/>
      <c r="AE173" s="2"/>
      <c r="AF173" s="9"/>
    </row>
    <row r="174" spans="1:32" x14ac:dyDescent="0.2">
      <c r="A174" s="17">
        <v>173</v>
      </c>
      <c r="B174" s="39" t="s">
        <v>18</v>
      </c>
      <c r="C174" s="40" t="s">
        <v>155</v>
      </c>
      <c r="D174" s="57" t="s">
        <v>59</v>
      </c>
      <c r="E174" s="29">
        <v>5000024351</v>
      </c>
      <c r="G174">
        <f>0.182*2*4</f>
        <v>1.456</v>
      </c>
      <c r="H174" s="24">
        <v>183.31200000000001</v>
      </c>
      <c r="I174" s="26">
        <f t="shared" si="36"/>
        <v>183.31200000000001</v>
      </c>
      <c r="J174" s="26"/>
      <c r="K174" s="29" t="s">
        <v>25</v>
      </c>
      <c r="L174" s="14">
        <f t="shared" si="37"/>
        <v>125.90109890109892</v>
      </c>
      <c r="M174" s="48">
        <f t="shared" si="38"/>
        <v>125.90109890109892</v>
      </c>
      <c r="N174" s="29" t="s">
        <v>39</v>
      </c>
      <c r="O174" s="29" t="s">
        <v>26</v>
      </c>
      <c r="P174" s="49">
        <v>0.35</v>
      </c>
      <c r="R174" s="12">
        <v>12</v>
      </c>
      <c r="S174" s="22"/>
      <c r="T174" s="22"/>
      <c r="U174" s="22"/>
      <c r="V174" s="22"/>
      <c r="W174" s="22"/>
      <c r="Y174" s="21"/>
      <c r="Z174" s="21"/>
      <c r="AA174" s="21"/>
      <c r="AB174" s="13"/>
      <c r="AC174" s="2"/>
      <c r="AD174" s="13"/>
      <c r="AE174" s="2"/>
      <c r="AF174" s="9"/>
    </row>
    <row r="175" spans="1:32" x14ac:dyDescent="0.2">
      <c r="A175" s="17">
        <v>174</v>
      </c>
      <c r="B175" s="39" t="s">
        <v>18</v>
      </c>
      <c r="C175" s="40" t="s">
        <v>155</v>
      </c>
      <c r="D175" s="57" t="s">
        <v>59</v>
      </c>
      <c r="E175" s="29">
        <v>5000024207</v>
      </c>
      <c r="G175">
        <v>0.28000000000000003</v>
      </c>
      <c r="H175" s="24">
        <v>43.932000000000002</v>
      </c>
      <c r="I175" s="26">
        <f t="shared" si="36"/>
        <v>43.932000000000002</v>
      </c>
      <c r="J175" s="26"/>
      <c r="K175" s="29" t="s">
        <v>25</v>
      </c>
      <c r="L175" s="14">
        <f t="shared" si="37"/>
        <v>156.9</v>
      </c>
      <c r="M175" s="48">
        <f t="shared" si="38"/>
        <v>156.9</v>
      </c>
      <c r="N175" s="29" t="s">
        <v>39</v>
      </c>
      <c r="O175" s="29" t="s">
        <v>26</v>
      </c>
      <c r="P175" s="49">
        <v>0.19</v>
      </c>
      <c r="R175" s="12">
        <v>12</v>
      </c>
      <c r="S175" s="22"/>
      <c r="T175" s="22"/>
      <c r="U175" s="22"/>
      <c r="V175" s="22"/>
      <c r="W175" s="22"/>
      <c r="Y175" s="21"/>
      <c r="Z175" s="21"/>
      <c r="AA175" s="21"/>
      <c r="AB175" s="13"/>
      <c r="AC175" s="2"/>
      <c r="AD175" s="13"/>
      <c r="AE175" s="2"/>
      <c r="AF175" s="9"/>
    </row>
    <row r="176" spans="1:32" x14ac:dyDescent="0.2">
      <c r="A176" s="17">
        <v>175</v>
      </c>
      <c r="B176" s="39" t="s">
        <v>44</v>
      </c>
      <c r="C176" s="40" t="s">
        <v>155</v>
      </c>
      <c r="D176" s="29" t="s">
        <v>68</v>
      </c>
      <c r="E176" s="29">
        <v>2360046193</v>
      </c>
      <c r="G176">
        <f>0.41667*4</f>
        <v>1.6666799999999999</v>
      </c>
      <c r="H176" s="24">
        <v>158.4</v>
      </c>
      <c r="I176" s="26">
        <f t="shared" si="36"/>
        <v>158.4</v>
      </c>
      <c r="J176" s="26"/>
      <c r="K176" s="29" t="s">
        <v>25</v>
      </c>
      <c r="L176" s="14">
        <f t="shared" si="37"/>
        <v>95.039239686082524</v>
      </c>
      <c r="M176" s="48">
        <f t="shared" si="38"/>
        <v>95.039239686082524</v>
      </c>
      <c r="N176" s="29" t="s">
        <v>45</v>
      </c>
      <c r="O176" s="29" t="s">
        <v>43</v>
      </c>
      <c r="P176" s="49">
        <v>0.35</v>
      </c>
      <c r="R176" s="12">
        <v>11</v>
      </c>
      <c r="S176" s="22"/>
      <c r="T176" s="22"/>
      <c r="U176" s="22"/>
      <c r="V176" s="22"/>
      <c r="W176" s="22"/>
      <c r="Y176" s="21"/>
      <c r="Z176" s="21"/>
      <c r="AA176" s="21"/>
      <c r="AB176" s="13"/>
      <c r="AC176" s="2"/>
      <c r="AD176" s="13"/>
      <c r="AE176" s="2"/>
      <c r="AF176" s="9"/>
    </row>
    <row r="177" spans="1:32" x14ac:dyDescent="0.2">
      <c r="A177" s="17">
        <v>176</v>
      </c>
      <c r="B177" s="39" t="s">
        <v>44</v>
      </c>
      <c r="C177" s="40" t="s">
        <v>155</v>
      </c>
      <c r="D177" s="29" t="s">
        <v>161</v>
      </c>
      <c r="E177" s="29">
        <v>4200760278</v>
      </c>
      <c r="G177">
        <v>2.9</v>
      </c>
      <c r="H177" s="24">
        <v>350</v>
      </c>
      <c r="I177" s="26">
        <f t="shared" si="36"/>
        <v>350</v>
      </c>
      <c r="J177" s="26"/>
      <c r="K177" s="29" t="s">
        <v>25</v>
      </c>
      <c r="L177" s="14">
        <f t="shared" si="37"/>
        <v>120.68965517241379</v>
      </c>
      <c r="M177" s="48">
        <f t="shared" si="38"/>
        <v>120.68965517241379</v>
      </c>
      <c r="N177" s="29" t="s">
        <v>45</v>
      </c>
      <c r="O177" s="29" t="s">
        <v>43</v>
      </c>
      <c r="P177" s="49">
        <v>0.153</v>
      </c>
      <c r="R177" s="12">
        <v>1</v>
      </c>
      <c r="S177" s="22"/>
      <c r="T177" s="22"/>
      <c r="U177" s="22"/>
      <c r="V177" s="22"/>
      <c r="W177" s="22"/>
      <c r="Y177" s="21"/>
      <c r="Z177" s="21"/>
      <c r="AA177" s="21"/>
      <c r="AB177" s="13"/>
      <c r="AC177" s="2"/>
      <c r="AD177" s="13"/>
      <c r="AE177" s="2"/>
      <c r="AF177" s="9"/>
    </row>
    <row r="178" spans="1:32" x14ac:dyDescent="0.2">
      <c r="A178" s="17">
        <v>177</v>
      </c>
      <c r="B178" s="39" t="s">
        <v>18</v>
      </c>
      <c r="C178" s="40" t="s">
        <v>162</v>
      </c>
      <c r="D178" s="57" t="s">
        <v>59</v>
      </c>
      <c r="E178" s="29">
        <v>5000024664</v>
      </c>
      <c r="G178">
        <f>0.075*12</f>
        <v>0.89999999999999991</v>
      </c>
      <c r="H178" s="24">
        <v>285</v>
      </c>
      <c r="I178" s="26">
        <f t="shared" si="36"/>
        <v>285</v>
      </c>
      <c r="J178" s="26"/>
      <c r="K178" s="29" t="s">
        <v>25</v>
      </c>
      <c r="L178" s="14">
        <f>I178/G178</f>
        <v>316.66666666666669</v>
      </c>
      <c r="M178" s="48">
        <f>H178/G178</f>
        <v>316.66666666666669</v>
      </c>
      <c r="N178" s="29" t="s">
        <v>39</v>
      </c>
      <c r="O178" s="29" t="s">
        <v>26</v>
      </c>
      <c r="P178" s="49">
        <v>0.25</v>
      </c>
      <c r="R178" s="12">
        <v>12</v>
      </c>
      <c r="S178" s="22"/>
      <c r="T178" s="22"/>
      <c r="U178" s="22"/>
      <c r="V178" s="22"/>
      <c r="W178" s="22"/>
      <c r="Y178" s="21"/>
      <c r="Z178" s="21"/>
      <c r="AA178" s="21"/>
      <c r="AB178" s="13"/>
      <c r="AC178" s="2"/>
      <c r="AD178" s="13"/>
      <c r="AE178" s="2"/>
      <c r="AF178" s="9"/>
    </row>
    <row r="179" spans="1:32" x14ac:dyDescent="0.2">
      <c r="A179" s="17">
        <v>178</v>
      </c>
      <c r="B179" s="39" t="s">
        <v>56</v>
      </c>
      <c r="C179" s="40" t="s">
        <v>162</v>
      </c>
      <c r="D179" s="29" t="s">
        <v>164</v>
      </c>
      <c r="E179" s="29">
        <v>4200762904</v>
      </c>
      <c r="F179" s="11">
        <v>33</v>
      </c>
      <c r="G179">
        <f>3.031*2</f>
        <v>6.0620000000000003</v>
      </c>
      <c r="H179" s="24">
        <v>2267</v>
      </c>
      <c r="I179" s="26">
        <v>1123</v>
      </c>
      <c r="J179" s="26">
        <f>H179-I179</f>
        <v>1144</v>
      </c>
      <c r="K179" s="29" t="s">
        <v>87</v>
      </c>
      <c r="L179" s="14">
        <f>I179/G179</f>
        <v>185.25239194985153</v>
      </c>
      <c r="M179" s="48">
        <f>H179/G179</f>
        <v>373.9689871329594</v>
      </c>
      <c r="N179" s="29" t="s">
        <v>50</v>
      </c>
      <c r="O179" s="29" t="s">
        <v>26</v>
      </c>
      <c r="P179" s="49">
        <v>0.22</v>
      </c>
      <c r="R179" s="12">
        <v>1</v>
      </c>
      <c r="S179" s="22"/>
      <c r="T179" s="22"/>
      <c r="U179" s="22"/>
      <c r="V179" s="22"/>
      <c r="W179" s="22"/>
      <c r="Y179" s="21"/>
      <c r="Z179" s="21"/>
      <c r="AA179" s="21"/>
      <c r="AB179" s="13"/>
      <c r="AC179" s="2"/>
      <c r="AD179" s="13"/>
      <c r="AE179" s="2"/>
      <c r="AF179" s="9"/>
    </row>
    <row r="180" spans="1:32" x14ac:dyDescent="0.2">
      <c r="A180" s="17">
        <v>179</v>
      </c>
      <c r="B180" s="39" t="s">
        <v>44</v>
      </c>
      <c r="C180" s="40" t="s">
        <v>162</v>
      </c>
      <c r="D180" s="29" t="s">
        <v>129</v>
      </c>
      <c r="E180" s="29">
        <v>2360046555</v>
      </c>
      <c r="G180">
        <f>0.833*72</f>
        <v>59.975999999999999</v>
      </c>
      <c r="H180" s="24">
        <v>4539</v>
      </c>
      <c r="I180" s="26">
        <f>H180</f>
        <v>4539</v>
      </c>
      <c r="J180" s="26"/>
      <c r="K180" s="29" t="s">
        <v>25</v>
      </c>
      <c r="L180" s="14">
        <f>I180/G180</f>
        <v>75.680272108843539</v>
      </c>
      <c r="M180" s="48">
        <f>H180/G180</f>
        <v>75.680272108843539</v>
      </c>
      <c r="N180" s="29" t="s">
        <v>50</v>
      </c>
      <c r="O180" s="29" t="s">
        <v>26</v>
      </c>
      <c r="P180" s="49">
        <v>0.28999999999999998</v>
      </c>
      <c r="R180" s="12">
        <v>11</v>
      </c>
      <c r="S180" s="22"/>
      <c r="T180" s="22"/>
      <c r="U180" s="22"/>
      <c r="V180" s="22"/>
      <c r="W180" s="22"/>
      <c r="Y180" s="21"/>
      <c r="Z180" s="21"/>
      <c r="AA180" s="21"/>
      <c r="AB180" s="13"/>
      <c r="AC180" s="2"/>
      <c r="AD180" s="13"/>
      <c r="AE180" s="2"/>
      <c r="AF180" s="9"/>
    </row>
    <row r="181" spans="1:32" x14ac:dyDescent="0.2">
      <c r="A181" s="17">
        <v>180</v>
      </c>
      <c r="B181" s="39" t="s">
        <v>61</v>
      </c>
      <c r="C181" s="40" t="s">
        <v>162</v>
      </c>
      <c r="D181" s="29" t="s">
        <v>130</v>
      </c>
      <c r="E181" s="29">
        <v>4200723505</v>
      </c>
      <c r="F181" s="11">
        <v>11</v>
      </c>
      <c r="H181" s="24">
        <v>600</v>
      </c>
      <c r="I181" s="26"/>
      <c r="J181" s="26">
        <f>H181-I181</f>
        <v>600</v>
      </c>
      <c r="K181" s="29" t="s">
        <v>49</v>
      </c>
      <c r="L181" s="14"/>
      <c r="M181" s="48"/>
      <c r="N181" s="29" t="s">
        <v>74</v>
      </c>
      <c r="O181" s="29" t="s">
        <v>26</v>
      </c>
      <c r="P181" s="49">
        <v>0.16</v>
      </c>
      <c r="R181" s="12">
        <v>6</v>
      </c>
      <c r="S181" s="22"/>
      <c r="T181" s="22"/>
      <c r="U181" s="22"/>
      <c r="V181" s="22"/>
      <c r="W181" s="22"/>
      <c r="Y181" s="21"/>
      <c r="Z181" s="21"/>
      <c r="AA181" s="21"/>
      <c r="AB181" s="13"/>
      <c r="AC181" s="2"/>
      <c r="AD181" s="13"/>
      <c r="AE181" s="2"/>
      <c r="AF181" s="9"/>
    </row>
    <row r="182" spans="1:32" x14ac:dyDescent="0.2">
      <c r="A182" s="17">
        <v>181</v>
      </c>
      <c r="B182" s="39" t="s">
        <v>44</v>
      </c>
      <c r="C182" s="40" t="s">
        <v>162</v>
      </c>
      <c r="D182" s="29" t="s">
        <v>68</v>
      </c>
      <c r="E182" s="29">
        <v>2360046591</v>
      </c>
      <c r="G182">
        <f>0.484*2</f>
        <v>0.96799999999999997</v>
      </c>
      <c r="H182" s="24">
        <v>92</v>
      </c>
      <c r="I182" s="26">
        <f>H182</f>
        <v>92</v>
      </c>
      <c r="J182" s="26"/>
      <c r="K182" s="29" t="s">
        <v>25</v>
      </c>
      <c r="L182" s="14">
        <f>I182/G182</f>
        <v>95.041322314049594</v>
      </c>
      <c r="M182" s="48">
        <f>H182/G182</f>
        <v>95.041322314049594</v>
      </c>
      <c r="N182" s="29" t="s">
        <v>45</v>
      </c>
      <c r="O182" s="29" t="s">
        <v>43</v>
      </c>
      <c r="P182" s="49">
        <v>0.3</v>
      </c>
      <c r="R182" s="12">
        <v>11</v>
      </c>
      <c r="S182" s="22"/>
      <c r="T182" s="22"/>
      <c r="U182" s="22"/>
      <c r="V182" s="22"/>
      <c r="W182" s="22"/>
      <c r="Y182" s="21"/>
      <c r="Z182" s="21"/>
      <c r="AA182" s="21"/>
      <c r="AB182" s="13"/>
      <c r="AC182" s="2"/>
      <c r="AD182" s="13"/>
      <c r="AE182" s="2"/>
      <c r="AF182" s="9"/>
    </row>
    <row r="183" spans="1:32" x14ac:dyDescent="0.2">
      <c r="A183" s="17">
        <v>182</v>
      </c>
      <c r="B183" s="39" t="s">
        <v>44</v>
      </c>
      <c r="C183" s="40" t="s">
        <v>162</v>
      </c>
      <c r="D183" s="29" t="s">
        <v>68</v>
      </c>
      <c r="E183" s="29">
        <v>2360046592</v>
      </c>
      <c r="G183">
        <f>0.416*4</f>
        <v>1.6639999999999999</v>
      </c>
      <c r="H183" s="24">
        <v>158</v>
      </c>
      <c r="I183" s="26">
        <f>H183</f>
        <v>158</v>
      </c>
      <c r="J183" s="26"/>
      <c r="K183" s="29" t="s">
        <v>25</v>
      </c>
      <c r="L183" s="14">
        <f>I183/G183</f>
        <v>94.95192307692308</v>
      </c>
      <c r="M183" s="48">
        <f>H183/G183</f>
        <v>94.95192307692308</v>
      </c>
      <c r="N183" s="29" t="s">
        <v>45</v>
      </c>
      <c r="O183" s="29" t="s">
        <v>43</v>
      </c>
      <c r="P183" s="49">
        <v>0.28000000000000003</v>
      </c>
      <c r="R183" s="12">
        <v>11</v>
      </c>
      <c r="S183" s="22"/>
      <c r="T183" s="22"/>
      <c r="U183" s="22"/>
      <c r="V183" s="22"/>
      <c r="W183" s="22"/>
      <c r="Y183" s="21"/>
      <c r="Z183" s="21"/>
      <c r="AA183" s="21"/>
      <c r="AB183" s="13"/>
      <c r="AC183" s="2"/>
      <c r="AD183" s="13"/>
      <c r="AE183" s="2"/>
      <c r="AF183" s="9"/>
    </row>
    <row r="184" spans="1:32" x14ac:dyDescent="0.2">
      <c r="A184" s="17">
        <v>183</v>
      </c>
      <c r="B184" s="39" t="s">
        <v>44</v>
      </c>
      <c r="C184" s="40" t="s">
        <v>162</v>
      </c>
      <c r="D184" s="29" t="s">
        <v>68</v>
      </c>
      <c r="E184" s="29">
        <v>2360046597</v>
      </c>
      <c r="G184">
        <f>0.416*5</f>
        <v>2.08</v>
      </c>
      <c r="H184" s="24">
        <v>198</v>
      </c>
      <c r="I184" s="26">
        <f>H184</f>
        <v>198</v>
      </c>
      <c r="J184" s="26"/>
      <c r="K184" s="29" t="s">
        <v>25</v>
      </c>
      <c r="L184" s="14">
        <f>I184/G184</f>
        <v>95.192307692307693</v>
      </c>
      <c r="M184" s="48">
        <f>H184/G184</f>
        <v>95.192307692307693</v>
      </c>
      <c r="N184" s="29" t="s">
        <v>45</v>
      </c>
      <c r="O184" s="29" t="s">
        <v>43</v>
      </c>
      <c r="P184" s="49">
        <v>0.28000000000000003</v>
      </c>
      <c r="R184" s="12">
        <v>11</v>
      </c>
      <c r="S184" s="22"/>
      <c r="T184" s="22"/>
      <c r="U184" s="22"/>
      <c r="V184" s="22"/>
      <c r="W184" s="22"/>
      <c r="Y184" s="21"/>
      <c r="Z184" s="21"/>
      <c r="AA184" s="21"/>
      <c r="AB184" s="13"/>
      <c r="AC184" s="2"/>
      <c r="AD184" s="13"/>
      <c r="AE184" s="2"/>
      <c r="AF184" s="9"/>
    </row>
    <row r="185" spans="1:32" x14ac:dyDescent="0.2">
      <c r="A185" s="17">
        <v>184</v>
      </c>
      <c r="B185" s="39" t="s">
        <v>44</v>
      </c>
      <c r="C185" s="40" t="s">
        <v>162</v>
      </c>
      <c r="D185" s="29" t="s">
        <v>165</v>
      </c>
      <c r="E185" s="29">
        <v>4200766240</v>
      </c>
      <c r="F185" s="11">
        <v>11</v>
      </c>
      <c r="G185">
        <f>2.9*5</f>
        <v>14.5</v>
      </c>
      <c r="H185" s="24">
        <v>1575</v>
      </c>
      <c r="I185" s="26">
        <v>916</v>
      </c>
      <c r="J185" s="26">
        <f>H185-I185</f>
        <v>659</v>
      </c>
      <c r="K185" s="29" t="s">
        <v>25</v>
      </c>
      <c r="L185" s="14">
        <f>I185/G185</f>
        <v>63.172413793103445</v>
      </c>
      <c r="M185" s="48">
        <f>H185/G185</f>
        <v>108.62068965517241</v>
      </c>
      <c r="N185" s="29" t="s">
        <v>45</v>
      </c>
      <c r="O185" s="29" t="s">
        <v>43</v>
      </c>
      <c r="P185" s="49">
        <v>0.14000000000000001</v>
      </c>
      <c r="R185" s="12">
        <v>1</v>
      </c>
      <c r="S185" s="22"/>
      <c r="T185" s="22"/>
      <c r="U185" s="22"/>
      <c r="V185" s="22"/>
      <c r="W185" s="22"/>
      <c r="Y185" s="21"/>
      <c r="Z185" s="21"/>
      <c r="AA185" s="21"/>
      <c r="AB185" s="13"/>
      <c r="AC185" s="2"/>
      <c r="AD185" s="13"/>
      <c r="AE185" s="2"/>
      <c r="AF185" s="9"/>
    </row>
    <row r="186" spans="1:32" x14ac:dyDescent="0.2">
      <c r="A186" s="17">
        <v>185</v>
      </c>
      <c r="B186" s="39" t="s">
        <v>18</v>
      </c>
      <c r="C186" s="40" t="s">
        <v>162</v>
      </c>
      <c r="D186" s="29" t="s">
        <v>58</v>
      </c>
      <c r="E186" s="29">
        <v>5000024668</v>
      </c>
      <c r="H186" s="24">
        <v>442.33</v>
      </c>
      <c r="I186" s="26">
        <f>H186</f>
        <v>442.33</v>
      </c>
      <c r="J186" s="26"/>
      <c r="K186" s="29" t="s">
        <v>25</v>
      </c>
      <c r="L186" s="14"/>
      <c r="M186" s="48"/>
      <c r="N186" s="29" t="s">
        <v>39</v>
      </c>
      <c r="O186" s="29" t="s">
        <v>26</v>
      </c>
      <c r="P186" s="49">
        <v>0.18</v>
      </c>
      <c r="R186" s="12">
        <v>12</v>
      </c>
      <c r="S186" s="22"/>
      <c r="T186" s="22"/>
      <c r="U186" s="22"/>
      <c r="V186" s="22"/>
      <c r="W186" s="22"/>
      <c r="Y186" s="21"/>
      <c r="Z186" s="21"/>
      <c r="AA186" s="21"/>
      <c r="AB186" s="13"/>
      <c r="AC186" s="2"/>
      <c r="AD186" s="13"/>
      <c r="AE186" s="2"/>
      <c r="AF186" s="9"/>
    </row>
    <row r="187" spans="1:32" x14ac:dyDescent="0.2">
      <c r="A187" s="17">
        <v>186</v>
      </c>
      <c r="B187" s="39" t="s">
        <v>18</v>
      </c>
      <c r="C187" s="40" t="s">
        <v>162</v>
      </c>
      <c r="D187" s="29" t="s">
        <v>58</v>
      </c>
      <c r="E187" s="29">
        <v>5000024432</v>
      </c>
      <c r="H187" s="24">
        <v>1293.82</v>
      </c>
      <c r="I187" s="26">
        <f>H187</f>
        <v>1293.82</v>
      </c>
      <c r="J187" s="26"/>
      <c r="K187" s="29" t="s">
        <v>25</v>
      </c>
      <c r="L187" s="14"/>
      <c r="M187" s="48"/>
      <c r="N187" s="29" t="s">
        <v>39</v>
      </c>
      <c r="O187" s="29" t="s">
        <v>26</v>
      </c>
      <c r="P187" s="49">
        <v>0.18</v>
      </c>
      <c r="R187" s="12">
        <v>12</v>
      </c>
      <c r="S187" s="22"/>
      <c r="T187" s="22"/>
      <c r="U187" s="22"/>
      <c r="V187" s="22"/>
      <c r="W187" s="22"/>
      <c r="Y187" s="21"/>
      <c r="Z187" s="21"/>
      <c r="AA187" s="21"/>
      <c r="AB187" s="13"/>
      <c r="AC187" s="2"/>
      <c r="AD187" s="13"/>
      <c r="AE187" s="2"/>
      <c r="AF187" s="9"/>
    </row>
    <row r="188" spans="1:32" x14ac:dyDescent="0.2">
      <c r="A188" s="17">
        <v>187</v>
      </c>
      <c r="B188" s="39" t="s">
        <v>18</v>
      </c>
      <c r="C188" s="40" t="s">
        <v>162</v>
      </c>
      <c r="D188" s="57" t="s">
        <v>59</v>
      </c>
      <c r="E188" s="29">
        <v>5000024665</v>
      </c>
      <c r="G188">
        <f>0.014*1</f>
        <v>1.4E-2</v>
      </c>
      <c r="H188" s="24">
        <v>37.74</v>
      </c>
      <c r="I188" s="26">
        <f>H188</f>
        <v>37.74</v>
      </c>
      <c r="J188" s="26"/>
      <c r="K188" s="29" t="s">
        <v>25</v>
      </c>
      <c r="L188" s="14">
        <f>I188/G188</f>
        <v>2695.7142857142858</v>
      </c>
      <c r="M188" s="48">
        <f>H188/G188</f>
        <v>2695.7142857142858</v>
      </c>
      <c r="N188" s="29" t="s">
        <v>39</v>
      </c>
      <c r="O188" s="29" t="s">
        <v>26</v>
      </c>
      <c r="P188" s="49">
        <v>0.34</v>
      </c>
      <c r="R188" s="12">
        <v>12</v>
      </c>
      <c r="S188" s="22"/>
      <c r="T188" s="22"/>
      <c r="U188" s="22"/>
      <c r="V188" s="22"/>
      <c r="W188" s="22"/>
      <c r="Y188" s="21"/>
      <c r="Z188" s="21"/>
      <c r="AA188" s="21"/>
      <c r="AB188" s="13"/>
      <c r="AC188" s="2"/>
      <c r="AD188" s="13"/>
      <c r="AE188" s="2"/>
      <c r="AF188" s="9"/>
    </row>
    <row r="189" spans="1:32" x14ac:dyDescent="0.2">
      <c r="A189" s="17">
        <v>188</v>
      </c>
      <c r="B189" s="39" t="s">
        <v>18</v>
      </c>
      <c r="C189" s="40" t="s">
        <v>162</v>
      </c>
      <c r="D189" s="57" t="s">
        <v>59</v>
      </c>
      <c r="E189" s="29">
        <v>5000024666</v>
      </c>
      <c r="G189">
        <f>0.1</f>
        <v>0.1</v>
      </c>
      <c r="H189" s="24">
        <v>22.89</v>
      </c>
      <c r="I189" s="26">
        <f>H189</f>
        <v>22.89</v>
      </c>
      <c r="J189" s="26"/>
      <c r="K189" s="29" t="s">
        <v>25</v>
      </c>
      <c r="L189" s="14">
        <f>I189/G189</f>
        <v>228.9</v>
      </c>
      <c r="M189" s="48">
        <f>H189/G189</f>
        <v>228.9</v>
      </c>
      <c r="N189" s="29" t="s">
        <v>39</v>
      </c>
      <c r="O189" s="29" t="s">
        <v>26</v>
      </c>
      <c r="P189" s="49">
        <v>0.37</v>
      </c>
      <c r="R189" s="12">
        <v>12</v>
      </c>
      <c r="S189" s="22"/>
      <c r="T189" s="22"/>
      <c r="U189" s="22"/>
      <c r="V189" s="22"/>
      <c r="W189" s="22"/>
      <c r="Y189" s="21"/>
      <c r="Z189" s="21"/>
      <c r="AA189" s="21"/>
      <c r="AB189" s="13"/>
      <c r="AC189" s="2"/>
      <c r="AD189" s="13"/>
      <c r="AE189" s="2"/>
      <c r="AF189" s="9"/>
    </row>
    <row r="190" spans="1:32" x14ac:dyDescent="0.2">
      <c r="A190" s="17">
        <v>189</v>
      </c>
      <c r="B190" s="39" t="s">
        <v>46</v>
      </c>
      <c r="C190" s="40" t="s">
        <v>162</v>
      </c>
      <c r="D190" s="29" t="s">
        <v>92</v>
      </c>
      <c r="E190" s="12">
        <v>4200684337</v>
      </c>
      <c r="F190" s="52"/>
      <c r="G190" s="53"/>
      <c r="H190" s="53">
        <v>700</v>
      </c>
      <c r="I190" s="14"/>
      <c r="J190" s="14">
        <f>H190-I190</f>
        <v>700</v>
      </c>
      <c r="K190" s="29" t="s">
        <v>49</v>
      </c>
      <c r="L190" s="14"/>
      <c r="M190" s="48"/>
      <c r="N190" s="29" t="s">
        <v>45</v>
      </c>
      <c r="O190" s="29" t="s">
        <v>43</v>
      </c>
      <c r="P190" s="28">
        <v>0.15279999999999999</v>
      </c>
      <c r="R190" s="12">
        <v>1</v>
      </c>
      <c r="S190" s="22"/>
      <c r="T190" s="22"/>
      <c r="U190" s="22"/>
      <c r="V190" s="22"/>
      <c r="W190" s="22"/>
      <c r="Y190" s="21"/>
      <c r="Z190" s="21"/>
      <c r="AA190" s="21"/>
      <c r="AB190" s="13"/>
      <c r="AC190" s="2"/>
      <c r="AD190" s="13"/>
      <c r="AE190" s="2"/>
      <c r="AF190" s="9"/>
    </row>
    <row r="191" spans="1:32" x14ac:dyDescent="0.2">
      <c r="A191" s="17">
        <v>190</v>
      </c>
      <c r="B191" s="39" t="s">
        <v>46</v>
      </c>
      <c r="C191" s="40" t="s">
        <v>162</v>
      </c>
      <c r="D191" s="29" t="s">
        <v>166</v>
      </c>
      <c r="E191" s="29">
        <v>4200540890</v>
      </c>
      <c r="G191">
        <v>12.25</v>
      </c>
      <c r="H191" s="24">
        <v>806.6</v>
      </c>
      <c r="I191" s="26">
        <f>H191</f>
        <v>806.6</v>
      </c>
      <c r="J191" s="26"/>
      <c r="K191" s="29" t="s">
        <v>87</v>
      </c>
      <c r="L191" s="14">
        <f>I191/G191</f>
        <v>65.844897959183669</v>
      </c>
      <c r="M191" s="48">
        <f>H191/G191</f>
        <v>65.844897959183669</v>
      </c>
      <c r="N191" s="29" t="s">
        <v>45</v>
      </c>
      <c r="O191" s="29" t="s">
        <v>43</v>
      </c>
      <c r="P191" s="49">
        <v>0.17</v>
      </c>
      <c r="R191" s="12">
        <v>11</v>
      </c>
      <c r="S191" s="22"/>
      <c r="T191" s="22"/>
      <c r="U191" s="22"/>
      <c r="V191" s="22"/>
      <c r="W191" s="22"/>
      <c r="Y191" s="21"/>
      <c r="Z191" s="21"/>
      <c r="AA191" s="21"/>
      <c r="AB191" s="13"/>
      <c r="AC191" s="2"/>
      <c r="AD191" s="13"/>
      <c r="AE191" s="2"/>
      <c r="AF191" s="9"/>
    </row>
    <row r="192" spans="1:32" x14ac:dyDescent="0.2">
      <c r="A192" s="17">
        <v>191</v>
      </c>
      <c r="B192" s="39" t="s">
        <v>41</v>
      </c>
      <c r="C192" s="40" t="s">
        <v>162</v>
      </c>
      <c r="D192" s="29" t="s">
        <v>163</v>
      </c>
      <c r="E192" s="29">
        <v>4200770986</v>
      </c>
      <c r="F192" s="11">
        <v>11</v>
      </c>
      <c r="G192">
        <v>3.66</v>
      </c>
      <c r="H192" s="24">
        <v>3448</v>
      </c>
      <c r="I192" s="26">
        <v>650</v>
      </c>
      <c r="J192" s="26">
        <f>H192-I192</f>
        <v>2798</v>
      </c>
      <c r="K192" s="29" t="s">
        <v>87</v>
      </c>
      <c r="L192" s="14">
        <f>I192/G192</f>
        <v>177.59562841530055</v>
      </c>
      <c r="M192" s="48">
        <f>H192/G192</f>
        <v>942.07650273224044</v>
      </c>
      <c r="N192" s="29" t="s">
        <v>26</v>
      </c>
      <c r="O192" s="29" t="s">
        <v>26</v>
      </c>
      <c r="P192" s="49">
        <v>0.23</v>
      </c>
      <c r="R192" s="12">
        <v>6</v>
      </c>
      <c r="S192" s="22"/>
      <c r="T192" s="22"/>
      <c r="U192" s="22"/>
      <c r="V192" s="22"/>
      <c r="W192" s="22"/>
      <c r="Y192" s="21"/>
      <c r="Z192" s="21"/>
      <c r="AA192" s="21"/>
      <c r="AB192" s="13"/>
      <c r="AC192" s="2"/>
      <c r="AD192" s="13"/>
      <c r="AE192" s="2"/>
      <c r="AF192" s="9"/>
    </row>
    <row r="193" spans="1:32" x14ac:dyDescent="0.2">
      <c r="A193" s="17">
        <v>192</v>
      </c>
      <c r="B193" s="39" t="s">
        <v>44</v>
      </c>
      <c r="C193" s="40" t="s">
        <v>162</v>
      </c>
      <c r="D193" s="29" t="s">
        <v>104</v>
      </c>
      <c r="E193" s="29">
        <v>2360047034</v>
      </c>
      <c r="H193" s="24">
        <v>261</v>
      </c>
      <c r="I193" s="26">
        <f t="shared" ref="I193:I210" si="39">H193</f>
        <v>261</v>
      </c>
      <c r="J193" s="26"/>
      <c r="K193" s="29" t="s">
        <v>167</v>
      </c>
      <c r="L193" s="14"/>
      <c r="M193" s="48"/>
      <c r="N193" s="29" t="s">
        <v>50</v>
      </c>
      <c r="O193" s="29" t="s">
        <v>26</v>
      </c>
      <c r="P193" s="49">
        <v>0.38</v>
      </c>
      <c r="R193" s="12">
        <v>12</v>
      </c>
      <c r="S193" s="22"/>
      <c r="T193" s="22"/>
      <c r="U193" s="22"/>
      <c r="V193" s="22"/>
      <c r="W193" s="22"/>
      <c r="Y193" s="21"/>
      <c r="Z193" s="21"/>
      <c r="AA193" s="21"/>
      <c r="AB193" s="13"/>
      <c r="AC193" s="2"/>
      <c r="AD193" s="13"/>
      <c r="AE193" s="2"/>
      <c r="AF193" s="9"/>
    </row>
    <row r="194" spans="1:32" x14ac:dyDescent="0.2">
      <c r="A194" s="17">
        <v>193</v>
      </c>
      <c r="B194" s="39" t="s">
        <v>46</v>
      </c>
      <c r="C194" s="40" t="s">
        <v>162</v>
      </c>
      <c r="D194" s="29" t="s">
        <v>166</v>
      </c>
      <c r="E194" s="29">
        <v>4200540890</v>
      </c>
      <c r="G194">
        <v>12.25</v>
      </c>
      <c r="H194" s="24">
        <v>806.6</v>
      </c>
      <c r="I194" s="26">
        <f t="shared" si="39"/>
        <v>806.6</v>
      </c>
      <c r="J194" s="26"/>
      <c r="K194" s="29" t="s">
        <v>87</v>
      </c>
      <c r="L194" s="14">
        <f>I194/G194</f>
        <v>65.844897959183669</v>
      </c>
      <c r="M194" s="48">
        <f>H194/G194</f>
        <v>65.844897959183669</v>
      </c>
      <c r="N194" s="29" t="s">
        <v>45</v>
      </c>
      <c r="O194" s="29" t="s">
        <v>43</v>
      </c>
      <c r="P194" s="49">
        <v>0.17</v>
      </c>
      <c r="R194" s="12">
        <v>11</v>
      </c>
      <c r="S194" s="22"/>
      <c r="T194" s="22"/>
      <c r="U194" s="22"/>
      <c r="V194" s="22"/>
      <c r="W194" s="22"/>
      <c r="Y194" s="21"/>
      <c r="Z194" s="21"/>
      <c r="AA194" s="21"/>
      <c r="AB194" s="13"/>
      <c r="AC194" s="2"/>
      <c r="AD194" s="13"/>
      <c r="AE194" s="2"/>
      <c r="AF194" s="9"/>
    </row>
    <row r="195" spans="1:32" x14ac:dyDescent="0.2">
      <c r="A195" s="17">
        <v>194</v>
      </c>
      <c r="B195" s="39" t="s">
        <v>18</v>
      </c>
      <c r="C195" s="40" t="s">
        <v>162</v>
      </c>
      <c r="D195" s="29" t="s">
        <v>58</v>
      </c>
      <c r="E195" s="29">
        <v>5000024990</v>
      </c>
      <c r="H195" s="24">
        <v>808</v>
      </c>
      <c r="I195" s="26">
        <f t="shared" si="39"/>
        <v>808</v>
      </c>
      <c r="J195" s="26"/>
      <c r="K195" s="29" t="s">
        <v>25</v>
      </c>
      <c r="L195" s="14"/>
      <c r="M195" s="48"/>
      <c r="N195" s="29" t="s">
        <v>39</v>
      </c>
      <c r="O195" s="29" t="s">
        <v>26</v>
      </c>
      <c r="P195" s="49">
        <v>0.18</v>
      </c>
      <c r="R195" s="12">
        <v>12</v>
      </c>
      <c r="S195" s="22"/>
      <c r="T195" s="22"/>
      <c r="U195" s="22"/>
      <c r="V195" s="22"/>
      <c r="W195" s="22"/>
      <c r="Y195" s="21"/>
      <c r="Z195" s="21"/>
      <c r="AA195" s="21"/>
      <c r="AB195" s="13"/>
      <c r="AC195" s="2"/>
      <c r="AD195" s="13"/>
      <c r="AE195" s="2"/>
      <c r="AF195" s="9"/>
    </row>
    <row r="196" spans="1:32" x14ac:dyDescent="0.2">
      <c r="A196" s="17">
        <v>195</v>
      </c>
      <c r="B196" s="39" t="s">
        <v>44</v>
      </c>
      <c r="C196" s="40" t="s">
        <v>162</v>
      </c>
      <c r="D196" s="29" t="s">
        <v>129</v>
      </c>
      <c r="E196" s="29">
        <v>2360046876</v>
      </c>
      <c r="G196">
        <f>0.06*2+0.12*2+0.3</f>
        <v>0.65999999999999992</v>
      </c>
      <c r="H196" s="24">
        <v>127.68</v>
      </c>
      <c r="I196" s="26">
        <f t="shared" si="39"/>
        <v>127.68</v>
      </c>
      <c r="J196" s="26"/>
      <c r="K196" s="29" t="s">
        <v>25</v>
      </c>
      <c r="L196" s="14">
        <f>I196/G196</f>
        <v>193.4545454545455</v>
      </c>
      <c r="M196" s="48">
        <f>H196/G196</f>
        <v>193.4545454545455</v>
      </c>
      <c r="N196" s="29" t="s">
        <v>50</v>
      </c>
      <c r="O196" s="29" t="s">
        <v>26</v>
      </c>
      <c r="P196" s="49">
        <v>0.28000000000000003</v>
      </c>
      <c r="R196" s="12">
        <v>11</v>
      </c>
      <c r="S196" s="22"/>
      <c r="T196" s="22"/>
      <c r="U196" s="22"/>
      <c r="V196" s="22"/>
      <c r="W196" s="22"/>
      <c r="Y196" s="21"/>
      <c r="Z196" s="21"/>
      <c r="AA196" s="21"/>
      <c r="AB196" s="13"/>
      <c r="AC196" s="2"/>
      <c r="AD196" s="13"/>
      <c r="AE196" s="2"/>
      <c r="AF196" s="9"/>
    </row>
    <row r="197" spans="1:32" x14ac:dyDescent="0.2">
      <c r="A197" s="17">
        <v>196</v>
      </c>
      <c r="B197" s="39" t="s">
        <v>18</v>
      </c>
      <c r="C197" s="40" t="s">
        <v>162</v>
      </c>
      <c r="D197" s="29" t="s">
        <v>58</v>
      </c>
      <c r="E197" s="29">
        <v>5000024990</v>
      </c>
      <c r="H197" s="24">
        <v>1293.3</v>
      </c>
      <c r="I197" s="26">
        <f t="shared" si="39"/>
        <v>1293.3</v>
      </c>
      <c r="J197" s="26"/>
      <c r="K197" s="29" t="s">
        <v>25</v>
      </c>
      <c r="L197" s="14"/>
      <c r="M197" s="48"/>
      <c r="N197" s="29" t="s">
        <v>39</v>
      </c>
      <c r="O197" s="29" t="s">
        <v>26</v>
      </c>
      <c r="P197" s="49">
        <v>0.17</v>
      </c>
      <c r="R197" s="12">
        <v>12</v>
      </c>
      <c r="S197" s="22"/>
      <c r="T197" s="22"/>
      <c r="U197" s="22"/>
      <c r="V197" s="22"/>
      <c r="W197" s="22"/>
      <c r="Y197" s="21"/>
      <c r="Z197" s="21"/>
      <c r="AA197" s="21"/>
      <c r="AB197" s="13"/>
      <c r="AC197" s="2"/>
      <c r="AD197" s="13"/>
      <c r="AE197" s="2"/>
      <c r="AF197" s="9"/>
    </row>
    <row r="198" spans="1:32" x14ac:dyDescent="0.2">
      <c r="A198" s="17">
        <v>197</v>
      </c>
      <c r="B198" s="39" t="s">
        <v>46</v>
      </c>
      <c r="C198" s="40" t="s">
        <v>162</v>
      </c>
      <c r="D198" s="29" t="s">
        <v>107</v>
      </c>
      <c r="E198" s="29">
        <v>2360046922</v>
      </c>
      <c r="G198">
        <f>0.343*4</f>
        <v>1.3720000000000001</v>
      </c>
      <c r="H198" s="24">
        <v>137.86000000000001</v>
      </c>
      <c r="I198" s="26">
        <f t="shared" si="39"/>
        <v>137.86000000000001</v>
      </c>
      <c r="J198" s="26"/>
      <c r="K198" s="29" t="s">
        <v>167</v>
      </c>
      <c r="L198" s="14">
        <f>I198/G198</f>
        <v>100.48104956268222</v>
      </c>
      <c r="M198" s="48">
        <f>H198/G198</f>
        <v>100.48104956268222</v>
      </c>
      <c r="N198" s="29" t="s">
        <v>45</v>
      </c>
      <c r="O198" s="29" t="s">
        <v>43</v>
      </c>
      <c r="P198" s="49">
        <v>0.21</v>
      </c>
      <c r="R198" s="12">
        <v>11</v>
      </c>
      <c r="S198" s="22"/>
      <c r="T198" s="22"/>
      <c r="U198" s="22"/>
      <c r="V198" s="22"/>
      <c r="W198" s="22"/>
      <c r="Y198" s="21"/>
      <c r="Z198" s="21"/>
      <c r="AA198" s="21"/>
      <c r="AB198" s="13"/>
      <c r="AC198" s="2"/>
      <c r="AD198" s="13"/>
      <c r="AE198" s="2"/>
      <c r="AF198" s="9"/>
    </row>
    <row r="199" spans="1:32" x14ac:dyDescent="0.2">
      <c r="A199" s="17">
        <v>198</v>
      </c>
      <c r="B199" s="39" t="s">
        <v>18</v>
      </c>
      <c r="C199" s="40" t="s">
        <v>162</v>
      </c>
      <c r="D199" s="29" t="s">
        <v>109</v>
      </c>
      <c r="E199" s="29">
        <v>5000024788</v>
      </c>
      <c r="G199">
        <f>0.25*2</f>
        <v>0.5</v>
      </c>
      <c r="H199" s="24">
        <v>52.62</v>
      </c>
      <c r="I199" s="26">
        <f t="shared" si="39"/>
        <v>52.62</v>
      </c>
      <c r="J199" s="26"/>
      <c r="K199" s="29" t="s">
        <v>25</v>
      </c>
      <c r="L199" s="14">
        <f>I199/G199</f>
        <v>105.24</v>
      </c>
      <c r="M199" s="48">
        <f>H199/G199</f>
        <v>105.24</v>
      </c>
      <c r="N199" s="29" t="s">
        <v>168</v>
      </c>
      <c r="O199" s="29" t="s">
        <v>43</v>
      </c>
      <c r="P199" s="49">
        <v>0.14499999999999999</v>
      </c>
      <c r="R199" s="12">
        <v>11</v>
      </c>
      <c r="S199" s="22"/>
      <c r="T199" s="22"/>
      <c r="U199" s="22"/>
      <c r="V199" s="22"/>
      <c r="W199" s="22"/>
      <c r="Y199" s="21"/>
      <c r="Z199" s="21"/>
      <c r="AA199" s="21"/>
      <c r="AB199" s="13"/>
      <c r="AC199" s="2"/>
      <c r="AD199" s="13"/>
      <c r="AE199" s="2"/>
      <c r="AF199" s="9"/>
    </row>
    <row r="200" spans="1:32" x14ac:dyDescent="0.2">
      <c r="A200" s="17">
        <v>199</v>
      </c>
      <c r="B200" s="39" t="s">
        <v>18</v>
      </c>
      <c r="C200" s="40" t="s">
        <v>162</v>
      </c>
      <c r="D200" s="29" t="s">
        <v>58</v>
      </c>
      <c r="E200" s="29">
        <v>5000025030</v>
      </c>
      <c r="H200" s="24">
        <v>1713</v>
      </c>
      <c r="I200" s="26">
        <f t="shared" si="39"/>
        <v>1713</v>
      </c>
      <c r="J200" s="26"/>
      <c r="K200" s="29" t="s">
        <v>25</v>
      </c>
      <c r="L200" s="14"/>
      <c r="M200" s="48"/>
      <c r="N200" s="29" t="s">
        <v>39</v>
      </c>
      <c r="O200" s="29" t="s">
        <v>26</v>
      </c>
      <c r="P200" s="49">
        <v>0.17</v>
      </c>
      <c r="R200" s="12">
        <v>12</v>
      </c>
      <c r="S200" s="22"/>
      <c r="T200" s="22"/>
      <c r="U200" s="22"/>
      <c r="V200" s="22"/>
      <c r="W200" s="22"/>
      <c r="Y200" s="21"/>
      <c r="Z200" s="21"/>
      <c r="AA200" s="21"/>
      <c r="AB200" s="13"/>
      <c r="AC200" s="2"/>
      <c r="AD200" s="13"/>
      <c r="AE200" s="2"/>
      <c r="AF200" s="9"/>
    </row>
    <row r="201" spans="1:32" x14ac:dyDescent="0.2">
      <c r="A201" s="17">
        <f>A147+1</f>
        <v>147</v>
      </c>
      <c r="B201" s="39" t="s">
        <v>18</v>
      </c>
      <c r="C201" s="40" t="s">
        <v>162</v>
      </c>
      <c r="D201" s="29" t="s">
        <v>169</v>
      </c>
      <c r="E201" s="29">
        <v>5000025015</v>
      </c>
      <c r="G201">
        <f>0.05*2+0.1*2+0.2*3+0.3*2+0.2*2+0.1*4+0.05*4</f>
        <v>2.5</v>
      </c>
      <c r="H201" s="24">
        <v>460.51</v>
      </c>
      <c r="I201" s="26">
        <f t="shared" si="39"/>
        <v>460.51</v>
      </c>
      <c r="J201" s="26"/>
      <c r="K201" s="29" t="s">
        <v>167</v>
      </c>
      <c r="L201" s="14">
        <f>I201/G201</f>
        <v>184.20400000000001</v>
      </c>
      <c r="M201" s="48"/>
      <c r="N201" s="29" t="s">
        <v>39</v>
      </c>
      <c r="O201" s="29" t="s">
        <v>26</v>
      </c>
      <c r="P201" s="49">
        <v>0.28000000000000003</v>
      </c>
      <c r="R201" s="12">
        <v>11</v>
      </c>
      <c r="S201" s="22"/>
      <c r="T201" s="22"/>
      <c r="U201" s="22"/>
      <c r="V201" s="22"/>
      <c r="W201" s="22"/>
      <c r="Y201" s="21"/>
      <c r="Z201" s="21"/>
      <c r="AA201" s="21"/>
      <c r="AB201" s="13"/>
      <c r="AC201" s="2"/>
      <c r="AD201" s="13"/>
      <c r="AE201" s="2"/>
      <c r="AF201" s="9"/>
    </row>
    <row r="202" spans="1:32" x14ac:dyDescent="0.2">
      <c r="A202" s="17">
        <v>148</v>
      </c>
      <c r="B202" s="39" t="s">
        <v>61</v>
      </c>
      <c r="C202" s="40" t="s">
        <v>162</v>
      </c>
      <c r="D202" s="29" t="s">
        <v>170</v>
      </c>
      <c r="E202" s="29">
        <v>2360047069</v>
      </c>
      <c r="G202">
        <f>0.384</f>
        <v>0.38400000000000001</v>
      </c>
      <c r="H202" s="24">
        <v>34.5</v>
      </c>
      <c r="I202" s="26">
        <f t="shared" si="39"/>
        <v>34.5</v>
      </c>
      <c r="J202" s="26"/>
      <c r="K202" s="29" t="s">
        <v>167</v>
      </c>
      <c r="L202" s="14">
        <f>I202/G202</f>
        <v>89.84375</v>
      </c>
      <c r="M202" s="48"/>
      <c r="N202" s="29" t="s">
        <v>74</v>
      </c>
      <c r="O202" s="29" t="s">
        <v>26</v>
      </c>
      <c r="P202" s="49">
        <v>0.245</v>
      </c>
      <c r="R202" s="12">
        <v>11</v>
      </c>
      <c r="S202" s="22"/>
      <c r="T202" s="22"/>
      <c r="U202" s="22"/>
      <c r="V202" s="22"/>
      <c r="W202" s="22"/>
      <c r="Y202" s="21"/>
      <c r="Z202" s="21"/>
      <c r="AA202" s="21"/>
      <c r="AB202" s="13"/>
      <c r="AC202" s="2"/>
      <c r="AD202" s="13"/>
      <c r="AE202" s="2"/>
      <c r="AF202" s="9"/>
    </row>
    <row r="203" spans="1:32" x14ac:dyDescent="0.2">
      <c r="A203" s="17">
        <v>149</v>
      </c>
      <c r="B203" s="39" t="s">
        <v>56</v>
      </c>
      <c r="C203" s="40" t="s">
        <v>171</v>
      </c>
      <c r="D203" s="29" t="s">
        <v>140</v>
      </c>
      <c r="E203" s="29">
        <v>2360047190</v>
      </c>
      <c r="G203">
        <f>0.318</f>
        <v>0.318</v>
      </c>
      <c r="H203" s="24">
        <v>30.21</v>
      </c>
      <c r="I203" s="26">
        <f t="shared" si="39"/>
        <v>30.21</v>
      </c>
      <c r="J203" s="26"/>
      <c r="K203" s="29" t="s">
        <v>167</v>
      </c>
      <c r="L203" s="14">
        <f>I203/G203</f>
        <v>95</v>
      </c>
      <c r="M203" s="48"/>
      <c r="N203" s="29" t="s">
        <v>50</v>
      </c>
      <c r="O203" s="29" t="s">
        <v>26</v>
      </c>
      <c r="P203" s="49">
        <v>0.2</v>
      </c>
      <c r="R203" s="12">
        <v>11</v>
      </c>
      <c r="S203" s="22"/>
      <c r="T203" s="22"/>
      <c r="U203" s="22"/>
      <c r="V203" s="22"/>
      <c r="W203" s="22"/>
      <c r="Y203" s="21"/>
      <c r="Z203" s="21"/>
      <c r="AA203" s="21"/>
      <c r="AB203" s="13"/>
      <c r="AC203" s="2"/>
      <c r="AD203" s="13"/>
      <c r="AE203" s="2"/>
      <c r="AF203" s="9"/>
    </row>
    <row r="204" spans="1:32" x14ac:dyDescent="0.2">
      <c r="A204" s="17">
        <v>150</v>
      </c>
      <c r="B204" s="39" t="s">
        <v>44</v>
      </c>
      <c r="C204" s="40" t="s">
        <v>171</v>
      </c>
      <c r="D204" s="29" t="s">
        <v>172</v>
      </c>
      <c r="E204" s="29">
        <v>4200777214</v>
      </c>
      <c r="G204">
        <v>2.9</v>
      </c>
      <c r="H204" s="24">
        <v>350</v>
      </c>
      <c r="I204" s="26">
        <f t="shared" si="39"/>
        <v>350</v>
      </c>
      <c r="J204" s="26"/>
      <c r="K204" s="29" t="s">
        <v>87</v>
      </c>
      <c r="L204" s="14">
        <f>I204/G204</f>
        <v>120.68965517241379</v>
      </c>
      <c r="M204" s="48">
        <f>H204/G204</f>
        <v>120.68965517241379</v>
      </c>
      <c r="N204" s="29" t="s">
        <v>45</v>
      </c>
      <c r="O204" s="29" t="s">
        <v>43</v>
      </c>
      <c r="P204" s="49">
        <v>0.14000000000000001</v>
      </c>
      <c r="R204" s="12">
        <v>1</v>
      </c>
      <c r="S204" s="22"/>
      <c r="T204" s="22"/>
      <c r="U204" s="22"/>
      <c r="V204" s="22"/>
      <c r="W204" s="22"/>
      <c r="Y204" s="21"/>
      <c r="Z204" s="21"/>
      <c r="AA204" s="21"/>
      <c r="AB204" s="13"/>
      <c r="AC204" s="2"/>
      <c r="AD204" s="13"/>
      <c r="AE204" s="2"/>
      <c r="AF204" s="9"/>
    </row>
    <row r="205" spans="1:32" x14ac:dyDescent="0.2">
      <c r="A205" s="17">
        <v>151</v>
      </c>
      <c r="B205" s="39" t="s">
        <v>46</v>
      </c>
      <c r="C205" s="40" t="s">
        <v>171</v>
      </c>
      <c r="D205" s="29" t="s">
        <v>173</v>
      </c>
      <c r="E205" s="29">
        <v>4200540890</v>
      </c>
      <c r="H205" s="24">
        <v>231</v>
      </c>
      <c r="I205" s="26">
        <f t="shared" si="39"/>
        <v>231</v>
      </c>
      <c r="J205" s="26"/>
      <c r="K205" s="29" t="s">
        <v>87</v>
      </c>
      <c r="L205" s="14"/>
      <c r="M205" s="48"/>
      <c r="N205" s="29" t="s">
        <v>45</v>
      </c>
      <c r="O205" s="29" t="s">
        <v>43</v>
      </c>
      <c r="P205" s="49">
        <v>0.36</v>
      </c>
      <c r="R205" s="12">
        <v>15</v>
      </c>
      <c r="S205" s="22"/>
      <c r="T205" s="22"/>
      <c r="U205" s="22"/>
      <c r="V205" s="22"/>
      <c r="W205" s="22"/>
      <c r="Y205" s="21"/>
      <c r="Z205" s="21"/>
      <c r="AA205" s="21"/>
      <c r="AB205" s="13"/>
      <c r="AC205" s="2"/>
      <c r="AD205" s="13"/>
      <c r="AE205" s="2"/>
      <c r="AF205" s="9"/>
    </row>
    <row r="206" spans="1:32" x14ac:dyDescent="0.2">
      <c r="A206" s="17">
        <v>152</v>
      </c>
      <c r="B206" s="39" t="s">
        <v>56</v>
      </c>
      <c r="C206" s="40" t="s">
        <v>171</v>
      </c>
      <c r="D206" s="29" t="s">
        <v>174</v>
      </c>
      <c r="E206" s="29">
        <v>2360047304</v>
      </c>
      <c r="G206">
        <v>333</v>
      </c>
      <c r="H206" s="24">
        <v>25156</v>
      </c>
      <c r="I206" s="26">
        <f t="shared" si="39"/>
        <v>25156</v>
      </c>
      <c r="J206" s="26"/>
      <c r="K206" s="29" t="s">
        <v>49</v>
      </c>
      <c r="L206" s="14">
        <f>I206/G206</f>
        <v>75.543543543543549</v>
      </c>
      <c r="M206" s="48">
        <f>H206/G206</f>
        <v>75.543543543543549</v>
      </c>
      <c r="N206" s="29" t="s">
        <v>45</v>
      </c>
      <c r="O206" s="29" t="s">
        <v>43</v>
      </c>
      <c r="P206" s="49">
        <v>0.16200000000000001</v>
      </c>
      <c r="R206" s="12">
        <v>11</v>
      </c>
      <c r="S206" s="22"/>
      <c r="T206" s="22"/>
      <c r="U206" s="22"/>
      <c r="V206" s="22"/>
      <c r="W206" s="22"/>
      <c r="Y206" s="21"/>
      <c r="Z206" s="21"/>
      <c r="AA206" s="21"/>
      <c r="AB206" s="13"/>
      <c r="AC206" s="2"/>
      <c r="AD206" s="13"/>
      <c r="AE206" s="2"/>
      <c r="AF206" s="9"/>
    </row>
    <row r="207" spans="1:32" x14ac:dyDescent="0.2">
      <c r="A207" s="17">
        <v>153</v>
      </c>
      <c r="B207" s="39" t="s">
        <v>61</v>
      </c>
      <c r="C207" s="40" t="s">
        <v>171</v>
      </c>
      <c r="D207" s="29" t="s">
        <v>175</v>
      </c>
      <c r="E207" s="29">
        <v>2360047462</v>
      </c>
      <c r="H207" s="24">
        <v>42.5</v>
      </c>
      <c r="I207" s="26">
        <f t="shared" si="39"/>
        <v>42.5</v>
      </c>
      <c r="J207" s="26"/>
      <c r="K207" s="29" t="s">
        <v>167</v>
      </c>
      <c r="L207" s="14"/>
      <c r="M207" s="48"/>
      <c r="N207" s="29" t="s">
        <v>74</v>
      </c>
      <c r="O207" s="29" t="s">
        <v>26</v>
      </c>
      <c r="P207" s="49">
        <v>0.31</v>
      </c>
      <c r="R207" s="12">
        <v>15</v>
      </c>
      <c r="S207" s="22"/>
      <c r="T207" s="22"/>
      <c r="U207" s="22"/>
      <c r="V207" s="22"/>
      <c r="W207" s="22"/>
      <c r="Y207" s="21"/>
      <c r="Z207" s="21"/>
      <c r="AA207" s="21"/>
      <c r="AB207" s="13"/>
      <c r="AC207" s="2"/>
      <c r="AD207" s="13"/>
      <c r="AE207" s="2"/>
      <c r="AF207" s="9"/>
    </row>
    <row r="208" spans="1:32" x14ac:dyDescent="0.2">
      <c r="A208" s="17">
        <v>154</v>
      </c>
      <c r="B208" s="39" t="s">
        <v>61</v>
      </c>
      <c r="C208" s="40" t="s">
        <v>171</v>
      </c>
      <c r="D208" s="29" t="s">
        <v>178</v>
      </c>
      <c r="E208" s="29">
        <v>2360047487</v>
      </c>
      <c r="H208" s="24">
        <v>8.4</v>
      </c>
      <c r="I208" s="26">
        <f t="shared" si="39"/>
        <v>8.4</v>
      </c>
      <c r="J208" s="26"/>
      <c r="K208" s="29" t="s">
        <v>167</v>
      </c>
      <c r="L208" s="14"/>
      <c r="M208" s="48"/>
      <c r="N208" s="29" t="s">
        <v>74</v>
      </c>
      <c r="O208" s="29" t="s">
        <v>26</v>
      </c>
      <c r="P208" s="49">
        <v>0.35</v>
      </c>
      <c r="R208" s="12">
        <v>15</v>
      </c>
      <c r="S208" s="22"/>
      <c r="T208" s="22"/>
      <c r="U208" s="22"/>
      <c r="V208" s="22"/>
      <c r="W208" s="22"/>
      <c r="Y208" s="21"/>
      <c r="Z208" s="21"/>
      <c r="AA208" s="21"/>
      <c r="AB208" s="13"/>
      <c r="AC208" s="2"/>
      <c r="AD208" s="13"/>
      <c r="AE208" s="2"/>
      <c r="AF208" s="9"/>
    </row>
    <row r="209" spans="1:32" x14ac:dyDescent="0.2">
      <c r="A209" s="17">
        <v>155</v>
      </c>
      <c r="B209" s="39" t="s">
        <v>61</v>
      </c>
      <c r="C209" s="40" t="s">
        <v>171</v>
      </c>
      <c r="D209" s="29" t="s">
        <v>179</v>
      </c>
      <c r="E209" s="29">
        <v>2360047566</v>
      </c>
      <c r="H209" s="24">
        <v>172.14599999999999</v>
      </c>
      <c r="I209" s="26">
        <f t="shared" si="39"/>
        <v>172.14599999999999</v>
      </c>
      <c r="J209" s="26"/>
      <c r="K209" s="29" t="s">
        <v>167</v>
      </c>
      <c r="L209" s="14"/>
      <c r="M209" s="48"/>
      <c r="N209" s="29" t="s">
        <v>74</v>
      </c>
      <c r="O209" s="29" t="s">
        <v>26</v>
      </c>
      <c r="P209" s="49">
        <v>0.2</v>
      </c>
      <c r="R209" s="12">
        <v>15</v>
      </c>
      <c r="S209" s="22"/>
      <c r="T209" s="22"/>
      <c r="U209" s="22"/>
      <c r="V209" s="22"/>
      <c r="W209" s="22"/>
      <c r="Y209" s="21"/>
      <c r="Z209" s="21"/>
      <c r="AA209" s="21"/>
      <c r="AB209" s="13"/>
      <c r="AC209" s="2"/>
      <c r="AD209" s="13"/>
      <c r="AE209" s="2"/>
      <c r="AF209" s="9"/>
    </row>
    <row r="210" spans="1:32" x14ac:dyDescent="0.2">
      <c r="A210" s="17">
        <v>156</v>
      </c>
      <c r="B210" s="39" t="s">
        <v>18</v>
      </c>
      <c r="C210" s="40" t="s">
        <v>171</v>
      </c>
      <c r="D210" s="29" t="s">
        <v>58</v>
      </c>
      <c r="E210" s="29">
        <v>5000025328</v>
      </c>
      <c r="H210" s="24">
        <v>906.82</v>
      </c>
      <c r="I210" s="26">
        <f t="shared" si="39"/>
        <v>906.82</v>
      </c>
      <c r="J210" s="26"/>
      <c r="K210" s="29" t="s">
        <v>25</v>
      </c>
      <c r="L210" s="14"/>
      <c r="M210" s="48"/>
      <c r="N210" s="29" t="s">
        <v>39</v>
      </c>
      <c r="O210" s="29" t="s">
        <v>26</v>
      </c>
      <c r="P210" s="49">
        <v>0.21</v>
      </c>
      <c r="R210" s="12">
        <v>12</v>
      </c>
      <c r="S210" s="22"/>
      <c r="T210" s="22"/>
      <c r="U210" s="22"/>
      <c r="V210" s="22"/>
      <c r="W210" s="22"/>
      <c r="Y210" s="21"/>
      <c r="Z210" s="21"/>
      <c r="AA210" s="21"/>
      <c r="AB210" s="13"/>
      <c r="AC210" s="2"/>
      <c r="AD210" s="13"/>
      <c r="AE210" s="2"/>
      <c r="AF210" s="9"/>
    </row>
    <row r="211" spans="1:32" x14ac:dyDescent="0.2">
      <c r="A211" s="17">
        <v>157</v>
      </c>
      <c r="B211" s="39" t="s">
        <v>18</v>
      </c>
      <c r="C211" s="40" t="s">
        <v>171</v>
      </c>
      <c r="D211" s="29" t="s">
        <v>58</v>
      </c>
      <c r="E211" s="29">
        <v>5000025331</v>
      </c>
      <c r="H211" s="24">
        <v>322.44299999999998</v>
      </c>
      <c r="I211" s="26">
        <f t="shared" ref="I211:I225" si="40">H211</f>
        <v>322.44299999999998</v>
      </c>
      <c r="J211" s="26"/>
      <c r="K211" s="29" t="s">
        <v>25</v>
      </c>
      <c r="L211" s="14"/>
      <c r="M211" s="48"/>
      <c r="N211" s="29" t="s">
        <v>39</v>
      </c>
      <c r="O211" s="29" t="s">
        <v>26</v>
      </c>
      <c r="P211" s="49">
        <v>0.19</v>
      </c>
      <c r="R211" s="12">
        <v>12</v>
      </c>
      <c r="S211" s="22"/>
      <c r="T211" s="22"/>
      <c r="U211" s="22"/>
      <c r="V211" s="22"/>
      <c r="W211" s="22"/>
      <c r="Y211" s="21"/>
      <c r="Z211" s="21"/>
      <c r="AA211" s="21"/>
      <c r="AB211" s="13"/>
      <c r="AC211" s="2"/>
      <c r="AD211" s="13"/>
      <c r="AE211" s="2"/>
      <c r="AF211" s="9"/>
    </row>
    <row r="212" spans="1:32" x14ac:dyDescent="0.2">
      <c r="A212" s="17">
        <v>158</v>
      </c>
      <c r="B212" s="39" t="s">
        <v>18</v>
      </c>
      <c r="C212" s="40" t="s">
        <v>171</v>
      </c>
      <c r="D212" s="29" t="s">
        <v>58</v>
      </c>
      <c r="E212" s="29">
        <v>5000025329</v>
      </c>
      <c r="H212" s="24">
        <v>149.24</v>
      </c>
      <c r="I212" s="26">
        <f t="shared" si="40"/>
        <v>149.24</v>
      </c>
      <c r="J212" s="26"/>
      <c r="K212" s="29" t="s">
        <v>25</v>
      </c>
      <c r="L212" s="14"/>
      <c r="M212" s="48"/>
      <c r="N212" s="29" t="s">
        <v>39</v>
      </c>
      <c r="O212" s="29" t="s">
        <v>26</v>
      </c>
      <c r="P212" s="49">
        <v>0.19</v>
      </c>
      <c r="R212" s="12">
        <v>12</v>
      </c>
      <c r="S212" s="22"/>
      <c r="T212" s="22"/>
      <c r="U212" s="22"/>
      <c r="V212" s="22"/>
      <c r="W212" s="22"/>
      <c r="Y212" s="21"/>
      <c r="Z212" s="21"/>
      <c r="AA212" s="21"/>
      <c r="AB212" s="13"/>
      <c r="AC212" s="2"/>
      <c r="AD212" s="13"/>
      <c r="AE212" s="2"/>
      <c r="AF212" s="9"/>
    </row>
    <row r="213" spans="1:32" x14ac:dyDescent="0.2">
      <c r="A213" s="17">
        <v>159</v>
      </c>
      <c r="B213" s="39" t="s">
        <v>18</v>
      </c>
      <c r="C213" s="40" t="s">
        <v>171</v>
      </c>
      <c r="D213" s="57" t="s">
        <v>59</v>
      </c>
      <c r="E213" s="29">
        <v>5000025332</v>
      </c>
      <c r="G213">
        <f>0.036*2*3</f>
        <v>0.21599999999999997</v>
      </c>
      <c r="H213" s="24">
        <v>64.918000000000006</v>
      </c>
      <c r="I213" s="26">
        <f t="shared" si="40"/>
        <v>64.918000000000006</v>
      </c>
      <c r="J213" s="26"/>
      <c r="K213" s="29" t="s">
        <v>25</v>
      </c>
      <c r="L213" s="14">
        <f>I213/G213</f>
        <v>300.54629629629636</v>
      </c>
      <c r="M213" s="48">
        <f>H213/G213</f>
        <v>300.54629629629636</v>
      </c>
      <c r="N213" s="29" t="s">
        <v>39</v>
      </c>
      <c r="O213" s="29" t="s">
        <v>26</v>
      </c>
      <c r="P213" s="49">
        <v>0.35</v>
      </c>
      <c r="R213" s="12">
        <v>12</v>
      </c>
      <c r="S213" s="22"/>
      <c r="T213" s="22"/>
      <c r="U213" s="22"/>
      <c r="V213" s="22"/>
      <c r="W213" s="22"/>
      <c r="Y213" s="21"/>
      <c r="Z213" s="21"/>
      <c r="AA213" s="21"/>
      <c r="AB213" s="13"/>
      <c r="AC213" s="2"/>
      <c r="AD213" s="13"/>
      <c r="AE213" s="2"/>
      <c r="AF213" s="9"/>
    </row>
    <row r="214" spans="1:32" x14ac:dyDescent="0.2">
      <c r="A214" s="17">
        <v>160</v>
      </c>
      <c r="B214" s="39" t="s">
        <v>18</v>
      </c>
      <c r="C214" s="40" t="s">
        <v>171</v>
      </c>
      <c r="D214" s="57" t="s">
        <v>59</v>
      </c>
      <c r="E214" s="29">
        <v>5000025333</v>
      </c>
      <c r="G214">
        <f>0.305*2*1</f>
        <v>0.61</v>
      </c>
      <c r="H214" s="24">
        <v>47.17</v>
      </c>
      <c r="I214" s="26">
        <f t="shared" si="40"/>
        <v>47.17</v>
      </c>
      <c r="J214" s="26"/>
      <c r="K214" s="29" t="s">
        <v>25</v>
      </c>
      <c r="L214" s="14">
        <f>I214/G214</f>
        <v>77.327868852459019</v>
      </c>
      <c r="M214" s="48">
        <f>H214/G214</f>
        <v>77.327868852459019</v>
      </c>
      <c r="N214" s="29" t="s">
        <v>39</v>
      </c>
      <c r="O214" s="29" t="s">
        <v>26</v>
      </c>
      <c r="P214" s="49">
        <v>0.26</v>
      </c>
      <c r="R214" s="12">
        <v>12</v>
      </c>
      <c r="S214" s="22"/>
      <c r="T214" s="22"/>
      <c r="U214" s="22"/>
      <c r="V214" s="22"/>
      <c r="W214" s="22"/>
      <c r="Y214" s="21"/>
      <c r="Z214" s="21"/>
      <c r="AA214" s="21"/>
      <c r="AB214" s="13"/>
      <c r="AC214" s="2"/>
      <c r="AD214" s="13"/>
      <c r="AE214" s="2"/>
      <c r="AF214" s="9"/>
    </row>
    <row r="215" spans="1:32" x14ac:dyDescent="0.2">
      <c r="A215" s="17">
        <v>162</v>
      </c>
      <c r="B215" s="39" t="s">
        <v>61</v>
      </c>
      <c r="C215" s="40" t="s">
        <v>171</v>
      </c>
      <c r="D215" s="29" t="s">
        <v>179</v>
      </c>
      <c r="E215" s="29">
        <v>2360047597</v>
      </c>
      <c r="F215" s="11">
        <v>33</v>
      </c>
      <c r="G215">
        <v>10.8</v>
      </c>
      <c r="H215" s="24">
        <v>901</v>
      </c>
      <c r="I215" s="26">
        <f t="shared" si="40"/>
        <v>901</v>
      </c>
      <c r="J215" s="26"/>
      <c r="K215" s="29" t="s">
        <v>167</v>
      </c>
      <c r="L215" s="14">
        <f>I215/G215</f>
        <v>83.425925925925924</v>
      </c>
      <c r="M215" s="48">
        <f>H215/G215</f>
        <v>83.425925925925924</v>
      </c>
      <c r="N215" s="29" t="s">
        <v>121</v>
      </c>
      <c r="O215" s="29" t="s">
        <v>43</v>
      </c>
      <c r="P215" s="49">
        <v>0.16</v>
      </c>
      <c r="R215" s="12">
        <v>1</v>
      </c>
      <c r="S215" s="22"/>
      <c r="T215" s="22"/>
      <c r="U215" s="22"/>
      <c r="V215" s="22"/>
      <c r="W215" s="22"/>
      <c r="Y215" s="21"/>
      <c r="Z215" s="21"/>
      <c r="AA215" s="21"/>
      <c r="AB215" s="13"/>
      <c r="AC215" s="2"/>
      <c r="AD215" s="13"/>
      <c r="AE215" s="2"/>
      <c r="AF215" s="9"/>
    </row>
    <row r="216" spans="1:32" x14ac:dyDescent="0.2">
      <c r="A216" s="17">
        <v>163</v>
      </c>
      <c r="B216" s="39" t="s">
        <v>46</v>
      </c>
      <c r="C216" s="40" t="s">
        <v>182</v>
      </c>
      <c r="D216" s="29" t="s">
        <v>181</v>
      </c>
      <c r="E216" s="29">
        <v>2360048199</v>
      </c>
      <c r="F216" s="11">
        <v>11</v>
      </c>
      <c r="G216">
        <f>4*242/1000</f>
        <v>0.96799999999999997</v>
      </c>
      <c r="H216" s="24">
        <v>114</v>
      </c>
      <c r="I216" s="26">
        <f t="shared" si="40"/>
        <v>114</v>
      </c>
      <c r="J216" s="26"/>
      <c r="K216" s="29" t="s">
        <v>167</v>
      </c>
      <c r="L216" s="14">
        <f>I216/G216</f>
        <v>117.76859504132231</v>
      </c>
      <c r="M216" s="48">
        <f>H216/G216</f>
        <v>117.76859504132231</v>
      </c>
      <c r="N216" s="29" t="s">
        <v>50</v>
      </c>
      <c r="O216" s="29" t="s">
        <v>26</v>
      </c>
      <c r="P216" s="49">
        <v>0.25</v>
      </c>
      <c r="R216" s="12">
        <v>11</v>
      </c>
      <c r="S216" s="22"/>
      <c r="T216" s="22"/>
      <c r="U216" s="22"/>
      <c r="V216" s="22"/>
      <c r="W216" s="22"/>
      <c r="Y216" s="21"/>
      <c r="Z216" s="21"/>
      <c r="AA216" s="21"/>
      <c r="AB216" s="13"/>
      <c r="AC216" s="2"/>
      <c r="AD216" s="13"/>
      <c r="AE216" s="2"/>
      <c r="AF216" s="9"/>
    </row>
    <row r="217" spans="1:32" x14ac:dyDescent="0.2">
      <c r="A217" s="17">
        <v>164</v>
      </c>
      <c r="B217" s="39" t="s">
        <v>44</v>
      </c>
      <c r="C217" s="40" t="s">
        <v>182</v>
      </c>
      <c r="D217" s="29" t="s">
        <v>183</v>
      </c>
      <c r="E217" s="29">
        <v>2360048194</v>
      </c>
      <c r="H217" s="24">
        <v>56.7</v>
      </c>
      <c r="I217" s="26">
        <f t="shared" si="40"/>
        <v>56.7</v>
      </c>
      <c r="J217" s="26"/>
      <c r="K217" s="29" t="s">
        <v>167</v>
      </c>
      <c r="L217" s="14"/>
      <c r="M217" s="48"/>
      <c r="N217" s="29" t="s">
        <v>45</v>
      </c>
      <c r="O217" s="29" t="s">
        <v>43</v>
      </c>
      <c r="P217" s="49">
        <v>0.22</v>
      </c>
      <c r="R217" s="12">
        <v>15</v>
      </c>
      <c r="S217" s="22"/>
      <c r="T217" s="22"/>
      <c r="U217" s="22"/>
      <c r="V217" s="22"/>
      <c r="W217" s="22"/>
      <c r="Y217" s="21"/>
      <c r="Z217" s="21"/>
      <c r="AA217" s="21"/>
      <c r="AB217" s="13"/>
      <c r="AC217" s="2"/>
      <c r="AD217" s="13"/>
      <c r="AE217" s="2"/>
      <c r="AF217" s="9"/>
    </row>
    <row r="218" spans="1:32" x14ac:dyDescent="0.2">
      <c r="A218" s="17">
        <v>165</v>
      </c>
      <c r="B218" s="39" t="s">
        <v>61</v>
      </c>
      <c r="C218" s="40" t="s">
        <v>182</v>
      </c>
      <c r="D218" s="29" t="s">
        <v>184</v>
      </c>
      <c r="E218" s="29">
        <v>2360048110</v>
      </c>
      <c r="H218" s="24">
        <v>632.49900000000002</v>
      </c>
      <c r="I218" s="26">
        <f t="shared" si="40"/>
        <v>632.49900000000002</v>
      </c>
      <c r="J218" s="26"/>
      <c r="K218" s="29" t="s">
        <v>167</v>
      </c>
      <c r="L218" s="14"/>
      <c r="M218" s="48"/>
      <c r="N218" s="29" t="s">
        <v>74</v>
      </c>
      <c r="O218" s="29" t="s">
        <v>26</v>
      </c>
      <c r="P218" s="49">
        <v>0.23</v>
      </c>
      <c r="R218" s="12">
        <v>15</v>
      </c>
      <c r="S218" s="22"/>
      <c r="T218" s="22"/>
      <c r="U218" s="22"/>
      <c r="V218" s="22"/>
      <c r="W218" s="22"/>
      <c r="Y218" s="21"/>
      <c r="Z218" s="21"/>
      <c r="AA218" s="21"/>
      <c r="AB218" s="13"/>
      <c r="AC218" s="2"/>
      <c r="AD218" s="13"/>
      <c r="AE218" s="2"/>
      <c r="AF218" s="9"/>
    </row>
    <row r="219" spans="1:32" x14ac:dyDescent="0.2">
      <c r="A219" s="17">
        <v>166</v>
      </c>
      <c r="B219" s="39" t="s">
        <v>41</v>
      </c>
      <c r="C219" s="40" t="s">
        <v>182</v>
      </c>
      <c r="D219" s="29" t="s">
        <v>185</v>
      </c>
      <c r="E219" s="29">
        <v>2360047880</v>
      </c>
      <c r="G219">
        <f>220*10/1000</f>
        <v>2.2000000000000002</v>
      </c>
      <c r="H219" s="24">
        <v>220</v>
      </c>
      <c r="I219" s="26">
        <f t="shared" si="40"/>
        <v>220</v>
      </c>
      <c r="J219" s="26"/>
      <c r="K219" s="29" t="s">
        <v>25</v>
      </c>
      <c r="L219" s="14">
        <f>I219/G219</f>
        <v>99.999999999999986</v>
      </c>
      <c r="M219" s="48">
        <f>H219/G219</f>
        <v>99.999999999999986</v>
      </c>
      <c r="N219" s="29" t="s">
        <v>45</v>
      </c>
      <c r="O219" s="29" t="s">
        <v>43</v>
      </c>
      <c r="P219" s="49">
        <v>0.15</v>
      </c>
      <c r="R219" s="12">
        <v>11</v>
      </c>
      <c r="S219" s="22"/>
      <c r="T219" s="22"/>
      <c r="U219" s="22"/>
      <c r="V219" s="22"/>
      <c r="W219" s="22"/>
      <c r="Y219" s="21"/>
      <c r="Z219" s="21"/>
      <c r="AA219" s="21"/>
      <c r="AB219" s="13"/>
      <c r="AC219" s="2"/>
      <c r="AD219" s="13"/>
      <c r="AE219" s="2"/>
      <c r="AF219" s="9"/>
    </row>
    <row r="220" spans="1:32" x14ac:dyDescent="0.2">
      <c r="A220" s="17">
        <v>167</v>
      </c>
      <c r="B220" s="39" t="s">
        <v>18</v>
      </c>
      <c r="C220" s="40" t="s">
        <v>182</v>
      </c>
      <c r="D220" s="29" t="s">
        <v>180</v>
      </c>
      <c r="E220" s="29">
        <v>5000025374</v>
      </c>
      <c r="G220">
        <f>0.15+0.1*2</f>
        <v>0.35</v>
      </c>
      <c r="H220" s="24">
        <v>103.6</v>
      </c>
      <c r="I220" s="26">
        <f t="shared" si="40"/>
        <v>103.6</v>
      </c>
      <c r="J220" s="26"/>
      <c r="K220" s="29" t="s">
        <v>25</v>
      </c>
      <c r="L220" s="14">
        <f>I220/G220</f>
        <v>296</v>
      </c>
      <c r="M220" s="48">
        <f>H220/G220</f>
        <v>296</v>
      </c>
      <c r="N220" s="29" t="s">
        <v>39</v>
      </c>
      <c r="O220" s="29" t="s">
        <v>26</v>
      </c>
      <c r="P220" s="49">
        <v>0.25</v>
      </c>
      <c r="R220" s="12">
        <v>11</v>
      </c>
      <c r="S220" s="22"/>
      <c r="T220" s="22"/>
      <c r="U220" s="22"/>
      <c r="V220" s="22"/>
      <c r="W220" s="22"/>
      <c r="Y220" s="21"/>
      <c r="Z220" s="21"/>
      <c r="AA220" s="21"/>
      <c r="AB220" s="13"/>
      <c r="AC220" s="2"/>
      <c r="AD220" s="13"/>
      <c r="AE220" s="2"/>
      <c r="AF220" s="9"/>
    </row>
    <row r="221" spans="1:32" x14ac:dyDescent="0.2">
      <c r="A221" s="17">
        <v>168</v>
      </c>
      <c r="B221" s="39" t="s">
        <v>44</v>
      </c>
      <c r="C221" s="40" t="s">
        <v>182</v>
      </c>
      <c r="D221" s="29" t="s">
        <v>186</v>
      </c>
      <c r="E221" s="29">
        <v>4200787967</v>
      </c>
      <c r="F221" s="11">
        <v>33</v>
      </c>
      <c r="G221">
        <v>2.4</v>
      </c>
      <c r="H221" s="24">
        <v>247</v>
      </c>
      <c r="I221" s="26">
        <f t="shared" si="40"/>
        <v>247</v>
      </c>
      <c r="J221" s="26"/>
      <c r="K221" s="29" t="s">
        <v>25</v>
      </c>
      <c r="L221" s="14">
        <f>I221/G221</f>
        <v>102.91666666666667</v>
      </c>
      <c r="M221" s="48">
        <f>H221/G221</f>
        <v>102.91666666666667</v>
      </c>
      <c r="N221" s="29" t="s">
        <v>50</v>
      </c>
      <c r="O221" s="29" t="s">
        <v>26</v>
      </c>
      <c r="P221" s="49">
        <v>0.26</v>
      </c>
      <c r="R221" s="12">
        <v>1</v>
      </c>
      <c r="S221" s="22"/>
      <c r="T221" s="22"/>
      <c r="U221" s="22"/>
      <c r="V221" s="22"/>
      <c r="W221" s="22"/>
      <c r="Y221" s="21"/>
      <c r="Z221" s="21"/>
      <c r="AA221" s="21"/>
      <c r="AB221" s="13"/>
      <c r="AC221" s="2"/>
      <c r="AD221" s="13"/>
      <c r="AE221" s="2"/>
      <c r="AF221" s="9"/>
    </row>
    <row r="222" spans="1:32" x14ac:dyDescent="0.2">
      <c r="A222" s="17">
        <v>169</v>
      </c>
      <c r="B222" s="39" t="s">
        <v>56</v>
      </c>
      <c r="C222" s="40" t="s">
        <v>182</v>
      </c>
      <c r="D222" s="29" t="s">
        <v>140</v>
      </c>
      <c r="E222" s="29">
        <v>2360048033</v>
      </c>
      <c r="H222" s="24">
        <v>300</v>
      </c>
      <c r="I222" s="26">
        <f t="shared" si="40"/>
        <v>300</v>
      </c>
      <c r="J222" s="26"/>
      <c r="K222" s="29" t="s">
        <v>49</v>
      </c>
      <c r="L222" s="14"/>
      <c r="M222" s="48"/>
      <c r="N222" s="29" t="s">
        <v>50</v>
      </c>
      <c r="O222" s="29" t="s">
        <v>26</v>
      </c>
      <c r="P222" s="49">
        <v>0.25</v>
      </c>
      <c r="R222" s="12">
        <v>15</v>
      </c>
      <c r="S222" s="22"/>
      <c r="T222" s="22"/>
      <c r="U222" s="22"/>
      <c r="V222" s="22"/>
      <c r="W222" s="22"/>
      <c r="Y222" s="21"/>
      <c r="Z222" s="21"/>
      <c r="AA222" s="21"/>
      <c r="AB222" s="13"/>
      <c r="AC222" s="2"/>
      <c r="AD222" s="13"/>
      <c r="AE222" s="2"/>
      <c r="AF222" s="9"/>
    </row>
    <row r="223" spans="1:32" x14ac:dyDescent="0.2">
      <c r="A223" s="17">
        <v>170</v>
      </c>
      <c r="B223" s="39" t="s">
        <v>46</v>
      </c>
      <c r="C223" s="40" t="s">
        <v>182</v>
      </c>
      <c r="D223" s="29" t="s">
        <v>187</v>
      </c>
      <c r="E223" s="29">
        <v>2360048141</v>
      </c>
      <c r="H223" s="24">
        <v>462</v>
      </c>
      <c r="I223" s="26">
        <f t="shared" si="40"/>
        <v>462</v>
      </c>
      <c r="J223" s="26"/>
      <c r="K223" s="29" t="s">
        <v>167</v>
      </c>
      <c r="L223" s="14"/>
      <c r="M223" s="48"/>
      <c r="N223" s="29" t="s">
        <v>26</v>
      </c>
      <c r="O223" s="29" t="s">
        <v>26</v>
      </c>
      <c r="P223" s="49">
        <v>0.19500000000000001</v>
      </c>
      <c r="R223" s="12">
        <v>15</v>
      </c>
      <c r="S223" s="22"/>
      <c r="T223" s="22"/>
      <c r="U223" s="22"/>
      <c r="V223" s="22"/>
      <c r="W223" s="22"/>
      <c r="Y223" s="21"/>
      <c r="Z223" s="21"/>
      <c r="AA223" s="21"/>
      <c r="AB223" s="13"/>
      <c r="AC223" s="2"/>
      <c r="AD223" s="13"/>
      <c r="AE223" s="2"/>
      <c r="AF223" s="9"/>
    </row>
    <row r="224" spans="1:32" x14ac:dyDescent="0.2">
      <c r="A224" s="17">
        <v>171</v>
      </c>
      <c r="B224" s="39" t="s">
        <v>46</v>
      </c>
      <c r="C224" s="40" t="s">
        <v>182</v>
      </c>
      <c r="D224" s="29" t="s">
        <v>188</v>
      </c>
      <c r="E224" s="29">
        <v>2360048235</v>
      </c>
      <c r="G224">
        <f>0.47*6</f>
        <v>2.82</v>
      </c>
      <c r="H224" s="24">
        <v>250</v>
      </c>
      <c r="I224" s="26">
        <f t="shared" si="40"/>
        <v>250</v>
      </c>
      <c r="J224" s="26"/>
      <c r="K224" s="29" t="s">
        <v>167</v>
      </c>
      <c r="L224" s="14">
        <f>I224/G224</f>
        <v>88.652482269503551</v>
      </c>
      <c r="M224" s="48">
        <f>H224/G224</f>
        <v>88.652482269503551</v>
      </c>
      <c r="N224" s="29" t="s">
        <v>26</v>
      </c>
      <c r="O224" s="29" t="s">
        <v>26</v>
      </c>
      <c r="P224" s="49">
        <v>0.2</v>
      </c>
      <c r="R224" s="12">
        <v>11</v>
      </c>
      <c r="S224" s="22"/>
      <c r="T224" s="22"/>
      <c r="U224" s="22"/>
      <c r="V224" s="22"/>
      <c r="W224" s="22"/>
      <c r="Y224" s="21"/>
      <c r="Z224" s="21"/>
      <c r="AA224" s="21"/>
      <c r="AB224" s="13"/>
      <c r="AC224" s="2"/>
      <c r="AD224" s="13"/>
      <c r="AE224" s="2"/>
      <c r="AF224" s="9"/>
    </row>
    <row r="225" spans="1:32" x14ac:dyDescent="0.2">
      <c r="A225" s="17">
        <v>172</v>
      </c>
      <c r="B225" s="39" t="s">
        <v>44</v>
      </c>
      <c r="C225" s="40" t="s">
        <v>182</v>
      </c>
      <c r="D225" s="37" t="s">
        <v>129</v>
      </c>
      <c r="E225" s="29">
        <v>2360048294</v>
      </c>
      <c r="G225">
        <f>500*54/1000</f>
        <v>27</v>
      </c>
      <c r="H225" s="24">
        <v>2025</v>
      </c>
      <c r="I225" s="26">
        <f t="shared" si="40"/>
        <v>2025</v>
      </c>
      <c r="J225" s="26"/>
      <c r="K225" s="29" t="s">
        <v>25</v>
      </c>
      <c r="L225" s="14">
        <f>I225/G225</f>
        <v>75</v>
      </c>
      <c r="M225" s="48">
        <f>H225/G225</f>
        <v>75</v>
      </c>
      <c r="N225" s="29" t="s">
        <v>50</v>
      </c>
      <c r="O225" s="29" t="s">
        <v>26</v>
      </c>
      <c r="P225" s="49">
        <v>0.27</v>
      </c>
      <c r="R225" s="12">
        <v>11</v>
      </c>
      <c r="S225" s="22"/>
      <c r="T225" s="22"/>
      <c r="U225" s="22"/>
      <c r="V225" s="22"/>
      <c r="W225" s="22"/>
      <c r="Y225" s="21"/>
      <c r="Z225" s="21"/>
      <c r="AA225" s="21"/>
      <c r="AB225" s="13"/>
      <c r="AC225" s="2"/>
      <c r="AD225" s="13"/>
      <c r="AE225" s="2"/>
      <c r="AF225" s="9"/>
    </row>
    <row r="226" spans="1:32" ht="15.75" x14ac:dyDescent="0.2">
      <c r="A226" s="17">
        <v>173</v>
      </c>
      <c r="B226" s="39" t="s">
        <v>61</v>
      </c>
      <c r="C226" s="40" t="s">
        <v>182</v>
      </c>
      <c r="D226" s="59" t="s">
        <v>189</v>
      </c>
      <c r="E226" s="60">
        <v>4200505327</v>
      </c>
      <c r="F226" s="33"/>
      <c r="G226" s="2"/>
      <c r="H226" s="25">
        <v>16000</v>
      </c>
      <c r="I226" s="21">
        <f>H226</f>
        <v>16000</v>
      </c>
      <c r="J226" s="13"/>
      <c r="K226" s="38" t="s">
        <v>47</v>
      </c>
      <c r="L226" s="9"/>
      <c r="M226" s="6"/>
      <c r="N226" s="2" t="s">
        <v>121</v>
      </c>
      <c r="O226" s="2" t="s">
        <v>43</v>
      </c>
      <c r="P226" s="18"/>
      <c r="Q226" s="2" t="s">
        <v>190</v>
      </c>
      <c r="R226" s="2">
        <v>15</v>
      </c>
      <c r="S226" s="22"/>
      <c r="T226" s="22"/>
      <c r="U226" s="22"/>
      <c r="V226" s="22"/>
      <c r="W226" s="22"/>
      <c r="Y226" s="21"/>
      <c r="Z226" s="21"/>
      <c r="AA226" s="21"/>
      <c r="AB226" s="13"/>
      <c r="AC226" s="2"/>
      <c r="AD226" s="13"/>
      <c r="AE226" s="2"/>
      <c r="AF226" s="9"/>
    </row>
    <row r="227" spans="1:32" x14ac:dyDescent="0.2">
      <c r="A227" s="17"/>
      <c r="B227" s="39"/>
      <c r="C227" s="40"/>
      <c r="D227" s="37"/>
      <c r="E227" s="29"/>
      <c r="H227" s="24"/>
      <c r="I227" s="26"/>
      <c r="J227" s="26"/>
      <c r="K227" s="29"/>
      <c r="L227" s="14"/>
      <c r="M227" s="48"/>
      <c r="N227" s="29"/>
      <c r="O227" s="29"/>
      <c r="P227" s="49"/>
      <c r="R227" s="12"/>
      <c r="S227" s="22"/>
      <c r="T227" s="22"/>
      <c r="U227" s="22"/>
      <c r="V227" s="22"/>
      <c r="W227" s="22"/>
      <c r="Y227" s="21"/>
      <c r="Z227" s="21"/>
      <c r="AA227" s="21"/>
      <c r="AB227" s="13"/>
      <c r="AC227" s="2"/>
      <c r="AD227" s="13"/>
      <c r="AE227" s="2"/>
      <c r="AF227" s="9"/>
    </row>
    <row r="228" spans="1:32" x14ac:dyDescent="0.2">
      <c r="A228" s="17"/>
      <c r="B228" s="39"/>
      <c r="C228" s="40"/>
      <c r="D228" s="37"/>
      <c r="E228" s="29"/>
      <c r="H228" s="24"/>
      <c r="I228" s="26"/>
      <c r="J228" s="26"/>
      <c r="K228" s="29"/>
      <c r="L228" s="14"/>
      <c r="M228" s="48"/>
      <c r="N228" s="29"/>
      <c r="O228" s="29"/>
      <c r="P228" s="49"/>
      <c r="R228" s="12"/>
      <c r="S228" s="22"/>
      <c r="T228" s="22"/>
      <c r="U228" s="22"/>
      <c r="V228" s="22"/>
      <c r="W228" s="22"/>
      <c r="Y228" s="21"/>
      <c r="Z228" s="21"/>
      <c r="AA228" s="21"/>
      <c r="AB228" s="13"/>
      <c r="AC228" s="2"/>
      <c r="AD228" s="13"/>
      <c r="AE228" s="2"/>
      <c r="AF228" s="9"/>
    </row>
    <row r="229" spans="1:32" x14ac:dyDescent="0.2">
      <c r="A229" s="17"/>
      <c r="B229" s="39"/>
      <c r="C229" s="40"/>
      <c r="D229" s="37"/>
      <c r="E229" s="29"/>
      <c r="H229" s="24"/>
      <c r="I229" s="26"/>
      <c r="J229" s="26"/>
      <c r="K229" s="29"/>
      <c r="L229" s="14"/>
      <c r="M229" s="48"/>
      <c r="N229" s="29"/>
      <c r="O229" s="29"/>
      <c r="P229" s="49"/>
      <c r="R229" s="12"/>
      <c r="S229" s="22"/>
      <c r="T229" s="22"/>
      <c r="U229" s="22"/>
      <c r="V229" s="22"/>
      <c r="W229" s="22"/>
      <c r="Y229" s="21"/>
      <c r="Z229" s="21"/>
      <c r="AA229" s="21"/>
      <c r="AB229" s="13"/>
      <c r="AC229" s="2"/>
      <c r="AD229" s="13"/>
      <c r="AE229" s="2"/>
      <c r="AF229" s="9"/>
    </row>
    <row r="230" spans="1:32" x14ac:dyDescent="0.2">
      <c r="A230" s="17"/>
      <c r="B230" s="39"/>
      <c r="C230" s="40"/>
      <c r="D230" s="37"/>
      <c r="E230" s="29"/>
      <c r="H230" s="24"/>
      <c r="I230" s="26"/>
      <c r="J230" s="26"/>
      <c r="K230" s="29"/>
      <c r="L230" s="14"/>
      <c r="M230" s="48"/>
      <c r="N230" s="29"/>
      <c r="O230" s="29"/>
      <c r="P230" s="49"/>
      <c r="R230" s="12"/>
      <c r="S230" s="22"/>
      <c r="T230" s="22"/>
      <c r="U230" s="22"/>
      <c r="V230" s="22"/>
      <c r="W230" s="22"/>
      <c r="Y230" s="21"/>
      <c r="Z230" s="21"/>
      <c r="AA230" s="21"/>
      <c r="AB230" s="13"/>
      <c r="AC230" s="2"/>
      <c r="AD230" s="13"/>
      <c r="AE230" s="2"/>
      <c r="AF230" s="9"/>
    </row>
    <row r="231" spans="1:32" x14ac:dyDescent="0.2">
      <c r="A231" s="17"/>
      <c r="B231" s="39"/>
      <c r="C231" s="40"/>
      <c r="D231" s="37"/>
      <c r="E231" s="29"/>
      <c r="H231" s="24"/>
      <c r="I231" s="26"/>
      <c r="J231" s="26"/>
      <c r="K231" s="29"/>
      <c r="L231" s="14"/>
      <c r="M231" s="48"/>
      <c r="N231" s="29"/>
      <c r="O231" s="29"/>
      <c r="P231" s="49"/>
      <c r="R231" s="12"/>
      <c r="S231" s="22"/>
      <c r="T231" s="22"/>
      <c r="U231" s="22"/>
      <c r="V231" s="22"/>
      <c r="W231" s="22"/>
      <c r="Y231" s="21"/>
      <c r="Z231" s="21"/>
      <c r="AA231" s="21"/>
      <c r="AB231" s="13"/>
      <c r="AC231" s="2"/>
      <c r="AD231" s="13"/>
      <c r="AE231" s="2"/>
      <c r="AF231" s="9"/>
    </row>
    <row r="232" spans="1:32" x14ac:dyDescent="0.2">
      <c r="A232" s="17"/>
      <c r="B232" s="39"/>
      <c r="C232" s="40"/>
      <c r="D232" s="37"/>
      <c r="E232" s="29"/>
      <c r="H232" s="24"/>
      <c r="I232" s="26"/>
      <c r="J232" s="26"/>
      <c r="K232" s="29"/>
      <c r="L232" s="14"/>
      <c r="M232" s="48"/>
      <c r="N232" s="29"/>
      <c r="O232" s="29"/>
      <c r="P232" s="49"/>
      <c r="R232" s="12"/>
      <c r="S232" s="22"/>
      <c r="T232" s="22"/>
      <c r="U232" s="22"/>
      <c r="V232" s="22"/>
      <c r="W232" s="22"/>
      <c r="Y232" s="21"/>
      <c r="Z232" s="21"/>
      <c r="AA232" s="21"/>
      <c r="AB232" s="13"/>
      <c r="AC232" s="2"/>
      <c r="AD232" s="13"/>
      <c r="AE232" s="2"/>
      <c r="AF232" s="9"/>
    </row>
    <row r="233" spans="1:32" x14ac:dyDescent="0.2">
      <c r="A233" s="17">
        <f>A201+1</f>
        <v>148</v>
      </c>
      <c r="B233" s="5"/>
      <c r="C233" s="40" t="s">
        <v>94</v>
      </c>
      <c r="D233" s="29" t="s">
        <v>110</v>
      </c>
      <c r="E233" s="29"/>
      <c r="H233" s="24">
        <v>15000</v>
      </c>
      <c r="I233" s="26"/>
      <c r="J233" s="26"/>
      <c r="K233" s="29"/>
      <c r="L233" s="14"/>
      <c r="M233" s="48"/>
      <c r="N233" s="29"/>
      <c r="O233" s="29"/>
      <c r="P233" s="49"/>
      <c r="R233" s="12"/>
      <c r="S233" s="22"/>
      <c r="T233" s="22"/>
      <c r="U233" s="22"/>
      <c r="V233" s="22"/>
      <c r="W233" s="22"/>
      <c r="Y233" s="21"/>
      <c r="Z233" s="21"/>
      <c r="AA233" s="21"/>
      <c r="AB233" s="13"/>
      <c r="AC233" s="2"/>
      <c r="AD233" s="13"/>
      <c r="AE233" s="2"/>
      <c r="AF233" s="9"/>
    </row>
    <row r="234" spans="1:32" x14ac:dyDescent="0.2">
      <c r="A234" s="17">
        <f t="shared" ref="A234:A248" si="41">A233+1</f>
        <v>149</v>
      </c>
      <c r="B234" s="5"/>
      <c r="C234" s="40"/>
      <c r="D234" s="29" t="s">
        <v>142</v>
      </c>
      <c r="E234" s="29"/>
      <c r="H234" s="24">
        <v>4500</v>
      </c>
      <c r="I234" s="26"/>
      <c r="J234" s="26"/>
      <c r="K234" s="29"/>
      <c r="L234" s="14"/>
      <c r="M234" s="48"/>
      <c r="N234" s="29"/>
      <c r="O234" s="29"/>
      <c r="P234" s="49"/>
      <c r="R234" s="12"/>
      <c r="S234" s="22"/>
      <c r="T234" s="22"/>
      <c r="U234" s="22"/>
      <c r="V234" s="22"/>
      <c r="W234" s="22"/>
      <c r="Y234" s="21"/>
      <c r="Z234" s="21"/>
      <c r="AA234" s="21"/>
      <c r="AB234" s="13"/>
      <c r="AC234" s="2"/>
      <c r="AD234" s="13"/>
      <c r="AE234" s="2"/>
      <c r="AF234" s="9"/>
    </row>
    <row r="235" spans="1:32" x14ac:dyDescent="0.2">
      <c r="A235" s="17">
        <f t="shared" si="41"/>
        <v>150</v>
      </c>
      <c r="B235" s="39"/>
      <c r="C235" s="40"/>
      <c r="D235" s="29" t="s">
        <v>176</v>
      </c>
      <c r="E235" s="12"/>
      <c r="F235" s="5"/>
      <c r="G235" s="21"/>
      <c r="H235" s="21">
        <v>4500</v>
      </c>
      <c r="I235" s="26"/>
      <c r="J235" s="26"/>
      <c r="K235" s="29"/>
      <c r="L235" s="14"/>
      <c r="M235" s="48"/>
      <c r="N235" s="29"/>
      <c r="O235" s="29"/>
      <c r="P235" s="49"/>
      <c r="R235" s="12"/>
      <c r="S235" s="22"/>
      <c r="T235" s="22"/>
      <c r="U235" s="22"/>
      <c r="V235" s="22"/>
      <c r="W235" s="22"/>
      <c r="Y235" s="21"/>
      <c r="Z235" s="21"/>
      <c r="AA235" s="21"/>
      <c r="AB235" s="13"/>
      <c r="AC235" s="2"/>
      <c r="AD235" s="13"/>
      <c r="AE235" s="2"/>
      <c r="AF235" s="9"/>
    </row>
    <row r="236" spans="1:32" x14ac:dyDescent="0.2">
      <c r="A236" s="17">
        <f t="shared" si="41"/>
        <v>151</v>
      </c>
      <c r="B236" s="39" t="s">
        <v>44</v>
      </c>
      <c r="C236" s="40" t="s">
        <v>94</v>
      </c>
      <c r="D236" s="29" t="s">
        <v>51</v>
      </c>
      <c r="E236" s="12"/>
      <c r="F236" s="5"/>
      <c r="G236" s="21"/>
      <c r="H236" s="21">
        <v>5000</v>
      </c>
      <c r="I236" s="26"/>
      <c r="K236" s="29"/>
      <c r="L236" s="14"/>
      <c r="M236" s="48"/>
      <c r="N236" s="29"/>
      <c r="O236" s="29"/>
      <c r="P236" s="49"/>
      <c r="R236" s="12"/>
      <c r="S236" s="22"/>
      <c r="T236" s="22"/>
      <c r="U236" s="22"/>
      <c r="V236" s="22"/>
      <c r="W236" s="22"/>
      <c r="Y236" s="21"/>
      <c r="Z236" s="21"/>
      <c r="AA236" s="21"/>
      <c r="AB236" s="13"/>
      <c r="AC236" s="2"/>
      <c r="AD236" s="13"/>
      <c r="AE236" s="2"/>
      <c r="AF236" s="9"/>
    </row>
    <row r="237" spans="1:32" x14ac:dyDescent="0.2">
      <c r="A237" s="17">
        <f t="shared" si="41"/>
        <v>152</v>
      </c>
      <c r="B237" s="40"/>
      <c r="C237" s="40"/>
      <c r="D237" s="29" t="s">
        <v>141</v>
      </c>
      <c r="E237" s="29"/>
      <c r="H237" s="24">
        <v>7500</v>
      </c>
      <c r="I237" s="14"/>
      <c r="K237" s="29"/>
      <c r="L237" s="14"/>
      <c r="M237" s="48"/>
      <c r="N237" s="29"/>
      <c r="O237" s="29"/>
      <c r="P237" s="49"/>
      <c r="R237" s="12"/>
      <c r="S237" s="22"/>
      <c r="T237" s="22"/>
      <c r="U237" s="22"/>
      <c r="V237" s="22"/>
      <c r="W237" s="22"/>
      <c r="Y237" s="21"/>
      <c r="Z237" s="21"/>
      <c r="AA237" s="21"/>
      <c r="AB237" s="13"/>
      <c r="AC237" s="2"/>
      <c r="AD237" s="13"/>
      <c r="AE237" s="2"/>
      <c r="AF237" s="9"/>
    </row>
    <row r="238" spans="1:32" x14ac:dyDescent="0.2">
      <c r="A238" s="17">
        <f t="shared" si="41"/>
        <v>153</v>
      </c>
      <c r="B238" s="40"/>
      <c r="C238" s="39" t="s">
        <v>93</v>
      </c>
      <c r="D238" s="29" t="s">
        <v>76</v>
      </c>
      <c r="E238" s="12"/>
      <c r="F238" s="5"/>
      <c r="G238" s="21"/>
      <c r="H238" s="21">
        <v>1300</v>
      </c>
      <c r="I238" s="14"/>
      <c r="K238" s="29"/>
      <c r="L238" s="14"/>
      <c r="M238" s="48"/>
      <c r="N238" s="29"/>
      <c r="O238" s="29"/>
      <c r="P238" s="49"/>
      <c r="R238" s="12"/>
      <c r="S238" s="22"/>
      <c r="T238" s="22"/>
      <c r="U238" s="22"/>
      <c r="V238" s="22"/>
      <c r="W238" s="22"/>
      <c r="Y238" s="21"/>
      <c r="Z238" s="21"/>
      <c r="AA238" s="21"/>
      <c r="AB238" s="13"/>
      <c r="AC238" s="2"/>
      <c r="AD238" s="13"/>
      <c r="AE238" s="2"/>
      <c r="AF238" s="9"/>
    </row>
    <row r="239" spans="1:32" x14ac:dyDescent="0.2">
      <c r="A239" s="17">
        <f t="shared" si="41"/>
        <v>154</v>
      </c>
      <c r="B239" s="40"/>
      <c r="C239" s="39"/>
      <c r="D239" s="29" t="s">
        <v>133</v>
      </c>
      <c r="E239" s="12"/>
      <c r="F239" s="5"/>
      <c r="G239" s="21"/>
      <c r="H239" s="21">
        <v>2000</v>
      </c>
      <c r="I239" s="14"/>
      <c r="J239" s="14"/>
      <c r="K239" s="29"/>
      <c r="L239" s="14"/>
      <c r="M239" s="48"/>
      <c r="N239" s="29"/>
      <c r="O239" s="29"/>
      <c r="P239" s="49"/>
      <c r="R239" s="12"/>
      <c r="S239" s="22"/>
      <c r="T239" s="22"/>
      <c r="U239" s="22"/>
      <c r="V239" s="22"/>
      <c r="W239" s="22"/>
      <c r="Y239" s="21"/>
      <c r="Z239" s="21"/>
      <c r="AA239" s="21"/>
      <c r="AB239" s="13"/>
      <c r="AC239" s="2"/>
      <c r="AD239" s="13"/>
      <c r="AE239" s="2"/>
      <c r="AF239" s="9"/>
    </row>
    <row r="240" spans="1:32" x14ac:dyDescent="0.2">
      <c r="A240" s="17">
        <f t="shared" si="41"/>
        <v>155</v>
      </c>
      <c r="B240" s="40"/>
      <c r="C240" s="40"/>
      <c r="D240" s="29" t="s">
        <v>177</v>
      </c>
      <c r="E240" s="12"/>
      <c r="F240" s="33"/>
      <c r="H240" s="24">
        <v>3000</v>
      </c>
      <c r="I240" s="14"/>
      <c r="J240" s="14"/>
      <c r="K240" s="29"/>
      <c r="L240" s="27"/>
      <c r="M240" s="30"/>
      <c r="N240" s="29"/>
      <c r="O240" s="29"/>
      <c r="P240" s="49"/>
      <c r="R240" s="12"/>
      <c r="S240" s="22"/>
      <c r="T240" s="22"/>
      <c r="U240" s="22"/>
      <c r="V240" s="22"/>
      <c r="W240" s="22"/>
      <c r="Y240" s="21"/>
      <c r="Z240" s="21"/>
      <c r="AA240" s="21"/>
      <c r="AB240" s="13"/>
      <c r="AC240" s="2"/>
      <c r="AD240" s="13"/>
      <c r="AE240" s="2"/>
      <c r="AF240" s="9"/>
    </row>
    <row r="241" spans="1:32" x14ac:dyDescent="0.2">
      <c r="A241" s="17">
        <f t="shared" si="41"/>
        <v>156</v>
      </c>
      <c r="B241" s="40"/>
      <c r="C241" s="40"/>
      <c r="D241" s="29"/>
      <c r="E241" s="29"/>
      <c r="H241" s="24"/>
      <c r="I241" s="14"/>
      <c r="J241" s="14"/>
      <c r="K241" s="29"/>
      <c r="L241" s="34"/>
      <c r="M241" s="30"/>
      <c r="N241" s="29"/>
      <c r="O241" s="29"/>
      <c r="P241" s="35"/>
      <c r="R241" s="12"/>
      <c r="T241" s="22"/>
      <c r="U241" s="22"/>
      <c r="V241" s="22"/>
      <c r="W241" s="22"/>
      <c r="Y241" s="21"/>
      <c r="Z241" s="21"/>
      <c r="AA241" s="21"/>
      <c r="AB241" s="13"/>
      <c r="AC241" s="2"/>
      <c r="AD241" s="13"/>
      <c r="AE241" s="2"/>
      <c r="AF241" s="9"/>
    </row>
    <row r="242" spans="1:32" x14ac:dyDescent="0.2">
      <c r="A242" s="17">
        <f t="shared" si="41"/>
        <v>157</v>
      </c>
      <c r="B242" s="40"/>
      <c r="C242" s="40"/>
      <c r="D242" s="29"/>
      <c r="E242" s="29"/>
      <c r="H242" s="24"/>
      <c r="I242" s="14"/>
      <c r="J242" s="14"/>
      <c r="K242" s="29"/>
      <c r="L242" s="34"/>
      <c r="M242" s="30"/>
      <c r="N242" s="29"/>
      <c r="O242" s="29"/>
      <c r="P242" s="35"/>
      <c r="R242" s="12"/>
      <c r="T242" s="22"/>
      <c r="U242" s="22"/>
      <c r="V242" s="22"/>
      <c r="W242" s="22"/>
      <c r="Y242" s="21"/>
      <c r="Z242" s="21"/>
      <c r="AA242" s="21"/>
      <c r="AB242" s="13"/>
      <c r="AC242" s="2"/>
      <c r="AD242" s="13"/>
      <c r="AE242" s="2"/>
      <c r="AF242" s="9"/>
    </row>
    <row r="243" spans="1:32" x14ac:dyDescent="0.2">
      <c r="A243" s="17">
        <f t="shared" si="41"/>
        <v>158</v>
      </c>
      <c r="B243" s="40"/>
      <c r="C243" s="40"/>
      <c r="D243" s="29"/>
      <c r="E243" s="29"/>
      <c r="H243" s="24"/>
      <c r="I243" s="14"/>
      <c r="J243" s="14"/>
      <c r="K243" s="29"/>
      <c r="L243" s="34"/>
      <c r="M243" s="30"/>
      <c r="N243" s="29"/>
      <c r="O243" s="29"/>
      <c r="P243" s="35"/>
      <c r="R243" s="12"/>
      <c r="T243" s="22"/>
      <c r="U243" s="22"/>
      <c r="V243" s="22"/>
      <c r="W243" s="22"/>
      <c r="Y243" s="21"/>
      <c r="Z243" s="21"/>
      <c r="AA243" s="21"/>
      <c r="AB243" s="13"/>
      <c r="AC243" s="2"/>
      <c r="AD243" s="13"/>
      <c r="AE243" s="2"/>
      <c r="AF243" s="9"/>
    </row>
    <row r="244" spans="1:32" x14ac:dyDescent="0.2">
      <c r="A244" s="17">
        <f t="shared" si="41"/>
        <v>159</v>
      </c>
      <c r="B244" s="40"/>
      <c r="C244" s="40"/>
      <c r="D244" s="29"/>
      <c r="E244" s="29"/>
      <c r="H244" s="24"/>
      <c r="I244" s="14"/>
      <c r="J244" s="14"/>
      <c r="K244" s="29"/>
      <c r="L244" s="34"/>
      <c r="M244" s="30"/>
      <c r="N244" s="29"/>
      <c r="O244" s="29"/>
      <c r="P244" s="35"/>
      <c r="R244" s="12"/>
      <c r="T244" s="22"/>
      <c r="U244" s="22"/>
      <c r="V244" s="22"/>
      <c r="W244" s="22"/>
      <c r="Y244" s="21"/>
      <c r="Z244" s="21"/>
      <c r="AA244" s="21"/>
      <c r="AB244" s="13"/>
      <c r="AC244" s="2"/>
      <c r="AD244" s="13"/>
      <c r="AE244" s="2"/>
      <c r="AF244" s="9"/>
    </row>
    <row r="245" spans="1:32" x14ac:dyDescent="0.2">
      <c r="A245" s="17">
        <f t="shared" si="41"/>
        <v>160</v>
      </c>
      <c r="B245" s="39"/>
      <c r="C245" s="40"/>
      <c r="D245" s="29"/>
      <c r="E245" s="12"/>
      <c r="F245" s="5"/>
      <c r="G245" s="21"/>
      <c r="H245" s="21"/>
      <c r="I245" s="26"/>
      <c r="J245" s="14"/>
      <c r="K245" s="29"/>
      <c r="L245" s="34"/>
      <c r="M245" s="30"/>
      <c r="N245" s="29"/>
      <c r="O245" s="29"/>
      <c r="P245" s="35"/>
      <c r="R245" s="12"/>
      <c r="T245" s="22"/>
      <c r="U245" s="22"/>
      <c r="V245" s="22"/>
      <c r="W245" s="22"/>
      <c r="Y245" s="21"/>
      <c r="Z245" s="21"/>
      <c r="AA245" s="21"/>
      <c r="AB245" s="13"/>
      <c r="AC245" s="2"/>
      <c r="AD245" s="13"/>
      <c r="AE245" s="2"/>
      <c r="AF245" s="9"/>
    </row>
    <row r="246" spans="1:32" x14ac:dyDescent="0.2">
      <c r="A246" s="17">
        <f t="shared" si="41"/>
        <v>161</v>
      </c>
      <c r="B246" s="40"/>
      <c r="C246" s="40"/>
      <c r="D246" s="29"/>
      <c r="E246" s="29"/>
      <c r="H246" s="24"/>
      <c r="I246" s="14"/>
      <c r="J246" s="14"/>
      <c r="K246" s="29"/>
      <c r="L246" s="34"/>
      <c r="M246" s="30"/>
      <c r="N246" s="29"/>
      <c r="O246" s="29"/>
      <c r="P246" s="35"/>
      <c r="R246" s="12"/>
      <c r="T246" s="22"/>
      <c r="U246" s="22"/>
      <c r="V246" s="22"/>
      <c r="W246" s="22"/>
      <c r="Y246" s="21"/>
      <c r="Z246" s="21"/>
      <c r="AA246" s="21"/>
      <c r="AB246" s="13"/>
      <c r="AC246" s="2"/>
      <c r="AD246" s="13"/>
      <c r="AE246" s="2"/>
      <c r="AF246" s="9"/>
    </row>
    <row r="247" spans="1:32" x14ac:dyDescent="0.2">
      <c r="A247" s="17">
        <f t="shared" si="41"/>
        <v>162</v>
      </c>
      <c r="B247" s="40"/>
      <c r="C247" s="40"/>
      <c r="D247" s="29"/>
      <c r="E247" s="29"/>
      <c r="H247" s="24"/>
      <c r="I247" s="14"/>
      <c r="J247" s="14"/>
      <c r="K247" s="29"/>
      <c r="L247" s="34"/>
      <c r="M247" s="30"/>
      <c r="N247" s="29"/>
      <c r="O247" s="29"/>
      <c r="P247" s="35"/>
      <c r="R247" s="12"/>
      <c r="T247" s="22"/>
      <c r="U247" s="22"/>
      <c r="V247" s="22"/>
      <c r="W247" s="22"/>
      <c r="Y247" s="21"/>
      <c r="Z247" s="21"/>
      <c r="AA247" s="21"/>
      <c r="AB247" s="13"/>
      <c r="AC247" s="2"/>
      <c r="AD247" s="13"/>
      <c r="AE247" s="2"/>
      <c r="AF247" s="9"/>
    </row>
    <row r="248" spans="1:32" x14ac:dyDescent="0.2">
      <c r="A248" s="17">
        <f t="shared" si="41"/>
        <v>163</v>
      </c>
      <c r="B248" s="40"/>
      <c r="C248" s="40"/>
      <c r="D248" s="29"/>
      <c r="E248" s="29"/>
      <c r="H248" s="24"/>
      <c r="I248" s="14"/>
      <c r="J248" s="14"/>
      <c r="K248" s="29"/>
      <c r="L248" s="34"/>
      <c r="M248" s="30"/>
      <c r="N248" s="29"/>
      <c r="O248" s="29"/>
      <c r="P248" s="35"/>
      <c r="R248" s="12"/>
      <c r="T248" s="22"/>
      <c r="U248" s="22"/>
      <c r="V248" s="22"/>
      <c r="W248" s="22"/>
      <c r="Y248" s="21"/>
      <c r="Z248" s="21"/>
      <c r="AA248" s="21"/>
      <c r="AB248" s="13"/>
      <c r="AC248" s="2"/>
      <c r="AD248" s="13"/>
      <c r="AE248" s="2"/>
      <c r="AF248" s="9"/>
    </row>
    <row r="249" spans="1:32" x14ac:dyDescent="0.2">
      <c r="A249" s="12"/>
      <c r="B249" s="40"/>
      <c r="C249" s="40"/>
      <c r="D249" s="29"/>
      <c r="E249" s="29"/>
      <c r="H249" s="24"/>
      <c r="I249" s="14"/>
      <c r="J249" s="14"/>
      <c r="K249" s="29"/>
      <c r="L249" s="34"/>
      <c r="M249" s="30"/>
      <c r="N249" s="29"/>
      <c r="O249" s="29"/>
      <c r="P249" s="35"/>
      <c r="R249" s="12"/>
      <c r="T249" s="22"/>
      <c r="U249" s="22"/>
      <c r="V249" s="22"/>
      <c r="W249" s="22"/>
      <c r="Y249" s="21"/>
      <c r="Z249" s="21"/>
      <c r="AA249" s="21"/>
      <c r="AB249" s="13"/>
      <c r="AC249" s="2"/>
      <c r="AD249" s="13"/>
      <c r="AE249" s="2"/>
      <c r="AF249" s="9"/>
    </row>
    <row r="250" spans="1:32" x14ac:dyDescent="0.2">
      <c r="A250" s="12"/>
      <c r="B250" s="40"/>
      <c r="C250" s="40"/>
      <c r="D250" s="29"/>
      <c r="E250" s="29"/>
      <c r="H250" s="24"/>
      <c r="I250" s="14"/>
      <c r="J250" s="14"/>
      <c r="K250" s="29"/>
      <c r="L250" s="34"/>
      <c r="M250" s="30"/>
      <c r="N250" s="29"/>
      <c r="O250" s="29"/>
      <c r="P250" s="35"/>
      <c r="R250" s="12"/>
      <c r="T250" s="22"/>
      <c r="U250" s="22"/>
      <c r="V250" s="22"/>
      <c r="W250" s="22"/>
      <c r="Y250" s="21"/>
      <c r="Z250" s="21"/>
      <c r="AA250" s="21"/>
      <c r="AB250" s="13"/>
      <c r="AC250" s="2"/>
      <c r="AD250" s="13"/>
      <c r="AE250" s="2"/>
      <c r="AF250" s="9"/>
    </row>
    <row r="251" spans="1:32" x14ac:dyDescent="0.2">
      <c r="A251" s="12"/>
      <c r="B251" s="40"/>
      <c r="C251" s="40"/>
      <c r="D251" s="29"/>
      <c r="E251" s="29"/>
      <c r="H251" s="24"/>
      <c r="I251" s="14"/>
      <c r="J251" s="14"/>
      <c r="K251" s="29"/>
      <c r="L251" s="34"/>
      <c r="M251" s="30"/>
      <c r="N251" s="29"/>
      <c r="O251" s="29"/>
      <c r="P251" s="35"/>
      <c r="R251" s="12"/>
      <c r="T251" s="22"/>
      <c r="U251" s="22"/>
      <c r="V251" s="22"/>
      <c r="W251" s="22"/>
      <c r="Y251" s="21"/>
      <c r="Z251" s="21"/>
      <c r="AA251" s="21"/>
      <c r="AB251" s="13"/>
      <c r="AC251" s="2"/>
      <c r="AD251" s="13"/>
      <c r="AE251" s="2"/>
      <c r="AF251" s="9"/>
    </row>
    <row r="252" spans="1:32" x14ac:dyDescent="0.2">
      <c r="A252" s="12">
        <v>215</v>
      </c>
      <c r="B252" s="40"/>
      <c r="C252" s="40"/>
      <c r="D252" s="29"/>
      <c r="E252" s="12"/>
      <c r="H252" s="24"/>
      <c r="I252" s="14"/>
      <c r="K252" s="44"/>
      <c r="L252" s="14"/>
      <c r="N252" s="29"/>
      <c r="O252" s="29"/>
      <c r="P252" s="36"/>
      <c r="R252" s="12"/>
      <c r="T252" s="22"/>
      <c r="U252" s="22"/>
      <c r="V252" s="22"/>
      <c r="W252" s="22"/>
      <c r="Y252" s="21"/>
      <c r="Z252" s="21"/>
      <c r="AA252" s="21"/>
      <c r="AB252" s="13"/>
      <c r="AC252" s="2"/>
      <c r="AD252" s="13"/>
      <c r="AE252" s="2"/>
      <c r="AF252" s="9"/>
    </row>
    <row r="253" spans="1:32" x14ac:dyDescent="0.2">
      <c r="A253" s="12">
        <v>216</v>
      </c>
      <c r="B253" s="40"/>
      <c r="C253" s="40"/>
      <c r="D253" s="29" t="s">
        <v>48</v>
      </c>
      <c r="E253" s="12"/>
      <c r="G253" s="14">
        <f>SUM(G2:G251)</f>
        <v>9913.8021800000079</v>
      </c>
      <c r="H253" s="14">
        <f>SUM(H2:H251)</f>
        <v>812222.98399999959</v>
      </c>
      <c r="I253" s="14"/>
      <c r="K253" s="44"/>
      <c r="L253" s="14"/>
      <c r="N253" s="29"/>
      <c r="O253" s="29"/>
      <c r="P253" s="36"/>
      <c r="R253" s="12"/>
      <c r="S253" s="22"/>
      <c r="T253" s="22"/>
      <c r="U253" s="22"/>
      <c r="V253" s="22"/>
    </row>
    <row r="254" spans="1:32" x14ac:dyDescent="0.2">
      <c r="A254" s="12">
        <v>217</v>
      </c>
      <c r="B254" s="40"/>
      <c r="C254" s="40"/>
      <c r="D254" s="29"/>
      <c r="E254" s="12"/>
      <c r="H254" s="24"/>
      <c r="I254" s="14"/>
      <c r="K254" s="44"/>
      <c r="L254" s="14"/>
      <c r="N254" s="29"/>
      <c r="O254" s="29"/>
      <c r="P254" s="36"/>
      <c r="R254" s="12"/>
      <c r="S254" s="22"/>
      <c r="T254" s="22"/>
      <c r="U254" s="22"/>
      <c r="V254" s="22"/>
    </row>
    <row r="255" spans="1:32" x14ac:dyDescent="0.2">
      <c r="A255" s="12">
        <v>218</v>
      </c>
      <c r="B255" s="40"/>
      <c r="C255" s="40"/>
      <c r="D255" s="29"/>
      <c r="E255" s="12"/>
      <c r="H255" s="24"/>
      <c r="I255" s="14"/>
      <c r="K255" s="44"/>
      <c r="L255" s="14"/>
      <c r="N255" s="29"/>
      <c r="O255" s="29"/>
      <c r="P255" s="36"/>
      <c r="R255" s="12"/>
      <c r="S255" s="22"/>
      <c r="T255" s="22"/>
      <c r="U255" s="22"/>
      <c r="V255" s="22"/>
    </row>
    <row r="256" spans="1:32" x14ac:dyDescent="0.2">
      <c r="A256" s="12">
        <v>219</v>
      </c>
      <c r="B256" s="40"/>
      <c r="C256" s="40"/>
      <c r="D256" s="29"/>
      <c r="E256" s="12"/>
      <c r="H256" s="24"/>
      <c r="I256" s="14"/>
      <c r="K256" s="44"/>
      <c r="L256" s="14"/>
      <c r="N256" s="29"/>
      <c r="O256" s="29"/>
      <c r="P256" s="36"/>
      <c r="R256" s="12"/>
      <c r="S256" s="22"/>
      <c r="T256" s="22"/>
      <c r="U256" s="22"/>
      <c r="V256" s="22"/>
    </row>
    <row r="257" spans="1:22" x14ac:dyDescent="0.2">
      <c r="A257" s="12">
        <v>220</v>
      </c>
      <c r="B257" s="40"/>
      <c r="C257" s="40"/>
      <c r="D257" s="29"/>
      <c r="E257" s="12"/>
      <c r="H257" s="24"/>
      <c r="I257" s="14"/>
      <c r="K257" s="44"/>
      <c r="L257" s="14"/>
      <c r="N257" s="29"/>
      <c r="O257" s="29"/>
      <c r="P257" s="36"/>
      <c r="R257" s="12"/>
      <c r="S257" s="22"/>
      <c r="T257" s="22"/>
      <c r="U257" s="22"/>
      <c r="V257" s="22"/>
    </row>
    <row r="258" spans="1:22" x14ac:dyDescent="0.2">
      <c r="A258" s="12">
        <v>221</v>
      </c>
      <c r="B258" s="40"/>
      <c r="C258" s="40"/>
      <c r="D258" s="29"/>
      <c r="E258" s="12"/>
      <c r="H258" s="24"/>
      <c r="I258" s="14"/>
      <c r="K258" s="44"/>
      <c r="L258" s="14"/>
      <c r="N258" s="29"/>
      <c r="O258" s="29"/>
      <c r="P258" s="36"/>
      <c r="R258" s="12"/>
      <c r="S258" s="22"/>
      <c r="T258" s="22"/>
      <c r="U258" s="22"/>
      <c r="V258" s="22"/>
    </row>
    <row r="259" spans="1:22" x14ac:dyDescent="0.2">
      <c r="A259" s="12">
        <v>222</v>
      </c>
      <c r="B259" s="20"/>
      <c r="C259" s="20"/>
      <c r="D259" s="29"/>
      <c r="E259" s="12"/>
      <c r="H259" s="24"/>
      <c r="I259" s="14"/>
      <c r="J259" s="14"/>
      <c r="K259" s="44"/>
      <c r="L259" s="14"/>
      <c r="M259" s="30"/>
      <c r="N259" s="29"/>
      <c r="O259" s="29"/>
      <c r="P259" s="36"/>
      <c r="R259" s="12"/>
      <c r="S259" s="22"/>
      <c r="T259" s="22"/>
      <c r="U259" s="22"/>
      <c r="V259" s="22"/>
    </row>
    <row r="260" spans="1:22" x14ac:dyDescent="0.2">
      <c r="A260" s="12">
        <v>223</v>
      </c>
      <c r="B260" s="20"/>
      <c r="C260" s="20"/>
      <c r="D260" s="29"/>
      <c r="E260" s="12"/>
      <c r="H260" s="24"/>
      <c r="I260" s="14"/>
      <c r="J260" s="14"/>
      <c r="K260" s="44"/>
      <c r="L260" s="14"/>
      <c r="M260" s="30"/>
      <c r="N260" s="29"/>
      <c r="O260" s="29"/>
      <c r="P260" s="36"/>
      <c r="R260" s="12"/>
      <c r="S260" s="22"/>
      <c r="T260" s="22"/>
      <c r="U260" s="22"/>
      <c r="V260" s="22"/>
    </row>
    <row r="261" spans="1:22" x14ac:dyDescent="0.2">
      <c r="A261" s="12">
        <v>224</v>
      </c>
      <c r="B261" s="40"/>
      <c r="C261" s="40"/>
      <c r="D261" s="29"/>
      <c r="E261" s="12"/>
      <c r="H261" s="24"/>
      <c r="I261" s="14"/>
      <c r="J261" s="14"/>
      <c r="K261" s="44"/>
      <c r="L261" s="14"/>
      <c r="M261" s="30"/>
      <c r="N261" s="29"/>
      <c r="O261" s="29"/>
      <c r="P261" s="36"/>
      <c r="R261" s="12"/>
      <c r="S261" s="22"/>
      <c r="T261" s="22"/>
      <c r="U261" s="22"/>
      <c r="V261" s="22"/>
    </row>
    <row r="262" spans="1:22" x14ac:dyDescent="0.2">
      <c r="A262" s="12">
        <v>225</v>
      </c>
      <c r="B262" s="40"/>
      <c r="C262" s="40"/>
      <c r="D262" s="29"/>
      <c r="E262" s="12"/>
      <c r="H262" s="24"/>
      <c r="I262" s="14"/>
      <c r="J262" s="14"/>
      <c r="K262" s="44"/>
      <c r="L262" s="14"/>
      <c r="M262" s="30"/>
      <c r="N262" s="29"/>
      <c r="O262" s="29"/>
      <c r="P262" s="36"/>
      <c r="R262" s="12"/>
      <c r="S262" s="22"/>
      <c r="T262" s="22"/>
      <c r="U262" s="22"/>
      <c r="V262" s="22"/>
    </row>
    <row r="263" spans="1:22" x14ac:dyDescent="0.2">
      <c r="A263" s="12">
        <v>226</v>
      </c>
      <c r="B263" s="40"/>
      <c r="C263" s="40"/>
      <c r="D263" s="29"/>
      <c r="E263" s="12"/>
      <c r="H263" s="24"/>
      <c r="I263" s="14"/>
      <c r="J263" s="14"/>
      <c r="K263" s="44"/>
      <c r="L263" s="14"/>
      <c r="M263" s="30"/>
      <c r="N263" s="29"/>
      <c r="O263" s="29"/>
      <c r="P263" s="36"/>
      <c r="R263" s="12"/>
      <c r="S263" s="22"/>
      <c r="T263" s="22"/>
      <c r="U263" s="22"/>
      <c r="V263" s="22"/>
    </row>
    <row r="264" spans="1:22" x14ac:dyDescent="0.2">
      <c r="A264" s="12">
        <v>227</v>
      </c>
      <c r="B264" s="40"/>
      <c r="C264" s="40"/>
      <c r="D264" s="29"/>
      <c r="E264" s="12"/>
      <c r="H264" s="24"/>
      <c r="I264" s="14"/>
      <c r="J264" s="14"/>
      <c r="K264" s="44"/>
      <c r="L264" s="14"/>
      <c r="M264" s="30"/>
      <c r="N264" s="29"/>
      <c r="O264" s="29"/>
      <c r="P264" s="36"/>
      <c r="R264" s="12"/>
      <c r="S264" s="22"/>
      <c r="T264" s="22"/>
      <c r="U264" s="22"/>
      <c r="V264" s="22"/>
    </row>
    <row r="265" spans="1:22" x14ac:dyDescent="0.2">
      <c r="A265" s="12">
        <v>228</v>
      </c>
      <c r="B265" s="40"/>
      <c r="C265" s="40"/>
      <c r="D265" s="29"/>
      <c r="E265" s="12"/>
      <c r="H265" s="24"/>
      <c r="I265" s="14"/>
      <c r="J265" s="14"/>
      <c r="K265" s="44"/>
      <c r="L265" s="14"/>
      <c r="M265" s="30"/>
      <c r="N265" s="29"/>
      <c r="O265" s="29"/>
      <c r="P265" s="36"/>
      <c r="R265" s="12"/>
      <c r="S265" s="22"/>
      <c r="T265" s="22"/>
      <c r="U265" s="22"/>
      <c r="V265" s="22"/>
    </row>
    <row r="266" spans="1:22" x14ac:dyDescent="0.2">
      <c r="A266" s="12">
        <v>229</v>
      </c>
      <c r="B266" s="40"/>
      <c r="C266" s="40"/>
      <c r="D266" s="29"/>
      <c r="E266" s="12"/>
      <c r="H266" s="24"/>
      <c r="I266" s="14"/>
      <c r="K266" s="44"/>
      <c r="L266" s="14"/>
      <c r="N266" s="29"/>
      <c r="O266" s="29"/>
      <c r="P266" s="36"/>
      <c r="R266" s="12"/>
      <c r="S266" s="22"/>
      <c r="T266" s="22"/>
      <c r="U266" s="22"/>
      <c r="V266" s="22"/>
    </row>
    <row r="267" spans="1:22" x14ac:dyDescent="0.2">
      <c r="A267" s="12">
        <v>230</v>
      </c>
      <c r="B267" s="40"/>
      <c r="C267" s="40"/>
      <c r="D267" s="29"/>
      <c r="E267" s="12"/>
      <c r="H267" s="24"/>
      <c r="I267" s="14"/>
      <c r="K267" s="44"/>
      <c r="L267" s="14"/>
      <c r="N267" s="29"/>
      <c r="O267" s="29"/>
      <c r="P267" s="36"/>
      <c r="R267" s="12"/>
      <c r="S267" s="22"/>
      <c r="T267" s="22"/>
      <c r="U267" s="22"/>
      <c r="V267" s="22"/>
    </row>
    <row r="268" spans="1:22" x14ac:dyDescent="0.2">
      <c r="A268" s="12">
        <v>231</v>
      </c>
      <c r="B268" s="40"/>
      <c r="C268" s="40"/>
      <c r="D268" s="29"/>
      <c r="E268" s="12"/>
      <c r="H268" s="24"/>
      <c r="I268" s="14"/>
      <c r="J268" s="14"/>
      <c r="K268" s="44"/>
      <c r="L268" s="14"/>
      <c r="N268" s="29"/>
      <c r="O268" s="29"/>
      <c r="P268" s="36"/>
      <c r="R268" s="12"/>
      <c r="S268" s="22"/>
      <c r="T268" s="22"/>
      <c r="U268" s="22"/>
      <c r="V268" s="22"/>
    </row>
    <row r="269" spans="1:22" x14ac:dyDescent="0.2">
      <c r="A269" s="12">
        <v>232</v>
      </c>
      <c r="B269" s="40"/>
      <c r="C269" s="40"/>
      <c r="D269" s="29"/>
      <c r="E269" s="12"/>
      <c r="H269" s="24"/>
      <c r="I269" s="14"/>
      <c r="J269" s="14"/>
      <c r="K269" s="44"/>
      <c r="L269" s="14"/>
      <c r="N269" s="29"/>
      <c r="O269" s="29"/>
      <c r="P269" s="36"/>
      <c r="R269" s="12"/>
      <c r="S269" s="22"/>
      <c r="T269" s="22"/>
      <c r="U269" s="22"/>
      <c r="V269" s="22"/>
    </row>
    <row r="270" spans="1:22" x14ac:dyDescent="0.2">
      <c r="A270" s="12">
        <v>233</v>
      </c>
      <c r="B270" s="40"/>
      <c r="C270" s="40"/>
      <c r="D270" s="29"/>
      <c r="E270" s="12"/>
      <c r="H270" s="24"/>
      <c r="I270" s="14"/>
      <c r="J270" s="14"/>
      <c r="K270" s="44"/>
      <c r="L270" s="14"/>
      <c r="M270" s="30"/>
      <c r="N270" s="46"/>
      <c r="O270" s="46"/>
      <c r="P270" s="36"/>
      <c r="R270" s="12"/>
      <c r="S270" s="22"/>
      <c r="T270" s="22"/>
      <c r="U270" s="22"/>
      <c r="V270" s="22"/>
    </row>
    <row r="271" spans="1:22" x14ac:dyDescent="0.2">
      <c r="A271" s="12">
        <v>234</v>
      </c>
      <c r="B271" s="40"/>
      <c r="C271" s="40"/>
      <c r="D271" s="37"/>
      <c r="E271" s="12"/>
      <c r="H271" s="24"/>
      <c r="I271" s="14"/>
      <c r="J271" s="14"/>
      <c r="K271" s="44"/>
      <c r="L271" s="14"/>
      <c r="N271" s="45"/>
      <c r="O271" s="45"/>
      <c r="P271" s="36"/>
      <c r="R271" s="12"/>
      <c r="S271" s="22"/>
      <c r="T271" s="22"/>
      <c r="U271" s="22"/>
      <c r="V271" s="22"/>
    </row>
    <row r="272" spans="1:22" x14ac:dyDescent="0.2">
      <c r="A272" s="12">
        <v>235</v>
      </c>
      <c r="B272" s="40"/>
      <c r="C272" s="40"/>
      <c r="D272" s="29"/>
      <c r="E272" s="12"/>
      <c r="H272" s="24"/>
      <c r="I272" s="14"/>
      <c r="J272" s="14"/>
      <c r="K272" s="44"/>
      <c r="L272" s="14"/>
      <c r="N272" s="45"/>
      <c r="O272" s="45"/>
      <c r="P272" s="36"/>
      <c r="R272" s="12"/>
      <c r="S272" s="22"/>
      <c r="T272" s="22"/>
      <c r="U272" s="22"/>
      <c r="V272" s="22"/>
    </row>
    <row r="273" spans="1:22" x14ac:dyDescent="0.2">
      <c r="A273" s="12">
        <v>236</v>
      </c>
      <c r="B273" s="40"/>
      <c r="C273" s="40"/>
      <c r="D273" s="29"/>
      <c r="E273" s="12"/>
      <c r="H273" s="24"/>
      <c r="I273" s="14"/>
      <c r="J273" s="14"/>
      <c r="K273" s="44"/>
      <c r="L273" s="14"/>
      <c r="N273" s="45"/>
      <c r="O273" s="45"/>
      <c r="P273" s="36"/>
      <c r="R273" s="12"/>
      <c r="S273" s="22"/>
      <c r="T273" s="22"/>
      <c r="U273" s="22"/>
      <c r="V273" s="22"/>
    </row>
    <row r="274" spans="1:22" x14ac:dyDescent="0.2">
      <c r="A274" s="12">
        <v>237</v>
      </c>
      <c r="B274" s="40"/>
      <c r="C274" s="40"/>
      <c r="D274" s="29"/>
      <c r="E274" s="12"/>
      <c r="H274" s="24"/>
      <c r="I274" s="14"/>
      <c r="J274" s="14"/>
      <c r="K274" s="44"/>
      <c r="L274" s="14"/>
      <c r="N274" s="45"/>
      <c r="O274" s="45"/>
      <c r="P274" s="36"/>
      <c r="R274" s="12"/>
      <c r="S274" s="22"/>
      <c r="T274" s="22"/>
      <c r="U274" s="22"/>
      <c r="V274" s="22"/>
    </row>
    <row r="275" spans="1:22" x14ac:dyDescent="0.2">
      <c r="A275" s="12">
        <v>238</v>
      </c>
      <c r="B275" s="40"/>
      <c r="C275" s="40"/>
      <c r="D275" s="29"/>
      <c r="E275" s="12"/>
      <c r="H275" s="24"/>
      <c r="I275" s="14"/>
      <c r="J275" s="14"/>
      <c r="K275" s="44"/>
      <c r="L275" s="14"/>
      <c r="N275" s="45"/>
      <c r="O275" s="45"/>
      <c r="P275" s="36"/>
      <c r="R275" s="12"/>
      <c r="S275" s="22"/>
      <c r="T275" s="22"/>
      <c r="U275" s="22"/>
      <c r="V275" s="22"/>
    </row>
    <row r="276" spans="1:22" x14ac:dyDescent="0.2">
      <c r="A276" s="12">
        <v>239</v>
      </c>
      <c r="B276" s="40"/>
      <c r="C276" s="40"/>
      <c r="D276" s="29"/>
      <c r="E276" s="12"/>
      <c r="H276" s="24"/>
      <c r="I276" s="14"/>
      <c r="J276" s="14"/>
      <c r="K276" s="44"/>
      <c r="L276" s="14"/>
      <c r="N276" s="45"/>
      <c r="O276" s="45"/>
      <c r="P276" s="36"/>
      <c r="R276" s="12"/>
      <c r="S276" s="22"/>
      <c r="T276" s="22"/>
      <c r="U276" s="22"/>
      <c r="V276" s="22"/>
    </row>
    <row r="277" spans="1:22" x14ac:dyDescent="0.2">
      <c r="A277" s="12">
        <v>240</v>
      </c>
      <c r="B277" s="40"/>
      <c r="C277" s="40"/>
      <c r="D277" s="29"/>
      <c r="E277" s="12"/>
      <c r="H277" s="24"/>
      <c r="I277" s="14"/>
      <c r="J277" s="14"/>
      <c r="K277" s="44"/>
      <c r="L277" s="14"/>
      <c r="N277" s="45"/>
      <c r="O277" s="45"/>
      <c r="P277" s="36"/>
      <c r="R277" s="12"/>
      <c r="S277" s="22"/>
      <c r="T277" s="22"/>
      <c r="U277" s="22"/>
      <c r="V277" s="22"/>
    </row>
    <row r="278" spans="1:22" x14ac:dyDescent="0.2">
      <c r="A278" s="12">
        <v>241</v>
      </c>
      <c r="B278" s="40"/>
      <c r="C278" s="40"/>
      <c r="D278" s="29"/>
      <c r="E278" s="12"/>
      <c r="H278" s="24"/>
      <c r="I278" s="14"/>
      <c r="J278" s="14"/>
      <c r="K278" s="44"/>
      <c r="L278" s="14"/>
      <c r="N278" s="45"/>
      <c r="O278" s="45"/>
      <c r="P278" s="36"/>
      <c r="R278" s="12"/>
      <c r="S278" s="22"/>
      <c r="T278" s="22"/>
      <c r="U278" s="22"/>
      <c r="V278" s="22"/>
    </row>
    <row r="279" spans="1:22" x14ac:dyDescent="0.2">
      <c r="A279" s="12">
        <v>242</v>
      </c>
      <c r="B279" s="40"/>
      <c r="C279" s="40"/>
      <c r="D279" s="29"/>
      <c r="E279" s="12"/>
      <c r="H279" s="24"/>
      <c r="I279" s="14"/>
      <c r="J279" s="14"/>
      <c r="K279" s="44"/>
      <c r="L279" s="14"/>
      <c r="N279" s="45"/>
      <c r="O279" s="45"/>
      <c r="P279" s="36"/>
      <c r="R279" s="12"/>
      <c r="S279" s="22"/>
      <c r="T279" s="22"/>
      <c r="U279" s="22"/>
      <c r="V279" s="22"/>
    </row>
    <row r="280" spans="1:22" x14ac:dyDescent="0.2">
      <c r="A280" s="15"/>
      <c r="B280" s="40"/>
      <c r="C280" s="40"/>
      <c r="D280" s="45"/>
      <c r="E280" s="15"/>
      <c r="H280" s="24"/>
      <c r="I280" s="14"/>
      <c r="J280" s="14"/>
      <c r="K280" s="47"/>
      <c r="L280" s="14"/>
      <c r="N280" s="45"/>
      <c r="O280" s="45"/>
      <c r="P280" s="36"/>
      <c r="R280" s="15"/>
      <c r="S280" s="22"/>
      <c r="T280" s="22"/>
      <c r="U280" s="22"/>
      <c r="V280" s="22"/>
    </row>
    <row r="281" spans="1:22" x14ac:dyDescent="0.2">
      <c r="A281" s="15"/>
      <c r="B281" s="40"/>
      <c r="C281" s="40"/>
      <c r="D281" s="45"/>
      <c r="E281" s="15"/>
      <c r="H281" s="24" t="e">
        <f>SUM(#REF!)</f>
        <v>#REF!</v>
      </c>
      <c r="I281" s="14"/>
      <c r="J281" s="14"/>
      <c r="K281" s="47"/>
      <c r="L281" s="14"/>
      <c r="N281" s="45"/>
      <c r="O281" s="45"/>
      <c r="P281" s="36"/>
      <c r="R281" s="15"/>
      <c r="S281" s="22"/>
      <c r="T281" s="22"/>
      <c r="U281" s="22"/>
      <c r="V281" s="22"/>
    </row>
    <row r="282" spans="1:22" x14ac:dyDescent="0.2">
      <c r="A282" s="15"/>
      <c r="B282" s="40"/>
      <c r="C282" s="40"/>
      <c r="D282" s="45"/>
      <c r="E282" s="15"/>
      <c r="H282" s="24"/>
      <c r="I282" s="14"/>
      <c r="J282" s="14"/>
      <c r="K282" s="47"/>
      <c r="L282" s="14"/>
      <c r="N282" s="45"/>
      <c r="O282" s="45"/>
      <c r="P282" s="36"/>
      <c r="R282" s="15"/>
      <c r="S282" s="22"/>
      <c r="T282" s="22"/>
      <c r="U282" s="22"/>
      <c r="V282" s="22"/>
    </row>
    <row r="283" spans="1:22" x14ac:dyDescent="0.2">
      <c r="A283" s="15"/>
      <c r="B283" s="40"/>
      <c r="C283" s="40"/>
      <c r="D283" s="45"/>
      <c r="E283" s="15"/>
      <c r="H283" s="24"/>
      <c r="I283" s="14"/>
      <c r="J283" s="14"/>
      <c r="K283" s="47"/>
      <c r="L283" s="14"/>
      <c r="N283" s="45"/>
      <c r="O283" s="45"/>
      <c r="P283" s="36"/>
      <c r="R283" s="15"/>
      <c r="S283" s="22"/>
      <c r="T283" s="22"/>
      <c r="U283" s="22"/>
      <c r="V283" s="22"/>
    </row>
    <row r="284" spans="1:22" x14ac:dyDescent="0.2">
      <c r="A284" s="15"/>
      <c r="B284" s="40"/>
      <c r="C284" s="40"/>
      <c r="D284" s="45"/>
      <c r="E284" s="15"/>
      <c r="H284" s="24"/>
      <c r="I284" s="14"/>
      <c r="J284" s="14"/>
      <c r="K284" s="47"/>
      <c r="L284" s="14"/>
      <c r="N284" s="45"/>
      <c r="O284" s="45"/>
      <c r="P284" s="36"/>
      <c r="R284" s="15"/>
      <c r="S284" s="22"/>
      <c r="T284" s="22"/>
      <c r="U284" s="22"/>
      <c r="V284" s="22"/>
    </row>
    <row r="285" spans="1:22" x14ac:dyDescent="0.2">
      <c r="A285" s="15"/>
      <c r="B285" s="40"/>
      <c r="C285" s="40"/>
      <c r="D285" s="45"/>
      <c r="E285" s="15"/>
      <c r="H285" s="24"/>
      <c r="I285" s="14"/>
      <c r="J285" s="14"/>
      <c r="K285" s="47"/>
      <c r="L285" s="14"/>
      <c r="N285" s="45"/>
      <c r="O285" s="45"/>
      <c r="P285" s="36"/>
      <c r="R285" s="15"/>
      <c r="S285" s="22"/>
      <c r="T285" s="22"/>
      <c r="U285" s="22"/>
      <c r="V285" s="22"/>
    </row>
    <row r="286" spans="1:22" x14ac:dyDescent="0.2">
      <c r="A286" s="15"/>
      <c r="B286" s="40"/>
      <c r="C286" s="40"/>
      <c r="D286" s="45"/>
      <c r="E286" s="15"/>
      <c r="H286" s="24"/>
      <c r="I286" s="14"/>
      <c r="J286" s="14"/>
      <c r="K286" s="47"/>
      <c r="L286" s="14"/>
      <c r="N286" s="45"/>
      <c r="O286" s="45"/>
      <c r="P286" s="36"/>
      <c r="R286" s="15"/>
      <c r="S286" s="22"/>
      <c r="T286" s="22"/>
      <c r="U286" s="22"/>
      <c r="V286" s="22"/>
    </row>
    <row r="287" spans="1:22" x14ac:dyDescent="0.2">
      <c r="A287" s="15"/>
      <c r="B287" s="40"/>
      <c r="C287" s="40"/>
      <c r="D287" s="45"/>
      <c r="E287" s="15"/>
      <c r="H287" s="24"/>
      <c r="I287" s="14"/>
      <c r="J287" s="14"/>
      <c r="K287" s="47"/>
      <c r="L287" s="14"/>
      <c r="N287" s="45"/>
      <c r="O287" s="45"/>
      <c r="P287" s="36"/>
      <c r="R287" s="15"/>
      <c r="S287" s="22"/>
      <c r="T287" s="22"/>
      <c r="U287" s="22"/>
      <c r="V287" s="22"/>
    </row>
    <row r="291" spans="4:10" x14ac:dyDescent="0.2">
      <c r="D291" s="1" t="s">
        <v>42</v>
      </c>
      <c r="G291">
        <f>SUM(G1:G289)</f>
        <v>19827.604360000016</v>
      </c>
      <c r="H291" t="e">
        <f>SUM(H1:H289)</f>
        <v>#REF!</v>
      </c>
      <c r="I291">
        <f>SUM(I1:I289)</f>
        <v>733414.47399999958</v>
      </c>
      <c r="J291">
        <f>SUM(J1:J289)</f>
        <v>29695</v>
      </c>
    </row>
    <row r="323" spans="8:8" x14ac:dyDescent="0.2">
      <c r="H323">
        <f>130000*0.02</f>
        <v>2600</v>
      </c>
    </row>
    <row r="324" spans="8:8" x14ac:dyDescent="0.2">
      <c r="H324">
        <f>130000*1.103*0.02</f>
        <v>2867.8</v>
      </c>
    </row>
    <row r="325" spans="8:8" x14ac:dyDescent="0.2">
      <c r="H325">
        <f>900000*1.103*0.02</f>
        <v>19854</v>
      </c>
    </row>
    <row r="327" spans="8:8" x14ac:dyDescent="0.2">
      <c r="H327">
        <f>477500*1.103*0.02</f>
        <v>10533.65</v>
      </c>
    </row>
  </sheetData>
  <autoFilter ref="A1:R279"/>
  <phoneticPr fontId="0" type="noConversion"/>
  <pageMargins left="0.2" right="0.2" top="0.75" bottom="0.75" header="0.5" footer="0.5"/>
  <pageSetup scale="85" fitToWidth="2" fitToHeight="2" orientation="landscape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Monthwise</vt:lpstr>
      <vt:lpstr>Monthwise!Print_Titles</vt:lpstr>
    </vt:vector>
  </TitlesOfParts>
  <Company>ABB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</dc:creator>
  <cp:lastModifiedBy>Bhawna Basu</cp:lastModifiedBy>
  <cp:lastPrinted>2006-09-12T07:47:14Z</cp:lastPrinted>
  <dcterms:created xsi:type="dcterms:W3CDTF">2000-01-31T09:41:05Z</dcterms:created>
  <dcterms:modified xsi:type="dcterms:W3CDTF">2016-05-18T09:12:10Z</dcterms:modified>
</cp:coreProperties>
</file>