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BB\Data\2016\"/>
    </mc:Choice>
  </mc:AlternateContent>
  <bookViews>
    <workbookView xWindow="0" yWindow="0" windowWidth="8955" windowHeight="6060"/>
  </bookViews>
  <sheets>
    <sheet name="Sheet1" sheetId="1" r:id="rId1"/>
  </sheets>
  <definedNames>
    <definedName name="_xlnm._FilterDatabase" localSheetId="0" hidden="1">Sheet1!$A$1:$AH$411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0" i="1" l="1"/>
  <c r="L420" i="1"/>
  <c r="I420" i="1"/>
  <c r="I419" i="1" l="1"/>
  <c r="L419" i="1" s="1"/>
  <c r="G419" i="1"/>
  <c r="M419" i="1" s="1"/>
  <c r="G418" i="1" l="1"/>
  <c r="G417" i="1"/>
  <c r="M417" i="1" s="1"/>
  <c r="M418" i="1"/>
  <c r="I418" i="1"/>
  <c r="I417" i="1"/>
  <c r="L417" i="1" s="1"/>
  <c r="G416" i="1"/>
  <c r="G414" i="1"/>
  <c r="M414" i="1" s="1"/>
  <c r="G413" i="1"/>
  <c r="I416" i="1"/>
  <c r="M416" i="1"/>
  <c r="I415" i="1"/>
  <c r="L415" i="1" s="1"/>
  <c r="M415" i="1"/>
  <c r="I414" i="1"/>
  <c r="L414" i="1" s="1"/>
  <c r="I413" i="1"/>
  <c r="L413" i="1" s="1"/>
  <c r="M413" i="1"/>
  <c r="G412" i="1"/>
  <c r="M412" i="1"/>
  <c r="I412" i="1"/>
  <c r="L412" i="1" s="1"/>
  <c r="L418" i="1" l="1"/>
  <c r="L416" i="1"/>
  <c r="I411" i="1"/>
  <c r="L411" i="1" s="1"/>
  <c r="M411" i="1"/>
  <c r="G411" i="1"/>
  <c r="J410" i="1"/>
  <c r="L410" i="1"/>
  <c r="M410" i="1"/>
  <c r="G410" i="1"/>
  <c r="I409" i="1"/>
  <c r="L409" i="1" s="1"/>
  <c r="M409" i="1"/>
  <c r="G409" i="1"/>
  <c r="I408" i="1"/>
  <c r="L408" i="1" s="1"/>
  <c r="M408" i="1"/>
  <c r="G408" i="1"/>
  <c r="I407" i="1"/>
  <c r="L407" i="1" s="1"/>
  <c r="M407" i="1"/>
  <c r="G407" i="1"/>
  <c r="I406" i="1"/>
  <c r="L406" i="1" s="1"/>
  <c r="M406" i="1"/>
  <c r="G406" i="1"/>
  <c r="M405" i="1"/>
  <c r="L405" i="1"/>
  <c r="G405" i="1"/>
  <c r="G403" i="1"/>
  <c r="G402" i="1"/>
  <c r="M402" i="1" s="1"/>
  <c r="I404" i="1"/>
  <c r="M403" i="1"/>
  <c r="I403" i="1"/>
  <c r="I402" i="1"/>
  <c r="L402" i="1" s="1"/>
  <c r="G401" i="1"/>
  <c r="M401" i="1"/>
  <c r="I401" i="1"/>
  <c r="L401" i="1" s="1"/>
  <c r="M400" i="1"/>
  <c r="I400" i="1"/>
  <c r="L400" i="1" s="1"/>
  <c r="I399" i="1"/>
  <c r="L403" i="1" l="1"/>
  <c r="I398" i="1"/>
  <c r="L398" i="1" s="1"/>
  <c r="M398" i="1"/>
  <c r="I397" i="1" l="1"/>
  <c r="L397" i="1" s="1"/>
  <c r="M397" i="1"/>
  <c r="I396" i="1"/>
  <c r="L396" i="1" s="1"/>
  <c r="M396" i="1"/>
  <c r="G394" i="1" l="1"/>
  <c r="G393" i="1"/>
  <c r="G392" i="1"/>
  <c r="M392" i="1" s="1"/>
  <c r="M395" i="1"/>
  <c r="I395" i="1"/>
  <c r="L395" i="1" s="1"/>
  <c r="M394" i="1"/>
  <c r="I394" i="1"/>
  <c r="L394" i="1" s="1"/>
  <c r="M393" i="1"/>
  <c r="I393" i="1"/>
  <c r="L393" i="1" s="1"/>
  <c r="I392" i="1"/>
  <c r="I391" i="1"/>
  <c r="G390" i="1"/>
  <c r="M390" i="1" s="1"/>
  <c r="G389" i="1"/>
  <c r="I390" i="1"/>
  <c r="I389" i="1"/>
  <c r="L389" i="1" s="1"/>
  <c r="M389" i="1"/>
  <c r="M388" i="1"/>
  <c r="G388" i="1"/>
  <c r="I388" i="1"/>
  <c r="L388" i="1" s="1"/>
  <c r="L392" i="1" l="1"/>
  <c r="L390" i="1"/>
  <c r="G387" i="1"/>
  <c r="G386" i="1"/>
  <c r="M387" i="1"/>
  <c r="I387" i="1"/>
  <c r="L387" i="1" s="1"/>
  <c r="I386" i="1"/>
  <c r="L386" i="1" s="1"/>
  <c r="M386" i="1"/>
  <c r="G385" i="1"/>
  <c r="M385" i="1" s="1"/>
  <c r="I385" i="1"/>
  <c r="I384" i="1"/>
  <c r="G383" i="1"/>
  <c r="M383" i="1" s="1"/>
  <c r="I383" i="1"/>
  <c r="G382" i="1"/>
  <c r="M382" i="1"/>
  <c r="I382" i="1"/>
  <c r="L382" i="1" s="1"/>
  <c r="I381" i="1"/>
  <c r="G380" i="1"/>
  <c r="I380" i="1"/>
  <c r="I379" i="1"/>
  <c r="I378" i="1"/>
  <c r="L385" i="1" l="1"/>
  <c r="L383" i="1"/>
  <c r="I377" i="1"/>
  <c r="M376" i="1" l="1"/>
  <c r="I376" i="1"/>
  <c r="L376" i="1" s="1"/>
  <c r="M375" i="1"/>
  <c r="I375" i="1"/>
  <c r="L375" i="1" s="1"/>
  <c r="M374" i="1"/>
  <c r="I374" i="1"/>
  <c r="L374" i="1" s="1"/>
  <c r="M373" i="1"/>
  <c r="I373" i="1"/>
  <c r="L373" i="1" s="1"/>
  <c r="M372" i="1"/>
  <c r="I372" i="1"/>
  <c r="L372" i="1" s="1"/>
  <c r="M371" i="1"/>
  <c r="I371" i="1"/>
  <c r="L371" i="1" s="1"/>
  <c r="M370" i="1"/>
  <c r="I370" i="1"/>
  <c r="L370" i="1" s="1"/>
  <c r="I362" i="1"/>
  <c r="J362" i="1" s="1"/>
  <c r="I358" i="1"/>
  <c r="M357" i="1"/>
  <c r="L357" i="1"/>
  <c r="J357" i="1"/>
  <c r="M369" i="1"/>
  <c r="I369" i="1"/>
  <c r="L369" i="1" s="1"/>
  <c r="M368" i="1"/>
  <c r="I368" i="1"/>
  <c r="L368" i="1" s="1"/>
  <c r="M367" i="1"/>
  <c r="I367" i="1"/>
  <c r="L367" i="1" s="1"/>
  <c r="M366" i="1"/>
  <c r="I366" i="1"/>
  <c r="L366" i="1" s="1"/>
  <c r="I353" i="1" l="1"/>
  <c r="L353" i="1" s="1"/>
  <c r="M353" i="1"/>
  <c r="G353" i="1"/>
  <c r="I365" i="1"/>
  <c r="G365" i="1"/>
  <c r="M365" i="1" s="1"/>
  <c r="J364" i="1"/>
  <c r="M364" i="1"/>
  <c r="L364" i="1"/>
  <c r="M363" i="1"/>
  <c r="I363" i="1"/>
  <c r="L363" i="1" s="1"/>
  <c r="G363" i="1"/>
  <c r="M360" i="1"/>
  <c r="I361" i="1"/>
  <c r="I360" i="1"/>
  <c r="L360" i="1" s="1"/>
  <c r="I359" i="1"/>
  <c r="L365" i="1" l="1"/>
  <c r="I356" i="1"/>
  <c r="I355" i="1"/>
  <c r="I354" i="1"/>
  <c r="M356" i="1"/>
  <c r="L356" i="1"/>
  <c r="M355" i="1"/>
  <c r="L355" i="1"/>
  <c r="J358" i="1"/>
  <c r="J352" i="1" l="1"/>
  <c r="L352" i="1"/>
  <c r="M352" i="1"/>
  <c r="M351" i="1"/>
  <c r="I351" i="1"/>
  <c r="L351" i="1" s="1"/>
  <c r="J426" i="1" l="1"/>
  <c r="J425" i="1"/>
  <c r="J424" i="1"/>
  <c r="M350" i="1"/>
  <c r="I350" i="1"/>
  <c r="L350" i="1" s="1"/>
  <c r="G350" i="1"/>
  <c r="M349" i="1"/>
  <c r="I349" i="1"/>
  <c r="L349" i="1" s="1"/>
  <c r="M348" i="1"/>
  <c r="M347" i="1"/>
  <c r="I348" i="1"/>
  <c r="L348" i="1" s="1"/>
  <c r="G348" i="1"/>
  <c r="I347" i="1"/>
  <c r="L347" i="1" s="1"/>
  <c r="G347" i="1"/>
  <c r="I346" i="1"/>
  <c r="I345" i="1"/>
  <c r="G344" i="1"/>
  <c r="M344" i="1" s="1"/>
  <c r="I344" i="1"/>
  <c r="L344" i="1" l="1"/>
  <c r="M343" i="1"/>
  <c r="I343" i="1"/>
  <c r="L343" i="1" s="1"/>
  <c r="G343" i="1"/>
  <c r="I342" i="1" l="1"/>
  <c r="L342" i="1" s="1"/>
  <c r="M342" i="1"/>
  <c r="M341" i="1" l="1"/>
  <c r="I341" i="1"/>
  <c r="L341" i="1" s="1"/>
  <c r="M340" i="1"/>
  <c r="I340" i="1"/>
  <c r="L340" i="1" s="1"/>
  <c r="I339" i="1" l="1"/>
  <c r="L339" i="1" s="1"/>
  <c r="M339" i="1"/>
  <c r="G339" i="1"/>
  <c r="I338" i="1"/>
  <c r="L338" i="1" s="1"/>
  <c r="M338" i="1"/>
  <c r="G338" i="1"/>
  <c r="G337" i="1"/>
  <c r="I337" i="1"/>
  <c r="L337" i="1" s="1"/>
  <c r="M337" i="1"/>
  <c r="I336" i="1"/>
  <c r="I335" i="1" l="1"/>
  <c r="L335" i="1" s="1"/>
  <c r="M335" i="1"/>
  <c r="M334" i="1" l="1"/>
  <c r="I334" i="1"/>
  <c r="L334" i="1" s="1"/>
  <c r="M333" i="1" l="1"/>
  <c r="I333" i="1"/>
  <c r="L333" i="1" s="1"/>
  <c r="I332" i="1"/>
  <c r="L332" i="1" s="1"/>
  <c r="M332" i="1"/>
  <c r="I331" i="1" l="1"/>
  <c r="L331" i="1" s="1"/>
  <c r="M331" i="1"/>
  <c r="G331" i="1"/>
  <c r="M330" i="1"/>
  <c r="I330" i="1"/>
  <c r="L330" i="1" s="1"/>
  <c r="G330" i="1"/>
  <c r="G328" i="1"/>
  <c r="G327" i="1"/>
  <c r="G326" i="1"/>
  <c r="M326" i="1" s="1"/>
  <c r="I328" i="1"/>
  <c r="M328" i="1"/>
  <c r="I327" i="1"/>
  <c r="L327" i="1" s="1"/>
  <c r="M327" i="1"/>
  <c r="I326" i="1"/>
  <c r="L326" i="1" l="1"/>
  <c r="L328" i="1"/>
  <c r="G317" i="1"/>
  <c r="M317" i="1" s="1"/>
  <c r="G318" i="1"/>
  <c r="M325" i="1"/>
  <c r="L325" i="1"/>
  <c r="J325" i="1"/>
  <c r="M323" i="1"/>
  <c r="M319" i="1"/>
  <c r="M318" i="1"/>
  <c r="M316" i="1"/>
  <c r="I324" i="1"/>
  <c r="L324" i="1" s="1"/>
  <c r="G324" i="1"/>
  <c r="M324" i="1" s="1"/>
  <c r="I323" i="1"/>
  <c r="L323" i="1" s="1"/>
  <c r="I322" i="1"/>
  <c r="L322" i="1" s="1"/>
  <c r="G322" i="1"/>
  <c r="M322" i="1" s="1"/>
  <c r="G321" i="1"/>
  <c r="M321" i="1" s="1"/>
  <c r="G320" i="1"/>
  <c r="M320" i="1" s="1"/>
  <c r="G319" i="1"/>
  <c r="I321" i="1"/>
  <c r="L321" i="1" s="1"/>
  <c r="I320" i="1"/>
  <c r="L320" i="1" s="1"/>
  <c r="I319" i="1"/>
  <c r="L319" i="1" s="1"/>
  <c r="I318" i="1"/>
  <c r="L318" i="1" s="1"/>
  <c r="I317" i="1"/>
  <c r="I316" i="1"/>
  <c r="L316" i="1" s="1"/>
  <c r="I315" i="1"/>
  <c r="I314" i="1"/>
  <c r="L317" i="1" l="1"/>
  <c r="M329" i="1"/>
  <c r="I329" i="1"/>
  <c r="L329" i="1" s="1"/>
  <c r="M313" i="1"/>
  <c r="L313" i="1"/>
  <c r="J313" i="1"/>
  <c r="G313" i="1"/>
  <c r="M312" i="1" l="1"/>
  <c r="I312" i="1"/>
  <c r="L312" i="1" s="1"/>
  <c r="M311" i="1"/>
  <c r="G311" i="1"/>
  <c r="I311" i="1"/>
  <c r="L311" i="1" s="1"/>
  <c r="I310" i="1"/>
  <c r="I309" i="1" l="1"/>
  <c r="L309" i="1" s="1"/>
  <c r="G309" i="1"/>
  <c r="M309" i="1" s="1"/>
  <c r="G306" i="1" l="1"/>
  <c r="G305" i="1"/>
  <c r="G303" i="1"/>
  <c r="M303" i="1" s="1"/>
  <c r="I308" i="1"/>
  <c r="L308" i="1" s="1"/>
  <c r="M308" i="1"/>
  <c r="I307" i="1"/>
  <c r="L307" i="1" s="1"/>
  <c r="M307" i="1"/>
  <c r="I306" i="1"/>
  <c r="L306" i="1" s="1"/>
  <c r="M306" i="1"/>
  <c r="I305" i="1"/>
  <c r="L305" i="1" s="1"/>
  <c r="M305" i="1"/>
  <c r="I304" i="1"/>
  <c r="I303" i="1"/>
  <c r="I302" i="1"/>
  <c r="G302" i="1"/>
  <c r="G301" i="1"/>
  <c r="G300" i="1"/>
  <c r="M301" i="1"/>
  <c r="I301" i="1"/>
  <c r="L301" i="1" s="1"/>
  <c r="M300" i="1"/>
  <c r="I300" i="1"/>
  <c r="L300" i="1" s="1"/>
  <c r="M299" i="1"/>
  <c r="I299" i="1"/>
  <c r="L299" i="1" s="1"/>
  <c r="M298" i="1"/>
  <c r="I298" i="1"/>
  <c r="L298" i="1" s="1"/>
  <c r="L302" i="1" l="1"/>
  <c r="M302" i="1"/>
  <c r="L303" i="1"/>
  <c r="G297" i="1"/>
  <c r="I297" i="1"/>
  <c r="I296" i="1" l="1"/>
  <c r="I295" i="1"/>
  <c r="I294" i="1"/>
  <c r="L294" i="1"/>
  <c r="M294" i="1"/>
  <c r="G294" i="1"/>
  <c r="G293" i="1"/>
  <c r="M293" i="1" s="1"/>
  <c r="G292" i="1"/>
  <c r="M292" i="1" s="1"/>
  <c r="I293" i="1"/>
  <c r="I292" i="1"/>
  <c r="G291" i="1"/>
  <c r="M291" i="1" s="1"/>
  <c r="I291" i="1"/>
  <c r="G290" i="1"/>
  <c r="I290" i="1"/>
  <c r="L290" i="1" s="1"/>
  <c r="M290" i="1"/>
  <c r="I289" i="1"/>
  <c r="L289" i="1" s="1"/>
  <c r="G289" i="1"/>
  <c r="M289" i="1" s="1"/>
  <c r="L293" i="1" l="1"/>
  <c r="L292" i="1"/>
  <c r="L291" i="1"/>
  <c r="I288" i="1"/>
  <c r="I287" i="1" l="1"/>
  <c r="L287" i="1" s="1"/>
  <c r="G287" i="1"/>
  <c r="M287" i="1" s="1"/>
  <c r="I286" i="1"/>
  <c r="J284" i="1"/>
  <c r="G284" i="1"/>
  <c r="M284" i="1" s="1"/>
  <c r="L284" i="1" l="1"/>
  <c r="J283" i="1"/>
  <c r="M283" i="1"/>
  <c r="L283" i="1"/>
  <c r="G283" i="1"/>
  <c r="I282" i="1"/>
  <c r="M281" i="1" l="1"/>
  <c r="I281" i="1"/>
  <c r="L281" i="1" s="1"/>
  <c r="I280" i="1" l="1"/>
  <c r="I279" i="1"/>
  <c r="I278" i="1"/>
  <c r="I277" i="1"/>
  <c r="L277" i="1" s="1"/>
  <c r="G277" i="1"/>
  <c r="M277" i="1" s="1"/>
  <c r="M276" i="1"/>
  <c r="I276" i="1" l="1"/>
  <c r="L276" i="1" s="1"/>
  <c r="M275" i="1"/>
  <c r="I275" i="1"/>
  <c r="L275" i="1" s="1"/>
  <c r="G275" i="1"/>
  <c r="G274" i="1"/>
  <c r="M274" i="1" s="1"/>
  <c r="I274" i="1"/>
  <c r="L274" i="1" s="1"/>
  <c r="M273" i="1" l="1"/>
  <c r="I273" i="1"/>
  <c r="L273" i="1" s="1"/>
  <c r="I272" i="1" l="1"/>
  <c r="I271" i="1"/>
  <c r="I270" i="1"/>
  <c r="L270" i="1"/>
  <c r="M270" i="1"/>
  <c r="G270" i="1"/>
  <c r="I269" i="1"/>
  <c r="L269" i="1"/>
  <c r="M269" i="1"/>
  <c r="G269" i="1"/>
  <c r="I268" i="1"/>
  <c r="L268" i="1"/>
  <c r="M268" i="1"/>
  <c r="G268" i="1"/>
  <c r="I267" i="1" l="1"/>
  <c r="L267" i="1" s="1"/>
  <c r="G267" i="1"/>
  <c r="M267" i="1" s="1"/>
  <c r="M266" i="1" l="1"/>
  <c r="I266" i="1"/>
  <c r="L266" i="1" s="1"/>
  <c r="G265" i="1"/>
  <c r="M265" i="1" s="1"/>
  <c r="G264" i="1"/>
  <c r="I265" i="1"/>
  <c r="I264" i="1"/>
  <c r="M264" i="1"/>
  <c r="I263" i="1"/>
  <c r="L263" i="1" s="1"/>
  <c r="G263" i="1"/>
  <c r="M263" i="1" s="1"/>
  <c r="I262" i="1"/>
  <c r="L265" i="1" l="1"/>
  <c r="L264" i="1"/>
  <c r="M261" i="1"/>
  <c r="I261" i="1"/>
  <c r="L261" i="1" s="1"/>
  <c r="G260" i="1" l="1"/>
  <c r="M260" i="1" s="1"/>
  <c r="G259" i="1"/>
  <c r="I260" i="1"/>
  <c r="L260" i="1" s="1"/>
  <c r="I259" i="1"/>
  <c r="M259" i="1"/>
  <c r="L259" i="1" l="1"/>
  <c r="I258" i="1"/>
  <c r="G258" i="1"/>
  <c r="M258" i="1" s="1"/>
  <c r="I257" i="1"/>
  <c r="L257" i="1" s="1"/>
  <c r="G257" i="1"/>
  <c r="M257" i="1" s="1"/>
  <c r="G256" i="1"/>
  <c r="M256" i="1" s="1"/>
  <c r="I256" i="1"/>
  <c r="G255" i="1"/>
  <c r="M255" i="1" s="1"/>
  <c r="I255" i="1"/>
  <c r="G254" i="1"/>
  <c r="M254" i="1" s="1"/>
  <c r="G253" i="1"/>
  <c r="M253" i="1" s="1"/>
  <c r="I254" i="1"/>
  <c r="I253" i="1"/>
  <c r="G252" i="1"/>
  <c r="M252" i="1" s="1"/>
  <c r="I252" i="1"/>
  <c r="M251" i="1"/>
  <c r="L251" i="1"/>
  <c r="J251" i="1"/>
  <c r="G250" i="1"/>
  <c r="M250" i="1" s="1"/>
  <c r="I250" i="1"/>
  <c r="L250" i="1" s="1"/>
  <c r="L253" i="1" l="1"/>
  <c r="L255" i="1"/>
  <c r="L258" i="1"/>
  <c r="L254" i="1"/>
  <c r="L256" i="1"/>
  <c r="L252" i="1"/>
  <c r="I249" i="1"/>
  <c r="I248" i="1"/>
  <c r="L248" i="1" s="1"/>
  <c r="G248" i="1"/>
  <c r="M248" i="1" s="1"/>
  <c r="J247" i="1" l="1"/>
  <c r="G247" i="1"/>
  <c r="M247" i="1" s="1"/>
  <c r="L247" i="1" l="1"/>
  <c r="M246" i="1"/>
  <c r="I246" i="1"/>
  <c r="L246" i="1" s="1"/>
  <c r="I245" i="1" l="1"/>
  <c r="L245" i="1" s="1"/>
  <c r="G245" i="1"/>
  <c r="M245" i="1" s="1"/>
  <c r="J244" i="1" l="1"/>
  <c r="G244" i="1"/>
  <c r="M244" i="1" s="1"/>
  <c r="L244" i="1" l="1"/>
  <c r="M243" i="1"/>
  <c r="L243" i="1"/>
  <c r="J242" i="1"/>
  <c r="G242" i="1"/>
  <c r="L242" i="1" s="1"/>
  <c r="M241" i="1"/>
  <c r="I241" i="1"/>
  <c r="L241" i="1" s="1"/>
  <c r="M242" i="1" l="1"/>
  <c r="G239" i="1"/>
  <c r="M239" i="1" s="1"/>
  <c r="G240" i="1"/>
  <c r="M240" i="1" s="1"/>
  <c r="I240" i="1"/>
  <c r="L240" i="1" s="1"/>
  <c r="I239" i="1"/>
  <c r="I238" i="1"/>
  <c r="G233" i="1"/>
  <c r="L239" i="1" l="1"/>
  <c r="I237" i="1"/>
  <c r="G237" i="1"/>
  <c r="M237" i="1" s="1"/>
  <c r="L237" i="1" l="1"/>
  <c r="M236" i="1"/>
  <c r="I236" i="1"/>
  <c r="L236" i="1" s="1"/>
  <c r="J234" i="1"/>
  <c r="I235" i="1"/>
  <c r="G235" i="1"/>
  <c r="M235" i="1" s="1"/>
  <c r="G234" i="1"/>
  <c r="M234" i="1" s="1"/>
  <c r="L235" i="1" l="1"/>
  <c r="L234" i="1"/>
  <c r="I233" i="1"/>
  <c r="M232" i="1"/>
  <c r="I232" i="1"/>
  <c r="L232" i="1" s="1"/>
  <c r="G231" i="1" l="1"/>
  <c r="M231" i="1" s="1"/>
  <c r="G230" i="1"/>
  <c r="M230" i="1" s="1"/>
  <c r="I231" i="1"/>
  <c r="I230" i="1"/>
  <c r="M229" i="1"/>
  <c r="I229" i="1"/>
  <c r="L229" i="1" s="1"/>
  <c r="L230" i="1" l="1"/>
  <c r="L231" i="1"/>
  <c r="I228" i="1"/>
  <c r="M227" i="1"/>
  <c r="I227" i="1"/>
  <c r="G227" i="1"/>
  <c r="I226" i="1"/>
  <c r="G226" i="1"/>
  <c r="M226" i="1" s="1"/>
  <c r="M225" i="1"/>
  <c r="I225" i="1"/>
  <c r="L225" i="1" s="1"/>
  <c r="L227" i="1" l="1"/>
  <c r="L226" i="1"/>
  <c r="I224" i="1"/>
  <c r="I223" i="1"/>
  <c r="G223" i="1"/>
  <c r="M223" i="1" s="1"/>
  <c r="I222" i="1"/>
  <c r="L223" i="1" l="1"/>
  <c r="I221" i="1"/>
  <c r="G221" i="1"/>
  <c r="M221" i="1" s="1"/>
  <c r="L221" i="1" l="1"/>
  <c r="I220" i="1"/>
  <c r="G220" i="1"/>
  <c r="M220" i="1" s="1"/>
  <c r="L220" i="1" l="1"/>
  <c r="M219" i="1"/>
  <c r="I219" i="1"/>
  <c r="L219" i="1" s="1"/>
  <c r="G218" i="1" l="1"/>
  <c r="I218" i="1"/>
  <c r="M218" i="1"/>
  <c r="G217" i="1"/>
  <c r="M217" i="1" s="1"/>
  <c r="I217" i="1"/>
  <c r="I216" i="1"/>
  <c r="L216" i="1" s="1"/>
  <c r="M216" i="1"/>
  <c r="G216" i="1"/>
  <c r="I215" i="1"/>
  <c r="G215" i="1"/>
  <c r="M215" i="1" s="1"/>
  <c r="I214" i="1"/>
  <c r="G214" i="1"/>
  <c r="M214" i="1" s="1"/>
  <c r="H213" i="1"/>
  <c r="I213" i="1" s="1"/>
  <c r="G212" i="1"/>
  <c r="M212" i="1" s="1"/>
  <c r="G211" i="1"/>
  <c r="I212" i="1"/>
  <c r="I211" i="1"/>
  <c r="M211" i="1"/>
  <c r="G210" i="1"/>
  <c r="M210" i="1" s="1"/>
  <c r="I210" i="1"/>
  <c r="I209" i="1"/>
  <c r="G209" i="1"/>
  <c r="M209" i="1" s="1"/>
  <c r="L212" i="1" l="1"/>
  <c r="L209" i="1"/>
  <c r="L211" i="1"/>
  <c r="L214" i="1"/>
  <c r="L215" i="1"/>
  <c r="L217" i="1"/>
  <c r="L218" i="1"/>
  <c r="L210" i="1"/>
  <c r="M208" i="1"/>
  <c r="I208" i="1"/>
  <c r="L208" i="1" s="1"/>
  <c r="M207" i="1"/>
  <c r="I207" i="1"/>
  <c r="L207" i="1" s="1"/>
  <c r="M206" i="1"/>
  <c r="I206" i="1"/>
  <c r="L206" i="1" s="1"/>
  <c r="I205" i="1" l="1"/>
  <c r="G205" i="1"/>
  <c r="M205" i="1" s="1"/>
  <c r="I204" i="1"/>
  <c r="I203" i="1"/>
  <c r="I202" i="1"/>
  <c r="G202" i="1"/>
  <c r="M202" i="1" s="1"/>
  <c r="L202" i="1" l="1"/>
  <c r="L205" i="1"/>
  <c r="M201" i="1"/>
  <c r="L201" i="1"/>
  <c r="J201" i="1"/>
  <c r="I200" i="1"/>
  <c r="G199" i="1" l="1"/>
  <c r="M199" i="1" s="1"/>
  <c r="I199" i="1"/>
  <c r="L199" i="1" s="1"/>
  <c r="I198" i="1" l="1"/>
  <c r="G198" i="1"/>
  <c r="M198" i="1" s="1"/>
  <c r="G197" i="1"/>
  <c r="M197" i="1" s="1"/>
  <c r="I197" i="1"/>
  <c r="I196" i="1"/>
  <c r="J196" i="1" s="1"/>
  <c r="G196" i="1"/>
  <c r="M196" i="1" s="1"/>
  <c r="L198" i="1" l="1"/>
  <c r="L197" i="1"/>
  <c r="L196" i="1"/>
  <c r="I195" i="1"/>
  <c r="I194" i="1" l="1"/>
  <c r="G194" i="1"/>
  <c r="M194" i="1" s="1"/>
  <c r="I193" i="1"/>
  <c r="L194" i="1" l="1"/>
  <c r="M192" i="1"/>
  <c r="L192" i="1"/>
  <c r="J192" i="1"/>
  <c r="I191" i="1"/>
  <c r="H191" i="1"/>
  <c r="G191" i="1"/>
  <c r="M190" i="1"/>
  <c r="I190" i="1"/>
  <c r="L190" i="1" s="1"/>
  <c r="M191" i="1" l="1"/>
  <c r="L191" i="1"/>
  <c r="J191" i="1"/>
  <c r="I189" i="1"/>
  <c r="G189" i="1"/>
  <c r="I188" i="1"/>
  <c r="I187" i="1"/>
  <c r="G187" i="1"/>
  <c r="M187" i="1" s="1"/>
  <c r="M189" i="1"/>
  <c r="M186" i="1"/>
  <c r="L186" i="1"/>
  <c r="J186" i="1"/>
  <c r="L187" i="1" l="1"/>
  <c r="L189" i="1"/>
  <c r="M185" i="1"/>
  <c r="M184" i="1"/>
  <c r="I185" i="1"/>
  <c r="L185" i="1" s="1"/>
  <c r="I184" i="1"/>
  <c r="L184" i="1" s="1"/>
  <c r="I183" i="1"/>
  <c r="I182" i="1"/>
  <c r="J181" i="1" l="1"/>
  <c r="G181" i="1"/>
  <c r="L181" i="1" s="1"/>
  <c r="M181" i="1"/>
  <c r="I180" i="1"/>
  <c r="L180" i="1" s="1"/>
  <c r="I179" i="1"/>
  <c r="J179" i="1" s="1"/>
  <c r="M180" i="1"/>
  <c r="M179" i="1"/>
  <c r="H178" i="1"/>
  <c r="M178" i="1" s="1"/>
  <c r="G178" i="1"/>
  <c r="I178" i="1" l="1"/>
  <c r="L178" i="1" s="1"/>
  <c r="L179" i="1"/>
  <c r="I177" i="1"/>
  <c r="I176" i="1"/>
  <c r="L176" i="1" s="1"/>
  <c r="M176" i="1"/>
  <c r="M175" i="1"/>
  <c r="I175" i="1"/>
  <c r="L175" i="1" s="1"/>
  <c r="G174" i="1" l="1"/>
  <c r="M174" i="1" s="1"/>
  <c r="I174" i="1"/>
  <c r="L174" i="1" s="1"/>
  <c r="I173" i="1"/>
  <c r="G172" i="1"/>
  <c r="I172" i="1"/>
  <c r="L172" i="1" s="1"/>
  <c r="M172" i="1"/>
  <c r="I171" i="1"/>
  <c r="L171" i="1" s="1"/>
  <c r="G171" i="1"/>
  <c r="M171" i="1" s="1"/>
  <c r="I170" i="1"/>
  <c r="G170" i="1"/>
  <c r="M170" i="1" s="1"/>
  <c r="L170" i="1" l="1"/>
  <c r="I169" i="1"/>
  <c r="I168" i="1"/>
  <c r="G168" i="1"/>
  <c r="M168" i="1" s="1"/>
  <c r="L168" i="1" l="1"/>
  <c r="I167" i="1"/>
  <c r="G167" i="1"/>
  <c r="M167" i="1" s="1"/>
  <c r="L167" i="1" l="1"/>
  <c r="I166" i="1"/>
  <c r="G166" i="1"/>
  <c r="M166" i="1" s="1"/>
  <c r="M165" i="1"/>
  <c r="I165" i="1"/>
  <c r="L165" i="1" s="1"/>
  <c r="M164" i="1"/>
  <c r="I164" i="1"/>
  <c r="L164" i="1" s="1"/>
  <c r="L166" i="1" l="1"/>
  <c r="M163" i="1"/>
  <c r="L163" i="1"/>
  <c r="J163" i="1"/>
  <c r="M161" i="1"/>
  <c r="L161" i="1"/>
  <c r="M160" i="1"/>
  <c r="I162" i="1"/>
  <c r="G162" i="1"/>
  <c r="M162" i="1" s="1"/>
  <c r="L162" i="1" l="1"/>
  <c r="I160" i="1"/>
  <c r="L160" i="1" s="1"/>
  <c r="M159" i="1"/>
  <c r="L159" i="1"/>
  <c r="J159" i="1"/>
  <c r="M158" i="1" l="1"/>
  <c r="L158" i="1"/>
  <c r="J158" i="1"/>
  <c r="M157" i="1"/>
  <c r="L157" i="1"/>
  <c r="J157" i="1"/>
  <c r="M156" i="1"/>
  <c r="L156" i="1"/>
  <c r="J156" i="1"/>
  <c r="J155" i="1" l="1"/>
  <c r="I154" i="1" l="1"/>
  <c r="G154" i="1"/>
  <c r="J153" i="1"/>
  <c r="L153" i="1"/>
  <c r="M153" i="1"/>
  <c r="M152" i="1"/>
  <c r="L152" i="1"/>
  <c r="J152" i="1"/>
  <c r="M151" i="1"/>
  <c r="I151" i="1"/>
  <c r="L151" i="1" s="1"/>
  <c r="M150" i="1" l="1"/>
  <c r="L150" i="1"/>
  <c r="J150" i="1"/>
  <c r="M149" i="1"/>
  <c r="L149" i="1"/>
  <c r="J149" i="1"/>
  <c r="M148" i="1"/>
  <c r="L148" i="1"/>
  <c r="J148" i="1"/>
  <c r="M147" i="1"/>
  <c r="L147" i="1"/>
  <c r="J147" i="1"/>
  <c r="M146" i="1"/>
  <c r="L146" i="1"/>
  <c r="J146" i="1"/>
  <c r="J145" i="1"/>
  <c r="G145" i="1"/>
  <c r="M145" i="1" s="1"/>
  <c r="L144" i="1"/>
  <c r="J144" i="1"/>
  <c r="G144" i="1"/>
  <c r="M144" i="1" s="1"/>
  <c r="M143" i="1"/>
  <c r="I143" i="1"/>
  <c r="L143" i="1" s="1"/>
  <c r="L145" i="1" l="1"/>
  <c r="G130" i="1"/>
  <c r="M130" i="1" s="1"/>
  <c r="I130" i="1"/>
  <c r="L130" i="1" l="1"/>
  <c r="M142" i="1"/>
  <c r="I142" i="1"/>
  <c r="L142" i="1" s="1"/>
  <c r="G142" i="1"/>
  <c r="M141" i="1"/>
  <c r="I141" i="1"/>
  <c r="L141" i="1" s="1"/>
  <c r="M140" i="1"/>
  <c r="I140" i="1"/>
  <c r="G140" i="1"/>
  <c r="M139" i="1"/>
  <c r="I139" i="1"/>
  <c r="L139" i="1" s="1"/>
  <c r="G139" i="1"/>
  <c r="M95" i="1"/>
  <c r="L95" i="1"/>
  <c r="J95" i="1"/>
  <c r="L140" i="1" l="1"/>
  <c r="I138" i="1"/>
  <c r="H137" i="1"/>
  <c r="I137" i="1" s="1"/>
  <c r="M136" i="1"/>
  <c r="I136" i="1"/>
  <c r="L136" i="1" s="1"/>
  <c r="M123" i="1" l="1"/>
  <c r="L123" i="1"/>
  <c r="J123" i="1"/>
  <c r="G122" i="1" l="1"/>
  <c r="M122" i="1" s="1"/>
  <c r="I122" i="1"/>
  <c r="L122" i="1" l="1"/>
  <c r="I121" i="1"/>
  <c r="G121" i="1"/>
  <c r="M121" i="1" s="1"/>
  <c r="I120" i="1"/>
  <c r="G120" i="1"/>
  <c r="M120" i="1" s="1"/>
  <c r="I119" i="1"/>
  <c r="L119" i="1" s="1"/>
  <c r="M119" i="1"/>
  <c r="L120" i="1" l="1"/>
  <c r="L121" i="1"/>
  <c r="M118" i="1"/>
  <c r="I118" i="1"/>
  <c r="L118" i="1" s="1"/>
  <c r="M93" i="1" l="1"/>
  <c r="L93" i="1"/>
  <c r="J93" i="1"/>
  <c r="G117" i="1" l="1"/>
  <c r="M117" i="1" s="1"/>
  <c r="I117" i="1"/>
  <c r="I116" i="1"/>
  <c r="L116" i="1" s="1"/>
  <c r="M116" i="1"/>
  <c r="M115" i="1"/>
  <c r="I115" i="1"/>
  <c r="L115" i="1" s="1"/>
  <c r="L117" i="1" l="1"/>
  <c r="G114" i="1"/>
  <c r="M114" i="1" s="1"/>
  <c r="I114" i="1"/>
  <c r="L114" i="1" s="1"/>
  <c r="I113" i="1"/>
  <c r="L113" i="1" s="1"/>
  <c r="M113" i="1"/>
  <c r="I112" i="1" l="1"/>
  <c r="G112" i="1"/>
  <c r="M112" i="1" s="1"/>
  <c r="L112" i="1" l="1"/>
  <c r="M94" i="1"/>
  <c r="L94" i="1"/>
  <c r="J94" i="1"/>
  <c r="M111" i="1"/>
  <c r="L111" i="1"/>
  <c r="J111" i="1"/>
  <c r="I110" i="1" l="1"/>
  <c r="G110" i="1"/>
  <c r="I109" i="1"/>
  <c r="I108" i="1"/>
  <c r="G108" i="1"/>
  <c r="I107" i="1"/>
  <c r="G107" i="1"/>
  <c r="I106" i="1"/>
  <c r="G106" i="1"/>
  <c r="I105" i="1" l="1"/>
  <c r="I104" i="1"/>
  <c r="G92" i="1"/>
  <c r="M92" i="1" s="1"/>
  <c r="M103" i="1" l="1"/>
  <c r="L103" i="1"/>
  <c r="M102" i="1"/>
  <c r="L102" i="1"/>
  <c r="J103" i="1"/>
  <c r="J102" i="1"/>
  <c r="I92" i="1" l="1"/>
  <c r="L92" i="1" s="1"/>
  <c r="L101" i="1"/>
  <c r="J101" i="1"/>
  <c r="M101" i="1"/>
  <c r="I100" i="1"/>
  <c r="L100" i="1" s="1"/>
  <c r="M100" i="1"/>
  <c r="M99" i="1"/>
  <c r="L99" i="1"/>
  <c r="J99" i="1"/>
  <c r="V105" i="1" l="1"/>
  <c r="V106" i="1" s="1"/>
  <c r="V103" i="1"/>
  <c r="V104" i="1" s="1"/>
  <c r="G98" i="1"/>
  <c r="M98" i="1" s="1"/>
  <c r="I98" i="1"/>
  <c r="I97" i="1"/>
  <c r="G97" i="1"/>
  <c r="M97" i="1" s="1"/>
  <c r="L98" i="1" l="1"/>
  <c r="L97" i="1"/>
  <c r="L438" i="1"/>
  <c r="L437" i="1"/>
  <c r="K435" i="1"/>
  <c r="O433" i="1"/>
  <c r="O432" i="1"/>
  <c r="M432" i="1"/>
  <c r="M434" i="1"/>
  <c r="L434" i="1"/>
  <c r="L433" i="1"/>
  <c r="J433" i="1"/>
  <c r="J432" i="1"/>
  <c r="I91" i="1"/>
  <c r="I90" i="1"/>
  <c r="I89" i="1" l="1"/>
  <c r="G89" i="1"/>
  <c r="M89" i="1" s="1"/>
  <c r="I88" i="1"/>
  <c r="L88" i="1" s="1"/>
  <c r="M88" i="1"/>
  <c r="G88" i="1"/>
  <c r="I87" i="1"/>
  <c r="G87" i="1"/>
  <c r="M87" i="1" s="1"/>
  <c r="I86" i="1"/>
  <c r="G86" i="1"/>
  <c r="M86" i="1" s="1"/>
  <c r="G85" i="1"/>
  <c r="M85" i="1" s="1"/>
  <c r="I85" i="1"/>
  <c r="I84" i="1"/>
  <c r="L85" i="1" l="1"/>
  <c r="L87" i="1"/>
  <c r="L86" i="1"/>
  <c r="L89" i="1"/>
  <c r="J83" i="1" l="1"/>
  <c r="L83" i="1"/>
  <c r="M83" i="1"/>
  <c r="M82" i="1" l="1"/>
  <c r="M81" i="1"/>
  <c r="M80" i="1"/>
  <c r="I82" i="1"/>
  <c r="L82" i="1" s="1"/>
  <c r="I81" i="1"/>
  <c r="L81" i="1" s="1"/>
  <c r="I80" i="1"/>
  <c r="L80" i="1" s="1"/>
  <c r="I79" i="1"/>
  <c r="L79" i="1" s="1"/>
  <c r="M79" i="1"/>
  <c r="G79" i="1"/>
  <c r="I78" i="1"/>
  <c r="G78" i="1"/>
  <c r="M78" i="1" s="1"/>
  <c r="M77" i="1"/>
  <c r="I77" i="1"/>
  <c r="L77" i="1" s="1"/>
  <c r="G76" i="1"/>
  <c r="M76" i="1"/>
  <c r="I76" i="1"/>
  <c r="I75" i="1"/>
  <c r="L78" i="1" l="1"/>
  <c r="L76" i="1"/>
  <c r="I74" i="1"/>
  <c r="L74" i="1" s="1"/>
  <c r="M74" i="1"/>
  <c r="G74" i="1"/>
  <c r="G73" i="1"/>
  <c r="I73" i="1"/>
  <c r="L73" i="1" s="1"/>
  <c r="M73" i="1"/>
  <c r="I72" i="1"/>
  <c r="I71" i="1"/>
  <c r="G71" i="1"/>
  <c r="M71" i="1" s="1"/>
  <c r="G70" i="1"/>
  <c r="M70" i="1" s="1"/>
  <c r="I70" i="1"/>
  <c r="L70" i="1" l="1"/>
  <c r="L71" i="1"/>
  <c r="I69" i="1"/>
  <c r="G69" i="1"/>
  <c r="M69" i="1" s="1"/>
  <c r="L69" i="1" l="1"/>
  <c r="I68" i="1"/>
  <c r="I67" i="1"/>
  <c r="M66" i="1"/>
  <c r="I66" i="1"/>
  <c r="G66" i="1"/>
  <c r="L66" i="1" l="1"/>
  <c r="I65" i="1"/>
  <c r="G65" i="1"/>
  <c r="M65" i="1" s="1"/>
  <c r="I64" i="1"/>
  <c r="G64" i="1"/>
  <c r="M64" i="1" s="1"/>
  <c r="M63" i="1"/>
  <c r="L63" i="1"/>
  <c r="J63" i="1"/>
  <c r="M62" i="1"/>
  <c r="L62" i="1"/>
  <c r="J62" i="1"/>
  <c r="L64" i="1" l="1"/>
  <c r="L65" i="1"/>
  <c r="I61" i="1"/>
  <c r="L61" i="1" s="1"/>
  <c r="M61" i="1"/>
  <c r="I60" i="1"/>
  <c r="G60" i="1"/>
  <c r="M60" i="1" s="1"/>
  <c r="I59" i="1"/>
  <c r="I58" i="1"/>
  <c r="I57" i="1"/>
  <c r="I56" i="1"/>
  <c r="G56" i="1"/>
  <c r="M56" i="1" s="1"/>
  <c r="I55" i="1"/>
  <c r="G55" i="1"/>
  <c r="M55" i="1" s="1"/>
  <c r="I54" i="1"/>
  <c r="L56" i="1" l="1"/>
  <c r="L55" i="1"/>
  <c r="L60" i="1"/>
  <c r="I53" i="1"/>
  <c r="I52" i="1"/>
  <c r="I51" i="1"/>
  <c r="I50" i="1"/>
  <c r="I49" i="1"/>
  <c r="I48" i="1"/>
  <c r="H48" i="1"/>
  <c r="H424" i="1" s="1"/>
  <c r="G48" i="1"/>
  <c r="M47" i="1"/>
  <c r="L47" i="1"/>
  <c r="J47" i="1"/>
  <c r="L48" i="1" l="1"/>
  <c r="M48" i="1"/>
  <c r="J48" i="1"/>
  <c r="I46" i="1"/>
  <c r="I45" i="1"/>
  <c r="G45" i="1"/>
  <c r="M45" i="1" s="1"/>
  <c r="I44" i="1"/>
  <c r="L44" i="1" s="1"/>
  <c r="M44" i="1"/>
  <c r="G44" i="1"/>
  <c r="I43" i="1"/>
  <c r="G43" i="1"/>
  <c r="M43" i="1" s="1"/>
  <c r="J42" i="1"/>
  <c r="I41" i="1"/>
  <c r="G41" i="1"/>
  <c r="M41" i="1" s="1"/>
  <c r="G40" i="1"/>
  <c r="M40" i="1" s="1"/>
  <c r="J40" i="1"/>
  <c r="L45" i="1" l="1"/>
  <c r="L43" i="1"/>
  <c r="L41" i="1"/>
  <c r="L40" i="1"/>
  <c r="M39" i="1"/>
  <c r="M38" i="1"/>
  <c r="I39" i="1"/>
  <c r="L39" i="1" s="1"/>
  <c r="I38" i="1"/>
  <c r="L38" i="1" s="1"/>
  <c r="M37" i="1"/>
  <c r="I37" i="1"/>
  <c r="L37" i="1" s="1"/>
  <c r="I36" i="1" l="1"/>
  <c r="G36" i="1"/>
  <c r="M36" i="1" s="1"/>
  <c r="M35" i="1"/>
  <c r="I35" i="1"/>
  <c r="G35" i="1"/>
  <c r="I34" i="1"/>
  <c r="L34" i="1" s="1"/>
  <c r="M34" i="1"/>
  <c r="M33" i="1"/>
  <c r="I33" i="1"/>
  <c r="L33" i="1" s="1"/>
  <c r="I32" i="1"/>
  <c r="L35" i="1" l="1"/>
  <c r="L36" i="1"/>
  <c r="I31" i="1"/>
  <c r="L31" i="1" s="1"/>
  <c r="M31" i="1"/>
  <c r="G31" i="1"/>
  <c r="I30" i="1"/>
  <c r="G30" i="1"/>
  <c r="M30" i="1" s="1"/>
  <c r="L30" i="1" l="1"/>
  <c r="M29" i="1"/>
  <c r="I29" i="1"/>
  <c r="L29" i="1" s="1"/>
  <c r="I28" i="1" l="1"/>
  <c r="G28" i="1"/>
  <c r="M28" i="1" s="1"/>
  <c r="M27" i="1"/>
  <c r="I27" i="1"/>
  <c r="G27" i="1"/>
  <c r="I26" i="1"/>
  <c r="L28" i="1" l="1"/>
  <c r="L27" i="1"/>
  <c r="G24" i="1"/>
  <c r="M25" i="1"/>
  <c r="I25" i="1"/>
  <c r="L25" i="1" s="1"/>
  <c r="I24" i="1"/>
  <c r="I23" i="1"/>
  <c r="I22" i="1" l="1"/>
  <c r="I21" i="1" l="1"/>
  <c r="M20" i="1"/>
  <c r="I20" i="1"/>
  <c r="L20" i="1" s="1"/>
  <c r="M19" i="1"/>
  <c r="I19" i="1"/>
  <c r="L19" i="1" s="1"/>
  <c r="M18" i="1"/>
  <c r="I18" i="1"/>
  <c r="L18" i="1" s="1"/>
  <c r="I17" i="1"/>
  <c r="G17" i="1"/>
  <c r="M17" i="1" s="1"/>
  <c r="I16" i="1"/>
  <c r="J15" i="1"/>
  <c r="G15" i="1"/>
  <c r="L15" i="1" s="1"/>
  <c r="M14" i="1"/>
  <c r="I14" i="1"/>
  <c r="G14" i="1"/>
  <c r="M15" i="1" l="1"/>
  <c r="L14" i="1"/>
  <c r="L17" i="1"/>
  <c r="I13" i="1"/>
  <c r="I12" i="1" l="1"/>
  <c r="G12" i="1"/>
  <c r="M12" i="1" s="1"/>
  <c r="I11" i="1"/>
  <c r="L11" i="1" s="1"/>
  <c r="G11" i="1"/>
  <c r="I10" i="1"/>
  <c r="I9" i="1"/>
  <c r="J8" i="1"/>
  <c r="M11" i="1"/>
  <c r="M8" i="1"/>
  <c r="L8" i="1"/>
  <c r="M7" i="1"/>
  <c r="L7" i="1"/>
  <c r="J7" i="1"/>
  <c r="L12" i="1" l="1"/>
  <c r="M6" i="1"/>
  <c r="L6" i="1"/>
  <c r="J6" i="1"/>
  <c r="I6" i="1"/>
  <c r="I5" i="1" l="1"/>
  <c r="G5" i="1"/>
  <c r="M5" i="1" s="1"/>
  <c r="L4" i="1"/>
  <c r="I4" i="1"/>
  <c r="J4" i="1" s="1"/>
  <c r="G4" i="1"/>
  <c r="M4" i="1" s="1"/>
  <c r="G3" i="1"/>
  <c r="M3" i="1" s="1"/>
  <c r="I3" i="1"/>
  <c r="I2" i="1"/>
  <c r="G2" i="1"/>
  <c r="M2" i="1" s="1"/>
  <c r="G424" i="1" l="1"/>
  <c r="L5" i="1"/>
  <c r="J5" i="1"/>
</calcChain>
</file>

<file path=xl/sharedStrings.xml><?xml version="1.0" encoding="utf-8"?>
<sst xmlns="http://schemas.openxmlformats.org/spreadsheetml/2006/main" count="3005" uniqueCount="373">
  <si>
    <t>#</t>
  </si>
  <si>
    <t>REGION</t>
  </si>
  <si>
    <t>MONTH</t>
  </si>
  <si>
    <t>CUSTOMER</t>
  </si>
  <si>
    <t>OI NUMBER</t>
  </si>
  <si>
    <t>KV</t>
  </si>
  <si>
    <t>MVAR</t>
  </si>
  <si>
    <t>TINR</t>
  </si>
  <si>
    <t>OWN TINR</t>
  </si>
  <si>
    <t>TRD TINR</t>
  </si>
  <si>
    <t>ENGR</t>
  </si>
  <si>
    <t>TOTAL KVAR</t>
  </si>
  <si>
    <t>I/U</t>
  </si>
  <si>
    <t>REMARKS</t>
  </si>
  <si>
    <t>TYPE</t>
  </si>
  <si>
    <t>PO DATE</t>
  </si>
  <si>
    <t>OI DATE</t>
  </si>
  <si>
    <t>OI TO PM</t>
  </si>
  <si>
    <t>PM MAIL TO DES</t>
  </si>
  <si>
    <t>DES OR DRG</t>
  </si>
  <si>
    <t>PM COMM TO DES</t>
  </si>
  <si>
    <t>REV DRG FM DES</t>
  </si>
  <si>
    <t>MFG CL</t>
  </si>
  <si>
    <t>MFG DRG TO SHOP FM DES</t>
  </si>
  <si>
    <t>Type</t>
  </si>
  <si>
    <t>Shunt capacitor banks</t>
  </si>
  <si>
    <t>Open type banks,&lt;72 kV</t>
  </si>
  <si>
    <t>Metal Enclosed - sikap</t>
  </si>
  <si>
    <t>Pole mounted</t>
  </si>
  <si>
    <t>Sub-transmission,&gt;72 kV</t>
  </si>
  <si>
    <t>DryQ</t>
  </si>
  <si>
    <t>Filter banks</t>
  </si>
  <si>
    <t>Harmonic filters</t>
  </si>
  <si>
    <t>HVDC Capacitor Banks</t>
  </si>
  <si>
    <t>DryQ (HVDC Light)</t>
  </si>
  <si>
    <t>DryQ (SVC Light)</t>
  </si>
  <si>
    <t>FACTS applications</t>
  </si>
  <si>
    <t>FACTS</t>
  </si>
  <si>
    <t>Capacitor units</t>
  </si>
  <si>
    <t>Conventional capacitor units</t>
  </si>
  <si>
    <t>Speciallty capacitors N 3 phasr caps</t>
  </si>
  <si>
    <t>CB 2000</t>
  </si>
  <si>
    <t>Capacitor switch</t>
  </si>
  <si>
    <t>Misc</t>
  </si>
  <si>
    <t>Retrofit &amp; Service</t>
  </si>
  <si>
    <t>Mobile Capacitor Banks</t>
  </si>
  <si>
    <t>AUTO switched banks / apfc</t>
  </si>
  <si>
    <t>Services</t>
  </si>
  <si>
    <t>LT Capacitor</t>
  </si>
  <si>
    <t>ZORC</t>
  </si>
  <si>
    <t>EXP</t>
  </si>
  <si>
    <t>JAN</t>
  </si>
  <si>
    <t>ABB SWEDEN</t>
  </si>
  <si>
    <t>AM</t>
  </si>
  <si>
    <t>I</t>
  </si>
  <si>
    <t>OWN KVAR</t>
  </si>
  <si>
    <t>CTG</t>
  </si>
  <si>
    <t>EXPI</t>
  </si>
  <si>
    <t>RN</t>
  </si>
  <si>
    <t>PISCESIA A/C UPPTCL</t>
  </si>
  <si>
    <t>RP</t>
  </si>
  <si>
    <t>CPU</t>
  </si>
  <si>
    <t>U</t>
  </si>
  <si>
    <t>SPLIT PH</t>
  </si>
  <si>
    <t>SHUNT BANK</t>
  </si>
  <si>
    <t>IDTO</t>
  </si>
  <si>
    <t>ABB LIMITED A/C PA A/C VIETNAM</t>
  </si>
  <si>
    <t>AN</t>
  </si>
  <si>
    <t>IDTOI</t>
  </si>
  <si>
    <t>SIKAP N REA</t>
  </si>
  <si>
    <t>ARTI STEELS LIMITED</t>
  </si>
  <si>
    <t>RU</t>
  </si>
  <si>
    <t>FILTER</t>
  </si>
  <si>
    <t>RE</t>
  </si>
  <si>
    <t>UPPTCL</t>
  </si>
  <si>
    <t>NK</t>
  </si>
  <si>
    <t>ABB CANADA</t>
  </si>
  <si>
    <t>SURGE CAPS</t>
  </si>
  <si>
    <t>ABB SWITZERLAND</t>
  </si>
  <si>
    <t>RS</t>
  </si>
  <si>
    <t xml:space="preserve">INELEC </t>
  </si>
  <si>
    <t>PS</t>
  </si>
  <si>
    <t>CPI</t>
  </si>
  <si>
    <t>SPARE UNITS</t>
  </si>
  <si>
    <t>ALBUS</t>
  </si>
  <si>
    <t>ABB LIMITED A/C PPHVS</t>
  </si>
  <si>
    <t>ps</t>
  </si>
  <si>
    <t>INNOTECH</t>
  </si>
  <si>
    <t>SIDDARTHA ENGINEERING LIMITED</t>
  </si>
  <si>
    <t>33KV BANK</t>
  </si>
  <si>
    <t>RW</t>
  </si>
  <si>
    <t xml:space="preserve">QUALITY POWER </t>
  </si>
  <si>
    <t>MISC</t>
  </si>
  <si>
    <t>ENZEN A/C KPTCL</t>
  </si>
  <si>
    <t>CAP N MISC</t>
  </si>
  <si>
    <t>TECHNO A/C PGCIL</t>
  </si>
  <si>
    <t>STATCOM FILTER</t>
  </si>
  <si>
    <t>CB-2000</t>
  </si>
  <si>
    <t>FEB</t>
  </si>
  <si>
    <t>ABB SOUTH AFRICA</t>
  </si>
  <si>
    <t>3 PHASE</t>
  </si>
  <si>
    <t>1 PHASE</t>
  </si>
  <si>
    <t>11KV BNK</t>
  </si>
  <si>
    <t>KSEB</t>
  </si>
  <si>
    <t>CAP UNITS</t>
  </si>
  <si>
    <t>11KV BANK</t>
  </si>
  <si>
    <t>MANGALA ELECTRICALS A/C KPTCL</t>
  </si>
  <si>
    <t>POWER SYSTEMSA/C KPTCL</t>
  </si>
  <si>
    <t>SMS CONSTRUCTIONS A/C KPTCL</t>
  </si>
  <si>
    <t>AB POWER SYSTEM</t>
  </si>
  <si>
    <t>NIE POWER AND ENGINEERING</t>
  </si>
  <si>
    <t>CAP N REACTOR</t>
  </si>
  <si>
    <t>PGCIL, BALLIA</t>
  </si>
  <si>
    <t>CB2000</t>
  </si>
  <si>
    <t>SONI ELECTRICALS, LUDHIANA</t>
  </si>
  <si>
    <t>ABB AUSTRALIA</t>
  </si>
  <si>
    <t>3 PH UNITS</t>
  </si>
  <si>
    <t>ABB LIMITED</t>
  </si>
  <si>
    <t>LV UNITS</t>
  </si>
  <si>
    <t>CAPBANKS</t>
  </si>
  <si>
    <t>BNC POWER PROJECTS LIMITED A/C MSETCL</t>
  </si>
  <si>
    <t>LnT NMDC</t>
  </si>
  <si>
    <t>RC</t>
  </si>
  <si>
    <t>APFC</t>
  </si>
  <si>
    <t>1 ph ext fuse</t>
  </si>
  <si>
    <t>1 ph units</t>
  </si>
  <si>
    <t>SPECTRUM</t>
  </si>
  <si>
    <t>ABB LIMITED A/C LP A/C TATA KPO</t>
  </si>
  <si>
    <t>NCT</t>
  </si>
  <si>
    <t>UNIT</t>
  </si>
  <si>
    <t>POWERGEAR</t>
  </si>
  <si>
    <t>SS ENTERPRISES</t>
  </si>
  <si>
    <t>RELIANCE INDUSTRIES</t>
  </si>
  <si>
    <t>FILTERS</t>
  </si>
  <si>
    <t>MUNDRA SOLAR PVT LTD ADANI</t>
  </si>
  <si>
    <t>VAMAN AUTOMATION</t>
  </si>
  <si>
    <t>LV APP CAPS</t>
  </si>
  <si>
    <t>ABB LIMITED A/C LV CAPS</t>
  </si>
  <si>
    <t>KUMAR ELECTRICALS A/C KPTCL</t>
  </si>
  <si>
    <t>MAR</t>
  </si>
  <si>
    <t>MUKAND LIMITED</t>
  </si>
  <si>
    <t>SUBTLEWEIGH ELECTRIC PVT LTD</t>
  </si>
  <si>
    <t>SPARES</t>
  </si>
  <si>
    <t>D.B.MACHINE TOOLS PVT LTD</t>
  </si>
  <si>
    <t>ABB CHILE</t>
  </si>
  <si>
    <t>INDUSTRIAL CONTROL SYSTEMS</t>
  </si>
  <si>
    <t>ESSAR INDUSTRIES LIMITED</t>
  </si>
  <si>
    <t>SVG CONTROL SYSTEMS PVT LTD</t>
  </si>
  <si>
    <t>ABB BRAZIL</t>
  </si>
  <si>
    <t>ABB LIMITED A/C PPHVC A/C SR DYNAMICS</t>
  </si>
  <si>
    <t>MUKAND STEELS</t>
  </si>
  <si>
    <t>INELEC ENGINEERS</t>
  </si>
  <si>
    <t>SIKAP</t>
  </si>
  <si>
    <t>HS AND SONS A/C JSW BELLARY</t>
  </si>
  <si>
    <t>ABB UK</t>
  </si>
  <si>
    <t>3 PHASE UNIT</t>
  </si>
  <si>
    <t>SPECTRUM A/C KPTCL</t>
  </si>
  <si>
    <t>ABB Limited A/c PA A/C HZL</t>
  </si>
  <si>
    <t>APR</t>
  </si>
  <si>
    <t>raigarh</t>
  </si>
  <si>
    <t>pugular</t>
  </si>
  <si>
    <t>hv,lv</t>
  </si>
  <si>
    <t>zero</t>
  </si>
  <si>
    <t>plc</t>
  </si>
  <si>
    <t>ABB Limited A/c DM A/c Nirma</t>
  </si>
  <si>
    <t>Electrotherm</t>
  </si>
  <si>
    <t>Sigma A/c CESC</t>
  </si>
  <si>
    <t xml:space="preserve">ABB SWITZERLAND </t>
  </si>
  <si>
    <t>SPARE CAP</t>
  </si>
  <si>
    <t>BITCO</t>
  </si>
  <si>
    <t>SUBTLEWEIGH ELECTRIC PVT LTD A/C MANN STEEL</t>
  </si>
  <si>
    <t>TECHNOFAB A/C UPPTCL</t>
  </si>
  <si>
    <t>132KV BANK N ASS</t>
  </si>
  <si>
    <t>EPS Instrumentation A/c Absolute</t>
  </si>
  <si>
    <t xml:space="preserve">132KV BANK </t>
  </si>
  <si>
    <t>ARORA IRON &amp; STEEL ROLLING MILLS</t>
  </si>
  <si>
    <t>L &amp; T, CHENNAI</t>
  </si>
  <si>
    <t>ABB TURKEY</t>
  </si>
  <si>
    <t>LECON ENERGETICS PVT LTD</t>
  </si>
  <si>
    <t>ABB Limited A/c PA A/C JSW</t>
  </si>
  <si>
    <t>ABB LIMITED A/C PA A/C ABULKHAIR</t>
  </si>
  <si>
    <t>FLSMITH PRIVATE LIMITED a/c CHETINAAD</t>
  </si>
  <si>
    <t>FLSMITH PRIVATE LIMITED A/C MY HOME</t>
  </si>
  <si>
    <t>SARVAMANGALA TRADING CO</t>
  </si>
  <si>
    <t>NIKUM ENERGY</t>
  </si>
  <si>
    <t>ABB ABUDHABI</t>
  </si>
  <si>
    <t>TOTAL OI TILL DATE</t>
  </si>
  <si>
    <t>132KV CAP BANK</t>
  </si>
  <si>
    <t xml:space="preserve">CHEMPLAST SANMAR LIMITED </t>
  </si>
  <si>
    <t>MAY</t>
  </si>
  <si>
    <t>SPECIAL CAPS</t>
  </si>
  <si>
    <t>3 PH CAPS</t>
  </si>
  <si>
    <t>ABB Swiss</t>
  </si>
  <si>
    <t>ABB - LV Caps</t>
  </si>
  <si>
    <t>May</t>
  </si>
  <si>
    <t>Omega Power</t>
  </si>
  <si>
    <t>DM drives a/c JSPL angul</t>
  </si>
  <si>
    <t>Harmonic Filter</t>
  </si>
  <si>
    <t>ITC</t>
  </si>
  <si>
    <t>sikap</t>
  </si>
  <si>
    <t>UP Grinding Unit ( Shree cement)</t>
  </si>
  <si>
    <t>Spare units</t>
  </si>
  <si>
    <t>Sri Sai Ranga Agencies</t>
  </si>
  <si>
    <t>NKG INFRASTRUCTURE</t>
  </si>
  <si>
    <t>BHUSHAN POWER &amp; STEEL LIMITED</t>
  </si>
  <si>
    <t>1 PH UNITS</t>
  </si>
  <si>
    <t>BANK</t>
  </si>
  <si>
    <t>ASHA BANU A/C KPTCL</t>
  </si>
  <si>
    <t>REW CONTRACTS PVT LTD A/C UPPTCL</t>
  </si>
  <si>
    <t>BANK RETROFIT</t>
  </si>
  <si>
    <t>ABB LIMITED A/C PA A/C GOVER CEMENT</t>
  </si>
  <si>
    <t xml:space="preserve">INDIAN ELECTRO TRADE </t>
  </si>
  <si>
    <t>LV CAPS</t>
  </si>
  <si>
    <t>INTERNATIONAL PAPER APPM LIMITED</t>
  </si>
  <si>
    <t>REACTOR</t>
  </si>
  <si>
    <t>TATA STEEL LIMITED, JODA</t>
  </si>
  <si>
    <t>TATA STEEL LIMITED, NAMUNDI</t>
  </si>
  <si>
    <t>SIKAP N ISO PAN</t>
  </si>
  <si>
    <t>HAKS ELECTRICALS A/C VISHNU CHEMICALS</t>
  </si>
  <si>
    <t>ABB LIMITED A/C PA OG A/C PETRO VIETNAM</t>
  </si>
  <si>
    <t>O</t>
  </si>
  <si>
    <t>ISOLUX CORSAN A/C HVPNL</t>
  </si>
  <si>
    <t>MRF LIMITED</t>
  </si>
  <si>
    <t>SRI KAMESHWARI ENTERPRISES</t>
  </si>
  <si>
    <t>RELIANCE INDUSTRIES LIMITED</t>
  </si>
  <si>
    <t>RELIANCE INDIA LIMITED</t>
  </si>
  <si>
    <t>UNITS</t>
  </si>
  <si>
    <t>JUNE</t>
  </si>
  <si>
    <t>RUKMINI IRON PVT LIMITED</t>
  </si>
  <si>
    <t>ARVIND LIMITED</t>
  </si>
  <si>
    <t>VOLTECH ENGINEERS</t>
  </si>
  <si>
    <t>3 PH</t>
  </si>
  <si>
    <t>TD POWER SYSTEMS</t>
  </si>
  <si>
    <t>ABB LIMITED UGANDA</t>
  </si>
  <si>
    <t>SYNERGY SPARK</t>
  </si>
  <si>
    <t>CAP BANK</t>
  </si>
  <si>
    <t>ETA ENGINEERS</t>
  </si>
  <si>
    <t>MICRON ELECTRICALS</t>
  </si>
  <si>
    <t>ULTRATECH CEMENT</t>
  </si>
  <si>
    <t>PHP COLD ROLLING MILLS</t>
  </si>
  <si>
    <t>SAFETY CONTROLS</t>
  </si>
  <si>
    <t>OUDH SUGAR MILLS</t>
  </si>
  <si>
    <t>CARBORUNDUM</t>
  </si>
  <si>
    <t>CKCE A/C IOCL</t>
  </si>
  <si>
    <t>BPCL</t>
  </si>
  <si>
    <t>BANK N ASS EQPTS</t>
  </si>
  <si>
    <t>INELEC</t>
  </si>
  <si>
    <t>RongXin Power Electronic India Pvt Ltd</t>
  </si>
  <si>
    <t>UNIT n switch</t>
  </si>
  <si>
    <t>3 PH CAPA</t>
  </si>
  <si>
    <t>POWER SOLUTIONS &amp; SYSTEMS</t>
  </si>
  <si>
    <t xml:space="preserve">SIEMENS </t>
  </si>
  <si>
    <t>LINDE INDIA LIMITED</t>
  </si>
  <si>
    <t xml:space="preserve">UP Grinding Unit </t>
  </si>
  <si>
    <t>VARIOUS</t>
  </si>
  <si>
    <t>JULY</t>
  </si>
  <si>
    <t>ABB LIMITED A/C PGHVS A/C IOPPL</t>
  </si>
  <si>
    <t>KAILASH ELECTRICALS A/C RAILWAYS</t>
  </si>
  <si>
    <t>GCB</t>
  </si>
  <si>
    <t>HAKS ELECTRICALS</t>
  </si>
  <si>
    <t>ANDRITZ HYDRO PVT LTD</t>
  </si>
  <si>
    <t>MCNALLY BHARAT ENGINEERING CO LTD</t>
  </si>
  <si>
    <t>ABB INDONESIA A/C INDARUNG</t>
  </si>
  <si>
    <t>TRISQUARE SWITCHGEARS</t>
  </si>
  <si>
    <t>UNITS N REAC</t>
  </si>
  <si>
    <t>SIEMENS A/C PGCIL A/C TEHRI MEERUT FSC</t>
  </si>
  <si>
    <t>FSC UNITS</t>
  </si>
  <si>
    <t>AGARWAL FOUNDRIES</t>
  </si>
  <si>
    <t>AGS POWER SOLUTIONS</t>
  </si>
  <si>
    <t>AUG</t>
  </si>
  <si>
    <t>ABB ITALY</t>
  </si>
  <si>
    <t>SPLIT PH BANK</t>
  </si>
  <si>
    <t>KALYANI STEELS LIMITED</t>
  </si>
  <si>
    <t>SPARE CAP N ASS</t>
  </si>
  <si>
    <t>SKE A/C SARAF AGENCIES</t>
  </si>
  <si>
    <t>33KV BANK N REAC</t>
  </si>
  <si>
    <t>JAISWAL ELECTRIC STORES</t>
  </si>
  <si>
    <t>CHEMFAB ALKALIES</t>
  </si>
  <si>
    <t>REACTOR N CAP</t>
  </si>
  <si>
    <t>ESSAR STEEL INDIA LIMITED</t>
  </si>
  <si>
    <t>KSA POWERINFRA A/C PGCIL</t>
  </si>
  <si>
    <t xml:space="preserve">BANK </t>
  </si>
  <si>
    <t>Manufacturing</t>
  </si>
  <si>
    <t>Despatch</t>
  </si>
  <si>
    <t>ana</t>
  </si>
  <si>
    <t>ABB TAIWAN</t>
  </si>
  <si>
    <t>HIVOLT POWER &amp; CONTROL</t>
  </si>
  <si>
    <t>S R DYNAMICS</t>
  </si>
  <si>
    <t>CENTRAL ENGINEERING COMPANY</t>
  </si>
  <si>
    <t>GHALSASI SMELTING PVT LIMITED</t>
  </si>
  <si>
    <t>UNIT N INSULATOR</t>
  </si>
  <si>
    <t>VEE VEE CONTROLS PVT LIMITED</t>
  </si>
  <si>
    <t>BS LIMITED</t>
  </si>
  <si>
    <t>SEP</t>
  </si>
  <si>
    <t>ABB LIMITED A/C PA-MM A/C HZL</t>
  </si>
  <si>
    <t>ABB LIMITED A/C PPHVS A/C NALCO</t>
  </si>
  <si>
    <t>MOHAN ENERGY CO PVT LIMITED</t>
  </si>
  <si>
    <t>11</t>
  </si>
  <si>
    <t>HINDALCO INDUSTRIES LIMITED</t>
  </si>
  <si>
    <t>bheramara</t>
  </si>
  <si>
    <t>sep</t>
  </si>
  <si>
    <t>q4</t>
  </si>
  <si>
    <t>rp-ac</t>
  </si>
  <si>
    <t>rp-dc</t>
  </si>
  <si>
    <t>till 15/9</t>
  </si>
  <si>
    <t>ABB columbia</t>
  </si>
  <si>
    <t>JYOTHI ELECTRICALS</t>
  </si>
  <si>
    <t>UNIT &amp; REACTOR</t>
  </si>
  <si>
    <t>TOYOTA KIRLOSKAR MOTOR</t>
  </si>
  <si>
    <t>RELAY</t>
  </si>
  <si>
    <t>POWERGEAR LIMITED</t>
  </si>
  <si>
    <t>SPECTRUM CONSULTANTS</t>
  </si>
  <si>
    <t>CAPACITOR</t>
  </si>
  <si>
    <t>POWERGRID KOLAR</t>
  </si>
  <si>
    <t>POWERGRID BHADRAVATI</t>
  </si>
  <si>
    <t>ALPHA ENGINEERS</t>
  </si>
  <si>
    <t>OM ENTERPRISES</t>
  </si>
  <si>
    <t>ABB ARGENTINA</t>
  </si>
  <si>
    <t>OCT</t>
  </si>
  <si>
    <t>1PH / 3 PH</t>
  </si>
  <si>
    <t>ABB ABU DHABI</t>
  </si>
  <si>
    <t>ABB LIMITED A/C PGHVS A/C WBSETCL</t>
  </si>
  <si>
    <t>IDTOU</t>
  </si>
  <si>
    <t>I PH CAP</t>
  </si>
  <si>
    <t>HIGHVOLT POWER &amp; CONTROL SYSTEMS</t>
  </si>
  <si>
    <t>BIRD CAPS</t>
  </si>
  <si>
    <t>I PH/ 3 PH CAP</t>
  </si>
  <si>
    <t>Sharavathy Conductors Pvt Ltd</t>
  </si>
  <si>
    <t>NOV</t>
  </si>
  <si>
    <t>SHRI KESHAV &amp; INFRA LIMITED</t>
  </si>
  <si>
    <t>SIEMENS A/C SHAYONA CEMENT</t>
  </si>
  <si>
    <t>ext fuse units</t>
  </si>
  <si>
    <t>cap units</t>
  </si>
  <si>
    <t>CHINA FIRST METALLURGICAL CONS PVTLTD</t>
  </si>
  <si>
    <t>ABB LIMITED A/C PA A/C DALMIA CEMENT</t>
  </si>
  <si>
    <t xml:space="preserve">CALCOM CEMENT </t>
  </si>
  <si>
    <t>ABB LIMITED A/C PGGI A/C TPDDL</t>
  </si>
  <si>
    <t>ABB LIMITED A/C LV CAP APP</t>
  </si>
  <si>
    <t>ABB South Africa - mecb</t>
  </si>
  <si>
    <t>ABB South Africa - MECB</t>
  </si>
  <si>
    <t>BANKS</t>
  </si>
  <si>
    <t>ETA ENGINEERS A/C KPTCL</t>
  </si>
  <si>
    <t>SPML INFRA</t>
  </si>
  <si>
    <t xml:space="preserve">ANS ELECTRIC </t>
  </si>
  <si>
    <t>ABB CZECH REPUBLIC</t>
  </si>
  <si>
    <t>PREMIER DISTRIBUTORS</t>
  </si>
  <si>
    <t>KS</t>
  </si>
  <si>
    <t>HVDC</t>
  </si>
  <si>
    <t>DANIELI INDIA LIMITED</t>
  </si>
  <si>
    <t>SIEMENS LIMITED A/C PGCB BHERAMARA</t>
  </si>
  <si>
    <t>SPML</t>
  </si>
  <si>
    <t>VA TECH WABAG LIMITED</t>
  </si>
  <si>
    <t>DEC</t>
  </si>
  <si>
    <t>KALPATRU POWER TRANSMISSION LIMITED</t>
  </si>
  <si>
    <t>NEW INDIA ELECTRICALS LIMITED</t>
  </si>
  <si>
    <t>APPLIED TECHNO</t>
  </si>
  <si>
    <t>ABB INDIA LIMITED A/C PGGI A/C NEA</t>
  </si>
  <si>
    <t>ABB GERMANY</t>
  </si>
  <si>
    <t>ABHISHEK ELECTRICALS</t>
  </si>
  <si>
    <t>RELIANCE INFRASTRUCTURE</t>
  </si>
  <si>
    <t>NECCON POWER</t>
  </si>
  <si>
    <t>ABB BULGARIA</t>
  </si>
  <si>
    <t>ABB LIMITED A/C PGGS A/C PGCIL KANPUR</t>
  </si>
  <si>
    <t>ETA ENGINEERS PVT LIMITED</t>
  </si>
  <si>
    <t>4201337596</t>
  </si>
  <si>
    <t>ABB INDIA LIMITED A/C PA A/C TORORO CEMENT</t>
  </si>
  <si>
    <t>ABB ECUADOR</t>
  </si>
  <si>
    <t>SRIVARI AGENCIES</t>
  </si>
  <si>
    <t>HZL UDAIPUR</t>
  </si>
  <si>
    <t>KAYDEE ENGINEERS</t>
  </si>
  <si>
    <t>UNITS/SURGE</t>
  </si>
  <si>
    <t>ABB INDIA A/C PGGI A/C RP AC</t>
  </si>
  <si>
    <t>FILTER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</si>
</sst>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6"/>
      <color rgb="FF00B0F0"/>
      <name val="Arial"/>
      <family val="2"/>
    </font>
    <font>
      <b/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sz val="10"/>
      <color rgb="FF000000"/>
      <name val="Segoe U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/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3" xfId="0" applyFont="1" applyFill="1" applyBorder="1"/>
    <xf numFmtId="0" fontId="5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16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3" xfId="0" applyFont="1" applyBorder="1"/>
    <xf numFmtId="0" fontId="5" fillId="2" borderId="3" xfId="0" applyFont="1" applyFill="1" applyBorder="1" applyProtection="1">
      <protection locked="0"/>
    </xf>
    <xf numFmtId="0" fontId="9" fillId="0" borderId="3" xfId="0" applyFont="1" applyBorder="1" applyAlignment="1"/>
    <xf numFmtId="2" fontId="0" fillId="0" borderId="3" xfId="0" applyNumberFormat="1" applyBorder="1"/>
    <xf numFmtId="164" fontId="0" fillId="0" borderId="3" xfId="0" applyNumberFormat="1" applyBorder="1"/>
    <xf numFmtId="165" fontId="0" fillId="0" borderId="3" xfId="0" applyNumberFormat="1" applyBorder="1"/>
    <xf numFmtId="0" fontId="10" fillId="0" borderId="4" xfId="0" applyFont="1" applyBorder="1"/>
    <xf numFmtId="0" fontId="0" fillId="0" borderId="5" xfId="0" applyBorder="1"/>
    <xf numFmtId="1" fontId="11" fillId="0" borderId="6" xfId="0" applyNumberFormat="1" applyFont="1" applyBorder="1"/>
    <xf numFmtId="0" fontId="0" fillId="0" borderId="3" xfId="0" applyFill="1" applyBorder="1" applyAlignment="1">
      <alignment horizontal="center"/>
    </xf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0" borderId="0" xfId="0" applyNumberFormat="1"/>
    <xf numFmtId="0" fontId="8" fillId="0" borderId="3" xfId="0" applyFont="1" applyBorder="1"/>
    <xf numFmtId="1" fontId="11" fillId="0" borderId="6" xfId="0" applyNumberFormat="1" applyFont="1" applyBorder="1"/>
    <xf numFmtId="0" fontId="0" fillId="0" borderId="3" xfId="0" applyFill="1" applyBorder="1"/>
    <xf numFmtId="0" fontId="8" fillId="0" borderId="3" xfId="0" applyFont="1" applyBorder="1" applyAlignment="1"/>
    <xf numFmtId="0" fontId="0" fillId="0" borderId="3" xfId="0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8" fillId="0" borderId="3" xfId="0" applyFont="1" applyBorder="1" applyAlignment="1">
      <alignment horizontal="center"/>
    </xf>
    <xf numFmtId="17" fontId="0" fillId="0" borderId="3" xfId="0" quotePrefix="1" applyNumberFormat="1" applyBorder="1"/>
    <xf numFmtId="0" fontId="0" fillId="0" borderId="3" xfId="0" applyBorder="1" applyAlignment="1"/>
    <xf numFmtId="1" fontId="0" fillId="0" borderId="3" xfId="0" applyNumberFormat="1" applyBorder="1" applyAlignment="1"/>
    <xf numFmtId="1" fontId="9" fillId="0" borderId="3" xfId="1" applyNumberFormat="1" applyFont="1" applyBorder="1"/>
    <xf numFmtId="1" fontId="0" fillId="0" borderId="3" xfId="0" applyNumberFormat="1" applyBorder="1"/>
    <xf numFmtId="49" fontId="13" fillId="3" borderId="7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8"/>
  <sheetViews>
    <sheetView tabSelected="1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D420" sqref="D420"/>
    </sheetView>
  </sheetViews>
  <sheetFormatPr defaultRowHeight="15" x14ac:dyDescent="0.25"/>
  <cols>
    <col min="1" max="1" width="6.28515625" customWidth="1"/>
    <col min="2" max="2" width="8.140625" customWidth="1"/>
    <col min="3" max="3" width="8.7109375" customWidth="1"/>
    <col min="4" max="4" width="38" customWidth="1"/>
    <col min="5" max="5" width="11" bestFit="1" customWidth="1"/>
    <col min="8" max="8" width="10" bestFit="1" customWidth="1"/>
    <col min="12" max="13" width="10.5703125" bestFit="1" customWidth="1"/>
    <col min="16" max="16" width="13.140625" customWidth="1"/>
    <col min="21" max="21" width="12.85546875" customWidth="1"/>
    <col min="22" max="22" width="11" customWidth="1"/>
    <col min="23" max="23" width="15" customWidth="1"/>
    <col min="24" max="24" width="12.42578125" customWidth="1"/>
    <col min="26" max="26" width="25.140625" customWidth="1"/>
    <col min="27" max="27" width="14.28515625" customWidth="1"/>
  </cols>
  <sheetData>
    <row r="1" spans="1:34" s="16" customFormat="1" x14ac:dyDescent="0.25">
      <c r="A1" s="23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55</v>
      </c>
      <c r="M1" s="15" t="s">
        <v>11</v>
      </c>
      <c r="N1" s="15" t="s">
        <v>56</v>
      </c>
      <c r="O1" s="15" t="s">
        <v>12</v>
      </c>
      <c r="P1" s="15" t="s">
        <v>13</v>
      </c>
      <c r="Q1" s="16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3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4" t="s">
        <v>282</v>
      </c>
      <c r="AB1" s="14" t="s">
        <v>283</v>
      </c>
      <c r="AE1" s="17"/>
      <c r="AF1" s="18" t="s">
        <v>24</v>
      </c>
      <c r="AG1" s="14"/>
      <c r="AH1" s="14"/>
    </row>
    <row r="2" spans="1:34" x14ac:dyDescent="0.25">
      <c r="A2" s="11">
        <v>1</v>
      </c>
      <c r="B2" s="10" t="s">
        <v>50</v>
      </c>
      <c r="C2" s="10" t="s">
        <v>51</v>
      </c>
      <c r="D2" s="10" t="s">
        <v>52</v>
      </c>
      <c r="E2" s="10">
        <v>5000039300</v>
      </c>
      <c r="F2" s="10"/>
      <c r="G2" s="10">
        <f>(2*150*6+75*12)/1000</f>
        <v>2.7</v>
      </c>
      <c r="H2" s="10">
        <v>866</v>
      </c>
      <c r="I2" s="10">
        <f>H2</f>
        <v>866</v>
      </c>
      <c r="J2" s="10"/>
      <c r="K2" s="10" t="s">
        <v>53</v>
      </c>
      <c r="L2" s="10"/>
      <c r="M2" s="10">
        <f>H2/G2</f>
        <v>320.7407407407407</v>
      </c>
      <c r="N2" s="10" t="s">
        <v>57</v>
      </c>
      <c r="O2" s="10" t="s">
        <v>54</v>
      </c>
      <c r="P2" s="10" t="s">
        <v>63</v>
      </c>
      <c r="Q2">
        <v>12</v>
      </c>
      <c r="R2" s="19">
        <v>42368</v>
      </c>
      <c r="S2" s="19">
        <v>42377</v>
      </c>
      <c r="T2" s="19">
        <v>42380</v>
      </c>
      <c r="AE2" s="1"/>
      <c r="AF2" s="2" t="s">
        <v>25</v>
      </c>
      <c r="AG2" s="3"/>
      <c r="AH2" s="3"/>
    </row>
    <row r="3" spans="1:34" x14ac:dyDescent="0.25">
      <c r="A3" s="11">
        <v>2</v>
      </c>
      <c r="B3" s="10" t="s">
        <v>50</v>
      </c>
      <c r="C3" s="10" t="s">
        <v>51</v>
      </c>
      <c r="D3" s="10" t="s">
        <v>52</v>
      </c>
      <c r="E3" s="10">
        <v>5000039299</v>
      </c>
      <c r="F3" s="10"/>
      <c r="G3" s="10">
        <f>2*44.36*6/1000</f>
        <v>0.5323199999999999</v>
      </c>
      <c r="H3" s="10">
        <v>210.49</v>
      </c>
      <c r="I3" s="10">
        <f>H3</f>
        <v>210.49</v>
      </c>
      <c r="J3" s="10"/>
      <c r="K3" s="10" t="s">
        <v>53</v>
      </c>
      <c r="L3" s="10"/>
      <c r="M3" s="10">
        <f>H3/G3</f>
        <v>395.4200480913737</v>
      </c>
      <c r="N3" s="10" t="s">
        <v>57</v>
      </c>
      <c r="O3" s="10" t="s">
        <v>54</v>
      </c>
      <c r="P3" s="10" t="s">
        <v>63</v>
      </c>
      <c r="Q3">
        <v>12</v>
      </c>
      <c r="R3" s="19">
        <v>42359</v>
      </c>
      <c r="S3" s="19">
        <v>42377</v>
      </c>
      <c r="T3" s="19">
        <v>42380</v>
      </c>
      <c r="AE3" s="1">
        <v>1</v>
      </c>
      <c r="AF3" s="2" t="s">
        <v>26</v>
      </c>
      <c r="AG3" s="3"/>
      <c r="AH3" s="3"/>
    </row>
    <row r="4" spans="1:34" x14ac:dyDescent="0.25">
      <c r="A4" s="11">
        <v>3</v>
      </c>
      <c r="B4" s="10" t="s">
        <v>58</v>
      </c>
      <c r="C4" s="10" t="s">
        <v>51</v>
      </c>
      <c r="D4" s="10" t="s">
        <v>59</v>
      </c>
      <c r="E4" s="10">
        <v>4201137043</v>
      </c>
      <c r="F4" s="10">
        <v>33</v>
      </c>
      <c r="G4" s="10">
        <f>13.1*5</f>
        <v>65.5</v>
      </c>
      <c r="H4" s="10">
        <v>7802.78</v>
      </c>
      <c r="I4" s="10">
        <f>980.52*5</f>
        <v>4902.6000000000004</v>
      </c>
      <c r="J4" s="10">
        <f>H4-I4</f>
        <v>2900.1799999999994</v>
      </c>
      <c r="K4" s="10" t="s">
        <v>60</v>
      </c>
      <c r="L4" s="10">
        <f>I4/G4</f>
        <v>74.84885496183206</v>
      </c>
      <c r="M4" s="10">
        <f>H4/G4</f>
        <v>119.12641221374045</v>
      </c>
      <c r="N4" s="10" t="s">
        <v>61</v>
      </c>
      <c r="O4" s="10" t="s">
        <v>62</v>
      </c>
      <c r="P4" s="10" t="s">
        <v>64</v>
      </c>
      <c r="Q4">
        <v>1</v>
      </c>
      <c r="R4" s="19">
        <v>42374</v>
      </c>
      <c r="S4" s="19">
        <v>42377</v>
      </c>
      <c r="T4" s="19">
        <v>42380</v>
      </c>
      <c r="U4" s="19">
        <v>42382</v>
      </c>
      <c r="V4" s="19">
        <v>42384</v>
      </c>
      <c r="Y4" s="19">
        <v>42394</v>
      </c>
      <c r="AE4" s="1">
        <v>2</v>
      </c>
      <c r="AF4" s="2" t="s">
        <v>27</v>
      </c>
      <c r="AG4" s="3"/>
      <c r="AH4" s="3"/>
    </row>
    <row r="5" spans="1:34" x14ac:dyDescent="0.25">
      <c r="A5" s="11">
        <v>4</v>
      </c>
      <c r="B5" s="10" t="s">
        <v>58</v>
      </c>
      <c r="C5" s="10" t="s">
        <v>51</v>
      </c>
      <c r="D5" s="10" t="s">
        <v>59</v>
      </c>
      <c r="E5" s="10">
        <v>4201137042</v>
      </c>
      <c r="F5" s="10">
        <v>33</v>
      </c>
      <c r="G5" s="10">
        <f>13.1*5</f>
        <v>65.5</v>
      </c>
      <c r="H5" s="10">
        <v>7802.78</v>
      </c>
      <c r="I5" s="10">
        <f>980.52*5</f>
        <v>4902.6000000000004</v>
      </c>
      <c r="J5" s="10">
        <f>H5-I5</f>
        <v>2900.1799999999994</v>
      </c>
      <c r="K5" s="10" t="s">
        <v>60</v>
      </c>
      <c r="L5" s="10">
        <f>I5/G5</f>
        <v>74.84885496183206</v>
      </c>
      <c r="M5" s="10">
        <f>H5/G5</f>
        <v>119.12641221374045</v>
      </c>
      <c r="N5" s="10" t="s">
        <v>61</v>
      </c>
      <c r="O5" s="10" t="s">
        <v>62</v>
      </c>
      <c r="P5" s="10" t="s">
        <v>64</v>
      </c>
      <c r="Q5">
        <v>1</v>
      </c>
      <c r="R5" s="19">
        <v>42374</v>
      </c>
      <c r="S5" s="19">
        <v>42377</v>
      </c>
      <c r="T5" s="19">
        <v>42380</v>
      </c>
      <c r="U5" s="19">
        <v>42382</v>
      </c>
      <c r="V5" s="19">
        <v>42384</v>
      </c>
      <c r="Y5" s="19">
        <v>42394</v>
      </c>
      <c r="AE5" s="1"/>
      <c r="AF5" s="2"/>
      <c r="AG5" s="3"/>
      <c r="AH5" s="3"/>
    </row>
    <row r="6" spans="1:34" x14ac:dyDescent="0.25">
      <c r="A6" s="11">
        <v>5</v>
      </c>
      <c r="B6" s="10" t="s">
        <v>65</v>
      </c>
      <c r="C6" s="10" t="s">
        <v>51</v>
      </c>
      <c r="D6" s="10" t="s">
        <v>66</v>
      </c>
      <c r="E6" s="10">
        <v>4201138082</v>
      </c>
      <c r="F6" s="10">
        <v>22</v>
      </c>
      <c r="G6" s="10">
        <v>3.86</v>
      </c>
      <c r="H6" s="10">
        <v>1692</v>
      </c>
      <c r="I6" s="10">
        <f>435.93</f>
        <v>435.93</v>
      </c>
      <c r="J6" s="10">
        <f>H6-I6</f>
        <v>1256.07</v>
      </c>
      <c r="K6" s="10" t="s">
        <v>67</v>
      </c>
      <c r="L6" s="10">
        <f>I6/G6</f>
        <v>112.93523316062176</v>
      </c>
      <c r="M6" s="10">
        <f>H6/G6</f>
        <v>438.34196891191709</v>
      </c>
      <c r="N6" s="10" t="s">
        <v>68</v>
      </c>
      <c r="O6" s="10" t="s">
        <v>54</v>
      </c>
      <c r="P6" s="10" t="s">
        <v>69</v>
      </c>
      <c r="Q6">
        <v>2</v>
      </c>
      <c r="R6" s="19">
        <v>42377</v>
      </c>
      <c r="S6" s="19">
        <v>42381</v>
      </c>
      <c r="T6" s="19">
        <v>42382</v>
      </c>
      <c r="AE6" s="1">
        <v>3</v>
      </c>
      <c r="AF6" s="2" t="s">
        <v>28</v>
      </c>
      <c r="AG6" s="3"/>
      <c r="AH6" s="3"/>
    </row>
    <row r="7" spans="1:34" x14ac:dyDescent="0.25">
      <c r="A7" s="11">
        <v>6</v>
      </c>
      <c r="B7" s="10" t="s">
        <v>73</v>
      </c>
      <c r="C7" s="10" t="s">
        <v>51</v>
      </c>
      <c r="D7" s="22" t="s">
        <v>70</v>
      </c>
      <c r="E7" s="20">
        <v>4201143091</v>
      </c>
      <c r="F7" s="10">
        <v>11</v>
      </c>
      <c r="G7" s="10">
        <v>16.2</v>
      </c>
      <c r="H7" s="10">
        <v>2400</v>
      </c>
      <c r="I7" s="10">
        <v>1298.8</v>
      </c>
      <c r="J7" s="10">
        <f>H7-I7</f>
        <v>1101.2</v>
      </c>
      <c r="K7" s="10" t="s">
        <v>71</v>
      </c>
      <c r="L7" s="10">
        <f t="shared" ref="L7:L11" si="0">I7/G7</f>
        <v>80.172839506172835</v>
      </c>
      <c r="M7" s="10">
        <f t="shared" ref="M7:M11" si="1">H7/G7</f>
        <v>148.14814814814815</v>
      </c>
      <c r="N7" s="10" t="s">
        <v>54</v>
      </c>
      <c r="O7" s="10" t="s">
        <v>54</v>
      </c>
      <c r="P7" s="10" t="s">
        <v>72</v>
      </c>
      <c r="Q7">
        <v>6</v>
      </c>
      <c r="R7" s="19">
        <v>42383</v>
      </c>
      <c r="S7" s="19">
        <v>42388</v>
      </c>
      <c r="T7" s="19">
        <v>42389</v>
      </c>
      <c r="U7" s="19">
        <v>42391</v>
      </c>
      <c r="V7" s="19">
        <v>42398</v>
      </c>
      <c r="AE7" s="1">
        <v>4</v>
      </c>
      <c r="AF7" s="2" t="s">
        <v>29</v>
      </c>
      <c r="AG7" s="3"/>
      <c r="AH7" s="3"/>
    </row>
    <row r="8" spans="1:34" x14ac:dyDescent="0.25">
      <c r="A8" s="11">
        <v>7</v>
      </c>
      <c r="B8" s="10" t="s">
        <v>58</v>
      </c>
      <c r="C8" s="10" t="s">
        <v>51</v>
      </c>
      <c r="D8" s="22" t="s">
        <v>74</v>
      </c>
      <c r="E8" s="21">
        <v>4201144859</v>
      </c>
      <c r="F8" s="10">
        <v>132</v>
      </c>
      <c r="G8" s="10">
        <v>965</v>
      </c>
      <c r="H8" s="10">
        <v>101461</v>
      </c>
      <c r="I8" s="10">
        <v>47526</v>
      </c>
      <c r="J8" s="10">
        <f>H8-I8</f>
        <v>53935</v>
      </c>
      <c r="K8" s="10" t="s">
        <v>75</v>
      </c>
      <c r="L8" s="10">
        <f t="shared" si="0"/>
        <v>49.249740932642489</v>
      </c>
      <c r="M8" s="10">
        <f t="shared" si="1"/>
        <v>105.14093264248704</v>
      </c>
      <c r="N8" s="10" t="s">
        <v>62</v>
      </c>
      <c r="O8" s="10" t="s">
        <v>62</v>
      </c>
      <c r="P8" s="10" t="s">
        <v>64</v>
      </c>
      <c r="Q8">
        <v>4</v>
      </c>
      <c r="R8" s="19">
        <v>42382</v>
      </c>
      <c r="S8" s="19">
        <v>42388</v>
      </c>
      <c r="T8" s="19">
        <v>42389</v>
      </c>
      <c r="U8" s="19">
        <v>42391</v>
      </c>
      <c r="V8" s="19">
        <v>42392</v>
      </c>
      <c r="AE8" s="1">
        <v>5</v>
      </c>
      <c r="AF8" s="2" t="s">
        <v>30</v>
      </c>
      <c r="AG8" s="3"/>
      <c r="AH8" s="3"/>
    </row>
    <row r="9" spans="1:34" x14ac:dyDescent="0.25">
      <c r="A9" s="11">
        <v>8</v>
      </c>
      <c r="B9" s="10" t="s">
        <v>50</v>
      </c>
      <c r="C9" s="10" t="s">
        <v>51</v>
      </c>
      <c r="D9" s="10" t="s">
        <v>76</v>
      </c>
      <c r="E9" s="10">
        <v>5000039487</v>
      </c>
      <c r="F9" s="10"/>
      <c r="G9" s="10"/>
      <c r="H9" s="10">
        <v>222.16</v>
      </c>
      <c r="I9" s="10">
        <f t="shared" ref="I9:I14" si="2">H9</f>
        <v>222.16</v>
      </c>
      <c r="J9" s="10"/>
      <c r="K9" s="10" t="s">
        <v>53</v>
      </c>
      <c r="L9" s="10"/>
      <c r="M9" s="10"/>
      <c r="N9" s="10" t="s">
        <v>57</v>
      </c>
      <c r="O9" s="10" t="s">
        <v>54</v>
      </c>
      <c r="P9" s="10" t="s">
        <v>77</v>
      </c>
      <c r="Q9">
        <v>12</v>
      </c>
      <c r="R9" s="19">
        <v>42374</v>
      </c>
      <c r="S9" s="19">
        <v>42388</v>
      </c>
      <c r="T9" s="19">
        <v>42389</v>
      </c>
      <c r="AE9" s="1"/>
      <c r="AF9" s="4" t="s">
        <v>31</v>
      </c>
      <c r="AG9" s="3"/>
      <c r="AH9" s="3"/>
    </row>
    <row r="10" spans="1:34" x14ac:dyDescent="0.25">
      <c r="A10" s="11">
        <v>9</v>
      </c>
      <c r="B10" s="10" t="s">
        <v>50</v>
      </c>
      <c r="C10" s="10" t="s">
        <v>51</v>
      </c>
      <c r="D10" s="10" t="s">
        <v>78</v>
      </c>
      <c r="E10" s="10">
        <v>5000039446</v>
      </c>
      <c r="F10" s="10"/>
      <c r="G10" s="10"/>
      <c r="H10" s="10">
        <v>586.53300000000002</v>
      </c>
      <c r="I10" s="10">
        <f t="shared" si="2"/>
        <v>586.53300000000002</v>
      </c>
      <c r="J10" s="10"/>
      <c r="K10" s="10" t="s">
        <v>53</v>
      </c>
      <c r="L10" s="10"/>
      <c r="M10" s="10"/>
      <c r="N10" s="10" t="s">
        <v>57</v>
      </c>
      <c r="O10" s="10" t="s">
        <v>54</v>
      </c>
      <c r="P10" s="10" t="s">
        <v>77</v>
      </c>
      <c r="Q10">
        <v>12</v>
      </c>
      <c r="R10" s="19">
        <v>42381</v>
      </c>
      <c r="S10" s="19">
        <v>42388</v>
      </c>
      <c r="T10" s="19">
        <v>42389</v>
      </c>
      <c r="AE10" s="1">
        <v>6</v>
      </c>
      <c r="AF10" s="2" t="s">
        <v>32</v>
      </c>
      <c r="AG10" s="3"/>
      <c r="AH10" s="3"/>
    </row>
    <row r="11" spans="1:34" x14ac:dyDescent="0.25">
      <c r="A11" s="11">
        <v>10</v>
      </c>
      <c r="B11" s="10" t="s">
        <v>79</v>
      </c>
      <c r="C11" s="10" t="s">
        <v>51</v>
      </c>
      <c r="D11" s="10" t="s">
        <v>80</v>
      </c>
      <c r="E11" s="10">
        <v>2360065389</v>
      </c>
      <c r="F11" s="10"/>
      <c r="G11" s="10">
        <f>0.5*3</f>
        <v>1.5</v>
      </c>
      <c r="H11" s="10">
        <v>121.12</v>
      </c>
      <c r="I11" s="10">
        <f t="shared" si="2"/>
        <v>121.12</v>
      </c>
      <c r="J11" s="10"/>
      <c r="K11" s="10" t="s">
        <v>81</v>
      </c>
      <c r="L11" s="10">
        <f t="shared" si="0"/>
        <v>80.74666666666667</v>
      </c>
      <c r="M11" s="10">
        <f t="shared" si="1"/>
        <v>80.74666666666667</v>
      </c>
      <c r="N11" s="10" t="s">
        <v>82</v>
      </c>
      <c r="O11" s="10" t="s">
        <v>54</v>
      </c>
      <c r="P11" s="10" t="s">
        <v>83</v>
      </c>
      <c r="Q11">
        <v>11</v>
      </c>
      <c r="R11" s="19">
        <v>42380</v>
      </c>
      <c r="S11" s="19">
        <v>42387</v>
      </c>
      <c r="T11" s="19">
        <v>42389</v>
      </c>
      <c r="AE11" s="1"/>
      <c r="AF11" s="2"/>
      <c r="AG11" s="3"/>
      <c r="AH11" s="3"/>
    </row>
    <row r="12" spans="1:34" x14ac:dyDescent="0.25">
      <c r="A12" s="11">
        <v>11</v>
      </c>
      <c r="B12" s="10" t="s">
        <v>79</v>
      </c>
      <c r="C12" s="10" t="s">
        <v>51</v>
      </c>
      <c r="D12" s="10" t="s">
        <v>84</v>
      </c>
      <c r="E12" s="10">
        <v>2360065390</v>
      </c>
      <c r="F12" s="10"/>
      <c r="G12" s="10">
        <f>0.25*3</f>
        <v>0.75</v>
      </c>
      <c r="H12" s="10">
        <v>82.5</v>
      </c>
      <c r="I12" s="10">
        <f t="shared" si="2"/>
        <v>82.5</v>
      </c>
      <c r="J12" s="10"/>
      <c r="K12" s="10" t="s">
        <v>67</v>
      </c>
      <c r="L12" s="10">
        <f t="shared" ref="L12" si="3">I12/G12</f>
        <v>110</v>
      </c>
      <c r="M12" s="10">
        <f t="shared" ref="M12" si="4">H12/G12</f>
        <v>110</v>
      </c>
      <c r="N12" s="10" t="s">
        <v>54</v>
      </c>
      <c r="O12" s="10" t="s">
        <v>54</v>
      </c>
      <c r="P12" s="10" t="s">
        <v>83</v>
      </c>
      <c r="Q12">
        <v>11</v>
      </c>
      <c r="R12" s="19">
        <v>42382</v>
      </c>
      <c r="S12" s="19">
        <v>42388</v>
      </c>
      <c r="T12" s="19">
        <v>42389</v>
      </c>
      <c r="AE12" s="1">
        <v>7</v>
      </c>
      <c r="AF12" s="4" t="s">
        <v>33</v>
      </c>
      <c r="AG12" s="3"/>
      <c r="AH12" s="3"/>
    </row>
    <row r="13" spans="1:34" x14ac:dyDescent="0.25">
      <c r="A13" s="11">
        <v>12</v>
      </c>
      <c r="B13" s="10" t="s">
        <v>65</v>
      </c>
      <c r="C13" s="10" t="s">
        <v>51</v>
      </c>
      <c r="D13" s="10" t="s">
        <v>85</v>
      </c>
      <c r="E13" s="10">
        <v>2360065432</v>
      </c>
      <c r="F13" s="10"/>
      <c r="G13" s="10"/>
      <c r="H13" s="10">
        <v>22</v>
      </c>
      <c r="I13" s="10">
        <f t="shared" si="2"/>
        <v>22</v>
      </c>
      <c r="J13" s="10"/>
      <c r="K13" s="10" t="s">
        <v>86</v>
      </c>
      <c r="L13" s="10"/>
      <c r="M13" s="10"/>
      <c r="N13" s="10" t="s">
        <v>68</v>
      </c>
      <c r="O13" s="10" t="s">
        <v>54</v>
      </c>
      <c r="P13" s="10" t="s">
        <v>77</v>
      </c>
      <c r="Q13">
        <v>12</v>
      </c>
      <c r="R13" s="19">
        <v>42382</v>
      </c>
      <c r="S13" s="19">
        <v>42390</v>
      </c>
      <c r="T13" s="19">
        <v>42390</v>
      </c>
      <c r="AE13" s="1"/>
      <c r="AF13" s="2"/>
      <c r="AG13" s="3"/>
      <c r="AH13" s="3"/>
    </row>
    <row r="14" spans="1:34" x14ac:dyDescent="0.25">
      <c r="A14" s="11">
        <v>13</v>
      </c>
      <c r="B14" s="10" t="s">
        <v>79</v>
      </c>
      <c r="C14" s="10" t="s">
        <v>51</v>
      </c>
      <c r="D14" s="10" t="s">
        <v>87</v>
      </c>
      <c r="E14" s="10">
        <v>2360065564</v>
      </c>
      <c r="F14" s="10"/>
      <c r="G14" s="10">
        <f>0.343</f>
        <v>0.34300000000000003</v>
      </c>
      <c r="H14" s="10">
        <v>34.465000000000003</v>
      </c>
      <c r="I14" s="10">
        <f t="shared" si="2"/>
        <v>34.465000000000003</v>
      </c>
      <c r="J14" s="10"/>
      <c r="K14" s="10" t="s">
        <v>81</v>
      </c>
      <c r="L14" s="10">
        <f t="shared" ref="L14" si="5">I14/G14</f>
        <v>100.48104956268222</v>
      </c>
      <c r="M14" s="10">
        <f t="shared" ref="M14" si="6">H14/G14</f>
        <v>100.48104956268222</v>
      </c>
      <c r="N14" s="10" t="s">
        <v>82</v>
      </c>
      <c r="O14" s="10" t="s">
        <v>54</v>
      </c>
      <c r="P14" s="10" t="s">
        <v>83</v>
      </c>
      <c r="Q14">
        <v>11</v>
      </c>
      <c r="R14" s="19">
        <v>42397</v>
      </c>
      <c r="S14" s="19">
        <v>42397</v>
      </c>
      <c r="T14" s="19">
        <v>42400</v>
      </c>
      <c r="AE14" s="1">
        <v>8</v>
      </c>
      <c r="AF14" s="2" t="s">
        <v>34</v>
      </c>
      <c r="AG14" s="3"/>
      <c r="AH14" s="3"/>
    </row>
    <row r="15" spans="1:34" x14ac:dyDescent="0.25">
      <c r="A15" s="11">
        <v>14</v>
      </c>
      <c r="B15" s="10" t="s">
        <v>73</v>
      </c>
      <c r="C15" s="10" t="s">
        <v>51</v>
      </c>
      <c r="D15" s="10" t="s">
        <v>88</v>
      </c>
      <c r="E15" s="10">
        <v>4201146442</v>
      </c>
      <c r="F15" s="10">
        <v>33</v>
      </c>
      <c r="G15" s="10">
        <f>13.26</f>
        <v>13.26</v>
      </c>
      <c r="H15" s="10">
        <v>1525</v>
      </c>
      <c r="I15" s="10">
        <v>991</v>
      </c>
      <c r="J15" s="10">
        <f>H15-I15</f>
        <v>534</v>
      </c>
      <c r="K15" s="10" t="s">
        <v>81</v>
      </c>
      <c r="L15" s="10">
        <f t="shared" ref="L15" si="7">I15/G15</f>
        <v>74.736048265460028</v>
      </c>
      <c r="M15" s="10">
        <f t="shared" ref="M15" si="8">H15/G15</f>
        <v>115.00754147812971</v>
      </c>
      <c r="N15" s="10" t="s">
        <v>61</v>
      </c>
      <c r="O15" s="10" t="s">
        <v>62</v>
      </c>
      <c r="P15" s="10" t="s">
        <v>89</v>
      </c>
      <c r="Q15">
        <v>1</v>
      </c>
      <c r="R15" s="19">
        <v>42390</v>
      </c>
      <c r="S15" s="19">
        <v>42397</v>
      </c>
      <c r="T15" s="19">
        <v>42400</v>
      </c>
      <c r="AE15" s="1">
        <v>9</v>
      </c>
      <c r="AF15" s="2" t="s">
        <v>35</v>
      </c>
      <c r="AG15" s="3"/>
      <c r="AH15" s="3"/>
    </row>
    <row r="16" spans="1:34" x14ac:dyDescent="0.25">
      <c r="A16" s="11">
        <v>15</v>
      </c>
      <c r="B16" s="10" t="s">
        <v>90</v>
      </c>
      <c r="C16" s="10" t="s">
        <v>51</v>
      </c>
      <c r="D16" s="10" t="s">
        <v>91</v>
      </c>
      <c r="E16" s="10">
        <v>2360065553</v>
      </c>
      <c r="F16" s="10"/>
      <c r="G16" s="10"/>
      <c r="H16" s="10">
        <v>13.75</v>
      </c>
      <c r="I16" s="10">
        <f t="shared" ref="I16:I23" si="9">H16</f>
        <v>13.75</v>
      </c>
      <c r="J16" s="10"/>
      <c r="K16" s="10" t="s">
        <v>75</v>
      </c>
      <c r="L16" s="10"/>
      <c r="M16" s="10"/>
      <c r="N16" s="10" t="s">
        <v>82</v>
      </c>
      <c r="O16" s="10" t="s">
        <v>54</v>
      </c>
      <c r="P16" s="10" t="s">
        <v>92</v>
      </c>
      <c r="Q16">
        <v>15</v>
      </c>
      <c r="R16" s="19">
        <v>42394</v>
      </c>
      <c r="S16" s="19">
        <v>42397</v>
      </c>
      <c r="T16" s="19">
        <v>42400</v>
      </c>
      <c r="AE16" s="1"/>
      <c r="AF16" s="2"/>
      <c r="AG16" s="3"/>
      <c r="AH16" s="3"/>
    </row>
    <row r="17" spans="1:34" x14ac:dyDescent="0.25">
      <c r="A17" s="11">
        <v>16</v>
      </c>
      <c r="B17" s="10" t="s">
        <v>79</v>
      </c>
      <c r="C17" s="10" t="s">
        <v>51</v>
      </c>
      <c r="D17" s="10" t="s">
        <v>93</v>
      </c>
      <c r="E17" s="10">
        <v>2360065555</v>
      </c>
      <c r="F17" s="10"/>
      <c r="G17" s="10">
        <f>0.242</f>
        <v>0.24199999999999999</v>
      </c>
      <c r="H17" s="10">
        <v>31.98</v>
      </c>
      <c r="I17" s="10">
        <f t="shared" si="9"/>
        <v>31.98</v>
      </c>
      <c r="J17" s="10"/>
      <c r="K17" s="10" t="s">
        <v>75</v>
      </c>
      <c r="L17" s="10">
        <f t="shared" ref="L17" si="10">I17/G17</f>
        <v>132.14876033057851</v>
      </c>
      <c r="M17" s="10">
        <f t="shared" ref="M17" si="11">H17/G17</f>
        <v>132.14876033057851</v>
      </c>
      <c r="N17" s="10" t="s">
        <v>61</v>
      </c>
      <c r="O17" s="10" t="s">
        <v>62</v>
      </c>
      <c r="P17" s="10" t="s">
        <v>94</v>
      </c>
      <c r="Q17">
        <v>11</v>
      </c>
      <c r="R17" s="19">
        <v>42390</v>
      </c>
      <c r="S17" s="19">
        <v>42397</v>
      </c>
      <c r="T17" s="19">
        <v>42400</v>
      </c>
      <c r="AE17" s="1"/>
      <c r="AF17" s="4" t="s">
        <v>36</v>
      </c>
      <c r="AG17" s="3"/>
      <c r="AH17" s="3"/>
    </row>
    <row r="18" spans="1:34" x14ac:dyDescent="0.25">
      <c r="A18" s="11">
        <v>17</v>
      </c>
      <c r="B18" s="10" t="s">
        <v>73</v>
      </c>
      <c r="C18" s="10" t="s">
        <v>51</v>
      </c>
      <c r="D18" s="22" t="s">
        <v>95</v>
      </c>
      <c r="E18" s="10">
        <v>4201148495</v>
      </c>
      <c r="F18" s="10">
        <v>33</v>
      </c>
      <c r="G18" s="10">
        <v>183</v>
      </c>
      <c r="H18" s="10">
        <v>14399</v>
      </c>
      <c r="I18" s="10">
        <f t="shared" si="9"/>
        <v>14399</v>
      </c>
      <c r="J18" s="10"/>
      <c r="K18" s="10" t="s">
        <v>71</v>
      </c>
      <c r="L18" s="10">
        <f t="shared" ref="L18" si="12">I18/G18</f>
        <v>78.683060109289613</v>
      </c>
      <c r="M18" s="10">
        <f t="shared" ref="M18" si="13">H18/G18</f>
        <v>78.683060109289613</v>
      </c>
      <c r="N18" s="10" t="s">
        <v>61</v>
      </c>
      <c r="O18" s="10" t="s">
        <v>62</v>
      </c>
      <c r="P18" s="10" t="s">
        <v>96</v>
      </c>
      <c r="Q18">
        <v>10</v>
      </c>
      <c r="R18" s="19">
        <v>42397</v>
      </c>
      <c r="S18" s="19">
        <v>42397</v>
      </c>
      <c r="T18" s="19">
        <v>42400</v>
      </c>
      <c r="AE18" s="1">
        <v>10</v>
      </c>
      <c r="AF18" s="2" t="s">
        <v>37</v>
      </c>
      <c r="AG18" s="3"/>
      <c r="AH18" s="3"/>
    </row>
    <row r="19" spans="1:34" x14ac:dyDescent="0.25">
      <c r="A19" s="11">
        <v>18</v>
      </c>
      <c r="B19" s="10" t="s">
        <v>73</v>
      </c>
      <c r="C19" s="10" t="s">
        <v>51</v>
      </c>
      <c r="D19" s="22" t="s">
        <v>95</v>
      </c>
      <c r="E19" s="10">
        <v>4201148501</v>
      </c>
      <c r="F19" s="10">
        <v>33</v>
      </c>
      <c r="G19" s="10">
        <v>183</v>
      </c>
      <c r="H19" s="10">
        <v>14399</v>
      </c>
      <c r="I19" s="10">
        <f t="shared" si="9"/>
        <v>14399</v>
      </c>
      <c r="J19" s="10"/>
      <c r="K19" s="10" t="s">
        <v>71</v>
      </c>
      <c r="L19" s="10">
        <f t="shared" ref="L19:L20" si="14">I19/G19</f>
        <v>78.683060109289613</v>
      </c>
      <c r="M19" s="10">
        <f t="shared" ref="M19:M20" si="15">H19/G19</f>
        <v>78.683060109289613</v>
      </c>
      <c r="N19" s="10" t="s">
        <v>61</v>
      </c>
      <c r="O19" s="10" t="s">
        <v>62</v>
      </c>
      <c r="P19" s="10" t="s">
        <v>96</v>
      </c>
      <c r="Q19">
        <v>10</v>
      </c>
      <c r="R19" s="19">
        <v>42397</v>
      </c>
      <c r="S19" s="19">
        <v>42397</v>
      </c>
      <c r="T19" s="19">
        <v>42400</v>
      </c>
      <c r="AE19" s="2"/>
      <c r="AF19" s="2"/>
      <c r="AG19" s="3"/>
      <c r="AH19" s="3"/>
    </row>
    <row r="20" spans="1:34" x14ac:dyDescent="0.25">
      <c r="A20" s="11">
        <v>19</v>
      </c>
      <c r="B20" s="10" t="s">
        <v>73</v>
      </c>
      <c r="C20" s="10" t="s">
        <v>51</v>
      </c>
      <c r="D20" s="22" t="s">
        <v>95</v>
      </c>
      <c r="E20" s="10">
        <v>4201148504</v>
      </c>
      <c r="F20" s="10">
        <v>33</v>
      </c>
      <c r="G20" s="10">
        <v>183</v>
      </c>
      <c r="H20" s="10">
        <v>14399</v>
      </c>
      <c r="I20" s="10">
        <f t="shared" si="9"/>
        <v>14399</v>
      </c>
      <c r="J20" s="10"/>
      <c r="K20" s="10" t="s">
        <v>71</v>
      </c>
      <c r="L20" s="10">
        <f t="shared" si="14"/>
        <v>78.683060109289613</v>
      </c>
      <c r="M20" s="10">
        <f t="shared" si="15"/>
        <v>78.683060109289613</v>
      </c>
      <c r="N20" s="10" t="s">
        <v>61</v>
      </c>
      <c r="O20" s="10" t="s">
        <v>62</v>
      </c>
      <c r="P20" s="10" t="s">
        <v>96</v>
      </c>
      <c r="Q20">
        <v>10</v>
      </c>
      <c r="R20" s="19">
        <v>42397</v>
      </c>
      <c r="S20" s="19">
        <v>42397</v>
      </c>
      <c r="T20" s="19">
        <v>42400</v>
      </c>
      <c r="AE20" s="1"/>
      <c r="AF20" s="4" t="s">
        <v>38</v>
      </c>
      <c r="AG20" s="3"/>
      <c r="AH20" s="3"/>
    </row>
    <row r="21" spans="1:34" x14ac:dyDescent="0.25">
      <c r="A21" s="11">
        <v>20</v>
      </c>
      <c r="B21" s="10" t="s">
        <v>73</v>
      </c>
      <c r="C21" s="10" t="s">
        <v>51</v>
      </c>
      <c r="D21" s="22" t="s">
        <v>95</v>
      </c>
      <c r="E21" s="10">
        <v>2360065641</v>
      </c>
      <c r="F21" s="10"/>
      <c r="G21" s="10"/>
      <c r="H21" s="10">
        <v>1800</v>
      </c>
      <c r="I21" s="10">
        <f t="shared" si="9"/>
        <v>1800</v>
      </c>
      <c r="J21" s="10"/>
      <c r="K21" s="10" t="s">
        <v>71</v>
      </c>
      <c r="L21" s="10"/>
      <c r="M21" s="10"/>
      <c r="N21" s="10" t="s">
        <v>61</v>
      </c>
      <c r="O21" s="10" t="s">
        <v>62</v>
      </c>
      <c r="P21" s="10" t="s">
        <v>97</v>
      </c>
      <c r="Q21">
        <v>13</v>
      </c>
      <c r="R21" s="19">
        <v>42397</v>
      </c>
      <c r="S21" s="19">
        <v>42397</v>
      </c>
      <c r="T21" s="19">
        <v>42400</v>
      </c>
      <c r="AE21" s="5">
        <v>11</v>
      </c>
      <c r="AF21" s="6" t="s">
        <v>39</v>
      </c>
      <c r="AG21" s="3"/>
      <c r="AH21" s="3"/>
    </row>
    <row r="22" spans="1:34" x14ac:dyDescent="0.25">
      <c r="A22" s="11">
        <v>21</v>
      </c>
      <c r="B22" s="10" t="s">
        <v>50</v>
      </c>
      <c r="C22" s="10" t="s">
        <v>51</v>
      </c>
      <c r="D22" s="10" t="s">
        <v>76</v>
      </c>
      <c r="E22" s="10">
        <v>5000039695</v>
      </c>
      <c r="F22" s="10"/>
      <c r="G22" s="10"/>
      <c r="H22" s="10">
        <v>171.89</v>
      </c>
      <c r="I22" s="10">
        <f t="shared" si="9"/>
        <v>171.89</v>
      </c>
      <c r="J22" s="10"/>
      <c r="K22" s="10" t="s">
        <v>53</v>
      </c>
      <c r="L22" s="10"/>
      <c r="M22" s="10"/>
      <c r="N22" s="10" t="s">
        <v>57</v>
      </c>
      <c r="O22" s="10" t="s">
        <v>54</v>
      </c>
      <c r="P22" s="10" t="s">
        <v>77</v>
      </c>
      <c r="Q22">
        <v>12</v>
      </c>
      <c r="R22" s="19">
        <v>42384</v>
      </c>
      <c r="S22" s="19">
        <v>42398</v>
      </c>
      <c r="T22" s="19">
        <v>42401</v>
      </c>
      <c r="AE22" s="1">
        <v>12</v>
      </c>
      <c r="AF22" s="2" t="s">
        <v>40</v>
      </c>
      <c r="AG22" s="3"/>
      <c r="AH22" s="3"/>
    </row>
    <row r="23" spans="1:34" x14ac:dyDescent="0.25">
      <c r="A23" s="11">
        <v>22</v>
      </c>
      <c r="B23" s="10" t="s">
        <v>50</v>
      </c>
      <c r="C23" s="10" t="s">
        <v>98</v>
      </c>
      <c r="D23" s="10" t="s">
        <v>99</v>
      </c>
      <c r="E23" s="10">
        <v>5000039764</v>
      </c>
      <c r="F23" s="10"/>
      <c r="G23" s="10"/>
      <c r="H23" s="10">
        <v>96.29</v>
      </c>
      <c r="I23" s="10">
        <f t="shared" si="9"/>
        <v>96.29</v>
      </c>
      <c r="J23" s="10"/>
      <c r="K23" s="10" t="s">
        <v>53</v>
      </c>
      <c r="L23" s="10"/>
      <c r="M23" s="10"/>
      <c r="N23" s="10" t="s">
        <v>57</v>
      </c>
      <c r="O23" s="10" t="s">
        <v>54</v>
      </c>
      <c r="P23" s="10" t="s">
        <v>100</v>
      </c>
      <c r="Q23">
        <v>12</v>
      </c>
      <c r="R23" s="19">
        <v>42385</v>
      </c>
      <c r="S23" s="19">
        <v>42402</v>
      </c>
      <c r="T23" s="19">
        <v>42403</v>
      </c>
      <c r="AE23" s="1"/>
      <c r="AF23" s="2"/>
      <c r="AG23" s="3"/>
      <c r="AH23" s="3"/>
    </row>
    <row r="24" spans="1:34" x14ac:dyDescent="0.25">
      <c r="A24" s="11">
        <v>23</v>
      </c>
      <c r="B24" s="10" t="s">
        <v>50</v>
      </c>
      <c r="C24" s="10" t="s">
        <v>98</v>
      </c>
      <c r="D24" s="10" t="s">
        <v>99</v>
      </c>
      <c r="E24" s="10">
        <v>5000039763</v>
      </c>
      <c r="F24" s="10"/>
      <c r="G24" s="10">
        <f>0.55*3</f>
        <v>1.6500000000000001</v>
      </c>
      <c r="H24" s="10">
        <v>142.96</v>
      </c>
      <c r="I24" s="10">
        <f t="shared" ref="I24:I28" si="16">H24</f>
        <v>142.96</v>
      </c>
      <c r="J24" s="10"/>
      <c r="K24" s="10" t="s">
        <v>53</v>
      </c>
      <c r="L24" s="10"/>
      <c r="M24" s="10"/>
      <c r="N24" s="10" t="s">
        <v>57</v>
      </c>
      <c r="O24" s="10" t="s">
        <v>54</v>
      </c>
      <c r="P24" s="10" t="s">
        <v>101</v>
      </c>
      <c r="Q24">
        <v>11</v>
      </c>
      <c r="R24" s="19">
        <v>42385</v>
      </c>
      <c r="S24" s="19">
        <v>42402</v>
      </c>
      <c r="T24" s="19">
        <v>42403</v>
      </c>
      <c r="AE24" s="1">
        <v>13</v>
      </c>
      <c r="AF24" s="2" t="s">
        <v>41</v>
      </c>
      <c r="AG24" s="7"/>
      <c r="AH24" s="7"/>
    </row>
    <row r="25" spans="1:34" x14ac:dyDescent="0.25">
      <c r="A25" s="11">
        <v>24</v>
      </c>
      <c r="B25" s="10" t="s">
        <v>79</v>
      </c>
      <c r="C25" s="10" t="s">
        <v>98</v>
      </c>
      <c r="D25" s="10" t="s">
        <v>107</v>
      </c>
      <c r="E25" s="10">
        <v>4201149562</v>
      </c>
      <c r="F25" s="10">
        <v>11</v>
      </c>
      <c r="G25" s="10">
        <v>2.9</v>
      </c>
      <c r="H25" s="10">
        <v>375</v>
      </c>
      <c r="I25" s="10">
        <f t="shared" si="16"/>
        <v>375</v>
      </c>
      <c r="J25" s="10"/>
      <c r="K25" s="10" t="s">
        <v>71</v>
      </c>
      <c r="L25" s="10">
        <f t="shared" ref="L25" si="17">I25/G25</f>
        <v>129.31034482758622</v>
      </c>
      <c r="M25" s="10">
        <f t="shared" ref="M25" si="18">H25/G25</f>
        <v>129.31034482758622</v>
      </c>
      <c r="N25" s="10" t="s">
        <v>61</v>
      </c>
      <c r="O25" s="10" t="s">
        <v>62</v>
      </c>
      <c r="P25" s="10" t="s">
        <v>102</v>
      </c>
      <c r="Q25">
        <v>1</v>
      </c>
      <c r="R25" s="19">
        <v>42398</v>
      </c>
      <c r="S25" s="19">
        <v>42401</v>
      </c>
      <c r="T25" s="19">
        <v>42403</v>
      </c>
      <c r="AE25" s="1">
        <v>14</v>
      </c>
      <c r="AF25" s="2" t="s">
        <v>42</v>
      </c>
      <c r="AG25" s="8"/>
      <c r="AH25" s="9"/>
    </row>
    <row r="26" spans="1:34" x14ac:dyDescent="0.25">
      <c r="A26" s="11">
        <v>25</v>
      </c>
      <c r="B26" s="10" t="s">
        <v>50</v>
      </c>
      <c r="C26" s="10" t="s">
        <v>98</v>
      </c>
      <c r="D26" s="10" t="s">
        <v>78</v>
      </c>
      <c r="E26" s="10">
        <v>5000039792</v>
      </c>
      <c r="F26" s="10"/>
      <c r="G26" s="10"/>
      <c r="H26" s="10">
        <v>834.85</v>
      </c>
      <c r="I26" s="10">
        <f t="shared" si="16"/>
        <v>834.85</v>
      </c>
      <c r="J26" s="10"/>
      <c r="K26" s="10" t="s">
        <v>53</v>
      </c>
      <c r="L26" s="10"/>
      <c r="M26" s="10"/>
      <c r="N26" s="10" t="s">
        <v>57</v>
      </c>
      <c r="O26" s="10" t="s">
        <v>54</v>
      </c>
      <c r="P26" s="10" t="s">
        <v>77</v>
      </c>
      <c r="Q26">
        <v>12</v>
      </c>
      <c r="R26" s="19">
        <v>42402</v>
      </c>
      <c r="S26" s="19">
        <v>42403</v>
      </c>
      <c r="T26" s="19">
        <v>42404</v>
      </c>
      <c r="AE26" s="1">
        <v>15</v>
      </c>
      <c r="AF26" s="2" t="s">
        <v>43</v>
      </c>
      <c r="AG26" s="8"/>
      <c r="AH26" s="9"/>
    </row>
    <row r="27" spans="1:34" x14ac:dyDescent="0.25">
      <c r="A27" s="11">
        <v>26</v>
      </c>
      <c r="B27" s="10" t="s">
        <v>79</v>
      </c>
      <c r="C27" s="10" t="s">
        <v>98</v>
      </c>
      <c r="D27" s="10" t="s">
        <v>103</v>
      </c>
      <c r="E27" s="10">
        <v>2360065591</v>
      </c>
      <c r="F27" s="10"/>
      <c r="G27" s="10">
        <f>0.595*4</f>
        <v>2.38</v>
      </c>
      <c r="H27" s="10">
        <v>260</v>
      </c>
      <c r="I27" s="10">
        <f t="shared" si="16"/>
        <v>260</v>
      </c>
      <c r="J27" s="10"/>
      <c r="K27" s="10" t="s">
        <v>81</v>
      </c>
      <c r="L27" s="10">
        <f t="shared" ref="L27" si="19">I27/G27</f>
        <v>109.24369747899161</v>
      </c>
      <c r="M27" s="10">
        <f t="shared" ref="M27" si="20">H27/G27</f>
        <v>109.24369747899161</v>
      </c>
      <c r="N27" s="10" t="s">
        <v>62</v>
      </c>
      <c r="O27" s="10" t="s">
        <v>62</v>
      </c>
      <c r="P27" s="10" t="s">
        <v>104</v>
      </c>
      <c r="Q27">
        <v>11</v>
      </c>
      <c r="R27" s="19">
        <v>42384</v>
      </c>
      <c r="S27" s="19">
        <v>42403</v>
      </c>
      <c r="T27" s="19">
        <v>42404</v>
      </c>
      <c r="AE27" s="1">
        <v>16</v>
      </c>
      <c r="AF27" s="2" t="s">
        <v>44</v>
      </c>
      <c r="AG27" s="2"/>
      <c r="AH27" s="3"/>
    </row>
    <row r="28" spans="1:34" x14ac:dyDescent="0.25">
      <c r="A28" s="11">
        <v>27</v>
      </c>
      <c r="B28" s="10" t="s">
        <v>79</v>
      </c>
      <c r="C28" s="10" t="s">
        <v>98</v>
      </c>
      <c r="D28" s="10" t="s">
        <v>106</v>
      </c>
      <c r="E28" s="10">
        <v>4201150790</v>
      </c>
      <c r="F28" s="10">
        <v>11</v>
      </c>
      <c r="G28" s="10">
        <f>2.9*7</f>
        <v>20.3</v>
      </c>
      <c r="H28" s="10">
        <v>1610</v>
      </c>
      <c r="I28" s="10">
        <f t="shared" si="16"/>
        <v>1610</v>
      </c>
      <c r="J28" s="10"/>
      <c r="K28" s="10" t="s">
        <v>71</v>
      </c>
      <c r="L28" s="10">
        <f t="shared" ref="L28:L29" si="21">I28/G28</f>
        <v>79.310344827586206</v>
      </c>
      <c r="M28" s="10">
        <f t="shared" ref="M28:M29" si="22">H28/G28</f>
        <v>79.310344827586206</v>
      </c>
      <c r="N28" s="10" t="s">
        <v>61</v>
      </c>
      <c r="O28" s="10" t="s">
        <v>62</v>
      </c>
      <c r="P28" s="10" t="s">
        <v>105</v>
      </c>
      <c r="Q28">
        <v>1</v>
      </c>
      <c r="R28" s="19">
        <v>42398</v>
      </c>
      <c r="S28" s="19">
        <v>42403</v>
      </c>
      <c r="T28" s="19">
        <v>42404</v>
      </c>
      <c r="AE28" s="1">
        <v>17</v>
      </c>
      <c r="AF28" s="2" t="s">
        <v>45</v>
      </c>
      <c r="AG28" s="2"/>
      <c r="AH28" s="3"/>
    </row>
    <row r="29" spans="1:34" x14ac:dyDescent="0.25">
      <c r="A29" s="11">
        <v>28</v>
      </c>
      <c r="B29" s="10" t="s">
        <v>79</v>
      </c>
      <c r="C29" s="10" t="s">
        <v>98</v>
      </c>
      <c r="D29" s="10" t="s">
        <v>108</v>
      </c>
      <c r="E29" s="10">
        <v>4201152712</v>
      </c>
      <c r="F29" s="10">
        <v>11</v>
      </c>
      <c r="G29" s="10">
        <v>2.9</v>
      </c>
      <c r="H29" s="10">
        <v>375</v>
      </c>
      <c r="I29" s="10">
        <f t="shared" ref="I29:I39" si="23">H29</f>
        <v>375</v>
      </c>
      <c r="J29" s="10"/>
      <c r="K29" s="10" t="s">
        <v>71</v>
      </c>
      <c r="L29" s="10">
        <f t="shared" si="21"/>
        <v>129.31034482758622</v>
      </c>
      <c r="M29" s="10">
        <f t="shared" si="22"/>
        <v>129.31034482758622</v>
      </c>
      <c r="N29" s="10" t="s">
        <v>61</v>
      </c>
      <c r="O29" s="10" t="s">
        <v>62</v>
      </c>
      <c r="P29" s="10" t="s">
        <v>102</v>
      </c>
      <c r="Q29">
        <v>1</v>
      </c>
      <c r="R29" s="19">
        <v>42398</v>
      </c>
      <c r="S29" s="19">
        <v>42408</v>
      </c>
      <c r="T29" s="19">
        <v>42408</v>
      </c>
      <c r="AE29" s="1">
        <v>18</v>
      </c>
      <c r="AF29" s="2" t="s">
        <v>46</v>
      </c>
      <c r="AG29" s="2"/>
      <c r="AH29" s="3"/>
    </row>
    <row r="30" spans="1:34" x14ac:dyDescent="0.25">
      <c r="A30" s="11">
        <v>29</v>
      </c>
      <c r="B30" s="10" t="s">
        <v>90</v>
      </c>
      <c r="C30" s="10" t="s">
        <v>98</v>
      </c>
      <c r="D30" s="10" t="s">
        <v>109</v>
      </c>
      <c r="E30" s="10">
        <v>2360065797</v>
      </c>
      <c r="F30" s="10"/>
      <c r="G30" s="10">
        <f>0.297*3+0.264*3</f>
        <v>1.6830000000000001</v>
      </c>
      <c r="H30" s="10">
        <v>126.22499999999999</v>
      </c>
      <c r="I30" s="10">
        <f t="shared" si="23"/>
        <v>126.22499999999999</v>
      </c>
      <c r="J30" s="10"/>
      <c r="K30" s="10" t="s">
        <v>81</v>
      </c>
      <c r="L30" s="10">
        <f t="shared" ref="L30:L31" si="24">I30/G30</f>
        <v>75</v>
      </c>
      <c r="M30" s="10">
        <f t="shared" ref="M30:M31" si="25">H30/G30</f>
        <v>75</v>
      </c>
      <c r="N30" s="10" t="s">
        <v>61</v>
      </c>
      <c r="O30" s="10" t="s">
        <v>62</v>
      </c>
      <c r="P30" s="10" t="s">
        <v>104</v>
      </c>
      <c r="Q30">
        <v>11</v>
      </c>
      <c r="R30" s="19">
        <v>42403</v>
      </c>
      <c r="S30" s="19">
        <v>42408</v>
      </c>
      <c r="T30" s="19">
        <v>42411</v>
      </c>
      <c r="AE30" s="2">
        <v>19</v>
      </c>
      <c r="AF30" s="2" t="s">
        <v>47</v>
      </c>
      <c r="AG30" s="2"/>
      <c r="AH30" s="3"/>
    </row>
    <row r="31" spans="1:34" x14ac:dyDescent="0.25">
      <c r="A31" s="11">
        <v>30</v>
      </c>
      <c r="B31" s="10" t="s">
        <v>79</v>
      </c>
      <c r="C31" s="10" t="s">
        <v>98</v>
      </c>
      <c r="D31" s="10" t="s">
        <v>110</v>
      </c>
      <c r="E31" s="10">
        <v>4201153964</v>
      </c>
      <c r="F31" s="10"/>
      <c r="G31" s="10">
        <f>0.45</f>
        <v>0.45</v>
      </c>
      <c r="H31" s="10">
        <v>98</v>
      </c>
      <c r="I31" s="10">
        <f t="shared" si="23"/>
        <v>98</v>
      </c>
      <c r="J31" s="10"/>
      <c r="K31" s="10" t="s">
        <v>75</v>
      </c>
      <c r="L31" s="10">
        <f t="shared" si="24"/>
        <v>217.77777777777777</v>
      </c>
      <c r="M31" s="10">
        <f t="shared" si="25"/>
        <v>217.77777777777777</v>
      </c>
      <c r="N31" s="10" t="s">
        <v>82</v>
      </c>
      <c r="O31" s="10" t="s">
        <v>54</v>
      </c>
      <c r="P31" s="10" t="s">
        <v>111</v>
      </c>
      <c r="Q31">
        <v>11</v>
      </c>
      <c r="R31" s="19">
        <v>42408</v>
      </c>
      <c r="S31" s="19">
        <v>42410</v>
      </c>
      <c r="T31" s="19">
        <v>42411</v>
      </c>
      <c r="AE31" s="2">
        <v>20</v>
      </c>
      <c r="AF31" s="2" t="s">
        <v>48</v>
      </c>
      <c r="AG31" s="2"/>
      <c r="AH31" s="3"/>
    </row>
    <row r="32" spans="1:34" x14ac:dyDescent="0.25">
      <c r="A32" s="11">
        <v>31</v>
      </c>
      <c r="B32" s="10" t="s">
        <v>58</v>
      </c>
      <c r="C32" s="10" t="s">
        <v>98</v>
      </c>
      <c r="D32" s="10" t="s">
        <v>112</v>
      </c>
      <c r="E32" s="10">
        <v>2360065905</v>
      </c>
      <c r="F32" s="10"/>
      <c r="G32" s="10"/>
      <c r="H32" s="10">
        <v>632</v>
      </c>
      <c r="I32" s="10">
        <f t="shared" si="23"/>
        <v>632</v>
      </c>
      <c r="J32" s="10"/>
      <c r="K32" s="10" t="s">
        <v>81</v>
      </c>
      <c r="L32" s="10"/>
      <c r="M32" s="10"/>
      <c r="N32" s="10" t="s">
        <v>62</v>
      </c>
      <c r="O32" s="10" t="s">
        <v>62</v>
      </c>
      <c r="P32" s="10" t="s">
        <v>113</v>
      </c>
      <c r="Q32">
        <v>13</v>
      </c>
      <c r="R32" s="19">
        <v>42404</v>
      </c>
      <c r="S32" s="19">
        <v>42411</v>
      </c>
      <c r="T32" s="19">
        <v>42412</v>
      </c>
      <c r="AE32" s="2">
        <v>21</v>
      </c>
      <c r="AF32" s="2" t="s">
        <v>49</v>
      </c>
      <c r="AG32" s="2"/>
      <c r="AH32" s="3"/>
    </row>
    <row r="33" spans="1:34" x14ac:dyDescent="0.25">
      <c r="A33" s="11">
        <v>32</v>
      </c>
      <c r="B33" s="10" t="s">
        <v>58</v>
      </c>
      <c r="C33" s="10" t="s">
        <v>98</v>
      </c>
      <c r="D33" s="10" t="s">
        <v>114</v>
      </c>
      <c r="E33" s="10">
        <v>2360065904</v>
      </c>
      <c r="F33" s="10"/>
      <c r="G33" s="10">
        <v>0.373</v>
      </c>
      <c r="H33" s="10">
        <v>36.5</v>
      </c>
      <c r="I33" s="10">
        <f t="shared" si="23"/>
        <v>36.5</v>
      </c>
      <c r="J33" s="10"/>
      <c r="K33" s="10" t="s">
        <v>75</v>
      </c>
      <c r="L33" s="10">
        <f t="shared" ref="L33:L34" si="26">I33/G33</f>
        <v>97.855227882037539</v>
      </c>
      <c r="M33" s="10">
        <f t="shared" ref="M33:M34" si="27">H33/G33</f>
        <v>97.855227882037539</v>
      </c>
      <c r="N33" s="10" t="s">
        <v>82</v>
      </c>
      <c r="O33" s="10" t="s">
        <v>54</v>
      </c>
      <c r="P33" s="10" t="s">
        <v>104</v>
      </c>
      <c r="Q33">
        <v>11</v>
      </c>
      <c r="R33" s="19">
        <v>42404</v>
      </c>
      <c r="S33" s="19">
        <v>42411</v>
      </c>
      <c r="T33" s="19">
        <v>42412</v>
      </c>
      <c r="AE33" s="2"/>
      <c r="AF33" s="2"/>
      <c r="AG33" s="2"/>
      <c r="AH33" s="3"/>
    </row>
    <row r="34" spans="1:34" x14ac:dyDescent="0.25">
      <c r="A34" s="11">
        <v>33</v>
      </c>
      <c r="B34" s="10" t="s">
        <v>50</v>
      </c>
      <c r="C34" s="10" t="s">
        <v>98</v>
      </c>
      <c r="D34" s="10" t="s">
        <v>115</v>
      </c>
      <c r="E34" s="10">
        <v>5000039948</v>
      </c>
      <c r="F34" s="10"/>
      <c r="G34" s="10">
        <v>0.2</v>
      </c>
      <c r="H34" s="10">
        <v>30.54</v>
      </c>
      <c r="I34" s="10">
        <f t="shared" si="23"/>
        <v>30.54</v>
      </c>
      <c r="J34" s="10"/>
      <c r="K34" s="10" t="s">
        <v>53</v>
      </c>
      <c r="L34" s="10">
        <f t="shared" si="26"/>
        <v>152.69999999999999</v>
      </c>
      <c r="M34" s="10">
        <f t="shared" si="27"/>
        <v>152.69999999999999</v>
      </c>
      <c r="N34" s="10" t="s">
        <v>57</v>
      </c>
      <c r="O34" s="10" t="s">
        <v>54</v>
      </c>
      <c r="P34" s="10" t="s">
        <v>116</v>
      </c>
      <c r="Q34">
        <v>12</v>
      </c>
      <c r="R34" s="19">
        <v>42402</v>
      </c>
      <c r="S34" s="19">
        <v>42410</v>
      </c>
      <c r="T34" s="19">
        <v>42412</v>
      </c>
      <c r="AE34" s="2"/>
      <c r="AF34" s="2"/>
      <c r="AG34" s="2"/>
      <c r="AH34" s="3"/>
    </row>
    <row r="35" spans="1:34" x14ac:dyDescent="0.25">
      <c r="A35" s="11">
        <v>34</v>
      </c>
      <c r="B35" s="10" t="s">
        <v>79</v>
      </c>
      <c r="C35" s="10" t="s">
        <v>98</v>
      </c>
      <c r="D35" s="10" t="s">
        <v>117</v>
      </c>
      <c r="E35" s="10">
        <v>2360065915</v>
      </c>
      <c r="F35" s="10"/>
      <c r="G35" s="10">
        <f>0.005*1+0.075*4</f>
        <v>0.30499999999999999</v>
      </c>
      <c r="H35" s="10">
        <v>56.39</v>
      </c>
      <c r="I35" s="10">
        <f t="shared" si="23"/>
        <v>56.39</v>
      </c>
      <c r="J35" s="10"/>
      <c r="K35" s="10" t="s">
        <v>75</v>
      </c>
      <c r="L35" s="10">
        <f t="shared" ref="L35:L36" si="28">I35/G35</f>
        <v>184.88524590163934</v>
      </c>
      <c r="M35" s="10">
        <f t="shared" ref="M35:M36" si="29">H35/G35</f>
        <v>184.88524590163934</v>
      </c>
      <c r="N35" s="10" t="s">
        <v>68</v>
      </c>
      <c r="O35" s="10" t="s">
        <v>54</v>
      </c>
      <c r="P35" s="10" t="s">
        <v>118</v>
      </c>
      <c r="Q35">
        <v>20</v>
      </c>
      <c r="R35" s="19">
        <v>42411</v>
      </c>
      <c r="S35" s="19">
        <v>42411</v>
      </c>
      <c r="T35" s="19">
        <v>42412</v>
      </c>
      <c r="AE35" s="2"/>
      <c r="AF35" s="2"/>
      <c r="AG35" s="2"/>
      <c r="AH35" s="3"/>
    </row>
    <row r="36" spans="1:34" x14ac:dyDescent="0.25">
      <c r="A36" s="11">
        <v>35</v>
      </c>
      <c r="B36" s="10" t="s">
        <v>90</v>
      </c>
      <c r="C36" s="10" t="s">
        <v>98</v>
      </c>
      <c r="D36" s="10" t="s">
        <v>120</v>
      </c>
      <c r="E36" s="10">
        <v>4201154058</v>
      </c>
      <c r="F36" s="10">
        <v>33</v>
      </c>
      <c r="G36" s="10">
        <f>505</f>
        <v>505</v>
      </c>
      <c r="H36" s="10">
        <v>42251</v>
      </c>
      <c r="I36" s="10">
        <f t="shared" si="23"/>
        <v>42251</v>
      </c>
      <c r="J36" s="10"/>
      <c r="K36" s="10" t="s">
        <v>75</v>
      </c>
      <c r="L36" s="10">
        <f t="shared" si="28"/>
        <v>83.665346534653466</v>
      </c>
      <c r="M36" s="10">
        <f t="shared" si="29"/>
        <v>83.665346534653466</v>
      </c>
      <c r="N36" s="10" t="s">
        <v>61</v>
      </c>
      <c r="O36" s="10" t="s">
        <v>62</v>
      </c>
      <c r="P36" s="10" t="s">
        <v>119</v>
      </c>
      <c r="Q36">
        <v>1</v>
      </c>
      <c r="R36" s="19">
        <v>42391</v>
      </c>
      <c r="S36" s="19">
        <v>42410</v>
      </c>
      <c r="T36" s="19">
        <v>42412</v>
      </c>
      <c r="AE36" s="2"/>
      <c r="AF36" s="2"/>
      <c r="AG36" s="2"/>
      <c r="AH36" s="3"/>
    </row>
    <row r="37" spans="1:34" x14ac:dyDescent="0.25">
      <c r="A37" s="11">
        <v>36</v>
      </c>
      <c r="B37" s="10" t="s">
        <v>122</v>
      </c>
      <c r="C37" s="10" t="s">
        <v>98</v>
      </c>
      <c r="D37" s="24" t="s">
        <v>121</v>
      </c>
      <c r="E37" s="8">
        <v>4201159301</v>
      </c>
      <c r="F37" s="10">
        <v>6.6</v>
      </c>
      <c r="G37" s="10">
        <v>2.5499999999999998</v>
      </c>
      <c r="H37" s="10">
        <v>6471.87</v>
      </c>
      <c r="I37" s="10">
        <f t="shared" si="23"/>
        <v>6471.87</v>
      </c>
      <c r="J37" s="10"/>
      <c r="K37" s="10" t="s">
        <v>53</v>
      </c>
      <c r="L37" s="10">
        <f t="shared" ref="L37:L41" si="30">I37/G37</f>
        <v>2537.9882352941177</v>
      </c>
      <c r="M37" s="10">
        <f t="shared" ref="M37:M41" si="31">H37/G37</f>
        <v>2537.9882352941177</v>
      </c>
      <c r="N37" s="10" t="s">
        <v>82</v>
      </c>
      <c r="O37" s="10" t="s">
        <v>54</v>
      </c>
      <c r="P37" s="10" t="s">
        <v>123</v>
      </c>
      <c r="Q37">
        <v>18</v>
      </c>
      <c r="R37" s="19">
        <v>42405</v>
      </c>
      <c r="S37" s="19">
        <v>42419</v>
      </c>
      <c r="T37" s="19">
        <v>42422</v>
      </c>
      <c r="AE37" s="2"/>
      <c r="AF37" s="2"/>
      <c r="AG37" s="2"/>
      <c r="AH37" s="3"/>
    </row>
    <row r="38" spans="1:34" x14ac:dyDescent="0.25">
      <c r="A38" s="11">
        <v>37</v>
      </c>
      <c r="B38" s="10" t="s">
        <v>50</v>
      </c>
      <c r="C38" s="10" t="s">
        <v>98</v>
      </c>
      <c r="D38" s="10" t="s">
        <v>99</v>
      </c>
      <c r="E38" s="10">
        <v>5000040075</v>
      </c>
      <c r="F38" s="10"/>
      <c r="G38" s="10">
        <v>6.84</v>
      </c>
      <c r="H38" s="10">
        <v>612.5</v>
      </c>
      <c r="I38" s="10">
        <f t="shared" si="23"/>
        <v>612.5</v>
      </c>
      <c r="J38" s="10"/>
      <c r="K38" s="10" t="s">
        <v>53</v>
      </c>
      <c r="L38" s="10">
        <f t="shared" si="30"/>
        <v>89.546783625730995</v>
      </c>
      <c r="M38" s="10">
        <f t="shared" si="31"/>
        <v>89.546783625730995</v>
      </c>
      <c r="N38" s="10" t="s">
        <v>57</v>
      </c>
      <c r="O38" s="10" t="s">
        <v>54</v>
      </c>
      <c r="P38" s="10" t="s">
        <v>124</v>
      </c>
      <c r="Q38">
        <v>11</v>
      </c>
      <c r="R38" s="19">
        <v>42411</v>
      </c>
      <c r="S38" s="19">
        <v>42419</v>
      </c>
      <c r="T38" s="19">
        <v>42422</v>
      </c>
      <c r="AE38" s="2"/>
      <c r="AF38" s="2"/>
      <c r="AG38" s="2"/>
      <c r="AH38" s="3"/>
    </row>
    <row r="39" spans="1:34" x14ac:dyDescent="0.25">
      <c r="A39" s="11">
        <v>38</v>
      </c>
      <c r="B39" s="10" t="s">
        <v>50</v>
      </c>
      <c r="C39" s="10" t="s">
        <v>98</v>
      </c>
      <c r="D39" s="10" t="s">
        <v>99</v>
      </c>
      <c r="E39" s="10">
        <v>5000040076</v>
      </c>
      <c r="F39" s="10"/>
      <c r="G39" s="10">
        <v>1.67</v>
      </c>
      <c r="H39" s="10">
        <v>168.5</v>
      </c>
      <c r="I39" s="10">
        <f t="shared" si="23"/>
        <v>168.5</v>
      </c>
      <c r="J39" s="10"/>
      <c r="K39" s="10" t="s">
        <v>53</v>
      </c>
      <c r="L39" s="10">
        <f t="shared" si="30"/>
        <v>100.89820359281437</v>
      </c>
      <c r="M39" s="10">
        <f t="shared" si="31"/>
        <v>100.89820359281437</v>
      </c>
      <c r="N39" s="10" t="s">
        <v>57</v>
      </c>
      <c r="O39" s="10" t="s">
        <v>54</v>
      </c>
      <c r="P39" s="10" t="s">
        <v>125</v>
      </c>
      <c r="Q39">
        <v>11</v>
      </c>
      <c r="R39" s="19">
        <v>42411</v>
      </c>
      <c r="S39" s="19">
        <v>42419</v>
      </c>
      <c r="T39" s="19">
        <v>42422</v>
      </c>
      <c r="AE39" s="2"/>
      <c r="AF39" s="2"/>
      <c r="AG39" s="2"/>
      <c r="AH39" s="3"/>
    </row>
    <row r="40" spans="1:34" x14ac:dyDescent="0.25">
      <c r="A40" s="11">
        <v>39</v>
      </c>
      <c r="B40" s="10" t="s">
        <v>73</v>
      </c>
      <c r="C40" s="10" t="s">
        <v>98</v>
      </c>
      <c r="D40" s="10" t="s">
        <v>88</v>
      </c>
      <c r="E40" s="10">
        <v>4201158668</v>
      </c>
      <c r="F40" s="10">
        <v>33</v>
      </c>
      <c r="G40" s="10">
        <f>13.26*2</f>
        <v>26.52</v>
      </c>
      <c r="H40" s="10">
        <v>3050</v>
      </c>
      <c r="I40" s="10">
        <v>1982</v>
      </c>
      <c r="J40" s="10">
        <f>H40-I40</f>
        <v>1068</v>
      </c>
      <c r="K40" s="10" t="s">
        <v>81</v>
      </c>
      <c r="L40" s="10">
        <f t="shared" si="30"/>
        <v>74.736048265460028</v>
      </c>
      <c r="M40" s="10">
        <f t="shared" si="31"/>
        <v>115.00754147812971</v>
      </c>
      <c r="N40" s="10" t="s">
        <v>61</v>
      </c>
      <c r="O40" s="10" t="s">
        <v>62</v>
      </c>
      <c r="P40" s="10" t="s">
        <v>89</v>
      </c>
      <c r="Q40">
        <v>1</v>
      </c>
      <c r="R40" s="19">
        <v>42410</v>
      </c>
      <c r="S40" s="19">
        <v>42419</v>
      </c>
      <c r="T40" s="19">
        <v>42422</v>
      </c>
      <c r="AE40" s="2"/>
      <c r="AF40" s="2"/>
      <c r="AG40" s="2"/>
      <c r="AH40" s="3"/>
    </row>
    <row r="41" spans="1:34" x14ac:dyDescent="0.25">
      <c r="A41" s="11">
        <v>40</v>
      </c>
      <c r="B41" s="10" t="s">
        <v>79</v>
      </c>
      <c r="C41" s="10" t="s">
        <v>98</v>
      </c>
      <c r="D41" s="10" t="s">
        <v>126</v>
      </c>
      <c r="E41" s="10">
        <v>2360066087</v>
      </c>
      <c r="F41" s="10"/>
      <c r="G41" s="10">
        <f>0.242*2</f>
        <v>0.48399999999999999</v>
      </c>
      <c r="H41" s="10">
        <v>55</v>
      </c>
      <c r="I41" s="10">
        <f>H41</f>
        <v>55</v>
      </c>
      <c r="J41" s="10"/>
      <c r="K41" s="10" t="s">
        <v>75</v>
      </c>
      <c r="L41" s="10">
        <f t="shared" si="30"/>
        <v>113.63636363636364</v>
      </c>
      <c r="M41" s="10">
        <f t="shared" si="31"/>
        <v>113.63636363636364</v>
      </c>
      <c r="N41" s="10" t="s">
        <v>61</v>
      </c>
      <c r="O41" s="10" t="s">
        <v>62</v>
      </c>
      <c r="P41" s="10" t="s">
        <v>104</v>
      </c>
      <c r="Q41">
        <v>11</v>
      </c>
      <c r="R41" s="19">
        <v>42417</v>
      </c>
      <c r="S41" s="19">
        <v>42422</v>
      </c>
      <c r="T41" s="19">
        <v>42422</v>
      </c>
      <c r="AE41" s="1">
        <v>4</v>
      </c>
      <c r="AF41" s="2"/>
      <c r="AG41" s="2"/>
      <c r="AH41" s="3"/>
    </row>
    <row r="42" spans="1:34" x14ac:dyDescent="0.25">
      <c r="A42" s="11">
        <v>41</v>
      </c>
      <c r="B42" s="10" t="s">
        <v>79</v>
      </c>
      <c r="C42" s="10" t="s">
        <v>98</v>
      </c>
      <c r="D42" s="10" t="s">
        <v>127</v>
      </c>
      <c r="E42" s="10">
        <v>2360066076</v>
      </c>
      <c r="F42" s="10"/>
      <c r="G42" s="10"/>
      <c r="H42" s="10">
        <v>228</v>
      </c>
      <c r="I42" s="10"/>
      <c r="J42" s="10">
        <f>H42</f>
        <v>228</v>
      </c>
      <c r="K42" s="10" t="s">
        <v>75</v>
      </c>
      <c r="L42" s="10"/>
      <c r="M42" s="10"/>
      <c r="N42" s="10" t="s">
        <v>68</v>
      </c>
      <c r="O42" s="10" t="s">
        <v>54</v>
      </c>
      <c r="P42" s="10" t="s">
        <v>128</v>
      </c>
      <c r="Q42">
        <v>15</v>
      </c>
      <c r="R42" s="19">
        <v>42405</v>
      </c>
      <c r="S42" s="19">
        <v>42422</v>
      </c>
      <c r="T42" s="19">
        <v>42422</v>
      </c>
      <c r="AE42" s="1">
        <v>4</v>
      </c>
      <c r="AF42" s="2"/>
      <c r="AG42" s="2"/>
      <c r="AH42" s="3"/>
    </row>
    <row r="43" spans="1:34" x14ac:dyDescent="0.25">
      <c r="A43" s="11">
        <v>42</v>
      </c>
      <c r="B43" s="10" t="s">
        <v>50</v>
      </c>
      <c r="C43" s="10" t="s">
        <v>98</v>
      </c>
      <c r="D43" s="10" t="s">
        <v>115</v>
      </c>
      <c r="E43" s="10">
        <v>5000040083</v>
      </c>
      <c r="F43" s="10"/>
      <c r="G43" s="10">
        <f>0.035*3</f>
        <v>0.10500000000000001</v>
      </c>
      <c r="H43" s="10">
        <v>79.900000000000006</v>
      </c>
      <c r="I43" s="10">
        <f>H43</f>
        <v>79.900000000000006</v>
      </c>
      <c r="J43" s="10"/>
      <c r="K43" s="10" t="s">
        <v>53</v>
      </c>
      <c r="L43" s="10">
        <f t="shared" ref="L43:L45" si="32">I43/G43</f>
        <v>760.95238095238096</v>
      </c>
      <c r="M43" s="10">
        <f t="shared" ref="M43:M45" si="33">H43/G43</f>
        <v>760.95238095238096</v>
      </c>
      <c r="N43" s="10" t="s">
        <v>57</v>
      </c>
      <c r="O43" s="10" t="s">
        <v>54</v>
      </c>
      <c r="P43" s="10" t="s">
        <v>129</v>
      </c>
      <c r="Q43">
        <v>11</v>
      </c>
      <c r="R43" s="19">
        <v>42422</v>
      </c>
      <c r="S43" s="19">
        <v>42422</v>
      </c>
      <c r="T43" s="19">
        <v>42422</v>
      </c>
      <c r="AE43" s="2"/>
      <c r="AF43" s="2"/>
      <c r="AG43" s="2"/>
      <c r="AH43" s="3"/>
    </row>
    <row r="44" spans="1:34" x14ac:dyDescent="0.25">
      <c r="A44" s="11">
        <v>43</v>
      </c>
      <c r="B44" s="10" t="s">
        <v>122</v>
      </c>
      <c r="C44" s="10" t="s">
        <v>98</v>
      </c>
      <c r="D44" s="10" t="s">
        <v>130</v>
      </c>
      <c r="E44" s="10">
        <v>2360066074</v>
      </c>
      <c r="F44" s="10"/>
      <c r="G44" s="10">
        <f>0.0305*3+0.0305*3</f>
        <v>0.183</v>
      </c>
      <c r="H44" s="10">
        <v>139.65</v>
      </c>
      <c r="I44" s="10">
        <f>H44</f>
        <v>139.65</v>
      </c>
      <c r="J44" s="10"/>
      <c r="K44" s="10" t="s">
        <v>75</v>
      </c>
      <c r="L44" s="10">
        <f t="shared" si="32"/>
        <v>763.11475409836066</v>
      </c>
      <c r="M44" s="10">
        <f t="shared" si="33"/>
        <v>763.11475409836066</v>
      </c>
      <c r="N44" s="10" t="s">
        <v>54</v>
      </c>
      <c r="O44" s="10" t="s">
        <v>54</v>
      </c>
      <c r="P44" s="10" t="s">
        <v>129</v>
      </c>
      <c r="Q44">
        <v>11</v>
      </c>
      <c r="R44" s="19">
        <v>42412</v>
      </c>
      <c r="S44" s="19">
        <v>42422</v>
      </c>
      <c r="T44" s="19">
        <v>42422</v>
      </c>
      <c r="AE44" s="2"/>
      <c r="AF44" s="2"/>
      <c r="AG44" s="2"/>
      <c r="AH44" s="3"/>
    </row>
    <row r="45" spans="1:34" x14ac:dyDescent="0.25">
      <c r="A45" s="11">
        <v>44</v>
      </c>
      <c r="B45" s="10" t="s">
        <v>73</v>
      </c>
      <c r="C45" s="10" t="s">
        <v>98</v>
      </c>
      <c r="D45" s="10" t="s">
        <v>131</v>
      </c>
      <c r="E45" s="10">
        <v>2360066078</v>
      </c>
      <c r="F45" s="10"/>
      <c r="G45" s="10">
        <f>0.552*4</f>
        <v>2.2080000000000002</v>
      </c>
      <c r="H45" s="10">
        <v>216</v>
      </c>
      <c r="I45" s="10">
        <f>H45</f>
        <v>216</v>
      </c>
      <c r="J45" s="10"/>
      <c r="K45" s="10" t="s">
        <v>75</v>
      </c>
      <c r="L45" s="10">
        <f t="shared" si="32"/>
        <v>97.826086956521735</v>
      </c>
      <c r="M45" s="10">
        <f t="shared" si="33"/>
        <v>97.826086956521735</v>
      </c>
      <c r="N45" s="10" t="s">
        <v>61</v>
      </c>
      <c r="O45" s="10" t="s">
        <v>62</v>
      </c>
      <c r="P45" s="10" t="s">
        <v>129</v>
      </c>
      <c r="Q45">
        <v>11</v>
      </c>
      <c r="R45" s="19">
        <v>42417</v>
      </c>
      <c r="S45" s="19">
        <v>42422</v>
      </c>
      <c r="T45" s="19">
        <v>42422</v>
      </c>
      <c r="AE45" s="2"/>
      <c r="AF45" s="2"/>
      <c r="AG45" s="2"/>
      <c r="AH45" s="3"/>
    </row>
    <row r="46" spans="1:34" x14ac:dyDescent="0.25">
      <c r="A46" s="11">
        <v>45</v>
      </c>
      <c r="B46" s="10" t="s">
        <v>50</v>
      </c>
      <c r="C46" s="10" t="s">
        <v>98</v>
      </c>
      <c r="D46" s="10" t="s">
        <v>76</v>
      </c>
      <c r="E46" s="10">
        <v>5000040050</v>
      </c>
      <c r="F46" s="10"/>
      <c r="G46" s="10"/>
      <c r="H46" s="10">
        <v>155</v>
      </c>
      <c r="I46" s="10">
        <f>H46</f>
        <v>155</v>
      </c>
      <c r="J46" s="10"/>
      <c r="K46" s="10" t="s">
        <v>53</v>
      </c>
      <c r="L46" s="10"/>
      <c r="M46" s="10"/>
      <c r="N46" s="10" t="s">
        <v>57</v>
      </c>
      <c r="O46" s="10" t="s">
        <v>54</v>
      </c>
      <c r="P46" s="10" t="s">
        <v>77</v>
      </c>
      <c r="Q46">
        <v>12</v>
      </c>
      <c r="R46" s="19">
        <v>42411</v>
      </c>
      <c r="S46" s="19">
        <v>42422</v>
      </c>
      <c r="T46" s="19">
        <v>42422</v>
      </c>
      <c r="AE46" s="2"/>
      <c r="AF46" s="2"/>
      <c r="AG46" s="2"/>
      <c r="AH46" s="3"/>
    </row>
    <row r="47" spans="1:34" x14ac:dyDescent="0.25">
      <c r="A47" s="11">
        <v>46</v>
      </c>
      <c r="B47" s="10" t="s">
        <v>90</v>
      </c>
      <c r="C47" s="10" t="s">
        <v>98</v>
      </c>
      <c r="D47" s="10" t="s">
        <v>132</v>
      </c>
      <c r="E47" s="10">
        <v>4201154801</v>
      </c>
      <c r="F47" s="10">
        <v>6.6</v>
      </c>
      <c r="G47" s="10">
        <v>30.76</v>
      </c>
      <c r="H47" s="10">
        <v>24300</v>
      </c>
      <c r="I47" s="10">
        <v>8239</v>
      </c>
      <c r="J47" s="10">
        <f>H47-I47</f>
        <v>16061</v>
      </c>
      <c r="K47" s="10" t="s">
        <v>67</v>
      </c>
      <c r="L47" s="10">
        <f t="shared" ref="L47" si="34">I47/G47</f>
        <v>267.84785435630687</v>
      </c>
      <c r="M47" s="10">
        <f t="shared" ref="M47" si="35">H47/G47</f>
        <v>789.98699609882965</v>
      </c>
      <c r="N47" s="10" t="s">
        <v>54</v>
      </c>
      <c r="O47" s="10" t="s">
        <v>54</v>
      </c>
      <c r="P47" s="10" t="s">
        <v>133</v>
      </c>
      <c r="Q47">
        <v>6</v>
      </c>
      <c r="R47" s="19">
        <v>42394</v>
      </c>
      <c r="S47" s="19">
        <v>42424</v>
      </c>
      <c r="T47" s="19">
        <v>42424</v>
      </c>
      <c r="AE47" s="2"/>
      <c r="AF47" s="2"/>
      <c r="AG47" s="2"/>
      <c r="AH47" s="3"/>
    </row>
    <row r="48" spans="1:34" x14ac:dyDescent="0.25">
      <c r="A48" s="11">
        <v>47</v>
      </c>
      <c r="B48" s="10" t="s">
        <v>90</v>
      </c>
      <c r="C48" s="10" t="s">
        <v>98</v>
      </c>
      <c r="D48" s="10" t="s">
        <v>134</v>
      </c>
      <c r="E48" s="10">
        <v>4201160784</v>
      </c>
      <c r="F48" s="10">
        <v>11</v>
      </c>
      <c r="G48" s="10">
        <f>0.363*65</f>
        <v>23.594999999999999</v>
      </c>
      <c r="H48" s="10">
        <f>5866+634</f>
        <v>6500</v>
      </c>
      <c r="I48" s="10">
        <f>3071+634</f>
        <v>3705</v>
      </c>
      <c r="J48" s="10">
        <f>H48-I48</f>
        <v>2795</v>
      </c>
      <c r="K48" s="10" t="s">
        <v>53</v>
      </c>
      <c r="L48" s="10">
        <f t="shared" ref="L48" si="36">I48/G48</f>
        <v>157.02479338842977</v>
      </c>
      <c r="M48" s="10">
        <f t="shared" ref="M48" si="37">H48/G48</f>
        <v>275.48209366391188</v>
      </c>
      <c r="N48" s="10" t="s">
        <v>54</v>
      </c>
      <c r="O48" s="10" t="s">
        <v>54</v>
      </c>
      <c r="P48" s="10" t="s">
        <v>123</v>
      </c>
      <c r="Q48">
        <v>18</v>
      </c>
      <c r="R48" s="19">
        <v>42410</v>
      </c>
      <c r="S48" s="19">
        <v>42423</v>
      </c>
      <c r="T48" s="19">
        <v>42424</v>
      </c>
      <c r="AE48" s="2"/>
      <c r="AF48" s="2"/>
      <c r="AG48" s="2"/>
      <c r="AH48" s="3"/>
    </row>
    <row r="49" spans="1:34" x14ac:dyDescent="0.25">
      <c r="A49" s="11">
        <v>48</v>
      </c>
      <c r="B49" s="10" t="s">
        <v>50</v>
      </c>
      <c r="C49" s="10" t="s">
        <v>98</v>
      </c>
      <c r="D49" s="10" t="s">
        <v>99</v>
      </c>
      <c r="E49" s="10">
        <v>5000040167</v>
      </c>
      <c r="F49" s="10"/>
      <c r="G49" s="10"/>
      <c r="H49" s="10">
        <v>222.851</v>
      </c>
      <c r="I49" s="10">
        <f t="shared" ref="I49" si="38">H49</f>
        <v>222.851</v>
      </c>
      <c r="J49" s="10"/>
      <c r="K49" s="10" t="s">
        <v>53</v>
      </c>
      <c r="L49" s="10"/>
      <c r="M49" s="10"/>
      <c r="N49" s="10" t="s">
        <v>57</v>
      </c>
      <c r="O49" s="10" t="s">
        <v>54</v>
      </c>
      <c r="P49" s="10" t="s">
        <v>49</v>
      </c>
      <c r="Q49">
        <v>21</v>
      </c>
      <c r="R49" s="19">
        <v>42416</v>
      </c>
      <c r="S49" s="19">
        <v>42424</v>
      </c>
      <c r="T49" s="19">
        <v>42424</v>
      </c>
      <c r="AE49" s="2"/>
      <c r="AF49" s="2"/>
      <c r="AG49" s="2"/>
      <c r="AH49" s="3"/>
    </row>
    <row r="50" spans="1:34" x14ac:dyDescent="0.25">
      <c r="A50" s="11">
        <v>49</v>
      </c>
      <c r="B50" s="10" t="s">
        <v>50</v>
      </c>
      <c r="C50" s="10" t="s">
        <v>98</v>
      </c>
      <c r="D50" s="10" t="s">
        <v>99</v>
      </c>
      <c r="E50" s="10">
        <v>5000040168</v>
      </c>
      <c r="F50" s="10"/>
      <c r="G50" s="10"/>
      <c r="H50" s="10">
        <v>222.851</v>
      </c>
      <c r="I50" s="10">
        <f t="shared" ref="I50:I56" si="39">H50</f>
        <v>222.851</v>
      </c>
      <c r="J50" s="10"/>
      <c r="K50" s="10" t="s">
        <v>53</v>
      </c>
      <c r="L50" s="10"/>
      <c r="M50" s="10"/>
      <c r="N50" s="10" t="s">
        <v>57</v>
      </c>
      <c r="O50" s="10" t="s">
        <v>54</v>
      </c>
      <c r="P50" s="10" t="s">
        <v>49</v>
      </c>
      <c r="Q50">
        <v>21</v>
      </c>
      <c r="R50" s="19">
        <v>42416</v>
      </c>
      <c r="S50" s="19">
        <v>42424</v>
      </c>
      <c r="T50" s="19">
        <v>42424</v>
      </c>
      <c r="AE50" s="2"/>
      <c r="AF50" s="2"/>
      <c r="AG50" s="2"/>
      <c r="AH50" s="3"/>
    </row>
    <row r="51" spans="1:34" x14ac:dyDescent="0.25">
      <c r="A51" s="11">
        <v>50</v>
      </c>
      <c r="B51" s="10" t="s">
        <v>50</v>
      </c>
      <c r="C51" s="10" t="s">
        <v>98</v>
      </c>
      <c r="D51" s="10" t="s">
        <v>99</v>
      </c>
      <c r="E51" s="10">
        <v>5000040169</v>
      </c>
      <c r="F51" s="10"/>
      <c r="G51" s="10"/>
      <c r="H51" s="10">
        <v>66.855000000000004</v>
      </c>
      <c r="I51" s="10">
        <f t="shared" si="39"/>
        <v>66.855000000000004</v>
      </c>
      <c r="J51" s="10"/>
      <c r="K51" s="10" t="s">
        <v>53</v>
      </c>
      <c r="L51" s="10"/>
      <c r="M51" s="10"/>
      <c r="N51" s="10" t="s">
        <v>57</v>
      </c>
      <c r="O51" s="10" t="s">
        <v>54</v>
      </c>
      <c r="P51" s="10" t="s">
        <v>49</v>
      </c>
      <c r="Q51">
        <v>21</v>
      </c>
      <c r="R51" s="19">
        <v>42416</v>
      </c>
      <c r="S51" s="19">
        <v>42424</v>
      </c>
      <c r="T51" s="19">
        <v>42424</v>
      </c>
      <c r="AE51" s="2"/>
      <c r="AF51" s="2"/>
      <c r="AG51" s="2"/>
      <c r="AH51" s="3"/>
    </row>
    <row r="52" spans="1:34" x14ac:dyDescent="0.25">
      <c r="A52" s="11">
        <v>51</v>
      </c>
      <c r="B52" s="10" t="s">
        <v>50</v>
      </c>
      <c r="C52" s="10" t="s">
        <v>98</v>
      </c>
      <c r="D52" s="10" t="s">
        <v>99</v>
      </c>
      <c r="E52" s="10">
        <v>5000040170</v>
      </c>
      <c r="F52" s="10"/>
      <c r="G52" s="10"/>
      <c r="H52" s="10">
        <v>143.99600000000001</v>
      </c>
      <c r="I52" s="10">
        <f t="shared" si="39"/>
        <v>143.99600000000001</v>
      </c>
      <c r="J52" s="10"/>
      <c r="K52" s="10" t="s">
        <v>53</v>
      </c>
      <c r="L52" s="10"/>
      <c r="M52" s="10"/>
      <c r="N52" s="10" t="s">
        <v>57</v>
      </c>
      <c r="O52" s="10" t="s">
        <v>54</v>
      </c>
      <c r="P52" s="10" t="s">
        <v>49</v>
      </c>
      <c r="Q52">
        <v>21</v>
      </c>
      <c r="R52" s="19">
        <v>42416</v>
      </c>
      <c r="S52" s="19">
        <v>42424</v>
      </c>
      <c r="T52" s="19">
        <v>42424</v>
      </c>
      <c r="AE52" s="2"/>
      <c r="AF52" s="2"/>
      <c r="AG52" s="2"/>
      <c r="AH52" s="3"/>
    </row>
    <row r="53" spans="1:34" x14ac:dyDescent="0.25">
      <c r="A53" s="11">
        <v>52</v>
      </c>
      <c r="B53" s="10" t="s">
        <v>50</v>
      </c>
      <c r="C53" s="10" t="s">
        <v>98</v>
      </c>
      <c r="D53" s="10" t="s">
        <v>99</v>
      </c>
      <c r="E53" s="10">
        <v>5000040171</v>
      </c>
      <c r="F53" s="10"/>
      <c r="G53" s="10"/>
      <c r="H53" s="10">
        <v>89.14</v>
      </c>
      <c r="I53" s="10">
        <f t="shared" si="39"/>
        <v>89.14</v>
      </c>
      <c r="J53" s="10"/>
      <c r="K53" s="10" t="s">
        <v>53</v>
      </c>
      <c r="L53" s="10"/>
      <c r="M53" s="10"/>
      <c r="N53" s="10" t="s">
        <v>57</v>
      </c>
      <c r="O53" s="10" t="s">
        <v>54</v>
      </c>
      <c r="P53" s="10" t="s">
        <v>49</v>
      </c>
      <c r="Q53">
        <v>21</v>
      </c>
      <c r="R53" s="19">
        <v>42416</v>
      </c>
      <c r="S53" s="19">
        <v>42424</v>
      </c>
      <c r="T53" s="19">
        <v>42424</v>
      </c>
      <c r="AE53" s="2"/>
      <c r="AF53" s="2"/>
      <c r="AG53" s="2"/>
      <c r="AH53" s="3"/>
    </row>
    <row r="54" spans="1:34" x14ac:dyDescent="0.25">
      <c r="A54" s="11">
        <v>53</v>
      </c>
      <c r="B54" s="10" t="s">
        <v>50</v>
      </c>
      <c r="C54" s="10" t="s">
        <v>98</v>
      </c>
      <c r="D54" s="10" t="s">
        <v>78</v>
      </c>
      <c r="E54" s="10">
        <v>5000040190</v>
      </c>
      <c r="F54" s="10"/>
      <c r="G54" s="10"/>
      <c r="H54" s="10">
        <v>3780</v>
      </c>
      <c r="I54" s="10">
        <f t="shared" si="39"/>
        <v>3780</v>
      </c>
      <c r="J54" s="10"/>
      <c r="K54" s="10" t="s">
        <v>53</v>
      </c>
      <c r="L54" s="10"/>
      <c r="M54" s="10"/>
      <c r="N54" s="10" t="s">
        <v>57</v>
      </c>
      <c r="O54" s="10" t="s">
        <v>54</v>
      </c>
      <c r="P54" s="10" t="s">
        <v>77</v>
      </c>
      <c r="Q54">
        <v>12</v>
      </c>
      <c r="R54" s="19">
        <v>42424</v>
      </c>
      <c r="S54" s="19">
        <v>42424</v>
      </c>
      <c r="T54" s="19">
        <v>42426</v>
      </c>
      <c r="AE54" s="2"/>
      <c r="AF54" s="2"/>
      <c r="AG54" s="2"/>
      <c r="AH54" s="3"/>
    </row>
    <row r="55" spans="1:34" x14ac:dyDescent="0.25">
      <c r="A55" s="11">
        <v>54</v>
      </c>
      <c r="B55" s="10" t="s">
        <v>122</v>
      </c>
      <c r="C55" s="10" t="s">
        <v>98</v>
      </c>
      <c r="D55" s="10" t="s">
        <v>135</v>
      </c>
      <c r="E55" s="10">
        <v>2360066169</v>
      </c>
      <c r="F55" s="10"/>
      <c r="G55" s="10">
        <f>0.067*12</f>
        <v>0.80400000000000005</v>
      </c>
      <c r="H55" s="10">
        <v>123.6</v>
      </c>
      <c r="I55" s="10">
        <f t="shared" si="39"/>
        <v>123.6</v>
      </c>
      <c r="J55" s="10"/>
      <c r="K55" s="10" t="s">
        <v>75</v>
      </c>
      <c r="L55" s="10">
        <f t="shared" ref="L55" si="40">I55/G55</f>
        <v>153.73134328358208</v>
      </c>
      <c r="M55" s="10">
        <f t="shared" ref="M55" si="41">H55/G55</f>
        <v>153.73134328358208</v>
      </c>
      <c r="N55" s="10" t="s">
        <v>82</v>
      </c>
      <c r="O55" s="10" t="s">
        <v>54</v>
      </c>
      <c r="P55" s="10" t="s">
        <v>136</v>
      </c>
      <c r="Q55">
        <v>20</v>
      </c>
      <c r="R55" s="19">
        <v>42416</v>
      </c>
      <c r="S55" s="19">
        <v>42424</v>
      </c>
      <c r="T55" s="19">
        <v>42426</v>
      </c>
      <c r="AE55" s="2"/>
      <c r="AF55" s="2"/>
      <c r="AG55" s="2"/>
      <c r="AH55" s="3"/>
    </row>
    <row r="56" spans="1:34" x14ac:dyDescent="0.25">
      <c r="A56" s="11">
        <v>55</v>
      </c>
      <c r="B56" s="10" t="s">
        <v>79</v>
      </c>
      <c r="C56" s="10" t="s">
        <v>98</v>
      </c>
      <c r="D56" s="10" t="s">
        <v>137</v>
      </c>
      <c r="E56" s="10">
        <v>2360066183</v>
      </c>
      <c r="F56" s="10"/>
      <c r="G56" s="10">
        <f>0.0375*4+0.075*4</f>
        <v>0.44999999999999996</v>
      </c>
      <c r="H56" s="10">
        <v>88.8</v>
      </c>
      <c r="I56" s="10">
        <f t="shared" si="39"/>
        <v>88.8</v>
      </c>
      <c r="J56" s="10"/>
      <c r="K56" s="10" t="s">
        <v>75</v>
      </c>
      <c r="L56" s="10">
        <f t="shared" ref="L56" si="42">I56/G56</f>
        <v>197.33333333333334</v>
      </c>
      <c r="M56" s="10">
        <f t="shared" ref="M56" si="43">H56/G56</f>
        <v>197.33333333333334</v>
      </c>
      <c r="N56" s="10" t="s">
        <v>68</v>
      </c>
      <c r="O56" s="10" t="s">
        <v>54</v>
      </c>
      <c r="P56" s="10" t="s">
        <v>136</v>
      </c>
      <c r="Q56">
        <v>20</v>
      </c>
      <c r="R56" s="19">
        <v>42423</v>
      </c>
      <c r="S56" s="19">
        <v>42424</v>
      </c>
      <c r="T56" s="19">
        <v>42426</v>
      </c>
      <c r="AE56" s="2"/>
      <c r="AF56" s="2"/>
      <c r="AG56" s="2"/>
      <c r="AH56" s="3"/>
    </row>
    <row r="57" spans="1:34" x14ac:dyDescent="0.25">
      <c r="A57" s="11">
        <v>56</v>
      </c>
      <c r="B57" s="10" t="s">
        <v>50</v>
      </c>
      <c r="C57" s="10" t="s">
        <v>98</v>
      </c>
      <c r="D57" s="10" t="s">
        <v>99</v>
      </c>
      <c r="E57" s="10">
        <v>5000040203</v>
      </c>
      <c r="F57" s="10"/>
      <c r="G57" s="10"/>
      <c r="H57" s="10">
        <v>334.28</v>
      </c>
      <c r="I57" s="10">
        <f t="shared" ref="I57" si="44">H57</f>
        <v>334.28</v>
      </c>
      <c r="J57" s="10"/>
      <c r="K57" s="10" t="s">
        <v>53</v>
      </c>
      <c r="L57" s="10"/>
      <c r="M57" s="10"/>
      <c r="N57" s="10" t="s">
        <v>57</v>
      </c>
      <c r="O57" s="10" t="s">
        <v>54</v>
      </c>
      <c r="P57" s="10" t="s">
        <v>49</v>
      </c>
      <c r="Q57">
        <v>21</v>
      </c>
      <c r="R57" s="19">
        <v>42416</v>
      </c>
      <c r="S57" s="19">
        <v>42425</v>
      </c>
      <c r="T57" s="19">
        <v>42426</v>
      </c>
      <c r="AE57" s="2"/>
      <c r="AF57" s="2"/>
      <c r="AG57" s="2"/>
      <c r="AH57" s="3"/>
    </row>
    <row r="58" spans="1:34" x14ac:dyDescent="0.25">
      <c r="A58" s="11">
        <v>57</v>
      </c>
      <c r="B58" s="10" t="s">
        <v>50</v>
      </c>
      <c r="C58" s="10" t="s">
        <v>98</v>
      </c>
      <c r="D58" s="10" t="s">
        <v>99</v>
      </c>
      <c r="E58" s="10">
        <v>5000040204</v>
      </c>
      <c r="F58" s="10"/>
      <c r="G58" s="10"/>
      <c r="H58" s="10">
        <v>143.99700000000001</v>
      </c>
      <c r="I58" s="10">
        <f t="shared" ref="I58" si="45">H58</f>
        <v>143.99700000000001</v>
      </c>
      <c r="J58" s="10"/>
      <c r="K58" s="10" t="s">
        <v>53</v>
      </c>
      <c r="L58" s="10"/>
      <c r="M58" s="10"/>
      <c r="N58" s="10" t="s">
        <v>57</v>
      </c>
      <c r="O58" s="10" t="s">
        <v>54</v>
      </c>
      <c r="P58" s="10" t="s">
        <v>49</v>
      </c>
      <c r="Q58">
        <v>21</v>
      </c>
      <c r="R58" s="19">
        <v>42416</v>
      </c>
      <c r="S58" s="19">
        <v>42425</v>
      </c>
      <c r="T58" s="19">
        <v>42426</v>
      </c>
      <c r="AE58" s="2"/>
      <c r="AF58" s="2"/>
      <c r="AG58" s="2"/>
      <c r="AH58" s="3"/>
    </row>
    <row r="59" spans="1:34" x14ac:dyDescent="0.25">
      <c r="A59" s="11">
        <v>58</v>
      </c>
      <c r="B59" s="10" t="s">
        <v>50</v>
      </c>
      <c r="C59" s="10" t="s">
        <v>98</v>
      </c>
      <c r="D59" s="10" t="s">
        <v>99</v>
      </c>
      <c r="E59" s="10">
        <v>5000040202</v>
      </c>
      <c r="F59" s="10"/>
      <c r="G59" s="10"/>
      <c r="H59" s="10">
        <v>222.85300000000001</v>
      </c>
      <c r="I59" s="10">
        <f t="shared" ref="I59:I61" si="46">H59</f>
        <v>222.85300000000001</v>
      </c>
      <c r="J59" s="10"/>
      <c r="K59" s="10" t="s">
        <v>53</v>
      </c>
      <c r="L59" s="10"/>
      <c r="M59" s="10"/>
      <c r="N59" s="10" t="s">
        <v>57</v>
      </c>
      <c r="O59" s="10" t="s">
        <v>54</v>
      </c>
      <c r="P59" s="10" t="s">
        <v>49</v>
      </c>
      <c r="Q59">
        <v>21</v>
      </c>
      <c r="R59" s="19">
        <v>42416</v>
      </c>
      <c r="S59" s="19">
        <v>42425</v>
      </c>
      <c r="T59" s="19">
        <v>42426</v>
      </c>
      <c r="AE59" s="2"/>
      <c r="AF59" s="2"/>
      <c r="AG59" s="2"/>
      <c r="AH59" s="3"/>
    </row>
    <row r="60" spans="1:34" x14ac:dyDescent="0.25">
      <c r="A60" s="11">
        <v>59</v>
      </c>
      <c r="B60" s="10" t="s">
        <v>79</v>
      </c>
      <c r="C60" s="10" t="s">
        <v>98</v>
      </c>
      <c r="D60" s="10" t="s">
        <v>87</v>
      </c>
      <c r="E60" s="10">
        <v>2360066245</v>
      </c>
      <c r="F60" s="10"/>
      <c r="G60" s="10">
        <f>0.414*8</f>
        <v>3.3119999999999998</v>
      </c>
      <c r="H60" s="10">
        <v>271.37</v>
      </c>
      <c r="I60" s="10">
        <f t="shared" si="46"/>
        <v>271.37</v>
      </c>
      <c r="J60" s="10"/>
      <c r="K60" s="10" t="s">
        <v>75</v>
      </c>
      <c r="L60" s="10">
        <f t="shared" ref="L60:L61" si="47">I60/G60</f>
        <v>81.935386473429958</v>
      </c>
      <c r="M60" s="10">
        <f t="shared" ref="M60:M61" si="48">H60/G60</f>
        <v>81.935386473429958</v>
      </c>
      <c r="N60" s="10" t="s">
        <v>82</v>
      </c>
      <c r="O60" s="10" t="s">
        <v>54</v>
      </c>
      <c r="P60" s="10" t="s">
        <v>83</v>
      </c>
      <c r="Q60">
        <v>11</v>
      </c>
      <c r="R60" s="19">
        <v>42426</v>
      </c>
      <c r="S60" s="19">
        <v>42426</v>
      </c>
      <c r="T60" s="19">
        <v>42426</v>
      </c>
      <c r="AE60" s="2"/>
      <c r="AF60" s="2"/>
      <c r="AG60" s="2"/>
      <c r="AH60" s="3"/>
    </row>
    <row r="61" spans="1:34" x14ac:dyDescent="0.25">
      <c r="A61" s="11">
        <v>60</v>
      </c>
      <c r="B61" s="10" t="s">
        <v>79</v>
      </c>
      <c r="C61" s="10" t="s">
        <v>98</v>
      </c>
      <c r="D61" s="10" t="s">
        <v>138</v>
      </c>
      <c r="E61" s="10">
        <v>4201162748</v>
      </c>
      <c r="F61" s="10">
        <v>11</v>
      </c>
      <c r="G61" s="10">
        <v>2.9</v>
      </c>
      <c r="H61" s="10">
        <v>350</v>
      </c>
      <c r="I61" s="10">
        <f t="shared" si="46"/>
        <v>350</v>
      </c>
      <c r="J61" s="10"/>
      <c r="K61" s="10" t="s">
        <v>71</v>
      </c>
      <c r="L61" s="10">
        <f t="shared" si="47"/>
        <v>120.68965517241379</v>
      </c>
      <c r="M61" s="10">
        <f t="shared" si="48"/>
        <v>120.68965517241379</v>
      </c>
      <c r="N61" s="10" t="s">
        <v>61</v>
      </c>
      <c r="O61" s="10" t="s">
        <v>62</v>
      </c>
      <c r="P61" s="10" t="s">
        <v>105</v>
      </c>
      <c r="Q61">
        <v>1</v>
      </c>
      <c r="R61" s="19">
        <v>42402</v>
      </c>
      <c r="S61" s="19">
        <v>42426</v>
      </c>
      <c r="T61" s="19">
        <v>42426</v>
      </c>
      <c r="AE61" s="2"/>
      <c r="AF61" s="2"/>
      <c r="AG61" s="2"/>
      <c r="AH61" s="3"/>
    </row>
    <row r="62" spans="1:34" x14ac:dyDescent="0.25">
      <c r="A62" s="11">
        <v>61</v>
      </c>
      <c r="B62" s="10" t="s">
        <v>79</v>
      </c>
      <c r="C62" s="10" t="s">
        <v>139</v>
      </c>
      <c r="D62" s="10" t="s">
        <v>140</v>
      </c>
      <c r="E62" s="10">
        <v>4201166415</v>
      </c>
      <c r="F62" s="10">
        <v>11</v>
      </c>
      <c r="G62" s="10">
        <v>5.15</v>
      </c>
      <c r="H62" s="10">
        <v>1220</v>
      </c>
      <c r="I62" s="10">
        <v>468</v>
      </c>
      <c r="J62" s="10">
        <f>H62-I62</f>
        <v>752</v>
      </c>
      <c r="K62" s="10" t="s">
        <v>81</v>
      </c>
      <c r="L62" s="10">
        <f t="shared" ref="L62" si="49">I62/G62</f>
        <v>90.873786407766985</v>
      </c>
      <c r="M62" s="10">
        <f t="shared" ref="M62" si="50">H62/G62</f>
        <v>236.89320388349512</v>
      </c>
      <c r="N62" s="10" t="s">
        <v>54</v>
      </c>
      <c r="O62" s="10" t="s">
        <v>54</v>
      </c>
      <c r="P62" s="10" t="s">
        <v>105</v>
      </c>
      <c r="Q62">
        <v>1</v>
      </c>
      <c r="R62" s="19">
        <v>42426</v>
      </c>
      <c r="S62" s="19">
        <v>42431</v>
      </c>
      <c r="T62" s="19">
        <v>42432</v>
      </c>
      <c r="AE62" s="2"/>
      <c r="AF62" s="2"/>
      <c r="AG62" s="2"/>
      <c r="AH62" s="3"/>
    </row>
    <row r="63" spans="1:34" x14ac:dyDescent="0.25">
      <c r="A63" s="11">
        <v>62</v>
      </c>
      <c r="B63" s="10" t="s">
        <v>73</v>
      </c>
      <c r="C63" s="10" t="s">
        <v>139</v>
      </c>
      <c r="D63" s="10" t="s">
        <v>141</v>
      </c>
      <c r="E63" s="10">
        <v>2360066388</v>
      </c>
      <c r="F63" s="10"/>
      <c r="G63" s="10">
        <v>1.2</v>
      </c>
      <c r="H63" s="10">
        <v>586</v>
      </c>
      <c r="I63" s="10">
        <v>103.2</v>
      </c>
      <c r="J63" s="10">
        <f>H63-I63</f>
        <v>482.8</v>
      </c>
      <c r="K63" s="10" t="s">
        <v>71</v>
      </c>
      <c r="L63" s="10">
        <f t="shared" ref="L63:L65" si="51">I63/G63</f>
        <v>86</v>
      </c>
      <c r="M63" s="10">
        <f t="shared" ref="M63:M65" si="52">H63/G63</f>
        <v>488.33333333333337</v>
      </c>
      <c r="N63" s="10" t="s">
        <v>82</v>
      </c>
      <c r="O63" s="10" t="s">
        <v>54</v>
      </c>
      <c r="P63" s="10" t="s">
        <v>142</v>
      </c>
      <c r="Q63">
        <v>11</v>
      </c>
      <c r="R63" s="19">
        <v>42426</v>
      </c>
      <c r="S63" s="19">
        <v>42430</v>
      </c>
      <c r="T63" s="19">
        <v>42432</v>
      </c>
      <c r="AE63" s="2"/>
      <c r="AF63" s="2"/>
      <c r="AG63" s="2"/>
      <c r="AH63" s="3"/>
    </row>
    <row r="64" spans="1:34" x14ac:dyDescent="0.25">
      <c r="A64" s="11">
        <v>63</v>
      </c>
      <c r="B64" s="10" t="s">
        <v>90</v>
      </c>
      <c r="C64" s="10" t="s">
        <v>139</v>
      </c>
      <c r="D64" s="10" t="s">
        <v>109</v>
      </c>
      <c r="E64" s="10">
        <v>2360066389</v>
      </c>
      <c r="F64" s="10"/>
      <c r="G64" s="10">
        <f>0.485*6</f>
        <v>2.91</v>
      </c>
      <c r="H64" s="10">
        <v>209.5</v>
      </c>
      <c r="I64" s="10">
        <f t="shared" ref="I64:I80" si="53">H64</f>
        <v>209.5</v>
      </c>
      <c r="J64" s="10"/>
      <c r="K64" s="10" t="s">
        <v>81</v>
      </c>
      <c r="L64" s="10">
        <f t="shared" si="51"/>
        <v>71.993127147766316</v>
      </c>
      <c r="M64" s="10">
        <f t="shared" si="52"/>
        <v>71.993127147766316</v>
      </c>
      <c r="N64" s="10" t="s">
        <v>82</v>
      </c>
      <c r="O64" s="10" t="s">
        <v>54</v>
      </c>
      <c r="P64" s="10" t="s">
        <v>83</v>
      </c>
      <c r="Q64">
        <v>11</v>
      </c>
      <c r="R64" s="19">
        <v>42426</v>
      </c>
      <c r="S64" s="19">
        <v>42430</v>
      </c>
      <c r="T64" s="19">
        <v>42432</v>
      </c>
      <c r="AE64" s="2"/>
      <c r="AF64" s="2"/>
      <c r="AG64" s="2"/>
      <c r="AH64" s="3"/>
    </row>
    <row r="65" spans="1:34" x14ac:dyDescent="0.25">
      <c r="A65" s="11">
        <v>64</v>
      </c>
      <c r="B65" s="10" t="s">
        <v>65</v>
      </c>
      <c r="C65" s="10" t="s">
        <v>139</v>
      </c>
      <c r="D65" s="10" t="s">
        <v>137</v>
      </c>
      <c r="E65" s="10">
        <v>2360066404</v>
      </c>
      <c r="F65" s="10"/>
      <c r="G65" s="10">
        <f>0.0335*3+0.067*3</f>
        <v>0.30149999999999999</v>
      </c>
      <c r="H65" s="10">
        <v>56.73</v>
      </c>
      <c r="I65" s="10">
        <f t="shared" si="53"/>
        <v>56.73</v>
      </c>
      <c r="J65" s="10"/>
      <c r="K65" s="10" t="s">
        <v>75</v>
      </c>
      <c r="L65" s="10">
        <f t="shared" si="51"/>
        <v>188.15920398009951</v>
      </c>
      <c r="M65" s="10">
        <f t="shared" si="52"/>
        <v>188.15920398009951</v>
      </c>
      <c r="N65" s="10" t="s">
        <v>68</v>
      </c>
      <c r="O65" s="10" t="s">
        <v>54</v>
      </c>
      <c r="P65" s="10" t="s">
        <v>136</v>
      </c>
      <c r="Q65">
        <v>20</v>
      </c>
      <c r="R65" s="19">
        <v>42425</v>
      </c>
      <c r="S65" s="19">
        <v>42431</v>
      </c>
      <c r="T65" s="19">
        <v>42432</v>
      </c>
      <c r="AE65" s="2"/>
      <c r="AF65" s="2"/>
      <c r="AG65" s="2"/>
      <c r="AH65" s="3"/>
    </row>
    <row r="66" spans="1:34" x14ac:dyDescent="0.25">
      <c r="A66" s="11">
        <v>65</v>
      </c>
      <c r="B66" s="10" t="s">
        <v>73</v>
      </c>
      <c r="C66" s="10" t="s">
        <v>139</v>
      </c>
      <c r="D66" s="10" t="s">
        <v>143</v>
      </c>
      <c r="E66" s="10">
        <v>2360066481</v>
      </c>
      <c r="F66" s="10"/>
      <c r="G66" s="25">
        <f>0.2*5</f>
        <v>1</v>
      </c>
      <c r="H66" s="10">
        <v>112.33</v>
      </c>
      <c r="I66" s="10">
        <f t="shared" si="53"/>
        <v>112.33</v>
      </c>
      <c r="J66" s="10"/>
      <c r="K66" s="10" t="s">
        <v>75</v>
      </c>
      <c r="L66" s="10">
        <f t="shared" ref="L66" si="54">I66/G66</f>
        <v>112.33</v>
      </c>
      <c r="M66" s="10">
        <f t="shared" ref="M66" si="55">H66/G66</f>
        <v>112.33</v>
      </c>
      <c r="N66" s="10" t="s">
        <v>54</v>
      </c>
      <c r="O66" s="10" t="s">
        <v>54</v>
      </c>
      <c r="P66" s="10" t="s">
        <v>83</v>
      </c>
      <c r="Q66">
        <v>11</v>
      </c>
      <c r="R66" s="19">
        <v>42433</v>
      </c>
      <c r="S66" s="19">
        <v>42437</v>
      </c>
      <c r="T66" s="19">
        <v>42437</v>
      </c>
      <c r="AE66" s="2"/>
      <c r="AF66" s="2"/>
      <c r="AG66" s="2"/>
      <c r="AH66" s="3"/>
    </row>
    <row r="67" spans="1:34" x14ac:dyDescent="0.25">
      <c r="A67" s="11">
        <v>66</v>
      </c>
      <c r="B67" s="10" t="s">
        <v>50</v>
      </c>
      <c r="C67" s="10" t="s">
        <v>139</v>
      </c>
      <c r="D67" s="10" t="s">
        <v>99</v>
      </c>
      <c r="E67" s="10">
        <v>5000040437</v>
      </c>
      <c r="F67" s="10"/>
      <c r="G67" s="10"/>
      <c r="H67" s="10">
        <v>65.382000000000005</v>
      </c>
      <c r="I67" s="10">
        <f t="shared" si="53"/>
        <v>65.382000000000005</v>
      </c>
      <c r="J67" s="10"/>
      <c r="K67" s="10" t="s">
        <v>53</v>
      </c>
      <c r="L67" s="10"/>
      <c r="M67" s="10"/>
      <c r="N67" s="10" t="s">
        <v>57</v>
      </c>
      <c r="O67" s="10" t="s">
        <v>54</v>
      </c>
      <c r="P67" s="10" t="s">
        <v>49</v>
      </c>
      <c r="Q67">
        <v>21</v>
      </c>
      <c r="R67" s="19">
        <v>42426</v>
      </c>
      <c r="S67" s="19">
        <v>42436</v>
      </c>
      <c r="T67" s="19">
        <v>42437</v>
      </c>
      <c r="AE67" s="2"/>
      <c r="AF67" s="2"/>
      <c r="AG67" s="2"/>
      <c r="AH67" s="3"/>
    </row>
    <row r="68" spans="1:34" x14ac:dyDescent="0.25">
      <c r="A68" s="11">
        <v>67</v>
      </c>
      <c r="B68" s="10" t="s">
        <v>50</v>
      </c>
      <c r="C68" s="10" t="s">
        <v>139</v>
      </c>
      <c r="D68" s="10" t="s">
        <v>144</v>
      </c>
      <c r="E68" s="10">
        <v>5000040431</v>
      </c>
      <c r="F68" s="10"/>
      <c r="G68" s="10"/>
      <c r="H68" s="10">
        <v>78.989999999999995</v>
      </c>
      <c r="I68" s="10">
        <f t="shared" si="53"/>
        <v>78.989999999999995</v>
      </c>
      <c r="J68" s="10"/>
      <c r="K68" s="10" t="s">
        <v>53</v>
      </c>
      <c r="L68" s="10"/>
      <c r="M68" s="10"/>
      <c r="N68" s="10" t="s">
        <v>57</v>
      </c>
      <c r="O68" s="10" t="s">
        <v>54</v>
      </c>
      <c r="P68" s="10" t="s">
        <v>77</v>
      </c>
      <c r="Q68">
        <v>12</v>
      </c>
      <c r="R68" s="19">
        <v>42430</v>
      </c>
      <c r="S68" s="19">
        <v>42436</v>
      </c>
      <c r="T68" s="19">
        <v>42437</v>
      </c>
      <c r="AE68" s="2"/>
      <c r="AF68" s="2"/>
      <c r="AG68" s="2"/>
      <c r="AH68" s="3"/>
    </row>
    <row r="69" spans="1:34" x14ac:dyDescent="0.25">
      <c r="A69" s="11">
        <v>68</v>
      </c>
      <c r="B69" s="10" t="s">
        <v>73</v>
      </c>
      <c r="C69" s="10" t="s">
        <v>139</v>
      </c>
      <c r="D69" s="10" t="s">
        <v>141</v>
      </c>
      <c r="E69" s="10">
        <v>2360066393</v>
      </c>
      <c r="F69" s="10"/>
      <c r="G69" s="10">
        <f>0.071*50</f>
        <v>3.55</v>
      </c>
      <c r="H69" s="10">
        <v>650</v>
      </c>
      <c r="I69" s="10">
        <f t="shared" si="53"/>
        <v>650</v>
      </c>
      <c r="J69" s="10"/>
      <c r="K69" s="10" t="s">
        <v>71</v>
      </c>
      <c r="L69" s="10">
        <f t="shared" ref="L69" si="56">I69/G69</f>
        <v>183.09859154929578</v>
      </c>
      <c r="M69" s="10">
        <f t="shared" ref="M69" si="57">H69/G69</f>
        <v>183.09859154929578</v>
      </c>
      <c r="N69" s="10" t="s">
        <v>82</v>
      </c>
      <c r="O69" s="10" t="s">
        <v>54</v>
      </c>
      <c r="P69" s="10" t="s">
        <v>136</v>
      </c>
      <c r="Q69">
        <v>20</v>
      </c>
      <c r="R69" s="19">
        <v>42426</v>
      </c>
      <c r="S69" s="19">
        <v>42435</v>
      </c>
      <c r="T69" s="19">
        <v>42444</v>
      </c>
      <c r="AE69" s="2"/>
      <c r="AF69" s="2"/>
      <c r="AG69" s="2"/>
      <c r="AH69" s="3"/>
    </row>
    <row r="70" spans="1:34" x14ac:dyDescent="0.25">
      <c r="A70" s="11">
        <v>69</v>
      </c>
      <c r="B70" s="10" t="s">
        <v>58</v>
      </c>
      <c r="C70" s="10" t="s">
        <v>139</v>
      </c>
      <c r="D70" s="10" t="s">
        <v>145</v>
      </c>
      <c r="E70" s="10">
        <v>2360066569</v>
      </c>
      <c r="F70" s="10"/>
      <c r="G70" s="10">
        <f>0.1*16+0.2*48</f>
        <v>11.200000000000001</v>
      </c>
      <c r="H70" s="10">
        <v>1068.8</v>
      </c>
      <c r="I70" s="10">
        <f t="shared" si="53"/>
        <v>1068.8</v>
      </c>
      <c r="J70" s="10"/>
      <c r="K70" s="10" t="s">
        <v>81</v>
      </c>
      <c r="L70" s="10">
        <f t="shared" ref="L70" si="58">I70/G70</f>
        <v>95.428571428571416</v>
      </c>
      <c r="M70" s="10">
        <f t="shared" ref="M70" si="59">H70/G70</f>
        <v>95.428571428571416</v>
      </c>
      <c r="N70" s="10" t="s">
        <v>82</v>
      </c>
      <c r="O70" s="10" t="s">
        <v>54</v>
      </c>
      <c r="P70" s="10" t="s">
        <v>83</v>
      </c>
      <c r="Q70">
        <v>11</v>
      </c>
      <c r="R70" s="19">
        <v>42438</v>
      </c>
      <c r="S70" s="19">
        <v>42440</v>
      </c>
      <c r="T70" s="19">
        <v>42445</v>
      </c>
      <c r="AE70" s="2"/>
      <c r="AF70" s="2"/>
      <c r="AG70" s="2"/>
      <c r="AH70" s="3"/>
    </row>
    <row r="71" spans="1:34" x14ac:dyDescent="0.25">
      <c r="A71" s="11">
        <v>70</v>
      </c>
      <c r="B71" s="10" t="s">
        <v>90</v>
      </c>
      <c r="C71" s="10" t="s">
        <v>139</v>
      </c>
      <c r="D71" s="10" t="s">
        <v>146</v>
      </c>
      <c r="E71" s="10">
        <v>2360066680</v>
      </c>
      <c r="F71" s="10"/>
      <c r="G71" s="10">
        <f>1.02*10</f>
        <v>10.199999999999999</v>
      </c>
      <c r="H71" s="10">
        <v>900.25</v>
      </c>
      <c r="I71" s="10">
        <f t="shared" si="53"/>
        <v>900.25</v>
      </c>
      <c r="J71" s="10"/>
      <c r="K71" s="10" t="s">
        <v>75</v>
      </c>
      <c r="L71" s="10">
        <f t="shared" ref="L71" si="60">I71/G71</f>
        <v>88.259803921568633</v>
      </c>
      <c r="M71" s="10">
        <f t="shared" ref="M71" si="61">H71/G71</f>
        <v>88.259803921568633</v>
      </c>
      <c r="N71" s="10" t="s">
        <v>54</v>
      </c>
      <c r="O71" s="10" t="s">
        <v>54</v>
      </c>
      <c r="P71" s="10" t="s">
        <v>83</v>
      </c>
      <c r="Q71">
        <v>11</v>
      </c>
      <c r="R71" s="19">
        <v>42426</v>
      </c>
      <c r="S71" s="19">
        <v>42445</v>
      </c>
      <c r="T71" s="19">
        <v>42445</v>
      </c>
      <c r="AE71" s="2"/>
      <c r="AF71" s="2"/>
      <c r="AG71" s="2"/>
      <c r="AH71" s="3"/>
    </row>
    <row r="72" spans="1:34" x14ac:dyDescent="0.25">
      <c r="A72" s="11">
        <v>71</v>
      </c>
      <c r="B72" s="10" t="s">
        <v>50</v>
      </c>
      <c r="C72" s="10" t="s">
        <v>139</v>
      </c>
      <c r="D72" s="10" t="s">
        <v>76</v>
      </c>
      <c r="E72" s="10">
        <v>5000040634</v>
      </c>
      <c r="F72" s="10"/>
      <c r="G72" s="10"/>
      <c r="H72" s="10">
        <v>243.41800000000001</v>
      </c>
      <c r="I72" s="10">
        <f t="shared" si="53"/>
        <v>243.41800000000001</v>
      </c>
      <c r="J72" s="10"/>
      <c r="K72" s="10" t="s">
        <v>53</v>
      </c>
      <c r="L72" s="10"/>
      <c r="M72" s="10"/>
      <c r="N72" s="10" t="s">
        <v>57</v>
      </c>
      <c r="O72" s="10" t="s">
        <v>54</v>
      </c>
      <c r="P72" s="10" t="s">
        <v>77</v>
      </c>
      <c r="Q72">
        <v>12</v>
      </c>
      <c r="R72" s="19">
        <v>42430</v>
      </c>
      <c r="S72" s="19">
        <v>42445</v>
      </c>
      <c r="T72" s="19">
        <v>42445</v>
      </c>
      <c r="AE72" s="2"/>
      <c r="AF72" s="2"/>
      <c r="AG72" s="2"/>
      <c r="AH72" s="3"/>
    </row>
    <row r="73" spans="1:34" x14ac:dyDescent="0.25">
      <c r="A73" s="11">
        <v>72</v>
      </c>
      <c r="B73" s="10" t="s">
        <v>90</v>
      </c>
      <c r="C73" s="10" t="s">
        <v>139</v>
      </c>
      <c r="D73" s="10" t="s">
        <v>109</v>
      </c>
      <c r="E73" s="10">
        <v>2360066673</v>
      </c>
      <c r="F73" s="10"/>
      <c r="G73" s="10">
        <f>0.132*3+0.2*3</f>
        <v>0.99600000000000011</v>
      </c>
      <c r="H73" s="10">
        <v>83.64</v>
      </c>
      <c r="I73" s="10">
        <f t="shared" si="53"/>
        <v>83.64</v>
      </c>
      <c r="J73" s="10"/>
      <c r="K73" s="10" t="s">
        <v>81</v>
      </c>
      <c r="L73" s="10">
        <f t="shared" ref="L73:L74" si="62">I73/G73</f>
        <v>83.97590361445782</v>
      </c>
      <c r="M73" s="10">
        <f t="shared" ref="M73:M74" si="63">H73/G73</f>
        <v>83.97590361445782</v>
      </c>
      <c r="N73" s="10" t="s">
        <v>82</v>
      </c>
      <c r="O73" s="10" t="s">
        <v>54</v>
      </c>
      <c r="P73" s="10" t="s">
        <v>83</v>
      </c>
      <c r="Q73">
        <v>11</v>
      </c>
      <c r="R73" s="19">
        <v>42437</v>
      </c>
      <c r="S73" s="19">
        <v>42445</v>
      </c>
      <c r="T73" s="19">
        <v>42445</v>
      </c>
      <c r="AE73" s="2"/>
      <c r="AF73" s="2"/>
      <c r="AG73" s="2"/>
      <c r="AH73" s="3"/>
    </row>
    <row r="74" spans="1:34" x14ac:dyDescent="0.25">
      <c r="A74" s="11">
        <v>73</v>
      </c>
      <c r="B74" s="10" t="s">
        <v>79</v>
      </c>
      <c r="C74" s="10" t="s">
        <v>139</v>
      </c>
      <c r="D74" s="10" t="s">
        <v>147</v>
      </c>
      <c r="E74" s="10">
        <v>2360066682</v>
      </c>
      <c r="F74" s="10"/>
      <c r="G74" s="10">
        <f>0.396*9</f>
        <v>3.5640000000000001</v>
      </c>
      <c r="H74" s="10">
        <v>196</v>
      </c>
      <c r="I74" s="10">
        <f t="shared" si="53"/>
        <v>196</v>
      </c>
      <c r="J74" s="10"/>
      <c r="K74" s="10" t="s">
        <v>75</v>
      </c>
      <c r="L74" s="10">
        <f t="shared" si="62"/>
        <v>54.994388327721659</v>
      </c>
      <c r="M74" s="10">
        <f t="shared" si="63"/>
        <v>54.994388327721659</v>
      </c>
      <c r="N74" s="10" t="s">
        <v>82</v>
      </c>
      <c r="O74" s="10" t="s">
        <v>54</v>
      </c>
      <c r="P74" s="10" t="s">
        <v>83</v>
      </c>
      <c r="Q74">
        <v>11</v>
      </c>
      <c r="R74" s="19">
        <v>42444</v>
      </c>
      <c r="S74" s="19">
        <v>42445</v>
      </c>
      <c r="T74" s="19">
        <v>42445</v>
      </c>
      <c r="AE74" s="2"/>
      <c r="AF74" s="2"/>
      <c r="AG74" s="2"/>
      <c r="AH74" s="3"/>
    </row>
    <row r="75" spans="1:34" x14ac:dyDescent="0.25">
      <c r="A75" s="11">
        <v>74</v>
      </c>
      <c r="B75" s="10" t="s">
        <v>50</v>
      </c>
      <c r="C75" s="10" t="s">
        <v>139</v>
      </c>
      <c r="D75" s="10" t="s">
        <v>148</v>
      </c>
      <c r="E75" s="10">
        <v>5000040688</v>
      </c>
      <c r="F75" s="10"/>
      <c r="G75" s="10"/>
      <c r="H75" s="10">
        <v>170</v>
      </c>
      <c r="I75" s="10">
        <f t="shared" si="53"/>
        <v>170</v>
      </c>
      <c r="J75" s="10"/>
      <c r="K75" s="10" t="s">
        <v>53</v>
      </c>
      <c r="L75" s="10"/>
      <c r="M75" s="10"/>
      <c r="N75" s="10" t="s">
        <v>57</v>
      </c>
      <c r="O75" s="10" t="s">
        <v>54</v>
      </c>
      <c r="P75" s="10" t="s">
        <v>77</v>
      </c>
      <c r="Q75">
        <v>12</v>
      </c>
      <c r="R75" s="19">
        <v>42439</v>
      </c>
      <c r="S75" s="19">
        <v>42447</v>
      </c>
      <c r="T75" s="19">
        <v>42451</v>
      </c>
      <c r="AE75" s="2"/>
      <c r="AF75" s="2"/>
      <c r="AG75" s="2"/>
      <c r="AH75" s="3"/>
    </row>
    <row r="76" spans="1:34" x14ac:dyDescent="0.25">
      <c r="A76" s="11">
        <v>75</v>
      </c>
      <c r="B76" s="10" t="s">
        <v>79</v>
      </c>
      <c r="C76" s="10" t="s">
        <v>139</v>
      </c>
      <c r="D76" s="10" t="s">
        <v>126</v>
      </c>
      <c r="E76" s="10">
        <v>2360066768</v>
      </c>
      <c r="F76" s="10"/>
      <c r="G76" s="10">
        <f>0.484*2</f>
        <v>0.96799999999999997</v>
      </c>
      <c r="H76" s="10">
        <v>95</v>
      </c>
      <c r="I76" s="10">
        <f t="shared" si="53"/>
        <v>95</v>
      </c>
      <c r="J76" s="10"/>
      <c r="K76" s="10" t="s">
        <v>75</v>
      </c>
      <c r="L76" s="10">
        <f t="shared" ref="L76" si="64">I76/G76</f>
        <v>98.140495867768593</v>
      </c>
      <c r="M76" s="10">
        <f t="shared" ref="M76" si="65">H76/G76</f>
        <v>98.140495867768593</v>
      </c>
      <c r="N76" s="10" t="s">
        <v>61</v>
      </c>
      <c r="O76" s="10" t="s">
        <v>62</v>
      </c>
      <c r="P76" s="10" t="s">
        <v>83</v>
      </c>
      <c r="Q76">
        <v>11</v>
      </c>
      <c r="R76" s="19">
        <v>42439</v>
      </c>
      <c r="S76" s="19">
        <v>42447</v>
      </c>
      <c r="T76" s="19">
        <v>42451</v>
      </c>
      <c r="AE76" s="2"/>
      <c r="AF76" s="2"/>
      <c r="AG76" s="2"/>
      <c r="AH76" s="3"/>
    </row>
    <row r="77" spans="1:34" x14ac:dyDescent="0.25">
      <c r="A77" s="11">
        <v>76</v>
      </c>
      <c r="B77" s="10" t="s">
        <v>90</v>
      </c>
      <c r="C77" s="10" t="s">
        <v>139</v>
      </c>
      <c r="D77" s="10" t="s">
        <v>149</v>
      </c>
      <c r="E77" s="10">
        <v>2360066766</v>
      </c>
      <c r="F77" s="10"/>
      <c r="G77" s="10">
        <v>0.106</v>
      </c>
      <c r="H77" s="10">
        <v>30.6</v>
      </c>
      <c r="I77" s="10">
        <f t="shared" si="53"/>
        <v>30.6</v>
      </c>
      <c r="J77" s="10"/>
      <c r="K77" s="10" t="s">
        <v>75</v>
      </c>
      <c r="L77" s="10">
        <f t="shared" ref="L77" si="66">I77/G77</f>
        <v>288.67924528301887</v>
      </c>
      <c r="M77" s="10">
        <f t="shared" ref="M77" si="67">H77/G77</f>
        <v>288.67924528301887</v>
      </c>
      <c r="N77" s="10" t="s">
        <v>68</v>
      </c>
      <c r="O77" s="10" t="s">
        <v>54</v>
      </c>
      <c r="P77" s="10" t="s">
        <v>83</v>
      </c>
      <c r="Q77">
        <v>11</v>
      </c>
      <c r="R77" s="19">
        <v>42431</v>
      </c>
      <c r="S77" s="19">
        <v>42447</v>
      </c>
      <c r="T77" s="19">
        <v>42451</v>
      </c>
      <c r="AE77" s="2"/>
      <c r="AF77" s="2"/>
      <c r="AG77" s="2"/>
      <c r="AH77" s="3"/>
    </row>
    <row r="78" spans="1:34" x14ac:dyDescent="0.25">
      <c r="A78" s="11">
        <v>77</v>
      </c>
      <c r="B78" s="10" t="s">
        <v>90</v>
      </c>
      <c r="C78" s="10" t="s">
        <v>139</v>
      </c>
      <c r="D78" s="10" t="s">
        <v>150</v>
      </c>
      <c r="E78" s="10">
        <v>2360066769</v>
      </c>
      <c r="F78" s="10"/>
      <c r="G78" s="10">
        <f>0.378*6</f>
        <v>2.2679999999999998</v>
      </c>
      <c r="H78" s="10">
        <v>245.5</v>
      </c>
      <c r="I78" s="10">
        <f t="shared" si="53"/>
        <v>245.5</v>
      </c>
      <c r="J78" s="10"/>
      <c r="K78" s="10" t="s">
        <v>75</v>
      </c>
      <c r="L78" s="10">
        <f t="shared" ref="L78:L79" si="68">I78/G78</f>
        <v>108.24514991181658</v>
      </c>
      <c r="M78" s="10">
        <f t="shared" ref="M78:M79" si="69">H78/G78</f>
        <v>108.24514991181658</v>
      </c>
      <c r="N78" s="10" t="s">
        <v>54</v>
      </c>
      <c r="O78" s="10" t="s">
        <v>54</v>
      </c>
      <c r="P78" s="10" t="s">
        <v>83</v>
      </c>
      <c r="Q78">
        <v>11</v>
      </c>
      <c r="R78" s="19">
        <v>42438</v>
      </c>
      <c r="S78" s="19">
        <v>42447</v>
      </c>
      <c r="T78" s="19">
        <v>42451</v>
      </c>
      <c r="AE78" s="2"/>
      <c r="AF78" s="2"/>
      <c r="AG78" s="2"/>
      <c r="AH78" s="3"/>
    </row>
    <row r="79" spans="1:34" x14ac:dyDescent="0.25">
      <c r="A79" s="11">
        <v>78</v>
      </c>
      <c r="B79" s="10" t="s">
        <v>79</v>
      </c>
      <c r="C79" s="10" t="s">
        <v>139</v>
      </c>
      <c r="D79" s="10" t="s">
        <v>151</v>
      </c>
      <c r="E79" s="10">
        <v>4201176433</v>
      </c>
      <c r="F79" s="10">
        <v>33</v>
      </c>
      <c r="G79" s="10">
        <f>0.25*6</f>
        <v>1.5</v>
      </c>
      <c r="H79" s="10">
        <v>149.6</v>
      </c>
      <c r="I79" s="10">
        <f t="shared" si="53"/>
        <v>149.6</v>
      </c>
      <c r="J79" s="10"/>
      <c r="K79" s="10" t="s">
        <v>81</v>
      </c>
      <c r="L79" s="10">
        <f t="shared" si="68"/>
        <v>99.733333333333334</v>
      </c>
      <c r="M79" s="10">
        <f t="shared" si="69"/>
        <v>99.733333333333334</v>
      </c>
      <c r="N79" s="10" t="s">
        <v>82</v>
      </c>
      <c r="O79" s="10" t="s">
        <v>54</v>
      </c>
      <c r="P79" s="10" t="s">
        <v>89</v>
      </c>
      <c r="Q79">
        <v>1</v>
      </c>
      <c r="R79" s="19">
        <v>42446</v>
      </c>
      <c r="S79" s="19">
        <v>42447</v>
      </c>
      <c r="T79" s="19">
        <v>42451</v>
      </c>
      <c r="AE79" s="2"/>
      <c r="AF79" s="2"/>
      <c r="AG79" s="2"/>
      <c r="AH79" s="3"/>
    </row>
    <row r="80" spans="1:34" x14ac:dyDescent="0.25">
      <c r="A80" s="11">
        <v>79</v>
      </c>
      <c r="B80" s="10" t="s">
        <v>50</v>
      </c>
      <c r="C80" s="10" t="s">
        <v>139</v>
      </c>
      <c r="D80" s="10" t="s">
        <v>99</v>
      </c>
      <c r="E80" s="10">
        <v>5000040761</v>
      </c>
      <c r="F80" s="10"/>
      <c r="G80" s="10">
        <v>0.27400000000000002</v>
      </c>
      <c r="H80" s="10">
        <v>164.27</v>
      </c>
      <c r="I80" s="10">
        <f t="shared" si="53"/>
        <v>164.27</v>
      </c>
      <c r="J80" s="10"/>
      <c r="K80" s="10" t="s">
        <v>53</v>
      </c>
      <c r="L80" s="10">
        <f t="shared" ref="L80:L83" si="70">I80/G80</f>
        <v>599.52554744525548</v>
      </c>
      <c r="M80" s="10">
        <f t="shared" ref="M80:M83" si="71">H80/G80</f>
        <v>599.52554744525548</v>
      </c>
      <c r="N80" s="10" t="s">
        <v>57</v>
      </c>
      <c r="O80" s="10" t="s">
        <v>54</v>
      </c>
      <c r="P80" s="10" t="s">
        <v>100</v>
      </c>
      <c r="Q80">
        <v>12</v>
      </c>
      <c r="R80" s="19">
        <v>42445</v>
      </c>
      <c r="S80" s="19">
        <v>42450</v>
      </c>
      <c r="T80" s="19">
        <v>42451</v>
      </c>
      <c r="AE80" s="2"/>
      <c r="AF80" s="2"/>
      <c r="AG80" s="2"/>
      <c r="AH80" s="3"/>
    </row>
    <row r="81" spans="1:34" x14ac:dyDescent="0.25">
      <c r="A81" s="11">
        <v>80</v>
      </c>
      <c r="B81" s="10" t="s">
        <v>50</v>
      </c>
      <c r="C81" s="10" t="s">
        <v>139</v>
      </c>
      <c r="D81" s="10" t="s">
        <v>99</v>
      </c>
      <c r="E81" s="10">
        <v>5000040760</v>
      </c>
      <c r="F81" s="10"/>
      <c r="G81" s="10">
        <v>0.23</v>
      </c>
      <c r="H81" s="10">
        <v>26.11</v>
      </c>
      <c r="I81" s="10">
        <f t="shared" ref="I81:I82" si="72">H81</f>
        <v>26.11</v>
      </c>
      <c r="J81" s="10"/>
      <c r="K81" s="10" t="s">
        <v>53</v>
      </c>
      <c r="L81" s="10">
        <f t="shared" si="70"/>
        <v>113.52173913043478</v>
      </c>
      <c r="M81" s="10">
        <f t="shared" si="71"/>
        <v>113.52173913043478</v>
      </c>
      <c r="N81" s="10" t="s">
        <v>57</v>
      </c>
      <c r="O81" s="10" t="s">
        <v>54</v>
      </c>
      <c r="P81" s="10" t="s">
        <v>101</v>
      </c>
      <c r="Q81">
        <v>11</v>
      </c>
      <c r="R81" s="19">
        <v>42444</v>
      </c>
      <c r="S81" s="19">
        <v>42450</v>
      </c>
      <c r="T81" s="19">
        <v>42451</v>
      </c>
      <c r="AE81" s="2"/>
      <c r="AF81" s="2"/>
      <c r="AG81" s="2"/>
      <c r="AH81" s="3"/>
    </row>
    <row r="82" spans="1:34" x14ac:dyDescent="0.25">
      <c r="A82" s="11">
        <v>81</v>
      </c>
      <c r="B82" s="10" t="s">
        <v>50</v>
      </c>
      <c r="C82" s="10" t="s">
        <v>139</v>
      </c>
      <c r="D82" s="10" t="s">
        <v>99</v>
      </c>
      <c r="E82" s="10">
        <v>5000040762</v>
      </c>
      <c r="F82" s="10"/>
      <c r="G82" s="10">
        <v>0.4</v>
      </c>
      <c r="H82" s="10">
        <v>44.92</v>
      </c>
      <c r="I82" s="10">
        <f t="shared" si="72"/>
        <v>44.92</v>
      </c>
      <c r="J82" s="10"/>
      <c r="K82" s="10" t="s">
        <v>53</v>
      </c>
      <c r="L82" s="10">
        <f t="shared" si="70"/>
        <v>112.3</v>
      </c>
      <c r="M82" s="10">
        <f t="shared" si="71"/>
        <v>112.3</v>
      </c>
      <c r="N82" s="10" t="s">
        <v>57</v>
      </c>
      <c r="O82" s="10" t="s">
        <v>54</v>
      </c>
      <c r="P82" s="10" t="s">
        <v>100</v>
      </c>
      <c r="Q82">
        <v>12</v>
      </c>
      <c r="R82" s="19">
        <v>42445</v>
      </c>
      <c r="S82" s="19">
        <v>42450</v>
      </c>
      <c r="T82" s="19">
        <v>42451</v>
      </c>
      <c r="AE82" s="2"/>
      <c r="AF82" s="2"/>
      <c r="AG82" s="2"/>
      <c r="AH82" s="3"/>
    </row>
    <row r="83" spans="1:34" x14ac:dyDescent="0.25">
      <c r="A83" s="11">
        <v>82</v>
      </c>
      <c r="B83" s="10" t="s">
        <v>122</v>
      </c>
      <c r="C83" s="10" t="s">
        <v>139</v>
      </c>
      <c r="D83" s="22" t="s">
        <v>181</v>
      </c>
      <c r="E83" s="10">
        <v>4201179313</v>
      </c>
      <c r="F83" s="10">
        <v>11</v>
      </c>
      <c r="G83" s="10">
        <v>2.61</v>
      </c>
      <c r="H83" s="10">
        <v>960</v>
      </c>
      <c r="I83" s="10">
        <v>145</v>
      </c>
      <c r="J83" s="10">
        <f>H83-I83</f>
        <v>815</v>
      </c>
      <c r="K83" s="10" t="s">
        <v>53</v>
      </c>
      <c r="L83" s="10">
        <f t="shared" si="70"/>
        <v>55.555555555555557</v>
      </c>
      <c r="M83" s="10">
        <f t="shared" si="71"/>
        <v>367.81609195402302</v>
      </c>
      <c r="N83" s="10" t="s">
        <v>82</v>
      </c>
      <c r="O83" s="10" t="s">
        <v>54</v>
      </c>
      <c r="P83" s="10" t="s">
        <v>152</v>
      </c>
      <c r="Q83">
        <v>2</v>
      </c>
      <c r="R83" s="19">
        <v>42450</v>
      </c>
      <c r="S83" s="19">
        <v>42452</v>
      </c>
      <c r="T83" s="19">
        <v>42453</v>
      </c>
      <c r="AE83" s="2"/>
      <c r="AF83" s="2"/>
      <c r="AG83" s="2"/>
      <c r="AH83" s="3"/>
    </row>
    <row r="84" spans="1:34" x14ac:dyDescent="0.25">
      <c r="A84" s="11">
        <v>83</v>
      </c>
      <c r="B84" s="10" t="s">
        <v>50</v>
      </c>
      <c r="C84" s="10" t="s">
        <v>139</v>
      </c>
      <c r="D84" s="10" t="s">
        <v>115</v>
      </c>
      <c r="E84" s="10">
        <v>5000040837</v>
      </c>
      <c r="F84" s="10"/>
      <c r="G84" s="10"/>
      <c r="H84" s="10">
        <v>75.2</v>
      </c>
      <c r="I84" s="10">
        <f t="shared" ref="I84:I92" si="73">H84</f>
        <v>75.2</v>
      </c>
      <c r="J84" s="10"/>
      <c r="K84" s="10" t="s">
        <v>53</v>
      </c>
      <c r="L84" s="10"/>
      <c r="M84" s="10"/>
      <c r="N84" s="10" t="s">
        <v>57</v>
      </c>
      <c r="O84" s="10" t="s">
        <v>54</v>
      </c>
      <c r="P84" s="10" t="s">
        <v>77</v>
      </c>
      <c r="Q84">
        <v>12</v>
      </c>
      <c r="R84" s="19">
        <v>42452</v>
      </c>
      <c r="S84" s="19">
        <v>42457</v>
      </c>
      <c r="T84" s="19">
        <v>42458</v>
      </c>
      <c r="AE84" s="2"/>
      <c r="AF84" s="2"/>
      <c r="AG84" s="2"/>
      <c r="AH84" s="3"/>
    </row>
    <row r="85" spans="1:34" x14ac:dyDescent="0.25">
      <c r="A85" s="11">
        <v>84</v>
      </c>
      <c r="B85" s="10" t="s">
        <v>79</v>
      </c>
      <c r="C85" s="10" t="s">
        <v>139</v>
      </c>
      <c r="D85" s="10" t="s">
        <v>153</v>
      </c>
      <c r="E85" s="10">
        <v>2360066933</v>
      </c>
      <c r="F85" s="10"/>
      <c r="G85" s="26">
        <f>0.3*2+0.2*2</f>
        <v>1</v>
      </c>
      <c r="H85" s="10">
        <v>104</v>
      </c>
      <c r="I85" s="10">
        <f t="shared" si="73"/>
        <v>104</v>
      </c>
      <c r="J85" s="10"/>
      <c r="K85" s="10" t="s">
        <v>75</v>
      </c>
      <c r="L85" s="10">
        <f t="shared" ref="L85:L88" si="74">I85/G85</f>
        <v>104</v>
      </c>
      <c r="M85" s="10">
        <f t="shared" ref="M85:M88" si="75">H85/G85</f>
        <v>104</v>
      </c>
      <c r="N85" s="10" t="s">
        <v>82</v>
      </c>
      <c r="O85" s="10" t="s">
        <v>54</v>
      </c>
      <c r="P85" s="10" t="s">
        <v>83</v>
      </c>
      <c r="Q85">
        <v>11</v>
      </c>
      <c r="R85" s="19">
        <v>42457</v>
      </c>
      <c r="S85" s="19">
        <v>42457</v>
      </c>
      <c r="T85" s="19">
        <v>42458</v>
      </c>
      <c r="AE85" s="2"/>
      <c r="AF85" s="2"/>
      <c r="AG85" s="2"/>
      <c r="AH85" s="3"/>
    </row>
    <row r="86" spans="1:34" x14ac:dyDescent="0.25">
      <c r="A86" s="11">
        <v>85</v>
      </c>
      <c r="B86" s="10" t="s">
        <v>58</v>
      </c>
      <c r="C86" s="10" t="s">
        <v>139</v>
      </c>
      <c r="D86" s="10" t="s">
        <v>114</v>
      </c>
      <c r="E86" s="10">
        <v>2360066892</v>
      </c>
      <c r="F86" s="10"/>
      <c r="G86" s="10">
        <f>0.373</f>
        <v>0.373</v>
      </c>
      <c r="H86" s="10">
        <v>36.5</v>
      </c>
      <c r="I86" s="10">
        <f t="shared" si="73"/>
        <v>36.5</v>
      </c>
      <c r="J86" s="10"/>
      <c r="K86" s="10" t="s">
        <v>75</v>
      </c>
      <c r="L86" s="10">
        <f t="shared" si="74"/>
        <v>97.855227882037539</v>
      </c>
      <c r="M86" s="10">
        <f t="shared" si="75"/>
        <v>97.855227882037539</v>
      </c>
      <c r="N86" s="10" t="s">
        <v>82</v>
      </c>
      <c r="O86" s="10" t="s">
        <v>54</v>
      </c>
      <c r="P86" s="10" t="s">
        <v>83</v>
      </c>
      <c r="Q86">
        <v>11</v>
      </c>
      <c r="R86" s="19">
        <v>42448</v>
      </c>
      <c r="S86" s="19">
        <v>42457</v>
      </c>
      <c r="T86" s="19">
        <v>42458</v>
      </c>
      <c r="AE86" s="2"/>
      <c r="AF86" s="2"/>
      <c r="AG86" s="2"/>
      <c r="AH86" s="3"/>
    </row>
    <row r="87" spans="1:34" x14ac:dyDescent="0.25">
      <c r="A87" s="11">
        <v>86</v>
      </c>
      <c r="B87" s="10" t="s">
        <v>50</v>
      </c>
      <c r="C87" s="10" t="s">
        <v>139</v>
      </c>
      <c r="D87" s="10" t="s">
        <v>154</v>
      </c>
      <c r="E87" s="10">
        <v>5000040838</v>
      </c>
      <c r="F87" s="10"/>
      <c r="G87" s="10">
        <f>0.07</f>
        <v>7.0000000000000007E-2</v>
      </c>
      <c r="H87" s="10">
        <v>31.75</v>
      </c>
      <c r="I87" s="10">
        <f t="shared" si="73"/>
        <v>31.75</v>
      </c>
      <c r="J87" s="10"/>
      <c r="K87" s="10" t="s">
        <v>53</v>
      </c>
      <c r="L87" s="10">
        <f t="shared" si="74"/>
        <v>453.57142857142856</v>
      </c>
      <c r="M87" s="10">
        <f t="shared" si="75"/>
        <v>453.57142857142856</v>
      </c>
      <c r="N87" s="10" t="s">
        <v>57</v>
      </c>
      <c r="O87" s="10" t="s">
        <v>54</v>
      </c>
      <c r="P87" s="10" t="s">
        <v>155</v>
      </c>
      <c r="Q87">
        <v>12</v>
      </c>
      <c r="R87" s="19">
        <v>42430</v>
      </c>
      <c r="S87" s="19">
        <v>42457</v>
      </c>
      <c r="T87" s="19">
        <v>42458</v>
      </c>
      <c r="AE87" s="2"/>
      <c r="AF87" s="2"/>
      <c r="AG87" s="2"/>
      <c r="AH87" s="3"/>
    </row>
    <row r="88" spans="1:34" x14ac:dyDescent="0.25">
      <c r="A88" s="11">
        <v>87</v>
      </c>
      <c r="B88" s="10" t="s">
        <v>79</v>
      </c>
      <c r="C88" s="10" t="s">
        <v>139</v>
      </c>
      <c r="D88" s="10" t="s">
        <v>156</v>
      </c>
      <c r="E88" s="10">
        <v>2360066899</v>
      </c>
      <c r="F88" s="10"/>
      <c r="G88" s="10">
        <f>0.242*2</f>
        <v>0.48399999999999999</v>
      </c>
      <c r="H88" s="10">
        <v>55</v>
      </c>
      <c r="I88" s="10">
        <f t="shared" si="73"/>
        <v>55</v>
      </c>
      <c r="J88" s="10"/>
      <c r="K88" s="10" t="s">
        <v>75</v>
      </c>
      <c r="L88" s="10">
        <f t="shared" si="74"/>
        <v>113.63636363636364</v>
      </c>
      <c r="M88" s="10">
        <f t="shared" si="75"/>
        <v>113.63636363636364</v>
      </c>
      <c r="N88" s="10" t="s">
        <v>61</v>
      </c>
      <c r="O88" s="10" t="s">
        <v>62</v>
      </c>
      <c r="P88" s="10" t="s">
        <v>83</v>
      </c>
      <c r="Q88">
        <v>11</v>
      </c>
      <c r="R88" s="19">
        <v>42448</v>
      </c>
      <c r="S88" s="19">
        <v>42457</v>
      </c>
      <c r="T88" s="19">
        <v>42458</v>
      </c>
      <c r="AE88" s="2"/>
      <c r="AF88" s="2"/>
      <c r="AG88" s="2"/>
      <c r="AH88" s="3"/>
    </row>
    <row r="89" spans="1:34" x14ac:dyDescent="0.25">
      <c r="A89" s="11">
        <v>88</v>
      </c>
      <c r="B89" s="10" t="s">
        <v>79</v>
      </c>
      <c r="C89" s="10" t="s">
        <v>139</v>
      </c>
      <c r="D89" s="10" t="s">
        <v>156</v>
      </c>
      <c r="E89" s="10">
        <v>2360066900</v>
      </c>
      <c r="F89" s="10"/>
      <c r="G89" s="10">
        <f>0.242*2</f>
        <v>0.48399999999999999</v>
      </c>
      <c r="H89" s="10">
        <v>55</v>
      </c>
      <c r="I89" s="10">
        <f t="shared" si="73"/>
        <v>55</v>
      </c>
      <c r="J89" s="10"/>
      <c r="K89" s="10" t="s">
        <v>75</v>
      </c>
      <c r="L89" s="10">
        <f t="shared" ref="L89" si="76">I89/G89</f>
        <v>113.63636363636364</v>
      </c>
      <c r="M89" s="10">
        <f t="shared" ref="M89" si="77">H89/G89</f>
        <v>113.63636363636364</v>
      </c>
      <c r="N89" s="10" t="s">
        <v>61</v>
      </c>
      <c r="O89" s="10" t="s">
        <v>62</v>
      </c>
      <c r="P89" s="10" t="s">
        <v>83</v>
      </c>
      <c r="Q89">
        <v>11</v>
      </c>
      <c r="R89" s="19">
        <v>42457</v>
      </c>
      <c r="S89" s="19">
        <v>42458</v>
      </c>
      <c r="T89" s="19">
        <v>42458</v>
      </c>
      <c r="AE89" s="2"/>
      <c r="AF89" s="2"/>
      <c r="AG89" s="2"/>
      <c r="AH89" s="3"/>
    </row>
    <row r="90" spans="1:34" x14ac:dyDescent="0.25">
      <c r="A90" s="11">
        <v>89</v>
      </c>
      <c r="B90" s="10" t="s">
        <v>50</v>
      </c>
      <c r="C90" s="10" t="s">
        <v>139</v>
      </c>
      <c r="D90" s="10" t="s">
        <v>78</v>
      </c>
      <c r="E90" s="10">
        <v>5000040910</v>
      </c>
      <c r="F90" s="10"/>
      <c r="G90" s="10"/>
      <c r="H90" s="10">
        <v>1430</v>
      </c>
      <c r="I90" s="10">
        <f t="shared" si="73"/>
        <v>1430</v>
      </c>
      <c r="J90" s="10"/>
      <c r="K90" s="10" t="s">
        <v>53</v>
      </c>
      <c r="L90" s="10"/>
      <c r="M90" s="10"/>
      <c r="N90" s="10" t="s">
        <v>57</v>
      </c>
      <c r="O90" s="10" t="s">
        <v>54</v>
      </c>
      <c r="P90" s="10" t="s">
        <v>77</v>
      </c>
      <c r="Q90">
        <v>12</v>
      </c>
      <c r="R90" s="19">
        <v>42458</v>
      </c>
      <c r="S90" s="19">
        <v>42459</v>
      </c>
      <c r="T90" s="19">
        <v>42459</v>
      </c>
      <c r="AE90" s="2"/>
      <c r="AF90" s="2"/>
      <c r="AG90" s="2"/>
      <c r="AH90" s="3"/>
    </row>
    <row r="91" spans="1:34" x14ac:dyDescent="0.25">
      <c r="A91" s="11">
        <v>90</v>
      </c>
      <c r="B91" s="10" t="s">
        <v>50</v>
      </c>
      <c r="C91" s="10" t="s">
        <v>139</v>
      </c>
      <c r="D91" s="10" t="s">
        <v>99</v>
      </c>
      <c r="E91" s="10">
        <v>5000040911</v>
      </c>
      <c r="F91" s="10"/>
      <c r="G91" s="10"/>
      <c r="H91" s="10">
        <v>432.25</v>
      </c>
      <c r="I91" s="10">
        <f t="shared" si="73"/>
        <v>432.25</v>
      </c>
      <c r="J91" s="10"/>
      <c r="K91" s="10" t="s">
        <v>53</v>
      </c>
      <c r="L91" s="10"/>
      <c r="M91" s="10"/>
      <c r="N91" s="10" t="s">
        <v>57</v>
      </c>
      <c r="O91" s="10" t="s">
        <v>54</v>
      </c>
      <c r="P91" s="10" t="s">
        <v>49</v>
      </c>
      <c r="Q91">
        <v>21</v>
      </c>
      <c r="R91" s="19"/>
      <c r="S91" s="19"/>
      <c r="T91" s="19"/>
      <c r="AE91" s="2"/>
      <c r="AF91" s="2"/>
      <c r="AG91" s="2"/>
      <c r="AH91" s="3"/>
    </row>
    <row r="92" spans="1:34" x14ac:dyDescent="0.25">
      <c r="A92" s="11">
        <v>91</v>
      </c>
      <c r="B92" s="10" t="s">
        <v>65</v>
      </c>
      <c r="C92" s="10" t="s">
        <v>158</v>
      </c>
      <c r="D92" s="22" t="s">
        <v>157</v>
      </c>
      <c r="E92" s="10">
        <v>4201187038</v>
      </c>
      <c r="F92" s="10">
        <v>6.6</v>
      </c>
      <c r="G92" s="10">
        <f>6.51+10.3</f>
        <v>16.810000000000002</v>
      </c>
      <c r="H92" s="10">
        <v>7736</v>
      </c>
      <c r="I92" s="10">
        <f t="shared" si="73"/>
        <v>7736</v>
      </c>
      <c r="J92" s="10"/>
      <c r="K92" s="10" t="s">
        <v>53</v>
      </c>
      <c r="L92" s="10">
        <f t="shared" ref="L92" si="78">I92/G92</f>
        <v>460.2022605591909</v>
      </c>
      <c r="M92" s="10">
        <f t="shared" ref="M92" si="79">H92/G92</f>
        <v>460.2022605591909</v>
      </c>
      <c r="N92" s="10" t="s">
        <v>68</v>
      </c>
      <c r="O92" s="10" t="s">
        <v>54</v>
      </c>
      <c r="P92" s="10" t="s">
        <v>123</v>
      </c>
      <c r="Q92">
        <v>18</v>
      </c>
      <c r="R92" s="19">
        <v>42464</v>
      </c>
      <c r="S92" s="19">
        <v>42467</v>
      </c>
      <c r="T92" s="19">
        <v>42471</v>
      </c>
      <c r="AE92" s="2"/>
      <c r="AF92" s="2"/>
      <c r="AG92" s="2"/>
      <c r="AH92" s="3"/>
    </row>
    <row r="93" spans="1:34" x14ac:dyDescent="0.25">
      <c r="A93" s="11">
        <v>92</v>
      </c>
      <c r="B93" s="10" t="s">
        <v>65</v>
      </c>
      <c r="C93" s="10" t="s">
        <v>158</v>
      </c>
      <c r="D93" s="22" t="s">
        <v>164</v>
      </c>
      <c r="E93" s="10">
        <v>4201193054</v>
      </c>
      <c r="F93" s="10">
        <v>33</v>
      </c>
      <c r="G93" s="10">
        <v>26.43</v>
      </c>
      <c r="H93" s="10">
        <v>7500</v>
      </c>
      <c r="I93" s="10">
        <v>2269</v>
      </c>
      <c r="J93" s="10">
        <f>H93-I93</f>
        <v>5231</v>
      </c>
      <c r="K93" s="10" t="s">
        <v>67</v>
      </c>
      <c r="L93" s="10">
        <f t="shared" ref="L93" si="80">I93/G93</f>
        <v>85.849413545213778</v>
      </c>
      <c r="M93" s="10">
        <f t="shared" ref="M93" si="81">H93/G93</f>
        <v>283.76844494892168</v>
      </c>
      <c r="N93" s="10" t="s">
        <v>68</v>
      </c>
      <c r="O93" s="10" t="s">
        <v>54</v>
      </c>
      <c r="P93" s="10" t="s">
        <v>133</v>
      </c>
      <c r="Q93">
        <v>6</v>
      </c>
      <c r="R93" s="19">
        <v>42465</v>
      </c>
      <c r="S93" s="19">
        <v>42480</v>
      </c>
      <c r="T93" s="19">
        <v>42480</v>
      </c>
      <c r="AE93" s="2"/>
      <c r="AF93" s="2"/>
      <c r="AG93" s="2"/>
      <c r="AH93" s="3"/>
    </row>
    <row r="94" spans="1:34" x14ac:dyDescent="0.25">
      <c r="A94" s="11">
        <v>93</v>
      </c>
      <c r="B94" s="10" t="s">
        <v>90</v>
      </c>
      <c r="C94" s="10" t="s">
        <v>158</v>
      </c>
      <c r="D94" s="22" t="s">
        <v>165</v>
      </c>
      <c r="E94" s="10">
        <v>4201189576</v>
      </c>
      <c r="F94" s="10">
        <v>33</v>
      </c>
      <c r="G94" s="10">
        <v>8.9600000000000009</v>
      </c>
      <c r="H94" s="10">
        <v>3375</v>
      </c>
      <c r="I94" s="10">
        <v>794.89</v>
      </c>
      <c r="J94" s="10">
        <f>H94-I94</f>
        <v>2580.11</v>
      </c>
      <c r="K94" s="10" t="s">
        <v>71</v>
      </c>
      <c r="L94" s="10">
        <f t="shared" ref="L94" si="82">I94/G94</f>
        <v>88.715401785714278</v>
      </c>
      <c r="M94" s="10">
        <f t="shared" ref="M94" si="83">H94/G94</f>
        <v>376.67410714285711</v>
      </c>
      <c r="N94" s="10" t="s">
        <v>82</v>
      </c>
      <c r="O94" s="10" t="s">
        <v>54</v>
      </c>
      <c r="P94" s="10" t="s">
        <v>133</v>
      </c>
      <c r="Q94">
        <v>6</v>
      </c>
      <c r="R94" s="19">
        <v>42454</v>
      </c>
      <c r="S94" s="19">
        <v>42473</v>
      </c>
      <c r="T94" s="19">
        <v>42473</v>
      </c>
      <c r="AE94" s="2"/>
      <c r="AF94" s="2"/>
      <c r="AG94" s="2"/>
      <c r="AH94" s="3"/>
    </row>
    <row r="95" spans="1:34" x14ac:dyDescent="0.25">
      <c r="A95" s="11">
        <v>94</v>
      </c>
      <c r="B95" s="10" t="s">
        <v>73</v>
      </c>
      <c r="C95" s="10" t="s">
        <v>158</v>
      </c>
      <c r="D95" s="38" t="s">
        <v>166</v>
      </c>
      <c r="E95" s="10">
        <v>4201199099</v>
      </c>
      <c r="F95" s="10">
        <v>132</v>
      </c>
      <c r="G95" s="10">
        <v>64.44</v>
      </c>
      <c r="H95" s="10">
        <v>5460</v>
      </c>
      <c r="I95" s="10">
        <v>4359</v>
      </c>
      <c r="J95" s="10">
        <f>H95-I95</f>
        <v>1101</v>
      </c>
      <c r="K95" s="10" t="s">
        <v>71</v>
      </c>
      <c r="L95" s="35">
        <f t="shared" ref="L95" si="84">I95/G95</f>
        <v>67.64432029795158</v>
      </c>
      <c r="M95" s="35">
        <f t="shared" ref="M95" si="85">H95/G95</f>
        <v>84.729981378026068</v>
      </c>
      <c r="N95" s="10" t="s">
        <v>61</v>
      </c>
      <c r="O95" s="10" t="s">
        <v>62</v>
      </c>
      <c r="P95" s="10" t="s">
        <v>174</v>
      </c>
      <c r="Q95">
        <v>4</v>
      </c>
      <c r="R95" s="19">
        <v>42488</v>
      </c>
      <c r="S95" s="19">
        <v>42489</v>
      </c>
      <c r="T95" s="19">
        <v>42494</v>
      </c>
      <c r="AE95" s="2"/>
      <c r="AF95" s="2"/>
      <c r="AG95" s="2"/>
      <c r="AH95" s="3"/>
    </row>
    <row r="96" spans="1:34" ht="15.75" customHeight="1" x14ac:dyDescent="0.25">
      <c r="A96" s="11">
        <v>95</v>
      </c>
      <c r="B96" s="10" t="s">
        <v>50</v>
      </c>
      <c r="C96" s="10" t="s">
        <v>158</v>
      </c>
      <c r="D96" s="10" t="s">
        <v>167</v>
      </c>
      <c r="E96" s="10">
        <v>5000041003</v>
      </c>
      <c r="F96" s="10"/>
      <c r="G96" s="10"/>
      <c r="H96" s="10">
        <v>3788</v>
      </c>
      <c r="I96" s="10"/>
      <c r="J96" s="10"/>
      <c r="K96" s="10" t="s">
        <v>53</v>
      </c>
      <c r="L96" s="10"/>
      <c r="M96" s="10"/>
      <c r="N96" s="10" t="s">
        <v>57</v>
      </c>
      <c r="O96" s="10" t="s">
        <v>54</v>
      </c>
      <c r="P96" s="10" t="s">
        <v>77</v>
      </c>
      <c r="Q96">
        <v>12</v>
      </c>
      <c r="R96" s="19">
        <v>42458</v>
      </c>
      <c r="S96" s="19">
        <v>42464</v>
      </c>
      <c r="T96" s="19">
        <v>42464</v>
      </c>
      <c r="AE96" s="2"/>
      <c r="AF96" s="2"/>
      <c r="AG96" s="2"/>
      <c r="AH96" s="3"/>
    </row>
    <row r="97" spans="1:34" x14ac:dyDescent="0.25">
      <c r="A97" s="11">
        <v>96</v>
      </c>
      <c r="B97" s="10" t="s">
        <v>79</v>
      </c>
      <c r="C97" s="10" t="s">
        <v>158</v>
      </c>
      <c r="D97" s="10" t="s">
        <v>87</v>
      </c>
      <c r="E97" s="10">
        <v>2360067187</v>
      </c>
      <c r="F97" s="10"/>
      <c r="G97" s="10">
        <f>0.4*9</f>
        <v>3.6</v>
      </c>
      <c r="H97" s="10">
        <v>261</v>
      </c>
      <c r="I97" s="10">
        <f>H97</f>
        <v>261</v>
      </c>
      <c r="J97" s="10"/>
      <c r="K97" s="10" t="s">
        <v>75</v>
      </c>
      <c r="L97" s="10">
        <f t="shared" ref="L97" si="86">I97/G97</f>
        <v>72.5</v>
      </c>
      <c r="M97" s="10">
        <f t="shared" ref="M97" si="87">H97/G97</f>
        <v>72.5</v>
      </c>
      <c r="N97" s="10" t="s">
        <v>61</v>
      </c>
      <c r="O97" s="10" t="s">
        <v>62</v>
      </c>
      <c r="P97" s="10" t="s">
        <v>168</v>
      </c>
      <c r="Q97">
        <v>11</v>
      </c>
      <c r="R97" s="19">
        <v>42460</v>
      </c>
      <c r="S97" s="19">
        <v>42464</v>
      </c>
      <c r="T97" s="19">
        <v>42464</v>
      </c>
      <c r="AE97" s="2"/>
      <c r="AF97" s="2"/>
      <c r="AG97" s="2"/>
      <c r="AH97" s="3"/>
    </row>
    <row r="98" spans="1:34" x14ac:dyDescent="0.25">
      <c r="A98" s="11">
        <v>97</v>
      </c>
      <c r="B98" s="10" t="s">
        <v>73</v>
      </c>
      <c r="C98" s="10" t="s">
        <v>158</v>
      </c>
      <c r="D98" s="10" t="s">
        <v>169</v>
      </c>
      <c r="E98" s="10">
        <v>4201183424</v>
      </c>
      <c r="F98" s="10">
        <v>11</v>
      </c>
      <c r="G98" s="10">
        <f>3.64+1.46</f>
        <v>5.0999999999999996</v>
      </c>
      <c r="H98" s="10">
        <v>2950</v>
      </c>
      <c r="I98" s="10">
        <f>H98</f>
        <v>2950</v>
      </c>
      <c r="J98" s="10"/>
      <c r="K98" s="10" t="s">
        <v>81</v>
      </c>
      <c r="L98" s="27">
        <f t="shared" ref="L98" si="88">I98/G98</f>
        <v>578.43137254901967</v>
      </c>
      <c r="M98" s="27">
        <f t="shared" ref="M98" si="89">H98/G98</f>
        <v>578.43137254901967</v>
      </c>
      <c r="N98" s="10" t="s">
        <v>82</v>
      </c>
      <c r="O98" s="10" t="s">
        <v>54</v>
      </c>
      <c r="P98" s="10" t="s">
        <v>123</v>
      </c>
      <c r="Q98">
        <v>18</v>
      </c>
      <c r="R98" s="19">
        <v>42458</v>
      </c>
      <c r="S98" s="19">
        <v>42464</v>
      </c>
      <c r="T98" s="19">
        <v>42464</v>
      </c>
      <c r="AE98" s="2"/>
      <c r="AF98" s="2"/>
      <c r="AG98" s="2"/>
      <c r="AH98" s="3"/>
    </row>
    <row r="99" spans="1:34" x14ac:dyDescent="0.25">
      <c r="A99" s="11">
        <v>98</v>
      </c>
      <c r="B99" s="10" t="s">
        <v>73</v>
      </c>
      <c r="C99" s="10" t="s">
        <v>158</v>
      </c>
      <c r="D99" s="10" t="s">
        <v>170</v>
      </c>
      <c r="E99" s="10">
        <v>4201185254</v>
      </c>
      <c r="F99" s="10">
        <v>33</v>
      </c>
      <c r="G99" s="10">
        <v>5.24</v>
      </c>
      <c r="H99" s="10">
        <v>1170</v>
      </c>
      <c r="I99" s="10">
        <v>468</v>
      </c>
      <c r="J99" s="10">
        <f>H99-I99</f>
        <v>702</v>
      </c>
      <c r="K99" s="10" t="s">
        <v>71</v>
      </c>
      <c r="L99" s="27">
        <f t="shared" ref="L99:L101" si="90">I99/G99</f>
        <v>89.312977099236633</v>
      </c>
      <c r="M99" s="27">
        <f t="shared" ref="M99:M101" si="91">H99/G99</f>
        <v>223.2824427480916</v>
      </c>
      <c r="N99" s="10" t="s">
        <v>82</v>
      </c>
      <c r="O99" s="10" t="s">
        <v>54</v>
      </c>
      <c r="P99" s="10" t="s">
        <v>72</v>
      </c>
      <c r="Q99">
        <v>6</v>
      </c>
      <c r="R99" s="19">
        <v>42460</v>
      </c>
      <c r="S99" s="19">
        <v>42465</v>
      </c>
      <c r="T99" s="19">
        <v>42466</v>
      </c>
      <c r="AE99" s="2"/>
      <c r="AF99" s="2"/>
      <c r="AG99" s="2"/>
      <c r="AH99" s="3"/>
    </row>
    <row r="100" spans="1:34" x14ac:dyDescent="0.25">
      <c r="A100" s="11">
        <v>99</v>
      </c>
      <c r="B100" s="10" t="s">
        <v>79</v>
      </c>
      <c r="C100" s="10" t="s">
        <v>158</v>
      </c>
      <c r="D100" s="10" t="s">
        <v>87</v>
      </c>
      <c r="E100" s="10">
        <v>4201185020</v>
      </c>
      <c r="F100" s="10">
        <v>11</v>
      </c>
      <c r="G100" s="10">
        <v>5.15</v>
      </c>
      <c r="H100" s="10">
        <v>1500</v>
      </c>
      <c r="I100" s="10">
        <f>H100</f>
        <v>1500</v>
      </c>
      <c r="J100" s="10"/>
      <c r="K100" s="10" t="s">
        <v>71</v>
      </c>
      <c r="L100" s="10">
        <f t="shared" si="90"/>
        <v>291.26213592233006</v>
      </c>
      <c r="M100" s="10">
        <f t="shared" si="91"/>
        <v>291.26213592233006</v>
      </c>
      <c r="N100" s="10" t="s">
        <v>82</v>
      </c>
      <c r="O100" s="10" t="s">
        <v>54</v>
      </c>
      <c r="P100" s="10" t="s">
        <v>152</v>
      </c>
      <c r="Q100">
        <v>2</v>
      </c>
      <c r="R100" s="19">
        <v>42460</v>
      </c>
      <c r="S100" s="19">
        <v>42464</v>
      </c>
      <c r="T100" s="19">
        <v>42466</v>
      </c>
      <c r="AE100" s="2"/>
      <c r="AF100" s="2"/>
      <c r="AG100" s="2"/>
      <c r="AH100" s="3"/>
    </row>
    <row r="101" spans="1:34" x14ac:dyDescent="0.25">
      <c r="A101" s="11">
        <v>100</v>
      </c>
      <c r="B101" s="10" t="s">
        <v>58</v>
      </c>
      <c r="C101" s="10" t="s">
        <v>158</v>
      </c>
      <c r="D101" s="10" t="s">
        <v>171</v>
      </c>
      <c r="E101" s="10">
        <v>4201185726</v>
      </c>
      <c r="F101" s="10">
        <v>132</v>
      </c>
      <c r="G101" s="10">
        <v>52</v>
      </c>
      <c r="H101" s="10">
        <v>6740</v>
      </c>
      <c r="I101" s="10">
        <v>3864</v>
      </c>
      <c r="J101" s="10">
        <f>H101-I101</f>
        <v>2876</v>
      </c>
      <c r="K101" s="10" t="s">
        <v>75</v>
      </c>
      <c r="L101" s="10">
        <f t="shared" si="90"/>
        <v>74.307692307692307</v>
      </c>
      <c r="M101" s="10">
        <f t="shared" si="91"/>
        <v>129.61538461538461</v>
      </c>
      <c r="N101" s="10" t="s">
        <v>61</v>
      </c>
      <c r="O101" s="10" t="s">
        <v>62</v>
      </c>
      <c r="P101" s="10" t="s">
        <v>172</v>
      </c>
      <c r="Q101">
        <v>4</v>
      </c>
      <c r="R101" s="19">
        <v>42460</v>
      </c>
      <c r="S101" s="19">
        <v>42466</v>
      </c>
      <c r="T101" s="19">
        <v>42466</v>
      </c>
      <c r="AE101" s="2"/>
      <c r="AF101" s="2"/>
      <c r="AG101" s="2"/>
      <c r="AH101" s="3"/>
    </row>
    <row r="102" spans="1:34" x14ac:dyDescent="0.25">
      <c r="A102" s="11">
        <v>101</v>
      </c>
      <c r="B102" s="10" t="s">
        <v>58</v>
      </c>
      <c r="C102" s="10" t="s">
        <v>158</v>
      </c>
      <c r="D102" s="22" t="s">
        <v>173</v>
      </c>
      <c r="E102" s="10">
        <v>4201193872</v>
      </c>
      <c r="F102" s="10">
        <v>33</v>
      </c>
      <c r="G102" s="10">
        <v>13.26</v>
      </c>
      <c r="H102" s="10">
        <v>1500</v>
      </c>
      <c r="I102" s="10">
        <v>1150</v>
      </c>
      <c r="J102" s="10">
        <f>H102-I102</f>
        <v>350</v>
      </c>
      <c r="K102" s="10" t="s">
        <v>60</v>
      </c>
      <c r="L102" s="10">
        <f t="shared" ref="L102:L103" si="92">I102/G102</f>
        <v>86.726998491704379</v>
      </c>
      <c r="M102" s="10">
        <f t="shared" ref="M102:M103" si="93">H102/G102</f>
        <v>113.12217194570135</v>
      </c>
      <c r="N102" s="10" t="s">
        <v>61</v>
      </c>
      <c r="O102" s="10" t="s">
        <v>62</v>
      </c>
      <c r="P102" s="10" t="s">
        <v>89</v>
      </c>
      <c r="Q102">
        <v>1</v>
      </c>
      <c r="R102" s="19"/>
      <c r="S102" s="19"/>
      <c r="T102" s="19"/>
      <c r="AE102" s="2"/>
      <c r="AF102" s="2"/>
      <c r="AG102" s="2"/>
      <c r="AH102" s="3"/>
    </row>
    <row r="103" spans="1:34" x14ac:dyDescent="0.25">
      <c r="A103" s="11">
        <v>102</v>
      </c>
      <c r="B103" s="10" t="s">
        <v>58</v>
      </c>
      <c r="C103" s="10" t="s">
        <v>158</v>
      </c>
      <c r="D103" s="22" t="s">
        <v>173</v>
      </c>
      <c r="E103" s="10">
        <v>4201193881</v>
      </c>
      <c r="F103" s="10">
        <v>33</v>
      </c>
      <c r="G103" s="10">
        <v>13.26</v>
      </c>
      <c r="H103" s="10">
        <v>1500</v>
      </c>
      <c r="I103" s="10">
        <v>1150</v>
      </c>
      <c r="J103" s="10">
        <f>H103-I103</f>
        <v>350</v>
      </c>
      <c r="K103" s="10" t="s">
        <v>60</v>
      </c>
      <c r="L103" s="10">
        <f t="shared" si="92"/>
        <v>86.726998491704379</v>
      </c>
      <c r="M103" s="10">
        <f t="shared" si="93"/>
        <v>113.12217194570135</v>
      </c>
      <c r="N103" s="10" t="s">
        <v>61</v>
      </c>
      <c r="O103" s="10" t="s">
        <v>62</v>
      </c>
      <c r="P103" s="10" t="s">
        <v>89</v>
      </c>
      <c r="Q103">
        <v>1</v>
      </c>
      <c r="R103" s="19"/>
      <c r="S103" s="19"/>
      <c r="T103" s="19"/>
      <c r="V103">
        <f>372+220</f>
        <v>592</v>
      </c>
      <c r="AE103" s="2"/>
      <c r="AF103" s="2"/>
      <c r="AG103" s="2"/>
      <c r="AH103" s="3"/>
    </row>
    <row r="104" spans="1:34" x14ac:dyDescent="0.25">
      <c r="A104" s="11">
        <v>103</v>
      </c>
      <c r="B104" s="10" t="s">
        <v>50</v>
      </c>
      <c r="C104" s="10" t="s">
        <v>158</v>
      </c>
      <c r="D104" s="10" t="s">
        <v>76</v>
      </c>
      <c r="E104" s="10">
        <v>5000041075</v>
      </c>
      <c r="F104" s="10"/>
      <c r="G104" s="10"/>
      <c r="H104" s="10">
        <v>819.8</v>
      </c>
      <c r="I104" s="10">
        <f t="shared" ref="I104:I110" si="94">H104</f>
        <v>819.8</v>
      </c>
      <c r="J104" s="10"/>
      <c r="K104" s="10" t="s">
        <v>53</v>
      </c>
      <c r="L104" s="10"/>
      <c r="M104" s="10"/>
      <c r="N104" s="10" t="s">
        <v>57</v>
      </c>
      <c r="O104" s="10" t="s">
        <v>54</v>
      </c>
      <c r="P104" s="10" t="s">
        <v>77</v>
      </c>
      <c r="Q104">
        <v>12</v>
      </c>
      <c r="R104" s="19"/>
      <c r="S104" s="19"/>
      <c r="T104" s="19"/>
      <c r="V104">
        <f>V103+100</f>
        <v>692</v>
      </c>
      <c r="AE104" s="2"/>
      <c r="AF104" s="2"/>
      <c r="AG104" s="2"/>
      <c r="AH104" s="3"/>
    </row>
    <row r="105" spans="1:34" x14ac:dyDescent="0.25">
      <c r="A105" s="11">
        <v>104</v>
      </c>
      <c r="B105" s="10" t="s">
        <v>50</v>
      </c>
      <c r="C105" s="10" t="s">
        <v>158</v>
      </c>
      <c r="D105" s="10" t="s">
        <v>76</v>
      </c>
      <c r="E105" s="10">
        <v>5000041076</v>
      </c>
      <c r="F105" s="10"/>
      <c r="G105" s="10"/>
      <c r="H105" s="10">
        <v>614.74</v>
      </c>
      <c r="I105" s="10">
        <f t="shared" si="94"/>
        <v>614.74</v>
      </c>
      <c r="J105" s="10"/>
      <c r="K105" s="10" t="s">
        <v>53</v>
      </c>
      <c r="L105" s="10"/>
      <c r="M105" s="10"/>
      <c r="N105" s="10" t="s">
        <v>57</v>
      </c>
      <c r="O105" s="10" t="s">
        <v>54</v>
      </c>
      <c r="P105" s="10" t="s">
        <v>77</v>
      </c>
      <c r="Q105">
        <v>12</v>
      </c>
      <c r="R105" s="19"/>
      <c r="S105" s="19"/>
      <c r="T105" s="19"/>
      <c r="V105">
        <f>372+100</f>
        <v>472</v>
      </c>
      <c r="AE105" s="2"/>
      <c r="AF105" s="2"/>
      <c r="AG105" s="2"/>
      <c r="AH105" s="3"/>
    </row>
    <row r="106" spans="1:34" x14ac:dyDescent="0.25">
      <c r="A106" s="11">
        <v>105</v>
      </c>
      <c r="B106" s="10" t="s">
        <v>90</v>
      </c>
      <c r="C106" s="10" t="s">
        <v>158</v>
      </c>
      <c r="D106" s="10" t="s">
        <v>91</v>
      </c>
      <c r="E106" s="10">
        <v>2360067303</v>
      </c>
      <c r="F106" s="10"/>
      <c r="G106" s="10">
        <f>0.59*2+0.123*2</f>
        <v>1.4259999999999999</v>
      </c>
      <c r="H106" s="10">
        <v>113.9</v>
      </c>
      <c r="I106" s="10">
        <f t="shared" si="94"/>
        <v>113.9</v>
      </c>
      <c r="J106" s="10"/>
      <c r="K106" s="10" t="s">
        <v>75</v>
      </c>
      <c r="L106" s="10"/>
      <c r="M106" s="10"/>
      <c r="N106" s="10" t="s">
        <v>82</v>
      </c>
      <c r="O106" s="10" t="s">
        <v>54</v>
      </c>
      <c r="P106" s="10" t="s">
        <v>83</v>
      </c>
      <c r="Q106">
        <v>11</v>
      </c>
      <c r="R106" s="19">
        <v>42455</v>
      </c>
      <c r="S106" s="19">
        <v>42471</v>
      </c>
      <c r="T106" s="19">
        <v>42472</v>
      </c>
      <c r="V106">
        <f>625-V105</f>
        <v>153</v>
      </c>
      <c r="AE106" s="2"/>
      <c r="AF106" s="2"/>
      <c r="AG106" s="2"/>
      <c r="AH106" s="3"/>
    </row>
    <row r="107" spans="1:34" x14ac:dyDescent="0.25">
      <c r="A107" s="11">
        <v>106</v>
      </c>
      <c r="B107" s="10" t="s">
        <v>58</v>
      </c>
      <c r="C107" s="10" t="s">
        <v>158</v>
      </c>
      <c r="D107" s="10" t="s">
        <v>175</v>
      </c>
      <c r="E107" s="10">
        <v>2360067323</v>
      </c>
      <c r="F107" s="10"/>
      <c r="G107" s="10">
        <f>0.706*2+0.564*2</f>
        <v>2.54</v>
      </c>
      <c r="H107" s="10">
        <v>194</v>
      </c>
      <c r="I107" s="10">
        <f t="shared" si="94"/>
        <v>194</v>
      </c>
      <c r="J107" s="10"/>
      <c r="K107" s="10" t="s">
        <v>75</v>
      </c>
      <c r="L107" s="10"/>
      <c r="M107" s="10"/>
      <c r="N107" s="10" t="s">
        <v>54</v>
      </c>
      <c r="O107" s="10" t="s">
        <v>54</v>
      </c>
      <c r="P107" s="10" t="s">
        <v>83</v>
      </c>
      <c r="Q107">
        <v>11</v>
      </c>
      <c r="R107" s="19">
        <v>42454</v>
      </c>
      <c r="S107" s="19">
        <v>42471</v>
      </c>
      <c r="T107" s="19">
        <v>42472</v>
      </c>
      <c r="AE107" s="2"/>
      <c r="AF107" s="2"/>
      <c r="AG107" s="2"/>
      <c r="AH107" s="3"/>
    </row>
    <row r="108" spans="1:34" x14ac:dyDescent="0.25">
      <c r="A108" s="11">
        <v>107</v>
      </c>
      <c r="B108" s="10" t="s">
        <v>79</v>
      </c>
      <c r="C108" s="10" t="s">
        <v>158</v>
      </c>
      <c r="D108" s="10" t="s">
        <v>156</v>
      </c>
      <c r="E108" s="10">
        <v>2360067305</v>
      </c>
      <c r="F108" s="10"/>
      <c r="G108" s="10">
        <f>0.416*5</f>
        <v>2.08</v>
      </c>
      <c r="H108" s="10">
        <v>217.5</v>
      </c>
      <c r="I108" s="10">
        <f t="shared" si="94"/>
        <v>217.5</v>
      </c>
      <c r="J108" s="10"/>
      <c r="K108" s="10" t="s">
        <v>75</v>
      </c>
      <c r="L108" s="10"/>
      <c r="M108" s="10"/>
      <c r="N108" s="10" t="s">
        <v>61</v>
      </c>
      <c r="O108" s="10" t="s">
        <v>62</v>
      </c>
      <c r="P108" s="10" t="s">
        <v>83</v>
      </c>
      <c r="Q108">
        <v>11</v>
      </c>
      <c r="R108" s="19">
        <v>42460</v>
      </c>
      <c r="S108" s="19">
        <v>42471</v>
      </c>
      <c r="T108" s="19">
        <v>42472</v>
      </c>
      <c r="AE108" s="2"/>
      <c r="AF108" s="2"/>
      <c r="AG108" s="2"/>
      <c r="AH108" s="3"/>
    </row>
    <row r="109" spans="1:34" x14ac:dyDescent="0.25">
      <c r="A109" s="11">
        <v>108</v>
      </c>
      <c r="B109" s="10" t="s">
        <v>122</v>
      </c>
      <c r="C109" s="10" t="s">
        <v>158</v>
      </c>
      <c r="D109" s="10" t="s">
        <v>176</v>
      </c>
      <c r="E109" s="10">
        <v>2360067310</v>
      </c>
      <c r="F109" s="10"/>
      <c r="G109" s="10"/>
      <c r="H109" s="10">
        <v>615</v>
      </c>
      <c r="I109" s="10">
        <f t="shared" si="94"/>
        <v>615</v>
      </c>
      <c r="J109" s="10"/>
      <c r="K109" s="10" t="s">
        <v>81</v>
      </c>
      <c r="L109" s="10"/>
      <c r="M109" s="10"/>
      <c r="N109" s="10" t="s">
        <v>61</v>
      </c>
      <c r="O109" s="10" t="s">
        <v>62</v>
      </c>
      <c r="P109" s="10" t="s">
        <v>113</v>
      </c>
      <c r="Q109">
        <v>13</v>
      </c>
      <c r="R109" s="19">
        <v>42460</v>
      </c>
      <c r="S109" s="19">
        <v>42471</v>
      </c>
      <c r="T109" s="19">
        <v>42472</v>
      </c>
      <c r="AE109" s="2"/>
      <c r="AF109" s="2"/>
      <c r="AG109" s="2"/>
      <c r="AH109" s="3"/>
    </row>
    <row r="110" spans="1:34" x14ac:dyDescent="0.25">
      <c r="A110" s="11">
        <v>109</v>
      </c>
      <c r="B110" s="10" t="s">
        <v>50</v>
      </c>
      <c r="C110" s="10" t="s">
        <v>158</v>
      </c>
      <c r="D110" s="10" t="s">
        <v>177</v>
      </c>
      <c r="E110" s="10">
        <v>5000041111</v>
      </c>
      <c r="F110" s="10"/>
      <c r="G110" s="10">
        <f>0.2*3</f>
        <v>0.60000000000000009</v>
      </c>
      <c r="H110" s="10">
        <v>88.85</v>
      </c>
      <c r="I110" s="10">
        <f t="shared" si="94"/>
        <v>88.85</v>
      </c>
      <c r="J110" s="10"/>
      <c r="K110" s="10" t="s">
        <v>53</v>
      </c>
      <c r="L110" s="10"/>
      <c r="M110" s="10"/>
      <c r="N110" s="10" t="s">
        <v>57</v>
      </c>
      <c r="O110" s="10" t="s">
        <v>54</v>
      </c>
      <c r="P110" s="10" t="s">
        <v>116</v>
      </c>
      <c r="Q110">
        <v>12</v>
      </c>
      <c r="R110" s="19">
        <v>42459</v>
      </c>
      <c r="S110" s="19">
        <v>42471</v>
      </c>
      <c r="T110" s="19">
        <v>42472</v>
      </c>
      <c r="AE110" s="2"/>
      <c r="AF110" s="2"/>
      <c r="AG110" s="2"/>
      <c r="AH110" s="3"/>
    </row>
    <row r="111" spans="1:34" x14ac:dyDescent="0.25">
      <c r="A111" s="11">
        <v>110</v>
      </c>
      <c r="B111" s="10" t="s">
        <v>122</v>
      </c>
      <c r="C111" s="10" t="s">
        <v>158</v>
      </c>
      <c r="D111" s="22" t="s">
        <v>182</v>
      </c>
      <c r="E111" s="10">
        <v>4201193312</v>
      </c>
      <c r="F111" s="10">
        <v>6.6</v>
      </c>
      <c r="G111" s="10">
        <v>2.96</v>
      </c>
      <c r="H111" s="10">
        <v>1300</v>
      </c>
      <c r="I111" s="10">
        <v>1300</v>
      </c>
      <c r="J111" s="10">
        <f>H111-I111</f>
        <v>0</v>
      </c>
      <c r="K111" s="10" t="s">
        <v>53</v>
      </c>
      <c r="L111" s="10">
        <f t="shared" ref="L111:L113" si="95">I111/G111</f>
        <v>439.18918918918922</v>
      </c>
      <c r="M111" s="10">
        <f t="shared" ref="M111:M113" si="96">H111/G111</f>
        <v>439.18918918918922</v>
      </c>
      <c r="N111" s="10" t="s">
        <v>82</v>
      </c>
      <c r="O111" s="10" t="s">
        <v>54</v>
      </c>
      <c r="P111" s="10" t="s">
        <v>152</v>
      </c>
      <c r="Q111">
        <v>2</v>
      </c>
      <c r="R111" s="19">
        <v>42475</v>
      </c>
      <c r="S111" s="19">
        <v>42480</v>
      </c>
      <c r="T111" s="19">
        <v>42481</v>
      </c>
      <c r="AE111" s="2"/>
      <c r="AF111" s="2"/>
      <c r="AG111" s="2"/>
      <c r="AH111" s="3"/>
    </row>
    <row r="112" spans="1:34" x14ac:dyDescent="0.25">
      <c r="A112" s="11">
        <v>111</v>
      </c>
      <c r="B112" s="10" t="s">
        <v>79</v>
      </c>
      <c r="C112" s="10" t="s">
        <v>158</v>
      </c>
      <c r="D112" s="22" t="s">
        <v>178</v>
      </c>
      <c r="E112" s="10">
        <v>2360067375</v>
      </c>
      <c r="F112" s="10"/>
      <c r="G112" s="10">
        <f>0.475*2+0.2</f>
        <v>1.1499999999999999</v>
      </c>
      <c r="H112" s="10">
        <v>98</v>
      </c>
      <c r="I112" s="10">
        <f>H112</f>
        <v>98</v>
      </c>
      <c r="J112" s="10"/>
      <c r="K112" s="10" t="s">
        <v>75</v>
      </c>
      <c r="L112" s="10">
        <f t="shared" si="95"/>
        <v>85.217391304347828</v>
      </c>
      <c r="M112" s="10">
        <f t="shared" si="96"/>
        <v>85.217391304347828</v>
      </c>
      <c r="N112" s="10" t="s">
        <v>61</v>
      </c>
      <c r="O112" s="10" t="s">
        <v>62</v>
      </c>
      <c r="P112" s="10" t="s">
        <v>83</v>
      </c>
      <c r="Q112">
        <v>11</v>
      </c>
      <c r="R112" s="19">
        <v>42472</v>
      </c>
      <c r="S112" s="19">
        <v>42473</v>
      </c>
      <c r="T112" s="19">
        <v>42473</v>
      </c>
      <c r="AE112" s="2"/>
      <c r="AF112" s="2"/>
      <c r="AG112" s="2"/>
      <c r="AH112" s="3"/>
    </row>
    <row r="113" spans="1:34" x14ac:dyDescent="0.25">
      <c r="A113" s="11">
        <v>112</v>
      </c>
      <c r="B113" s="10" t="s">
        <v>65</v>
      </c>
      <c r="C113" s="10" t="s">
        <v>158</v>
      </c>
      <c r="D113" s="22" t="s">
        <v>179</v>
      </c>
      <c r="E113" s="10">
        <v>4201189879</v>
      </c>
      <c r="F113" s="10">
        <v>6.6</v>
      </c>
      <c r="G113" s="10">
        <v>4.12</v>
      </c>
      <c r="H113" s="10">
        <v>1730</v>
      </c>
      <c r="I113" s="10">
        <f t="shared" ref="I113:I115" si="97">H113</f>
        <v>1730</v>
      </c>
      <c r="J113" s="10"/>
      <c r="K113" s="10" t="s">
        <v>81</v>
      </c>
      <c r="L113" s="10">
        <f t="shared" si="95"/>
        <v>419.90291262135923</v>
      </c>
      <c r="M113" s="10">
        <f t="shared" si="96"/>
        <v>419.90291262135923</v>
      </c>
      <c r="N113" s="10" t="s">
        <v>68</v>
      </c>
      <c r="O113" s="10" t="s">
        <v>54</v>
      </c>
      <c r="P113" s="10" t="s">
        <v>152</v>
      </c>
      <c r="Q113">
        <v>2</v>
      </c>
      <c r="R113" s="19">
        <v>42472</v>
      </c>
      <c r="S113" s="19">
        <v>42473</v>
      </c>
      <c r="T113" s="19">
        <v>42475</v>
      </c>
      <c r="AE113" s="2"/>
      <c r="AF113" s="2"/>
      <c r="AG113" s="2"/>
      <c r="AH113" s="3"/>
    </row>
    <row r="114" spans="1:34" x14ac:dyDescent="0.25">
      <c r="A114" s="11">
        <v>113</v>
      </c>
      <c r="B114" s="10" t="s">
        <v>50</v>
      </c>
      <c r="C114" s="10" t="s">
        <v>158</v>
      </c>
      <c r="D114" s="10" t="s">
        <v>99</v>
      </c>
      <c r="E114" s="10">
        <v>5000041193</v>
      </c>
      <c r="F114" s="10"/>
      <c r="G114" s="10">
        <f>0.15*36</f>
        <v>5.3999999999999995</v>
      </c>
      <c r="H114" s="10">
        <v>994.4</v>
      </c>
      <c r="I114" s="10">
        <f t="shared" si="97"/>
        <v>994.4</v>
      </c>
      <c r="J114" s="10"/>
      <c r="K114" s="10" t="s">
        <v>53</v>
      </c>
      <c r="L114" s="10">
        <f t="shared" ref="L114" si="98">I114/G114</f>
        <v>184.14814814814815</v>
      </c>
      <c r="M114" s="10">
        <f t="shared" ref="M114" si="99">H114/G114</f>
        <v>184.14814814814815</v>
      </c>
      <c r="N114" s="10" t="s">
        <v>57</v>
      </c>
      <c r="O114" s="10" t="s">
        <v>54</v>
      </c>
      <c r="P114" s="10" t="s">
        <v>104</v>
      </c>
      <c r="Q114">
        <v>11</v>
      </c>
      <c r="R114" s="19">
        <v>42471</v>
      </c>
      <c r="S114" s="19">
        <v>42474</v>
      </c>
      <c r="T114" s="19">
        <v>42475</v>
      </c>
      <c r="AE114" s="2"/>
      <c r="AF114" s="2"/>
      <c r="AG114" s="2"/>
      <c r="AH114" s="3"/>
    </row>
    <row r="115" spans="1:34" x14ac:dyDescent="0.25">
      <c r="A115" s="11">
        <v>114</v>
      </c>
      <c r="B115" s="10" t="s">
        <v>65</v>
      </c>
      <c r="C115" s="10" t="s">
        <v>158</v>
      </c>
      <c r="D115" s="22" t="s">
        <v>180</v>
      </c>
      <c r="E115" s="10">
        <v>4201192263</v>
      </c>
      <c r="F115" s="10">
        <v>6.6</v>
      </c>
      <c r="G115" s="10">
        <v>5.15</v>
      </c>
      <c r="H115" s="10">
        <v>2600</v>
      </c>
      <c r="I115" s="10">
        <f t="shared" si="97"/>
        <v>2600</v>
      </c>
      <c r="J115" s="10"/>
      <c r="K115" s="10" t="s">
        <v>67</v>
      </c>
      <c r="L115" s="10">
        <f t="shared" ref="L115:L117" si="100">I115/G115</f>
        <v>504.85436893203882</v>
      </c>
      <c r="M115" s="10">
        <f t="shared" ref="M115:M117" si="101">H115/G115</f>
        <v>504.85436893203882</v>
      </c>
      <c r="N115" s="10" t="s">
        <v>68</v>
      </c>
      <c r="O115" s="10" t="s">
        <v>54</v>
      </c>
      <c r="P115" s="10" t="s">
        <v>152</v>
      </c>
      <c r="Q115">
        <v>2</v>
      </c>
      <c r="R115" s="19">
        <v>42475</v>
      </c>
      <c r="S115" s="19">
        <v>42479</v>
      </c>
      <c r="T115" s="19">
        <v>42480</v>
      </c>
      <c r="AE115" s="2"/>
      <c r="AF115" s="2"/>
      <c r="AG115" s="2"/>
      <c r="AH115" s="3"/>
    </row>
    <row r="116" spans="1:34" x14ac:dyDescent="0.25">
      <c r="A116" s="11">
        <v>115</v>
      </c>
      <c r="B116" s="10" t="s">
        <v>50</v>
      </c>
      <c r="C116" s="10" t="s">
        <v>158</v>
      </c>
      <c r="D116" s="10" t="s">
        <v>99</v>
      </c>
      <c r="E116" s="10">
        <v>5000041276</v>
      </c>
      <c r="F116" s="10"/>
      <c r="G116" s="10">
        <v>0.25</v>
      </c>
      <c r="H116" s="10">
        <v>24.4</v>
      </c>
      <c r="I116" s="10">
        <f t="shared" ref="I116:I121" si="102">H116</f>
        <v>24.4</v>
      </c>
      <c r="J116" s="10"/>
      <c r="K116" s="10" t="s">
        <v>53</v>
      </c>
      <c r="L116" s="10">
        <f t="shared" si="100"/>
        <v>97.6</v>
      </c>
      <c r="M116" s="10">
        <f t="shared" si="101"/>
        <v>97.6</v>
      </c>
      <c r="N116" s="10" t="s">
        <v>57</v>
      </c>
      <c r="O116" s="10" t="s">
        <v>54</v>
      </c>
      <c r="P116" s="10" t="s">
        <v>104</v>
      </c>
      <c r="Q116">
        <v>11</v>
      </c>
      <c r="R116" s="19">
        <v>42471</v>
      </c>
      <c r="S116" s="19">
        <v>42480</v>
      </c>
      <c r="T116" s="19">
        <v>42480</v>
      </c>
      <c r="AE116" s="2"/>
      <c r="AF116" s="2"/>
      <c r="AG116" s="2"/>
      <c r="AH116" s="3"/>
    </row>
    <row r="117" spans="1:34" x14ac:dyDescent="0.25">
      <c r="A117" s="11">
        <v>116</v>
      </c>
      <c r="B117" s="10" t="s">
        <v>50</v>
      </c>
      <c r="C117" s="10" t="s">
        <v>158</v>
      </c>
      <c r="D117" s="10" t="s">
        <v>99</v>
      </c>
      <c r="E117" s="10">
        <v>5000041277</v>
      </c>
      <c r="F117" s="10"/>
      <c r="G117" s="10">
        <f>0.4*2</f>
        <v>0.8</v>
      </c>
      <c r="H117" s="10">
        <v>103.68</v>
      </c>
      <c r="I117" s="10">
        <f t="shared" si="102"/>
        <v>103.68</v>
      </c>
      <c r="J117" s="10"/>
      <c r="K117" s="10" t="s">
        <v>53</v>
      </c>
      <c r="L117" s="10">
        <f t="shared" si="100"/>
        <v>129.6</v>
      </c>
      <c r="M117" s="10">
        <f t="shared" si="101"/>
        <v>129.6</v>
      </c>
      <c r="N117" s="10" t="s">
        <v>57</v>
      </c>
      <c r="O117" s="10" t="s">
        <v>54</v>
      </c>
      <c r="P117" s="10" t="s">
        <v>104</v>
      </c>
      <c r="Q117">
        <v>11</v>
      </c>
      <c r="R117" s="19">
        <v>42471</v>
      </c>
      <c r="S117" s="19">
        <v>42480</v>
      </c>
      <c r="T117" s="19">
        <v>42480</v>
      </c>
      <c r="AE117" s="2"/>
      <c r="AF117" s="2"/>
      <c r="AG117" s="2"/>
      <c r="AH117" s="3"/>
    </row>
    <row r="118" spans="1:34" x14ac:dyDescent="0.25">
      <c r="A118" s="11">
        <v>117</v>
      </c>
      <c r="B118" s="10" t="s">
        <v>79</v>
      </c>
      <c r="C118" s="10" t="s">
        <v>158</v>
      </c>
      <c r="D118" s="22" t="s">
        <v>137</v>
      </c>
      <c r="E118" s="10">
        <v>2360067498</v>
      </c>
      <c r="F118" s="10"/>
      <c r="G118" s="10">
        <v>2.52</v>
      </c>
      <c r="H118" s="10">
        <v>455.36</v>
      </c>
      <c r="I118" s="10">
        <f t="shared" si="102"/>
        <v>455.36</v>
      </c>
      <c r="J118" s="10"/>
      <c r="K118" s="10" t="s">
        <v>75</v>
      </c>
      <c r="L118" s="10">
        <f t="shared" ref="L118:L119" si="103">I118/G118</f>
        <v>180.69841269841271</v>
      </c>
      <c r="M118" s="10">
        <f t="shared" ref="M118:M119" si="104">H118/G118</f>
        <v>180.69841269841271</v>
      </c>
      <c r="N118" s="10" t="s">
        <v>68</v>
      </c>
      <c r="O118" s="10" t="s">
        <v>54</v>
      </c>
      <c r="P118" s="10" t="s">
        <v>136</v>
      </c>
      <c r="Q118">
        <v>20</v>
      </c>
      <c r="R118" s="19">
        <v>42478</v>
      </c>
      <c r="S118" s="19">
        <v>42480</v>
      </c>
      <c r="T118" s="19">
        <v>42481</v>
      </c>
      <c r="AE118" s="2"/>
      <c r="AF118" s="2"/>
      <c r="AG118" s="2"/>
      <c r="AH118" s="3"/>
    </row>
    <row r="119" spans="1:34" x14ac:dyDescent="0.25">
      <c r="A119" s="11">
        <v>118</v>
      </c>
      <c r="B119" s="10" t="s">
        <v>73</v>
      </c>
      <c r="C119" s="10" t="s">
        <v>158</v>
      </c>
      <c r="D119" s="22" t="s">
        <v>183</v>
      </c>
      <c r="E119" s="10">
        <v>2360067522</v>
      </c>
      <c r="F119" s="10"/>
      <c r="G119" s="10">
        <v>0.6</v>
      </c>
      <c r="H119" s="10">
        <v>92.16</v>
      </c>
      <c r="I119" s="10">
        <f t="shared" si="102"/>
        <v>92.16</v>
      </c>
      <c r="J119" s="10"/>
      <c r="K119" s="10" t="s">
        <v>75</v>
      </c>
      <c r="L119" s="10">
        <f t="shared" si="103"/>
        <v>153.6</v>
      </c>
      <c r="M119" s="10">
        <f t="shared" si="104"/>
        <v>153.6</v>
      </c>
      <c r="N119" s="10" t="s">
        <v>82</v>
      </c>
      <c r="O119" s="10" t="s">
        <v>54</v>
      </c>
      <c r="P119" s="10" t="s">
        <v>104</v>
      </c>
      <c r="Q119">
        <v>11</v>
      </c>
      <c r="R119" s="19">
        <v>42470</v>
      </c>
      <c r="S119" s="19">
        <v>42481</v>
      </c>
      <c r="T119" s="19">
        <v>42482</v>
      </c>
      <c r="AE119" s="2"/>
      <c r="AF119" s="2"/>
      <c r="AG119" s="2"/>
      <c r="AH119" s="3"/>
    </row>
    <row r="120" spans="1:34" x14ac:dyDescent="0.25">
      <c r="A120" s="11">
        <v>119</v>
      </c>
      <c r="B120" s="10" t="s">
        <v>58</v>
      </c>
      <c r="C120" s="10" t="s">
        <v>158</v>
      </c>
      <c r="D120" s="22" t="s">
        <v>184</v>
      </c>
      <c r="E120" s="10">
        <v>2360067524</v>
      </c>
      <c r="F120" s="10"/>
      <c r="G120" s="10">
        <f>0.2*4</f>
        <v>0.8</v>
      </c>
      <c r="H120" s="10">
        <v>76</v>
      </c>
      <c r="I120" s="10">
        <f t="shared" si="102"/>
        <v>76</v>
      </c>
      <c r="J120" s="10"/>
      <c r="K120" s="10" t="s">
        <v>75</v>
      </c>
      <c r="L120" s="10">
        <f t="shared" ref="L120:L122" si="105">I120/G120</f>
        <v>95</v>
      </c>
      <c r="M120" s="10">
        <f t="shared" ref="M120:M122" si="106">H120/G120</f>
        <v>95</v>
      </c>
      <c r="N120" s="10" t="s">
        <v>82</v>
      </c>
      <c r="O120" s="10" t="s">
        <v>54</v>
      </c>
      <c r="P120" s="10" t="s">
        <v>104</v>
      </c>
      <c r="Q120">
        <v>11</v>
      </c>
      <c r="R120" s="19">
        <v>42476</v>
      </c>
      <c r="S120" s="19">
        <v>42481</v>
      </c>
      <c r="T120" s="19">
        <v>42482</v>
      </c>
      <c r="AE120" s="2"/>
      <c r="AF120" s="2"/>
      <c r="AG120" s="2"/>
      <c r="AH120" s="3"/>
    </row>
    <row r="121" spans="1:34" x14ac:dyDescent="0.25">
      <c r="A121" s="11">
        <v>120</v>
      </c>
      <c r="B121" s="10" t="s">
        <v>50</v>
      </c>
      <c r="C121" s="10" t="s">
        <v>158</v>
      </c>
      <c r="D121" s="22" t="s">
        <v>185</v>
      </c>
      <c r="E121" s="10">
        <v>5000041319</v>
      </c>
      <c r="F121" s="10"/>
      <c r="G121" s="10">
        <f>0.302*4+0.424*3</f>
        <v>2.48</v>
      </c>
      <c r="H121" s="10">
        <v>293.22000000000003</v>
      </c>
      <c r="I121" s="10">
        <f t="shared" si="102"/>
        <v>293.22000000000003</v>
      </c>
      <c r="J121" s="10"/>
      <c r="K121" s="10" t="s">
        <v>53</v>
      </c>
      <c r="L121" s="10">
        <f t="shared" si="105"/>
        <v>118.23387096774195</v>
      </c>
      <c r="M121" s="10">
        <f t="shared" si="106"/>
        <v>118.23387096774195</v>
      </c>
      <c r="N121" s="10" t="s">
        <v>57</v>
      </c>
      <c r="O121" s="10" t="s">
        <v>54</v>
      </c>
      <c r="P121" s="10" t="s">
        <v>116</v>
      </c>
      <c r="Q121">
        <v>12</v>
      </c>
      <c r="R121" s="19">
        <v>42459</v>
      </c>
      <c r="S121" s="19">
        <v>42481</v>
      </c>
      <c r="T121" s="19">
        <v>42482</v>
      </c>
      <c r="AE121" s="2"/>
      <c r="AF121" s="2"/>
      <c r="AG121" s="2"/>
      <c r="AH121" s="3"/>
    </row>
    <row r="122" spans="1:34" x14ac:dyDescent="0.25">
      <c r="A122" s="11">
        <v>121</v>
      </c>
      <c r="B122" s="10" t="s">
        <v>50</v>
      </c>
      <c r="C122" s="10" t="s">
        <v>158</v>
      </c>
      <c r="D122" s="10" t="s">
        <v>99</v>
      </c>
      <c r="E122" s="10">
        <v>5000041328</v>
      </c>
      <c r="F122" s="10"/>
      <c r="G122" s="10">
        <f>0.42*3</f>
        <v>1.26</v>
      </c>
      <c r="H122" s="10">
        <v>99.364999999999995</v>
      </c>
      <c r="I122" s="10">
        <f t="shared" ref="I122" si="107">H122</f>
        <v>99.364999999999995</v>
      </c>
      <c r="J122" s="10"/>
      <c r="K122" s="10" t="s">
        <v>53</v>
      </c>
      <c r="L122" s="10">
        <f t="shared" si="105"/>
        <v>78.8611111111111</v>
      </c>
      <c r="M122" s="10">
        <f t="shared" si="106"/>
        <v>78.8611111111111</v>
      </c>
      <c r="N122" s="10" t="s">
        <v>57</v>
      </c>
      <c r="O122" s="10" t="s">
        <v>54</v>
      </c>
      <c r="P122" s="10" t="s">
        <v>104</v>
      </c>
      <c r="Q122">
        <v>11</v>
      </c>
      <c r="R122" s="19">
        <v>42471</v>
      </c>
      <c r="S122" s="19">
        <v>42480</v>
      </c>
      <c r="T122" s="19">
        <v>42480</v>
      </c>
      <c r="AE122" s="2"/>
      <c r="AF122" s="2"/>
      <c r="AG122" s="2"/>
      <c r="AH122" s="3"/>
    </row>
    <row r="123" spans="1:34" x14ac:dyDescent="0.25">
      <c r="A123" s="11">
        <v>122</v>
      </c>
      <c r="B123" s="10" t="s">
        <v>90</v>
      </c>
      <c r="C123" s="10" t="s">
        <v>158</v>
      </c>
      <c r="D123" s="10" t="s">
        <v>120</v>
      </c>
      <c r="E123" s="10">
        <v>4201194890</v>
      </c>
      <c r="F123" s="10">
        <v>132</v>
      </c>
      <c r="G123" s="10">
        <v>271</v>
      </c>
      <c r="H123" s="10">
        <v>21490</v>
      </c>
      <c r="I123" s="10">
        <v>20378.5</v>
      </c>
      <c r="J123" s="10">
        <f>H123-I123</f>
        <v>1111.5</v>
      </c>
      <c r="K123" s="10" t="s">
        <v>75</v>
      </c>
      <c r="L123" s="10">
        <f t="shared" ref="L123" si="108">I123/G123</f>
        <v>75.197416974169741</v>
      </c>
      <c r="M123" s="10">
        <f t="shared" ref="M123" si="109">H123/G123</f>
        <v>79.298892988929893</v>
      </c>
      <c r="N123" s="10" t="s">
        <v>61</v>
      </c>
      <c r="O123" s="10" t="s">
        <v>62</v>
      </c>
      <c r="P123" s="10" t="s">
        <v>187</v>
      </c>
      <c r="Q123">
        <v>4</v>
      </c>
      <c r="R123" s="19">
        <v>42478</v>
      </c>
      <c r="S123" s="19">
        <v>42482</v>
      </c>
      <c r="T123" s="19">
        <v>42482</v>
      </c>
      <c r="AE123" s="2"/>
      <c r="AF123" s="2"/>
      <c r="AG123" s="2"/>
      <c r="AH123" s="3"/>
    </row>
    <row r="124" spans="1:34" x14ac:dyDescent="0.25">
      <c r="A124" s="36">
        <v>123</v>
      </c>
      <c r="B124" s="35" t="s">
        <v>50</v>
      </c>
      <c r="C124" s="35" t="s">
        <v>158</v>
      </c>
      <c r="D124" s="35" t="s">
        <v>76</v>
      </c>
      <c r="E124" s="35">
        <v>5000041382</v>
      </c>
      <c r="F124" s="35"/>
      <c r="G124" s="35"/>
      <c r="H124" s="35">
        <v>3641</v>
      </c>
      <c r="I124" s="35">
        <v>3641</v>
      </c>
      <c r="J124" s="35"/>
      <c r="K124" s="35" t="s">
        <v>53</v>
      </c>
      <c r="L124" s="35"/>
      <c r="M124" s="35">
        <v>2092.5287356321837</v>
      </c>
      <c r="N124" s="35" t="s">
        <v>57</v>
      </c>
      <c r="O124" s="35" t="s">
        <v>54</v>
      </c>
      <c r="P124" s="35" t="s">
        <v>77</v>
      </c>
      <c r="Q124" s="32">
        <v>12</v>
      </c>
      <c r="R124" s="37">
        <v>42482</v>
      </c>
      <c r="S124" s="37">
        <v>42486</v>
      </c>
      <c r="T124" s="37">
        <v>42487</v>
      </c>
      <c r="AE124" s="2"/>
      <c r="AF124" s="2"/>
      <c r="AG124" s="2"/>
      <c r="AH124" s="3"/>
    </row>
    <row r="125" spans="1:34" x14ac:dyDescent="0.25">
      <c r="A125" s="36">
        <v>124</v>
      </c>
      <c r="B125" s="35" t="s">
        <v>50</v>
      </c>
      <c r="C125" s="35" t="s">
        <v>158</v>
      </c>
      <c r="D125" s="35" t="s">
        <v>192</v>
      </c>
      <c r="E125" s="35">
        <v>5000041381</v>
      </c>
      <c r="F125" s="35"/>
      <c r="G125" s="35"/>
      <c r="H125" s="35">
        <v>595</v>
      </c>
      <c r="I125" s="35">
        <v>595</v>
      </c>
      <c r="J125" s="35"/>
      <c r="K125" s="35" t="s">
        <v>53</v>
      </c>
      <c r="L125" s="35"/>
      <c r="M125" s="35">
        <v>461.24031007751938</v>
      </c>
      <c r="N125" s="35" t="s">
        <v>57</v>
      </c>
      <c r="O125" s="35" t="s">
        <v>54</v>
      </c>
      <c r="P125" s="35" t="s">
        <v>77</v>
      </c>
      <c r="Q125" s="32">
        <v>12</v>
      </c>
      <c r="R125" s="37">
        <v>42482</v>
      </c>
      <c r="S125" s="37">
        <v>42486</v>
      </c>
      <c r="T125" s="37">
        <v>42487</v>
      </c>
      <c r="AE125" s="2"/>
      <c r="AF125" s="2"/>
      <c r="AG125" s="2"/>
      <c r="AH125" s="3"/>
    </row>
    <row r="126" spans="1:34" x14ac:dyDescent="0.25">
      <c r="A126" s="36">
        <v>125</v>
      </c>
      <c r="B126" s="35" t="s">
        <v>50</v>
      </c>
      <c r="C126" s="35" t="s">
        <v>158</v>
      </c>
      <c r="D126" s="35" t="s">
        <v>177</v>
      </c>
      <c r="E126" s="35">
        <v>5000041440</v>
      </c>
      <c r="F126" s="35"/>
      <c r="G126" s="35">
        <v>11.71</v>
      </c>
      <c r="H126" s="35">
        <v>1464</v>
      </c>
      <c r="I126" s="35">
        <v>1464</v>
      </c>
      <c r="J126" s="35"/>
      <c r="K126" s="35" t="s">
        <v>53</v>
      </c>
      <c r="L126" s="35"/>
      <c r="M126" s="35">
        <v>125.02134927412467</v>
      </c>
      <c r="N126" s="35" t="s">
        <v>57</v>
      </c>
      <c r="O126" s="35" t="s">
        <v>54</v>
      </c>
      <c r="P126" s="35" t="s">
        <v>83</v>
      </c>
      <c r="Q126" s="32">
        <v>11</v>
      </c>
      <c r="R126" s="37">
        <v>42479</v>
      </c>
      <c r="S126" s="37">
        <v>42489</v>
      </c>
      <c r="T126" s="37">
        <v>42489</v>
      </c>
      <c r="AE126" s="2"/>
      <c r="AF126" s="2"/>
      <c r="AG126" s="2"/>
      <c r="AH126" s="3"/>
    </row>
    <row r="127" spans="1:34" x14ac:dyDescent="0.25">
      <c r="A127" s="36">
        <v>126</v>
      </c>
      <c r="B127" s="35" t="s">
        <v>122</v>
      </c>
      <c r="C127" s="35" t="s">
        <v>158</v>
      </c>
      <c r="D127" s="35" t="s">
        <v>130</v>
      </c>
      <c r="E127" s="35">
        <v>2360067682</v>
      </c>
      <c r="F127" s="35"/>
      <c r="G127" s="35">
        <v>0.09</v>
      </c>
      <c r="H127" s="35">
        <v>69</v>
      </c>
      <c r="I127" s="35">
        <v>69</v>
      </c>
      <c r="J127" s="35"/>
      <c r="K127" s="35" t="s">
        <v>75</v>
      </c>
      <c r="L127" s="35"/>
      <c r="M127" s="35">
        <v>766.66666666666674</v>
      </c>
      <c r="N127" s="35" t="s">
        <v>82</v>
      </c>
      <c r="O127" s="35" t="s">
        <v>54</v>
      </c>
      <c r="P127" s="35" t="s">
        <v>77</v>
      </c>
      <c r="Q127" s="32">
        <v>12</v>
      </c>
      <c r="R127" s="37">
        <v>42464</v>
      </c>
      <c r="S127" s="37">
        <v>42489</v>
      </c>
      <c r="T127" s="37">
        <v>42489</v>
      </c>
      <c r="AE127" s="2"/>
      <c r="AF127" s="2"/>
      <c r="AG127" s="2"/>
      <c r="AH127" s="3"/>
    </row>
    <row r="128" spans="1:34" x14ac:dyDescent="0.25">
      <c r="A128" s="36">
        <v>127</v>
      </c>
      <c r="B128" s="35" t="s">
        <v>65</v>
      </c>
      <c r="C128" s="35" t="s">
        <v>158</v>
      </c>
      <c r="D128" s="35" t="s">
        <v>193</v>
      </c>
      <c r="E128" s="35">
        <v>2360067697</v>
      </c>
      <c r="F128" s="35"/>
      <c r="G128" s="35">
        <v>0.33</v>
      </c>
      <c r="H128" s="35">
        <v>61</v>
      </c>
      <c r="I128" s="35">
        <v>61</v>
      </c>
      <c r="J128" s="35"/>
      <c r="K128" s="35" t="s">
        <v>75</v>
      </c>
      <c r="L128" s="35"/>
      <c r="M128" s="35">
        <v>184.84848484848484</v>
      </c>
      <c r="N128" s="35" t="s">
        <v>68</v>
      </c>
      <c r="O128" s="35" t="s">
        <v>54</v>
      </c>
      <c r="P128" s="35" t="s">
        <v>83</v>
      </c>
      <c r="Q128" s="32">
        <v>11</v>
      </c>
      <c r="R128" s="37">
        <v>42484</v>
      </c>
      <c r="S128" s="37">
        <v>42489</v>
      </c>
      <c r="T128" s="37">
        <v>42489</v>
      </c>
      <c r="AE128" s="2"/>
      <c r="AF128" s="2"/>
      <c r="AG128" s="2"/>
      <c r="AH128" s="3"/>
    </row>
    <row r="129" spans="1:34" x14ac:dyDescent="0.25">
      <c r="A129" s="36">
        <v>128</v>
      </c>
      <c r="B129" s="35" t="s">
        <v>79</v>
      </c>
      <c r="C129" s="35" t="s">
        <v>158</v>
      </c>
      <c r="D129" s="35" t="s">
        <v>156</v>
      </c>
      <c r="E129" s="35">
        <v>2360067653</v>
      </c>
      <c r="F129" s="35"/>
      <c r="G129" s="35">
        <v>0.44</v>
      </c>
      <c r="H129" s="35">
        <v>0.55000000000000004</v>
      </c>
      <c r="I129" s="35">
        <v>61</v>
      </c>
      <c r="J129" s="35"/>
      <c r="K129" s="35" t="s">
        <v>75</v>
      </c>
      <c r="L129" s="35"/>
      <c r="M129" s="35">
        <v>1.25</v>
      </c>
      <c r="N129" s="35" t="s">
        <v>61</v>
      </c>
      <c r="O129" s="35" t="s">
        <v>62</v>
      </c>
      <c r="P129" s="35" t="s">
        <v>83</v>
      </c>
      <c r="Q129" s="32">
        <v>11</v>
      </c>
      <c r="R129" s="37">
        <v>42472</v>
      </c>
      <c r="S129" s="37">
        <v>42489</v>
      </c>
      <c r="T129" s="37">
        <v>42489</v>
      </c>
      <c r="AE129" s="2"/>
      <c r="AF129" s="2"/>
      <c r="AG129" s="2"/>
      <c r="AH129" s="3"/>
    </row>
    <row r="130" spans="1:34" s="32" customFormat="1" x14ac:dyDescent="0.25">
      <c r="A130" s="36"/>
      <c r="B130" s="38" t="s">
        <v>50</v>
      </c>
      <c r="C130" s="38" t="s">
        <v>189</v>
      </c>
      <c r="D130" s="38" t="s">
        <v>99</v>
      </c>
      <c r="E130" s="38">
        <v>5000041519</v>
      </c>
      <c r="F130" s="35"/>
      <c r="G130" s="35">
        <f>108*0.264</f>
        <v>28.512</v>
      </c>
      <c r="H130" s="35">
        <v>2514</v>
      </c>
      <c r="I130" s="35">
        <f t="shared" ref="I130" si="110">H130</f>
        <v>2514</v>
      </c>
      <c r="J130" s="35"/>
      <c r="K130" s="35" t="s">
        <v>53</v>
      </c>
      <c r="L130" s="35">
        <f t="shared" ref="L130" si="111">I130/G130</f>
        <v>88.173400673400678</v>
      </c>
      <c r="M130" s="35">
        <f t="shared" ref="M130" si="112">H130/G130</f>
        <v>88.173400673400678</v>
      </c>
      <c r="N130" s="35" t="s">
        <v>57</v>
      </c>
      <c r="O130" s="35" t="s">
        <v>54</v>
      </c>
      <c r="P130" s="35" t="s">
        <v>205</v>
      </c>
      <c r="Q130" s="32">
        <v>11</v>
      </c>
      <c r="R130" s="37">
        <v>42488</v>
      </c>
      <c r="S130" s="37">
        <v>42489</v>
      </c>
      <c r="T130" s="37">
        <v>42489</v>
      </c>
      <c r="AE130" s="33"/>
      <c r="AF130" s="33"/>
      <c r="AG130" s="33"/>
      <c r="AH130" s="34"/>
    </row>
    <row r="131" spans="1:34" x14ac:dyDescent="0.25">
      <c r="A131" s="31">
        <v>129</v>
      </c>
      <c r="B131" s="40" t="s">
        <v>79</v>
      </c>
      <c r="C131" s="40" t="s">
        <v>158</v>
      </c>
      <c r="D131" s="40" t="s">
        <v>195</v>
      </c>
      <c r="E131" s="40">
        <v>2360067775</v>
      </c>
      <c r="F131" s="35"/>
      <c r="G131" s="40">
        <v>3</v>
      </c>
      <c r="H131" s="40">
        <v>274</v>
      </c>
      <c r="I131" s="40">
        <v>274</v>
      </c>
      <c r="J131" s="35"/>
      <c r="K131" s="40" t="s">
        <v>75</v>
      </c>
      <c r="L131" s="35"/>
      <c r="M131" s="40">
        <v>91.333333333333329</v>
      </c>
      <c r="N131" s="40" t="s">
        <v>54</v>
      </c>
      <c r="O131" s="40" t="s">
        <v>54</v>
      </c>
      <c r="P131" s="35" t="s">
        <v>83</v>
      </c>
      <c r="Q131" s="32">
        <v>11</v>
      </c>
      <c r="R131" s="37">
        <v>42485</v>
      </c>
      <c r="S131" s="37">
        <v>42489</v>
      </c>
      <c r="T131" s="37">
        <v>42492</v>
      </c>
      <c r="AE131" s="2"/>
      <c r="AF131" s="2"/>
      <c r="AG131" s="2"/>
      <c r="AH131" s="3"/>
    </row>
    <row r="132" spans="1:34" x14ac:dyDescent="0.25">
      <c r="A132" s="31">
        <v>130</v>
      </c>
      <c r="B132" s="40" t="s">
        <v>65</v>
      </c>
      <c r="C132" s="40" t="s">
        <v>158</v>
      </c>
      <c r="D132" s="40" t="s">
        <v>196</v>
      </c>
      <c r="E132" s="40">
        <v>4201200181</v>
      </c>
      <c r="F132" s="35">
        <v>11</v>
      </c>
      <c r="G132" s="40">
        <v>9.49</v>
      </c>
      <c r="H132" s="40">
        <v>1644</v>
      </c>
      <c r="I132" s="40">
        <v>665</v>
      </c>
      <c r="J132" s="35">
        <v>979</v>
      </c>
      <c r="K132" s="40" t="s">
        <v>67</v>
      </c>
      <c r="L132" s="35"/>
      <c r="M132" s="40">
        <v>173.23498419388829</v>
      </c>
      <c r="N132" s="40" t="s">
        <v>68</v>
      </c>
      <c r="O132" s="40" t="s">
        <v>54</v>
      </c>
      <c r="P132" s="40" t="s">
        <v>197</v>
      </c>
      <c r="Q132" s="32">
        <v>6</v>
      </c>
      <c r="R132" s="37">
        <v>42487</v>
      </c>
      <c r="S132" s="37">
        <v>42492</v>
      </c>
      <c r="T132" s="37">
        <v>42492</v>
      </c>
      <c r="AE132" s="2"/>
      <c r="AF132" s="2"/>
      <c r="AG132" s="2"/>
      <c r="AH132" s="3"/>
    </row>
    <row r="133" spans="1:34" x14ac:dyDescent="0.25">
      <c r="A133" s="31">
        <v>131</v>
      </c>
      <c r="B133" s="40" t="s">
        <v>73</v>
      </c>
      <c r="C133" s="40" t="s">
        <v>194</v>
      </c>
      <c r="D133" s="40" t="s">
        <v>198</v>
      </c>
      <c r="E133" s="40">
        <v>4201200300</v>
      </c>
      <c r="F133" s="35">
        <v>3.3</v>
      </c>
      <c r="G133" s="40">
        <v>1.4</v>
      </c>
      <c r="H133" s="40">
        <v>770</v>
      </c>
      <c r="I133" s="40">
        <v>120</v>
      </c>
      <c r="J133" s="40">
        <v>650</v>
      </c>
      <c r="K133" s="40" t="s">
        <v>71</v>
      </c>
      <c r="L133" s="35"/>
      <c r="M133" s="40">
        <v>550</v>
      </c>
      <c r="N133" s="40" t="s">
        <v>54</v>
      </c>
      <c r="O133" s="40" t="s">
        <v>54</v>
      </c>
      <c r="P133" s="40" t="s">
        <v>199</v>
      </c>
      <c r="Q133" s="32">
        <v>2</v>
      </c>
      <c r="R133" s="37">
        <v>42433</v>
      </c>
      <c r="S133" s="37">
        <v>42492</v>
      </c>
      <c r="T133" s="37">
        <v>42494</v>
      </c>
      <c r="AE133" s="2"/>
      <c r="AF133" s="2"/>
      <c r="AG133" s="2"/>
      <c r="AH133" s="3"/>
    </row>
    <row r="134" spans="1:34" x14ac:dyDescent="0.25">
      <c r="A134" s="31">
        <v>132</v>
      </c>
      <c r="B134" s="40" t="s">
        <v>58</v>
      </c>
      <c r="C134" s="40" t="s">
        <v>194</v>
      </c>
      <c r="D134" s="40" t="s">
        <v>200</v>
      </c>
      <c r="E134" s="40">
        <v>2360067868</v>
      </c>
      <c r="F134" s="35">
        <v>7</v>
      </c>
      <c r="G134" s="40">
        <v>0.8</v>
      </c>
      <c r="H134" s="40">
        <v>85</v>
      </c>
      <c r="I134" s="40">
        <v>85</v>
      </c>
      <c r="J134" s="35"/>
      <c r="K134" s="40" t="s">
        <v>75</v>
      </c>
      <c r="L134" s="35"/>
      <c r="M134" s="40">
        <v>106.25</v>
      </c>
      <c r="N134" s="40" t="s">
        <v>54</v>
      </c>
      <c r="O134" s="40" t="s">
        <v>54</v>
      </c>
      <c r="P134" s="40" t="s">
        <v>201</v>
      </c>
      <c r="Q134" s="32">
        <v>11</v>
      </c>
      <c r="R134" s="37">
        <v>42481</v>
      </c>
      <c r="S134" s="37">
        <v>42494</v>
      </c>
      <c r="T134" s="37">
        <v>42494</v>
      </c>
      <c r="AE134" s="2"/>
      <c r="AF134" s="2"/>
      <c r="AG134" s="2"/>
      <c r="AH134" s="3"/>
    </row>
    <row r="135" spans="1:34" x14ac:dyDescent="0.25">
      <c r="A135" s="31">
        <v>133</v>
      </c>
      <c r="B135" s="40" t="s">
        <v>79</v>
      </c>
      <c r="C135" s="40" t="s">
        <v>194</v>
      </c>
      <c r="D135" s="40" t="s">
        <v>202</v>
      </c>
      <c r="E135" s="40">
        <v>2360067867</v>
      </c>
      <c r="F135" s="35">
        <v>0.44</v>
      </c>
      <c r="G135" s="40">
        <v>0.34</v>
      </c>
      <c r="H135" s="40">
        <v>105</v>
      </c>
      <c r="I135" s="40">
        <v>105</v>
      </c>
      <c r="J135" s="35"/>
      <c r="K135" s="40" t="s">
        <v>75</v>
      </c>
      <c r="L135" s="35"/>
      <c r="M135" s="40">
        <v>308.8235294117647</v>
      </c>
      <c r="N135" s="40" t="s">
        <v>82</v>
      </c>
      <c r="O135" s="40" t="s">
        <v>54</v>
      </c>
      <c r="P135" s="40" t="s">
        <v>136</v>
      </c>
      <c r="Q135" s="32">
        <v>20</v>
      </c>
      <c r="R135" s="37">
        <v>42476</v>
      </c>
      <c r="S135" s="37">
        <v>42494</v>
      </c>
      <c r="T135" s="37">
        <v>42494</v>
      </c>
      <c r="AE135" s="2"/>
      <c r="AF135" s="2"/>
      <c r="AG135" s="2"/>
      <c r="AH135" s="3"/>
    </row>
    <row r="136" spans="1:34" x14ac:dyDescent="0.25">
      <c r="A136" s="11">
        <v>134</v>
      </c>
      <c r="B136" s="38" t="s">
        <v>122</v>
      </c>
      <c r="C136" s="38" t="s">
        <v>189</v>
      </c>
      <c r="D136" s="38" t="s">
        <v>188</v>
      </c>
      <c r="E136" s="38">
        <v>2360067942</v>
      </c>
      <c r="F136" s="10"/>
      <c r="G136" s="10">
        <v>1.08</v>
      </c>
      <c r="H136" s="10">
        <v>104.59</v>
      </c>
      <c r="I136" s="10">
        <f t="shared" ref="I136:I143" si="113">H136</f>
        <v>104.59</v>
      </c>
      <c r="J136" s="10"/>
      <c r="K136" s="10" t="s">
        <v>75</v>
      </c>
      <c r="L136" s="10">
        <f t="shared" ref="L136" si="114">I136/G136</f>
        <v>96.842592592592595</v>
      </c>
      <c r="M136" s="10">
        <f t="shared" ref="M136" si="115">H136/G136</f>
        <v>96.842592592592595</v>
      </c>
      <c r="N136" s="10" t="s">
        <v>54</v>
      </c>
      <c r="O136" s="10" t="s">
        <v>54</v>
      </c>
      <c r="P136" s="10" t="s">
        <v>142</v>
      </c>
      <c r="Q136">
        <v>11</v>
      </c>
      <c r="R136" s="19">
        <v>42450</v>
      </c>
      <c r="S136" s="19">
        <v>42496</v>
      </c>
      <c r="T136" s="19">
        <v>42500</v>
      </c>
      <c r="AE136" s="2"/>
      <c r="AF136" s="2"/>
      <c r="AG136" s="2"/>
      <c r="AH136" s="3"/>
    </row>
    <row r="137" spans="1:34" x14ac:dyDescent="0.25">
      <c r="A137" s="11">
        <v>135</v>
      </c>
      <c r="B137" s="38" t="s">
        <v>50</v>
      </c>
      <c r="C137" s="38" t="s">
        <v>189</v>
      </c>
      <c r="D137" s="38" t="s">
        <v>52</v>
      </c>
      <c r="E137" s="38">
        <v>5000041662</v>
      </c>
      <c r="F137" s="10"/>
      <c r="G137" s="10"/>
      <c r="H137" s="10">
        <f>753</f>
        <v>753</v>
      </c>
      <c r="I137" s="10">
        <f t="shared" si="113"/>
        <v>753</v>
      </c>
      <c r="J137" s="10"/>
      <c r="K137" s="10" t="s">
        <v>53</v>
      </c>
      <c r="L137" s="10"/>
      <c r="M137" s="10"/>
      <c r="N137" s="10" t="s">
        <v>57</v>
      </c>
      <c r="O137" s="10" t="s">
        <v>54</v>
      </c>
      <c r="P137" s="10" t="s">
        <v>190</v>
      </c>
      <c r="Q137">
        <v>12</v>
      </c>
      <c r="R137" s="19">
        <v>42499</v>
      </c>
      <c r="S137" s="19">
        <v>42500</v>
      </c>
      <c r="T137" s="19">
        <v>42501</v>
      </c>
      <c r="AE137" s="2"/>
      <c r="AF137" s="2"/>
      <c r="AG137" s="2"/>
      <c r="AH137" s="3"/>
    </row>
    <row r="138" spans="1:34" x14ac:dyDescent="0.25">
      <c r="A138" s="11">
        <v>136</v>
      </c>
      <c r="B138" s="38" t="s">
        <v>50</v>
      </c>
      <c r="C138" s="38" t="s">
        <v>189</v>
      </c>
      <c r="D138" s="38" t="s">
        <v>76</v>
      </c>
      <c r="E138" s="38">
        <v>5000041666</v>
      </c>
      <c r="F138" s="10"/>
      <c r="G138" s="10"/>
      <c r="H138" s="10">
        <v>575</v>
      </c>
      <c r="I138" s="10">
        <f t="shared" si="113"/>
        <v>575</v>
      </c>
      <c r="J138" s="10"/>
      <c r="K138" s="10" t="s">
        <v>53</v>
      </c>
      <c r="L138" s="10"/>
      <c r="M138" s="10"/>
      <c r="N138" s="10" t="s">
        <v>57</v>
      </c>
      <c r="O138" s="10" t="s">
        <v>54</v>
      </c>
      <c r="P138" s="10" t="s">
        <v>191</v>
      </c>
      <c r="Q138">
        <v>12</v>
      </c>
      <c r="R138" s="19">
        <v>42495</v>
      </c>
      <c r="S138" s="19">
        <v>42500</v>
      </c>
      <c r="T138" s="19">
        <v>42501</v>
      </c>
      <c r="AE138" s="2"/>
      <c r="AF138" s="2"/>
      <c r="AG138" s="2"/>
      <c r="AH138" s="3"/>
    </row>
    <row r="139" spans="1:34" s="32" customFormat="1" x14ac:dyDescent="0.25">
      <c r="A139" s="36">
        <v>137</v>
      </c>
      <c r="B139" s="38" t="s">
        <v>58</v>
      </c>
      <c r="C139" s="38" t="s">
        <v>189</v>
      </c>
      <c r="D139" s="38" t="s">
        <v>203</v>
      </c>
      <c r="E139" s="38">
        <v>2360068031</v>
      </c>
      <c r="F139" s="35"/>
      <c r="G139" s="35">
        <f>8*0.276</f>
        <v>2.2080000000000002</v>
      </c>
      <c r="H139" s="35">
        <v>88.4</v>
      </c>
      <c r="I139" s="35">
        <f t="shared" si="113"/>
        <v>88.4</v>
      </c>
      <c r="J139" s="35"/>
      <c r="K139" s="35" t="s">
        <v>60</v>
      </c>
      <c r="L139" s="35">
        <f t="shared" ref="L139" si="116">I139/G139</f>
        <v>40.036231884057969</v>
      </c>
      <c r="M139" s="35">
        <f t="shared" ref="M139" si="117">H139/G139</f>
        <v>40.036231884057969</v>
      </c>
      <c r="N139" s="35" t="s">
        <v>61</v>
      </c>
      <c r="O139" s="35" t="s">
        <v>62</v>
      </c>
      <c r="P139" s="35" t="s">
        <v>83</v>
      </c>
      <c r="Q139" s="32">
        <v>11</v>
      </c>
      <c r="R139" s="37">
        <v>42495</v>
      </c>
      <c r="S139" s="37">
        <v>42501</v>
      </c>
      <c r="T139" s="37">
        <v>42502</v>
      </c>
      <c r="AE139" s="33"/>
      <c r="AF139" s="33"/>
      <c r="AG139" s="33"/>
      <c r="AH139" s="34"/>
    </row>
    <row r="140" spans="1:34" s="32" customFormat="1" x14ac:dyDescent="0.25">
      <c r="A140" s="36">
        <v>138</v>
      </c>
      <c r="B140" s="38" t="s">
        <v>58</v>
      </c>
      <c r="C140" s="38" t="s">
        <v>189</v>
      </c>
      <c r="D140" s="38" t="s">
        <v>204</v>
      </c>
      <c r="E140" s="38">
        <v>2360068036</v>
      </c>
      <c r="F140" s="35"/>
      <c r="G140" s="35">
        <f>28.32</f>
        <v>28.32</v>
      </c>
      <c r="H140" s="35">
        <v>2052.5</v>
      </c>
      <c r="I140" s="35">
        <f t="shared" si="113"/>
        <v>2052.5</v>
      </c>
      <c r="J140" s="35"/>
      <c r="K140" s="35" t="s">
        <v>75</v>
      </c>
      <c r="L140" s="35">
        <f t="shared" ref="L140" si="118">I140/G140</f>
        <v>72.475282485875709</v>
      </c>
      <c r="M140" s="35">
        <f t="shared" ref="M140" si="119">H140/G140</f>
        <v>72.475282485875709</v>
      </c>
      <c r="N140" s="35" t="s">
        <v>54</v>
      </c>
      <c r="O140" s="35" t="s">
        <v>54</v>
      </c>
      <c r="P140" s="35" t="s">
        <v>83</v>
      </c>
      <c r="Q140" s="32">
        <v>11</v>
      </c>
      <c r="R140" s="37">
        <v>42486</v>
      </c>
      <c r="S140" s="37">
        <v>42501</v>
      </c>
      <c r="T140" s="37">
        <v>42502</v>
      </c>
      <c r="AE140" s="33"/>
      <c r="AF140" s="33"/>
      <c r="AG140" s="33"/>
      <c r="AH140" s="34"/>
    </row>
    <row r="141" spans="1:34" s="32" customFormat="1" x14ac:dyDescent="0.25">
      <c r="A141" s="36">
        <v>139</v>
      </c>
      <c r="B141" s="38" t="s">
        <v>50</v>
      </c>
      <c r="C141" s="38" t="s">
        <v>189</v>
      </c>
      <c r="D141" s="38" t="s">
        <v>99</v>
      </c>
      <c r="E141" s="38">
        <v>5000041735</v>
      </c>
      <c r="F141" s="35"/>
      <c r="G141" s="35">
        <v>1.4</v>
      </c>
      <c r="H141" s="35">
        <v>187.58</v>
      </c>
      <c r="I141" s="35">
        <f t="shared" si="113"/>
        <v>187.58</v>
      </c>
      <c r="J141" s="35"/>
      <c r="K141" s="35" t="s">
        <v>53</v>
      </c>
      <c r="L141" s="35">
        <f t="shared" ref="L141" si="120">I141/G141</f>
        <v>133.98571428571429</v>
      </c>
      <c r="M141" s="35">
        <f t="shared" ref="M141" si="121">H141/G141</f>
        <v>133.98571428571429</v>
      </c>
      <c r="N141" s="35" t="s">
        <v>57</v>
      </c>
      <c r="O141" s="35" t="s">
        <v>54</v>
      </c>
      <c r="P141" s="35" t="s">
        <v>116</v>
      </c>
      <c r="Q141" s="32">
        <v>12</v>
      </c>
      <c r="R141" s="37">
        <v>42494</v>
      </c>
      <c r="S141" s="37">
        <v>42502</v>
      </c>
      <c r="T141" s="37">
        <v>42502</v>
      </c>
      <c r="AE141" s="33"/>
      <c r="AF141" s="33"/>
      <c r="AG141" s="33"/>
      <c r="AH141" s="34"/>
    </row>
    <row r="142" spans="1:34" s="32" customFormat="1" x14ac:dyDescent="0.25">
      <c r="A142" s="36">
        <v>140</v>
      </c>
      <c r="B142" s="38" t="s">
        <v>50</v>
      </c>
      <c r="C142" s="38" t="s">
        <v>189</v>
      </c>
      <c r="D142" s="38" t="s">
        <v>99</v>
      </c>
      <c r="E142" s="38">
        <v>5000041732</v>
      </c>
      <c r="F142" s="35"/>
      <c r="G142" s="35">
        <f>75*0.264</f>
        <v>19.8</v>
      </c>
      <c r="H142" s="35">
        <v>1748.64</v>
      </c>
      <c r="I142" s="35">
        <f t="shared" si="113"/>
        <v>1748.64</v>
      </c>
      <c r="J142" s="35"/>
      <c r="K142" s="35" t="s">
        <v>53</v>
      </c>
      <c r="L142" s="35">
        <f t="shared" ref="L142" si="122">I142/G142</f>
        <v>88.315151515151513</v>
      </c>
      <c r="M142" s="35">
        <f t="shared" ref="M142" si="123">H142/G142</f>
        <v>88.315151515151513</v>
      </c>
      <c r="N142" s="35" t="s">
        <v>57</v>
      </c>
      <c r="O142" s="35" t="s">
        <v>54</v>
      </c>
      <c r="P142" s="35" t="s">
        <v>205</v>
      </c>
      <c r="Q142" s="32">
        <v>11</v>
      </c>
      <c r="R142" s="37">
        <v>42499</v>
      </c>
      <c r="S142" s="37">
        <v>42502</v>
      </c>
      <c r="T142" s="37">
        <v>42502</v>
      </c>
      <c r="AE142" s="33"/>
      <c r="AF142" s="33"/>
      <c r="AG142" s="33"/>
      <c r="AH142" s="34"/>
    </row>
    <row r="143" spans="1:34" s="32" customFormat="1" x14ac:dyDescent="0.25">
      <c r="A143" s="36">
        <v>141</v>
      </c>
      <c r="B143" s="38" t="s">
        <v>90</v>
      </c>
      <c r="C143" s="38" t="s">
        <v>189</v>
      </c>
      <c r="D143" s="38" t="s">
        <v>91</v>
      </c>
      <c r="E143" s="38">
        <v>4201206660</v>
      </c>
      <c r="F143" s="35">
        <v>33</v>
      </c>
      <c r="G143" s="35">
        <v>4.42</v>
      </c>
      <c r="H143" s="35">
        <v>353.34</v>
      </c>
      <c r="I143" s="35">
        <f t="shared" si="113"/>
        <v>353.34</v>
      </c>
      <c r="J143" s="35"/>
      <c r="K143" s="35" t="s">
        <v>71</v>
      </c>
      <c r="L143" s="35">
        <f t="shared" ref="L143" si="124">I143/G143</f>
        <v>79.941176470588232</v>
      </c>
      <c r="M143" s="35">
        <f t="shared" ref="M143" si="125">H143/G143</f>
        <v>79.941176470588232</v>
      </c>
      <c r="N143" s="35" t="s">
        <v>82</v>
      </c>
      <c r="O143" s="35" t="s">
        <v>54</v>
      </c>
      <c r="P143" s="35" t="s">
        <v>206</v>
      </c>
      <c r="Q143" s="32">
        <v>1</v>
      </c>
      <c r="R143" s="37">
        <v>42494</v>
      </c>
      <c r="S143" s="37">
        <v>42503</v>
      </c>
      <c r="T143" s="37">
        <v>42506</v>
      </c>
      <c r="AE143" s="33"/>
      <c r="AF143" s="33"/>
      <c r="AG143" s="33"/>
      <c r="AH143" s="34"/>
    </row>
    <row r="144" spans="1:34" s="32" customFormat="1" x14ac:dyDescent="0.25">
      <c r="A144" s="36">
        <v>142</v>
      </c>
      <c r="B144" s="38" t="s">
        <v>79</v>
      </c>
      <c r="C144" s="38" t="s">
        <v>189</v>
      </c>
      <c r="D144" s="38" t="s">
        <v>207</v>
      </c>
      <c r="E144" s="38">
        <v>4201205918</v>
      </c>
      <c r="F144" s="35">
        <v>11</v>
      </c>
      <c r="G144" s="35">
        <f>2.9*2</f>
        <v>5.8</v>
      </c>
      <c r="H144" s="35">
        <v>710</v>
      </c>
      <c r="I144" s="35">
        <v>432</v>
      </c>
      <c r="J144" s="35">
        <f t="shared" ref="J144:J150" si="126">H144-I144</f>
        <v>278</v>
      </c>
      <c r="K144" s="35" t="s">
        <v>71</v>
      </c>
      <c r="L144" s="35">
        <f t="shared" ref="L144" si="127">I144/G144</f>
        <v>74.482758620689651</v>
      </c>
      <c r="M144" s="35">
        <f t="shared" ref="M144" si="128">H144/G144</f>
        <v>122.41379310344828</v>
      </c>
      <c r="N144" s="35" t="s">
        <v>61</v>
      </c>
      <c r="O144" s="35" t="s">
        <v>62</v>
      </c>
      <c r="P144" s="35" t="s">
        <v>206</v>
      </c>
      <c r="Q144" s="32">
        <v>1</v>
      </c>
      <c r="R144" s="37">
        <v>42488</v>
      </c>
      <c r="S144" s="37">
        <v>42502</v>
      </c>
      <c r="T144" s="37">
        <v>42506</v>
      </c>
      <c r="AE144" s="33"/>
      <c r="AF144" s="33"/>
      <c r="AG144" s="33"/>
      <c r="AH144" s="34"/>
    </row>
    <row r="145" spans="1:34" s="32" customFormat="1" x14ac:dyDescent="0.25">
      <c r="A145" s="36">
        <v>143</v>
      </c>
      <c r="B145" s="38" t="s">
        <v>79</v>
      </c>
      <c r="C145" s="38" t="s">
        <v>189</v>
      </c>
      <c r="D145" s="38" t="s">
        <v>207</v>
      </c>
      <c r="E145" s="38">
        <v>4201205923</v>
      </c>
      <c r="F145" s="35">
        <v>11</v>
      </c>
      <c r="G145" s="35">
        <f>2.9*2</f>
        <v>5.8</v>
      </c>
      <c r="H145" s="35">
        <v>710</v>
      </c>
      <c r="I145" s="35">
        <v>432</v>
      </c>
      <c r="J145" s="35">
        <f t="shared" si="126"/>
        <v>278</v>
      </c>
      <c r="K145" s="35" t="s">
        <v>71</v>
      </c>
      <c r="L145" s="35">
        <f t="shared" ref="L145" si="129">I145/G145</f>
        <v>74.482758620689651</v>
      </c>
      <c r="M145" s="35">
        <f t="shared" ref="M145" si="130">H145/G145</f>
        <v>122.41379310344828</v>
      </c>
      <c r="N145" s="35" t="s">
        <v>61</v>
      </c>
      <c r="O145" s="35" t="s">
        <v>62</v>
      </c>
      <c r="P145" s="35" t="s">
        <v>206</v>
      </c>
      <c r="Q145" s="32">
        <v>1</v>
      </c>
      <c r="R145" s="37">
        <v>42488</v>
      </c>
      <c r="S145" s="37">
        <v>42502</v>
      </c>
      <c r="T145" s="37">
        <v>42506</v>
      </c>
      <c r="AE145" s="33"/>
      <c r="AF145" s="33"/>
      <c r="AG145" s="33"/>
      <c r="AH145" s="34"/>
    </row>
    <row r="146" spans="1:34" s="32" customFormat="1" x14ac:dyDescent="0.25">
      <c r="A146" s="36">
        <v>144</v>
      </c>
      <c r="B146" s="38" t="s">
        <v>58</v>
      </c>
      <c r="C146" s="38" t="s">
        <v>189</v>
      </c>
      <c r="D146" s="38" t="s">
        <v>208</v>
      </c>
      <c r="E146" s="38">
        <v>4201205981</v>
      </c>
      <c r="F146" s="35">
        <v>33</v>
      </c>
      <c r="G146" s="35">
        <v>13</v>
      </c>
      <c r="H146" s="35">
        <v>1489.46</v>
      </c>
      <c r="I146" s="35">
        <v>1083</v>
      </c>
      <c r="J146" s="35">
        <f t="shared" si="126"/>
        <v>406.46000000000004</v>
      </c>
      <c r="K146" s="35" t="s">
        <v>60</v>
      </c>
      <c r="L146" s="35">
        <f t="shared" ref="L146" si="131">I146/G146</f>
        <v>83.307692307692307</v>
      </c>
      <c r="M146" s="35">
        <f t="shared" ref="M146" si="132">H146/G146</f>
        <v>114.57384615384616</v>
      </c>
      <c r="N146" s="35" t="s">
        <v>61</v>
      </c>
      <c r="O146" s="35" t="s">
        <v>62</v>
      </c>
      <c r="P146" s="35" t="s">
        <v>206</v>
      </c>
      <c r="Q146" s="32">
        <v>1</v>
      </c>
      <c r="R146" s="37">
        <v>42487</v>
      </c>
      <c r="S146" s="37">
        <v>42502</v>
      </c>
      <c r="T146" s="37">
        <v>42506</v>
      </c>
      <c r="AE146" s="33"/>
      <c r="AF146" s="33"/>
      <c r="AG146" s="33"/>
      <c r="AH146" s="34"/>
    </row>
    <row r="147" spans="1:34" s="32" customFormat="1" x14ac:dyDescent="0.25">
      <c r="A147" s="36">
        <v>145</v>
      </c>
      <c r="B147" s="38" t="s">
        <v>58</v>
      </c>
      <c r="C147" s="38" t="s">
        <v>189</v>
      </c>
      <c r="D147" s="38" t="s">
        <v>208</v>
      </c>
      <c r="E147" s="38">
        <v>4201206015</v>
      </c>
      <c r="F147" s="35">
        <v>33</v>
      </c>
      <c r="G147" s="35">
        <v>13</v>
      </c>
      <c r="H147" s="35">
        <v>1489.46</v>
      </c>
      <c r="I147" s="35">
        <v>1083</v>
      </c>
      <c r="J147" s="35">
        <f t="shared" si="126"/>
        <v>406.46000000000004</v>
      </c>
      <c r="K147" s="35" t="s">
        <v>60</v>
      </c>
      <c r="L147" s="35">
        <f t="shared" ref="L147:L149" si="133">I147/G147</f>
        <v>83.307692307692307</v>
      </c>
      <c r="M147" s="35">
        <f t="shared" ref="M147:M149" si="134">H147/G147</f>
        <v>114.57384615384616</v>
      </c>
      <c r="N147" s="35" t="s">
        <v>61</v>
      </c>
      <c r="O147" s="35" t="s">
        <v>62</v>
      </c>
      <c r="P147" s="35" t="s">
        <v>206</v>
      </c>
      <c r="Q147" s="32">
        <v>1</v>
      </c>
      <c r="R147" s="37">
        <v>42487</v>
      </c>
      <c r="S147" s="37">
        <v>42502</v>
      </c>
      <c r="T147" s="37">
        <v>42506</v>
      </c>
      <c r="AE147" s="33"/>
      <c r="AF147" s="33"/>
      <c r="AG147" s="33"/>
      <c r="AH147" s="34"/>
    </row>
    <row r="148" spans="1:34" s="32" customFormat="1" x14ac:dyDescent="0.25">
      <c r="A148" s="36">
        <v>146</v>
      </c>
      <c r="B148" s="38" t="s">
        <v>58</v>
      </c>
      <c r="C148" s="38" t="s">
        <v>189</v>
      </c>
      <c r="D148" s="38" t="s">
        <v>208</v>
      </c>
      <c r="E148" s="38">
        <v>4201206022</v>
      </c>
      <c r="F148" s="35">
        <v>33</v>
      </c>
      <c r="G148" s="35">
        <v>13</v>
      </c>
      <c r="H148" s="35">
        <v>1489.46</v>
      </c>
      <c r="I148" s="35">
        <v>1083</v>
      </c>
      <c r="J148" s="35">
        <f t="shared" si="126"/>
        <v>406.46000000000004</v>
      </c>
      <c r="K148" s="35" t="s">
        <v>60</v>
      </c>
      <c r="L148" s="35">
        <f t="shared" si="133"/>
        <v>83.307692307692307</v>
      </c>
      <c r="M148" s="35">
        <f t="shared" si="134"/>
        <v>114.57384615384616</v>
      </c>
      <c r="N148" s="35" t="s">
        <v>61</v>
      </c>
      <c r="O148" s="35" t="s">
        <v>62</v>
      </c>
      <c r="P148" s="35" t="s">
        <v>206</v>
      </c>
      <c r="Q148" s="32">
        <v>1</v>
      </c>
      <c r="R148" s="37">
        <v>42487</v>
      </c>
      <c r="S148" s="37">
        <v>42502</v>
      </c>
      <c r="T148" s="37">
        <v>42506</v>
      </c>
      <c r="AE148" s="33"/>
      <c r="AF148" s="33"/>
      <c r="AG148" s="33"/>
      <c r="AH148" s="34"/>
    </row>
    <row r="149" spans="1:34" s="32" customFormat="1" x14ac:dyDescent="0.25">
      <c r="A149" s="36">
        <v>147</v>
      </c>
      <c r="B149" s="38" t="s">
        <v>58</v>
      </c>
      <c r="C149" s="38" t="s">
        <v>189</v>
      </c>
      <c r="D149" s="38" t="s">
        <v>208</v>
      </c>
      <c r="E149" s="38">
        <v>4201206026</v>
      </c>
      <c r="F149" s="35">
        <v>33</v>
      </c>
      <c r="G149" s="35">
        <v>13</v>
      </c>
      <c r="H149" s="35">
        <v>1489.46</v>
      </c>
      <c r="I149" s="35">
        <v>1083</v>
      </c>
      <c r="J149" s="35">
        <f t="shared" si="126"/>
        <v>406.46000000000004</v>
      </c>
      <c r="K149" s="35" t="s">
        <v>60</v>
      </c>
      <c r="L149" s="35">
        <f t="shared" si="133"/>
        <v>83.307692307692307</v>
      </c>
      <c r="M149" s="35">
        <f t="shared" si="134"/>
        <v>114.57384615384616</v>
      </c>
      <c r="N149" s="35" t="s">
        <v>61</v>
      </c>
      <c r="O149" s="35" t="s">
        <v>62</v>
      </c>
      <c r="P149" s="35" t="s">
        <v>206</v>
      </c>
      <c r="Q149" s="32">
        <v>1</v>
      </c>
      <c r="R149" s="37">
        <v>42487</v>
      </c>
      <c r="S149" s="37">
        <v>42502</v>
      </c>
      <c r="T149" s="37">
        <v>42506</v>
      </c>
      <c r="AE149" s="33"/>
      <c r="AF149" s="33"/>
      <c r="AG149" s="33"/>
      <c r="AH149" s="34"/>
    </row>
    <row r="150" spans="1:34" x14ac:dyDescent="0.25">
      <c r="A150" s="11">
        <v>148</v>
      </c>
      <c r="B150" s="38" t="s">
        <v>58</v>
      </c>
      <c r="C150" s="38" t="s">
        <v>189</v>
      </c>
      <c r="D150" s="38" t="s">
        <v>208</v>
      </c>
      <c r="E150" s="38">
        <v>4201206028</v>
      </c>
      <c r="F150" s="35">
        <v>33</v>
      </c>
      <c r="G150" s="35">
        <v>13</v>
      </c>
      <c r="H150" s="35">
        <v>1489.46</v>
      </c>
      <c r="I150" s="35">
        <v>1083</v>
      </c>
      <c r="J150" s="35">
        <f t="shared" si="126"/>
        <v>406.46000000000004</v>
      </c>
      <c r="K150" s="35" t="s">
        <v>60</v>
      </c>
      <c r="L150" s="35">
        <f t="shared" ref="L150" si="135">I150/G150</f>
        <v>83.307692307692307</v>
      </c>
      <c r="M150" s="35">
        <f t="shared" ref="M150" si="136">H150/G150</f>
        <v>114.57384615384616</v>
      </c>
      <c r="N150" s="35" t="s">
        <v>61</v>
      </c>
      <c r="O150" s="35" t="s">
        <v>62</v>
      </c>
      <c r="P150" s="35" t="s">
        <v>206</v>
      </c>
      <c r="Q150" s="32">
        <v>1</v>
      </c>
      <c r="R150" s="37">
        <v>42487</v>
      </c>
      <c r="S150" s="37">
        <v>42502</v>
      </c>
      <c r="T150" s="37">
        <v>42506</v>
      </c>
      <c r="AE150" s="2"/>
      <c r="AF150" s="2"/>
      <c r="AG150" s="2"/>
      <c r="AH150" s="3"/>
    </row>
    <row r="151" spans="1:34" s="32" customFormat="1" x14ac:dyDescent="0.25">
      <c r="A151" s="36">
        <v>149</v>
      </c>
      <c r="B151" s="38" t="s">
        <v>79</v>
      </c>
      <c r="C151" s="38" t="s">
        <v>189</v>
      </c>
      <c r="D151" s="38" t="s">
        <v>151</v>
      </c>
      <c r="E151" s="38">
        <v>4201201391</v>
      </c>
      <c r="F151" s="35">
        <v>33</v>
      </c>
      <c r="G151" s="35">
        <v>1.5</v>
      </c>
      <c r="H151" s="35">
        <v>152.86000000000001</v>
      </c>
      <c r="I151" s="35">
        <f>H151</f>
        <v>152.86000000000001</v>
      </c>
      <c r="J151" s="35"/>
      <c r="K151" s="35" t="s">
        <v>81</v>
      </c>
      <c r="L151" s="35">
        <f t="shared" ref="L151" si="137">I151/G151</f>
        <v>101.90666666666668</v>
      </c>
      <c r="M151" s="35">
        <f t="shared" ref="M151" si="138">H151/G151</f>
        <v>101.90666666666668</v>
      </c>
      <c r="N151" s="35" t="s">
        <v>82</v>
      </c>
      <c r="O151" s="35" t="s">
        <v>54</v>
      </c>
      <c r="P151" s="35" t="s">
        <v>206</v>
      </c>
      <c r="Q151" s="32">
        <v>1</v>
      </c>
      <c r="R151" s="37">
        <v>42507</v>
      </c>
      <c r="S151" s="37">
        <v>42507</v>
      </c>
      <c r="T151" s="37">
        <v>42508</v>
      </c>
      <c r="AE151" s="33"/>
      <c r="AF151" s="33"/>
      <c r="AG151" s="33"/>
      <c r="AH151" s="34"/>
    </row>
    <row r="152" spans="1:34" s="32" customFormat="1" x14ac:dyDescent="0.25">
      <c r="A152" s="36">
        <v>150</v>
      </c>
      <c r="B152" s="38" t="s">
        <v>73</v>
      </c>
      <c r="C152" s="38" t="s">
        <v>189</v>
      </c>
      <c r="D152" s="38" t="s">
        <v>215</v>
      </c>
      <c r="E152" s="38">
        <v>4201208260</v>
      </c>
      <c r="F152" s="35">
        <v>11</v>
      </c>
      <c r="G152" s="35">
        <v>2.02</v>
      </c>
      <c r="H152" s="35">
        <v>3042</v>
      </c>
      <c r="I152" s="35">
        <v>262</v>
      </c>
      <c r="J152" s="35">
        <f>H152-I152</f>
        <v>2780</v>
      </c>
      <c r="K152" s="35" t="s">
        <v>60</v>
      </c>
      <c r="L152" s="35">
        <f t="shared" ref="L152:L153" si="139">I152/G152</f>
        <v>129.70297029702971</v>
      </c>
      <c r="M152" s="35">
        <f t="shared" ref="M152:M153" si="140">H152/G152</f>
        <v>1505.9405940594058</v>
      </c>
      <c r="N152" s="35" t="s">
        <v>54</v>
      </c>
      <c r="O152" s="35" t="s">
        <v>54</v>
      </c>
      <c r="P152" s="35" t="s">
        <v>209</v>
      </c>
      <c r="Q152" s="32">
        <v>1</v>
      </c>
      <c r="R152" s="37">
        <v>42499</v>
      </c>
      <c r="S152" s="37">
        <v>42507</v>
      </c>
      <c r="T152" s="37">
        <v>42508</v>
      </c>
      <c r="AE152" s="33"/>
      <c r="AF152" s="33"/>
      <c r="AG152" s="33"/>
      <c r="AH152" s="34"/>
    </row>
    <row r="153" spans="1:34" s="32" customFormat="1" x14ac:dyDescent="0.25">
      <c r="A153" s="36">
        <v>151</v>
      </c>
      <c r="B153" s="38" t="s">
        <v>65</v>
      </c>
      <c r="C153" s="38" t="s">
        <v>189</v>
      </c>
      <c r="D153" s="38" t="s">
        <v>210</v>
      </c>
      <c r="E153" s="38">
        <v>4201207507</v>
      </c>
      <c r="F153" s="35">
        <v>6.6</v>
      </c>
      <c r="G153" s="35">
        <v>0.64</v>
      </c>
      <c r="H153" s="35">
        <v>285</v>
      </c>
      <c r="I153" s="35">
        <v>78</v>
      </c>
      <c r="J153" s="35">
        <f>H153-I153</f>
        <v>207</v>
      </c>
      <c r="K153" s="35" t="s">
        <v>71</v>
      </c>
      <c r="L153" s="35">
        <f t="shared" si="139"/>
        <v>121.875</v>
      </c>
      <c r="M153" s="35">
        <f t="shared" si="140"/>
        <v>445.3125</v>
      </c>
      <c r="N153" s="35" t="s">
        <v>68</v>
      </c>
      <c r="O153" s="35" t="s">
        <v>54</v>
      </c>
      <c r="P153" s="35" t="s">
        <v>152</v>
      </c>
      <c r="Q153" s="32">
        <v>2</v>
      </c>
      <c r="R153" s="37">
        <v>42502</v>
      </c>
      <c r="S153" s="37">
        <v>42506</v>
      </c>
      <c r="T153" s="37">
        <v>42508</v>
      </c>
      <c r="AE153" s="33"/>
      <c r="AF153" s="33"/>
      <c r="AG153" s="33"/>
      <c r="AH153" s="34"/>
    </row>
    <row r="154" spans="1:34" s="32" customFormat="1" x14ac:dyDescent="0.25">
      <c r="A154" s="36">
        <v>152</v>
      </c>
      <c r="B154" s="38" t="s">
        <v>90</v>
      </c>
      <c r="C154" s="38" t="s">
        <v>189</v>
      </c>
      <c r="D154" s="38" t="s">
        <v>211</v>
      </c>
      <c r="E154" s="38">
        <v>2360068117</v>
      </c>
      <c r="F154" s="35"/>
      <c r="G154" s="35">
        <f>0.04+0.065+0.025</f>
        <v>0.13</v>
      </c>
      <c r="H154" s="35">
        <v>31.38</v>
      </c>
      <c r="I154" s="35">
        <f>H154</f>
        <v>31.38</v>
      </c>
      <c r="J154" s="35"/>
      <c r="K154" s="35" t="s">
        <v>75</v>
      </c>
      <c r="L154" s="35"/>
      <c r="M154" s="35"/>
      <c r="N154" s="35" t="s">
        <v>82</v>
      </c>
      <c r="O154" s="35" t="s">
        <v>54</v>
      </c>
      <c r="P154" s="35" t="s">
        <v>212</v>
      </c>
      <c r="Q154" s="32">
        <v>20</v>
      </c>
      <c r="R154" s="37">
        <v>42502</v>
      </c>
      <c r="S154" s="37">
        <v>42506</v>
      </c>
      <c r="T154" s="37">
        <v>42508</v>
      </c>
      <c r="AE154" s="33"/>
      <c r="AF154" s="33"/>
      <c r="AG154" s="33"/>
      <c r="AH154" s="34"/>
    </row>
    <row r="155" spans="1:34" s="32" customFormat="1" x14ac:dyDescent="0.25">
      <c r="A155" s="36">
        <v>153</v>
      </c>
      <c r="B155" s="38" t="s">
        <v>79</v>
      </c>
      <c r="C155" s="38" t="s">
        <v>189</v>
      </c>
      <c r="D155" s="38" t="s">
        <v>213</v>
      </c>
      <c r="E155" s="38">
        <v>2360068177</v>
      </c>
      <c r="F155" s="35"/>
      <c r="G155" s="35"/>
      <c r="H155" s="35">
        <v>111.13</v>
      </c>
      <c r="I155" s="35"/>
      <c r="J155" s="35">
        <f>H155</f>
        <v>111.13</v>
      </c>
      <c r="K155" s="35" t="s">
        <v>81</v>
      </c>
      <c r="L155" s="35"/>
      <c r="M155" s="35"/>
      <c r="N155" s="35" t="s">
        <v>54</v>
      </c>
      <c r="O155" s="35" t="s">
        <v>54</v>
      </c>
      <c r="P155" s="35" t="s">
        <v>214</v>
      </c>
      <c r="Q155" s="32">
        <v>15</v>
      </c>
      <c r="R155" s="37">
        <v>42502</v>
      </c>
      <c r="S155" s="37">
        <v>42508</v>
      </c>
      <c r="T155" s="37">
        <v>42508</v>
      </c>
      <c r="AE155" s="33"/>
      <c r="AF155" s="33"/>
      <c r="AG155" s="33"/>
      <c r="AH155" s="34"/>
    </row>
    <row r="156" spans="1:34" s="32" customFormat="1" x14ac:dyDescent="0.25">
      <c r="A156" s="36">
        <v>154</v>
      </c>
      <c r="B156" s="38" t="s">
        <v>79</v>
      </c>
      <c r="C156" s="38" t="s">
        <v>189</v>
      </c>
      <c r="D156" s="38" t="s">
        <v>218</v>
      </c>
      <c r="E156" s="38">
        <v>4201209477</v>
      </c>
      <c r="F156" s="35">
        <v>6.6</v>
      </c>
      <c r="G156" s="35">
        <v>1.93</v>
      </c>
      <c r="H156" s="35">
        <v>1160</v>
      </c>
      <c r="I156" s="35">
        <v>179</v>
      </c>
      <c r="J156" s="35">
        <f>H156-I156</f>
        <v>981</v>
      </c>
      <c r="K156" s="35" t="s">
        <v>67</v>
      </c>
      <c r="L156" s="35">
        <f t="shared" ref="L156:L157" si="141">I156/G156</f>
        <v>92.746113989637308</v>
      </c>
      <c r="M156" s="35">
        <f t="shared" ref="M156:M157" si="142">H156/G156</f>
        <v>601.03626943005179</v>
      </c>
      <c r="N156" s="35" t="s">
        <v>82</v>
      </c>
      <c r="O156" s="35" t="s">
        <v>54</v>
      </c>
      <c r="P156" s="35" t="s">
        <v>152</v>
      </c>
      <c r="Q156" s="32">
        <v>2</v>
      </c>
      <c r="R156" s="37">
        <v>42508</v>
      </c>
      <c r="S156" s="37">
        <v>42509</v>
      </c>
      <c r="T156" s="37">
        <v>42513</v>
      </c>
      <c r="AE156" s="33"/>
      <c r="AF156" s="33"/>
      <c r="AG156" s="33"/>
      <c r="AH156" s="34"/>
    </row>
    <row r="157" spans="1:34" s="32" customFormat="1" x14ac:dyDescent="0.25">
      <c r="A157" s="36">
        <v>155</v>
      </c>
      <c r="B157" s="38" t="s">
        <v>73</v>
      </c>
      <c r="C157" s="38" t="s">
        <v>189</v>
      </c>
      <c r="D157" s="38" t="s">
        <v>216</v>
      </c>
      <c r="E157" s="38">
        <v>4201210544</v>
      </c>
      <c r="F157" s="35">
        <v>3.3</v>
      </c>
      <c r="G157" s="35">
        <v>0.1</v>
      </c>
      <c r="H157" s="35">
        <v>1012</v>
      </c>
      <c r="I157" s="35">
        <v>20</v>
      </c>
      <c r="J157" s="35">
        <f>H157-I157</f>
        <v>992</v>
      </c>
      <c r="K157" s="35" t="s">
        <v>60</v>
      </c>
      <c r="L157" s="35">
        <f t="shared" si="141"/>
        <v>200</v>
      </c>
      <c r="M157" s="35">
        <f t="shared" si="142"/>
        <v>10120</v>
      </c>
      <c r="N157" s="35" t="s">
        <v>54</v>
      </c>
      <c r="O157" s="35" t="s">
        <v>54</v>
      </c>
      <c r="P157" s="35" t="s">
        <v>217</v>
      </c>
      <c r="Q157" s="32">
        <v>2</v>
      </c>
      <c r="R157" s="37">
        <v>42475</v>
      </c>
      <c r="S157" s="37">
        <v>42510</v>
      </c>
      <c r="T157" s="37">
        <v>42513</v>
      </c>
      <c r="AE157" s="33"/>
      <c r="AF157" s="33"/>
      <c r="AG157" s="33"/>
      <c r="AH157" s="34"/>
    </row>
    <row r="158" spans="1:34" s="32" customFormat="1" x14ac:dyDescent="0.25">
      <c r="A158" s="36">
        <v>156</v>
      </c>
      <c r="B158" s="38" t="s">
        <v>65</v>
      </c>
      <c r="C158" s="38" t="s">
        <v>189</v>
      </c>
      <c r="D158" s="38" t="s">
        <v>219</v>
      </c>
      <c r="E158" s="38">
        <v>4201211019</v>
      </c>
      <c r="F158" s="35">
        <v>6.6</v>
      </c>
      <c r="G158" s="35">
        <v>0.77200000000000002</v>
      </c>
      <c r="H158" s="35">
        <v>2370</v>
      </c>
      <c r="I158" s="35">
        <v>692.7</v>
      </c>
      <c r="J158" s="35">
        <f>H158-I158</f>
        <v>1677.3</v>
      </c>
      <c r="K158" s="35" t="s">
        <v>53</v>
      </c>
      <c r="L158" s="35">
        <f t="shared" ref="L158" si="143">I158/G158</f>
        <v>897.27979274611403</v>
      </c>
      <c r="M158" s="35">
        <f t="shared" ref="M158" si="144">H158/G158</f>
        <v>3069.9481865284974</v>
      </c>
      <c r="N158" s="35" t="s">
        <v>68</v>
      </c>
      <c r="O158" s="35" t="s">
        <v>220</v>
      </c>
      <c r="P158" s="35" t="s">
        <v>123</v>
      </c>
      <c r="Q158" s="32">
        <v>18</v>
      </c>
      <c r="R158" s="37">
        <v>42500</v>
      </c>
      <c r="S158" s="37">
        <v>42513</v>
      </c>
      <c r="T158" s="37">
        <v>42513</v>
      </c>
      <c r="AE158" s="33"/>
      <c r="AF158" s="33"/>
      <c r="AG158" s="33"/>
      <c r="AH158" s="34"/>
    </row>
    <row r="159" spans="1:34" s="32" customFormat="1" x14ac:dyDescent="0.25">
      <c r="A159" s="36">
        <v>157</v>
      </c>
      <c r="B159" s="38" t="s">
        <v>58</v>
      </c>
      <c r="C159" s="38" t="s">
        <v>189</v>
      </c>
      <c r="D159" s="38" t="s">
        <v>221</v>
      </c>
      <c r="E159" s="38">
        <v>4201212244</v>
      </c>
      <c r="F159" s="35">
        <v>33</v>
      </c>
      <c r="G159" s="35">
        <v>31.8</v>
      </c>
      <c r="H159" s="35">
        <v>2754.9</v>
      </c>
      <c r="I159" s="35">
        <v>2120.34</v>
      </c>
      <c r="J159" s="35">
        <f>H159-I159</f>
        <v>634.55999999999995</v>
      </c>
      <c r="K159" s="35" t="s">
        <v>81</v>
      </c>
      <c r="L159" s="35">
        <f t="shared" ref="L159" si="145">I159/G159</f>
        <v>66.677358490566036</v>
      </c>
      <c r="M159" s="35">
        <f t="shared" ref="M159" si="146">H159/G159</f>
        <v>86.632075471698116</v>
      </c>
      <c r="N159" s="35" t="s">
        <v>61</v>
      </c>
      <c r="O159" s="35" t="s">
        <v>62</v>
      </c>
      <c r="P159" s="35" t="s">
        <v>206</v>
      </c>
      <c r="Q159" s="32">
        <v>1</v>
      </c>
      <c r="R159" s="37">
        <v>42508</v>
      </c>
      <c r="S159" s="37">
        <v>42514</v>
      </c>
      <c r="T159" s="37">
        <v>42516</v>
      </c>
      <c r="AE159" s="33"/>
      <c r="AF159" s="33"/>
      <c r="AG159" s="33"/>
      <c r="AH159" s="34"/>
    </row>
    <row r="160" spans="1:34" s="32" customFormat="1" x14ac:dyDescent="0.25">
      <c r="A160" s="36">
        <v>158</v>
      </c>
      <c r="B160" s="38" t="s">
        <v>122</v>
      </c>
      <c r="C160" s="38" t="s">
        <v>189</v>
      </c>
      <c r="D160" s="38" t="s">
        <v>222</v>
      </c>
      <c r="E160" s="38">
        <v>2360068335</v>
      </c>
      <c r="F160" s="35"/>
      <c r="G160" s="35">
        <v>1.29</v>
      </c>
      <c r="H160" s="35">
        <v>299.97000000000003</v>
      </c>
      <c r="I160" s="35">
        <f>H160</f>
        <v>299.97000000000003</v>
      </c>
      <c r="J160" s="35"/>
      <c r="K160" s="35" t="s">
        <v>81</v>
      </c>
      <c r="L160" s="35">
        <f t="shared" ref="L160:L162" si="147">I160/G160</f>
        <v>232.53488372093025</v>
      </c>
      <c r="M160" s="35">
        <f t="shared" ref="M160:M162" si="148">H160/G160</f>
        <v>232.53488372093025</v>
      </c>
      <c r="N160" s="35" t="s">
        <v>54</v>
      </c>
      <c r="O160" s="35" t="s">
        <v>54</v>
      </c>
      <c r="P160" s="35" t="s">
        <v>129</v>
      </c>
      <c r="Q160" s="32">
        <v>11</v>
      </c>
      <c r="R160" s="37">
        <v>42499</v>
      </c>
      <c r="S160" s="37">
        <v>42515</v>
      </c>
      <c r="T160" s="37">
        <v>42516</v>
      </c>
      <c r="AE160" s="33"/>
      <c r="AF160" s="33"/>
      <c r="AG160" s="33"/>
      <c r="AH160" s="34"/>
    </row>
    <row r="161" spans="1:34" s="32" customFormat="1" x14ac:dyDescent="0.25">
      <c r="A161" s="36">
        <v>159</v>
      </c>
      <c r="B161" s="38" t="s">
        <v>50</v>
      </c>
      <c r="C161" s="38" t="s">
        <v>189</v>
      </c>
      <c r="D161" s="38" t="s">
        <v>115</v>
      </c>
      <c r="E161" s="38">
        <v>5000041982</v>
      </c>
      <c r="F161" s="35"/>
      <c r="G161" s="35">
        <v>0.06</v>
      </c>
      <c r="H161" s="35">
        <v>18.5</v>
      </c>
      <c r="I161" s="35">
        <v>2120.34</v>
      </c>
      <c r="J161" s="35"/>
      <c r="K161" s="35" t="s">
        <v>53</v>
      </c>
      <c r="L161" s="35">
        <f t="shared" si="147"/>
        <v>35339.000000000007</v>
      </c>
      <c r="M161" s="35">
        <f t="shared" si="148"/>
        <v>308.33333333333337</v>
      </c>
      <c r="N161" s="35" t="s">
        <v>57</v>
      </c>
      <c r="O161" s="35" t="s">
        <v>54</v>
      </c>
      <c r="P161" s="35" t="s">
        <v>129</v>
      </c>
      <c r="Q161" s="32">
        <v>12</v>
      </c>
      <c r="R161" s="37">
        <v>42500</v>
      </c>
      <c r="S161" s="37">
        <v>42515</v>
      </c>
      <c r="T161" s="37">
        <v>42516</v>
      </c>
      <c r="AE161" s="33"/>
      <c r="AF161" s="33"/>
      <c r="AG161" s="33"/>
      <c r="AH161" s="34"/>
    </row>
    <row r="162" spans="1:34" s="32" customFormat="1" x14ac:dyDescent="0.25">
      <c r="A162" s="36">
        <v>160</v>
      </c>
      <c r="B162" s="38" t="s">
        <v>79</v>
      </c>
      <c r="C162" s="38" t="s">
        <v>189</v>
      </c>
      <c r="D162" s="41" t="s">
        <v>223</v>
      </c>
      <c r="E162" s="41">
        <v>4201215503</v>
      </c>
      <c r="F162" s="35">
        <v>11</v>
      </c>
      <c r="G162" s="35">
        <f>0.472*6</f>
        <v>2.8319999999999999</v>
      </c>
      <c r="H162" s="35">
        <v>195</v>
      </c>
      <c r="I162" s="35">
        <f>H162</f>
        <v>195</v>
      </c>
      <c r="J162" s="35"/>
      <c r="K162" s="35" t="s">
        <v>71</v>
      </c>
      <c r="L162" s="35">
        <f t="shared" si="147"/>
        <v>68.855932203389841</v>
      </c>
      <c r="M162" s="35">
        <f t="shared" si="148"/>
        <v>68.855932203389841</v>
      </c>
      <c r="N162" s="35" t="s">
        <v>82</v>
      </c>
      <c r="O162" s="35" t="s">
        <v>54</v>
      </c>
      <c r="P162" s="35" t="s">
        <v>206</v>
      </c>
      <c r="Q162" s="32">
        <v>1</v>
      </c>
      <c r="R162" s="37">
        <v>42519</v>
      </c>
      <c r="S162" s="37">
        <v>42520</v>
      </c>
      <c r="T162" s="37">
        <v>42521</v>
      </c>
      <c r="AE162" s="33"/>
      <c r="AF162" s="33"/>
      <c r="AG162" s="33"/>
      <c r="AH162" s="34"/>
    </row>
    <row r="163" spans="1:34" s="32" customFormat="1" x14ac:dyDescent="0.25">
      <c r="A163" s="36">
        <v>161</v>
      </c>
      <c r="B163" s="38" t="s">
        <v>90</v>
      </c>
      <c r="C163" s="38" t="s">
        <v>189</v>
      </c>
      <c r="D163" s="41" t="s">
        <v>224</v>
      </c>
      <c r="E163" s="42">
        <v>4201215972</v>
      </c>
      <c r="F163" s="35">
        <v>6.6</v>
      </c>
      <c r="G163" s="35">
        <v>14.54</v>
      </c>
      <c r="H163" s="35">
        <v>11902</v>
      </c>
      <c r="I163" s="35">
        <v>4727</v>
      </c>
      <c r="J163" s="35">
        <f>H163-I163</f>
        <v>7175</v>
      </c>
      <c r="K163" s="35" t="s">
        <v>67</v>
      </c>
      <c r="L163" s="35">
        <f t="shared" ref="L163" si="149">I163/G163</f>
        <v>325.1031636863824</v>
      </c>
      <c r="M163" s="35">
        <f t="shared" ref="M163" si="150">H163/G163</f>
        <v>818.56946354883087</v>
      </c>
      <c r="N163" s="35" t="s">
        <v>54</v>
      </c>
      <c r="O163" s="35" t="s">
        <v>54</v>
      </c>
      <c r="P163" s="35" t="s">
        <v>123</v>
      </c>
      <c r="Q163" s="32">
        <v>18</v>
      </c>
      <c r="R163" s="37">
        <v>42519</v>
      </c>
      <c r="S163" s="37">
        <v>42520</v>
      </c>
      <c r="T163" s="37">
        <v>42521</v>
      </c>
      <c r="AE163" s="33"/>
      <c r="AF163" s="33"/>
      <c r="AG163" s="33"/>
      <c r="AH163" s="34"/>
    </row>
    <row r="164" spans="1:34" s="32" customFormat="1" x14ac:dyDescent="0.25">
      <c r="A164" s="36">
        <v>162</v>
      </c>
      <c r="B164" s="38" t="s">
        <v>50</v>
      </c>
      <c r="C164" s="38" t="s">
        <v>227</v>
      </c>
      <c r="D164" s="41" t="s">
        <v>177</v>
      </c>
      <c r="E164" s="38">
        <v>5000042131</v>
      </c>
      <c r="F164" s="35"/>
      <c r="G164" s="35">
        <v>28.45</v>
      </c>
      <c r="H164" s="35">
        <v>2460</v>
      </c>
      <c r="I164" s="35">
        <f t="shared" ref="I164:I177" si="151">H164</f>
        <v>2460</v>
      </c>
      <c r="J164" s="35"/>
      <c r="K164" s="35" t="s">
        <v>53</v>
      </c>
      <c r="L164" s="35">
        <f t="shared" ref="L164" si="152">I164/G164</f>
        <v>86.467486818980674</v>
      </c>
      <c r="M164" s="35">
        <f t="shared" ref="M164" si="153">H164/G164</f>
        <v>86.467486818980674</v>
      </c>
      <c r="N164" s="35" t="s">
        <v>57</v>
      </c>
      <c r="O164" s="35" t="s">
        <v>54</v>
      </c>
      <c r="P164" s="35" t="s">
        <v>226</v>
      </c>
      <c r="Q164" s="32">
        <v>12</v>
      </c>
      <c r="R164" s="37">
        <v>42516</v>
      </c>
      <c r="S164" s="37">
        <v>42521</v>
      </c>
      <c r="T164" s="37">
        <v>42527</v>
      </c>
      <c r="AE164" s="33"/>
      <c r="AF164" s="33"/>
      <c r="AG164" s="33"/>
      <c r="AH164" s="34"/>
    </row>
    <row r="165" spans="1:34" s="32" customFormat="1" x14ac:dyDescent="0.25">
      <c r="A165" s="36">
        <v>163</v>
      </c>
      <c r="B165" s="38" t="s">
        <v>50</v>
      </c>
      <c r="C165" s="38" t="s">
        <v>227</v>
      </c>
      <c r="D165" s="41" t="s">
        <v>177</v>
      </c>
      <c r="E165" s="38">
        <v>5000042197</v>
      </c>
      <c r="F165" s="35">
        <v>33</v>
      </c>
      <c r="G165" s="35">
        <v>6.4</v>
      </c>
      <c r="H165" s="35">
        <v>842.83</v>
      </c>
      <c r="I165" s="35">
        <f t="shared" si="151"/>
        <v>842.83</v>
      </c>
      <c r="J165" s="35"/>
      <c r="K165" s="35" t="s">
        <v>53</v>
      </c>
      <c r="L165" s="35">
        <f t="shared" ref="L165" si="154">I165/G165</f>
        <v>131.69218749999999</v>
      </c>
      <c r="M165" s="35">
        <f t="shared" ref="M165" si="155">H165/G165</f>
        <v>131.69218749999999</v>
      </c>
      <c r="N165" s="35" t="s">
        <v>57</v>
      </c>
      <c r="O165" s="35" t="s">
        <v>54</v>
      </c>
      <c r="P165" s="35" t="s">
        <v>206</v>
      </c>
      <c r="Q165" s="32">
        <v>1</v>
      </c>
      <c r="R165" s="37">
        <v>42522</v>
      </c>
      <c r="S165" s="37">
        <v>42524</v>
      </c>
      <c r="T165" s="37">
        <v>42527</v>
      </c>
      <c r="AE165" s="33"/>
      <c r="AF165" s="33"/>
      <c r="AG165" s="33"/>
      <c r="AH165" s="34"/>
    </row>
    <row r="166" spans="1:34" s="32" customFormat="1" x14ac:dyDescent="0.25">
      <c r="A166" s="36">
        <v>164</v>
      </c>
      <c r="B166" s="38" t="s">
        <v>58</v>
      </c>
      <c r="C166" s="38" t="s">
        <v>227</v>
      </c>
      <c r="D166" s="41" t="s">
        <v>228</v>
      </c>
      <c r="E166" s="38">
        <v>2360068645</v>
      </c>
      <c r="F166" s="35"/>
      <c r="G166" s="35">
        <f>0.2</f>
        <v>0.2</v>
      </c>
      <c r="H166" s="35">
        <v>20</v>
      </c>
      <c r="I166" s="35">
        <f t="shared" si="151"/>
        <v>20</v>
      </c>
      <c r="J166" s="35"/>
      <c r="K166" s="35" t="s">
        <v>81</v>
      </c>
      <c r="L166" s="35">
        <f t="shared" ref="L166:L168" si="156">I166/G166</f>
        <v>100</v>
      </c>
      <c r="M166" s="35">
        <f t="shared" ref="M166:M168" si="157">H166/G166</f>
        <v>100</v>
      </c>
      <c r="N166" s="35" t="s">
        <v>54</v>
      </c>
      <c r="O166" s="35" t="s">
        <v>54</v>
      </c>
      <c r="P166" s="35" t="s">
        <v>129</v>
      </c>
      <c r="Q166" s="32">
        <v>11</v>
      </c>
      <c r="R166" s="37">
        <v>42511</v>
      </c>
      <c r="S166" s="37">
        <v>42524</v>
      </c>
      <c r="T166" s="37">
        <v>42527</v>
      </c>
      <c r="AE166" s="33"/>
      <c r="AF166" s="33"/>
      <c r="AG166" s="33"/>
      <c r="AH166" s="34"/>
    </row>
    <row r="167" spans="1:34" s="32" customFormat="1" x14ac:dyDescent="0.25">
      <c r="A167" s="36">
        <v>165</v>
      </c>
      <c r="B167" s="38" t="s">
        <v>90</v>
      </c>
      <c r="C167" s="38" t="s">
        <v>227</v>
      </c>
      <c r="D167" s="41" t="s">
        <v>229</v>
      </c>
      <c r="E167" s="38">
        <v>2360068001</v>
      </c>
      <c r="F167" s="35"/>
      <c r="G167" s="35">
        <f>0.272*2</f>
        <v>0.54400000000000004</v>
      </c>
      <c r="H167" s="35">
        <v>57.3</v>
      </c>
      <c r="I167" s="35">
        <f t="shared" si="151"/>
        <v>57.3</v>
      </c>
      <c r="J167" s="35"/>
      <c r="K167" s="35" t="s">
        <v>86</v>
      </c>
      <c r="L167" s="35">
        <f t="shared" si="156"/>
        <v>105.33088235294116</v>
      </c>
      <c r="M167" s="35">
        <f t="shared" si="157"/>
        <v>105.33088235294116</v>
      </c>
      <c r="N167" s="35" t="s">
        <v>54</v>
      </c>
      <c r="O167" s="35" t="s">
        <v>54</v>
      </c>
      <c r="P167" s="35" t="s">
        <v>129</v>
      </c>
      <c r="Q167" s="32">
        <v>11</v>
      </c>
      <c r="R167" s="37">
        <v>42518</v>
      </c>
      <c r="S167" s="37">
        <v>42524</v>
      </c>
      <c r="T167" s="37">
        <v>42527</v>
      </c>
      <c r="AE167" s="33"/>
      <c r="AF167" s="33"/>
      <c r="AG167" s="33"/>
      <c r="AH167" s="34"/>
    </row>
    <row r="168" spans="1:34" s="32" customFormat="1" x14ac:dyDescent="0.25">
      <c r="A168" s="36">
        <v>166</v>
      </c>
      <c r="B168" s="38" t="s">
        <v>65</v>
      </c>
      <c r="C168" s="38" t="s">
        <v>227</v>
      </c>
      <c r="D168" s="41" t="s">
        <v>137</v>
      </c>
      <c r="E168" s="38">
        <v>2360068697</v>
      </c>
      <c r="F168" s="35"/>
      <c r="G168" s="35">
        <f>0.0669*26+0.033*4</f>
        <v>1.8714</v>
      </c>
      <c r="H168" s="35">
        <v>352.6</v>
      </c>
      <c r="I168" s="35">
        <f t="shared" si="151"/>
        <v>352.6</v>
      </c>
      <c r="J168" s="35"/>
      <c r="K168" s="35" t="s">
        <v>86</v>
      </c>
      <c r="L168" s="35">
        <f t="shared" si="156"/>
        <v>188.41509030672225</v>
      </c>
      <c r="M168" s="35">
        <f t="shared" si="157"/>
        <v>188.41509030672225</v>
      </c>
      <c r="N168" s="35" t="s">
        <v>68</v>
      </c>
      <c r="O168" s="35" t="s">
        <v>54</v>
      </c>
      <c r="P168" s="35" t="s">
        <v>129</v>
      </c>
      <c r="Q168" s="32">
        <v>20</v>
      </c>
      <c r="R168" s="37">
        <v>42523</v>
      </c>
      <c r="S168" s="37">
        <v>42528</v>
      </c>
      <c r="T168" s="37">
        <v>42529</v>
      </c>
      <c r="AE168" s="33"/>
      <c r="AF168" s="33"/>
      <c r="AG168" s="33"/>
      <c r="AH168" s="34"/>
    </row>
    <row r="169" spans="1:34" s="32" customFormat="1" x14ac:dyDescent="0.25">
      <c r="A169" s="36">
        <v>167</v>
      </c>
      <c r="B169" s="38" t="s">
        <v>122</v>
      </c>
      <c r="C169" s="38" t="s">
        <v>227</v>
      </c>
      <c r="D169" s="41" t="s">
        <v>230</v>
      </c>
      <c r="E169" s="38">
        <v>2360068690</v>
      </c>
      <c r="F169" s="35"/>
      <c r="G169" s="35"/>
      <c r="H169" s="35">
        <v>1160</v>
      </c>
      <c r="I169" s="35">
        <f t="shared" si="151"/>
        <v>1160</v>
      </c>
      <c r="J169" s="35"/>
      <c r="K169" s="35" t="s">
        <v>71</v>
      </c>
      <c r="L169" s="35"/>
      <c r="M169" s="35"/>
      <c r="N169" s="35" t="s">
        <v>82</v>
      </c>
      <c r="O169" s="35" t="s">
        <v>54</v>
      </c>
      <c r="P169" s="35" t="s">
        <v>97</v>
      </c>
      <c r="Q169" s="32">
        <v>13</v>
      </c>
      <c r="R169" s="37">
        <v>42524</v>
      </c>
      <c r="S169" s="37">
        <v>42527</v>
      </c>
      <c r="T169" s="37">
        <v>42529</v>
      </c>
      <c r="AE169" s="33"/>
      <c r="AF169" s="33"/>
      <c r="AG169" s="33"/>
      <c r="AH169" s="34"/>
    </row>
    <row r="170" spans="1:34" s="32" customFormat="1" x14ac:dyDescent="0.25">
      <c r="A170" s="36">
        <v>168</v>
      </c>
      <c r="B170" s="38" t="s">
        <v>50</v>
      </c>
      <c r="C170" s="38" t="s">
        <v>227</v>
      </c>
      <c r="D170" s="41" t="s">
        <v>99</v>
      </c>
      <c r="E170" s="38">
        <v>5000042333</v>
      </c>
      <c r="F170" s="35"/>
      <c r="G170" s="35">
        <f>0.275*6</f>
        <v>1.6500000000000001</v>
      </c>
      <c r="H170" s="35">
        <v>177</v>
      </c>
      <c r="I170" s="35">
        <f t="shared" si="151"/>
        <v>177</v>
      </c>
      <c r="J170" s="35"/>
      <c r="K170" s="35" t="s">
        <v>53</v>
      </c>
      <c r="L170" s="35">
        <f t="shared" ref="L170:L171" si="158">I170/G170</f>
        <v>107.27272727272727</v>
      </c>
      <c r="M170" s="35">
        <f t="shared" ref="M170:M171" si="159">H170/G170</f>
        <v>107.27272727272727</v>
      </c>
      <c r="N170" s="35" t="s">
        <v>57</v>
      </c>
      <c r="O170" s="35" t="s">
        <v>54</v>
      </c>
      <c r="P170" s="35" t="s">
        <v>226</v>
      </c>
      <c r="Q170" s="32">
        <v>11</v>
      </c>
      <c r="R170" s="37">
        <v>42523</v>
      </c>
      <c r="S170" s="37">
        <v>42531</v>
      </c>
      <c r="T170" s="37">
        <v>42531</v>
      </c>
      <c r="AE170" s="33"/>
      <c r="AF170" s="33"/>
      <c r="AG170" s="33"/>
      <c r="AH170" s="34"/>
    </row>
    <row r="171" spans="1:34" s="32" customFormat="1" x14ac:dyDescent="0.25">
      <c r="A171" s="36">
        <v>169</v>
      </c>
      <c r="B171" s="38" t="s">
        <v>50</v>
      </c>
      <c r="C171" s="38" t="s">
        <v>227</v>
      </c>
      <c r="D171" s="41" t="s">
        <v>185</v>
      </c>
      <c r="E171" s="38">
        <v>5000042311</v>
      </c>
      <c r="F171" s="35"/>
      <c r="G171" s="35">
        <f>0.128*10</f>
        <v>1.28</v>
      </c>
      <c r="H171" s="35">
        <v>266.62</v>
      </c>
      <c r="I171" s="35">
        <f t="shared" si="151"/>
        <v>266.62</v>
      </c>
      <c r="J171" s="35"/>
      <c r="K171" s="35" t="s">
        <v>53</v>
      </c>
      <c r="L171" s="35">
        <f t="shared" si="158"/>
        <v>208.296875</v>
      </c>
      <c r="M171" s="35">
        <f t="shared" si="159"/>
        <v>208.296875</v>
      </c>
      <c r="N171" s="35" t="s">
        <v>57</v>
      </c>
      <c r="O171" s="35" t="s">
        <v>54</v>
      </c>
      <c r="P171" s="35" t="s">
        <v>116</v>
      </c>
      <c r="Q171" s="32">
        <v>12</v>
      </c>
      <c r="R171" s="37">
        <v>42519</v>
      </c>
      <c r="S171" s="37">
        <v>42530</v>
      </c>
      <c r="T171" s="37">
        <v>42531</v>
      </c>
      <c r="AE171" s="33"/>
      <c r="AF171" s="33"/>
      <c r="AG171" s="33"/>
      <c r="AH171" s="34"/>
    </row>
    <row r="172" spans="1:34" s="32" customFormat="1" x14ac:dyDescent="0.25">
      <c r="A172" s="36">
        <v>170</v>
      </c>
      <c r="B172" s="38" t="s">
        <v>50</v>
      </c>
      <c r="C172" s="38" t="s">
        <v>227</v>
      </c>
      <c r="D172" s="41" t="s">
        <v>185</v>
      </c>
      <c r="E172" s="38">
        <v>5000042310</v>
      </c>
      <c r="F172" s="35"/>
      <c r="G172" s="35">
        <f>0.16*2*15</f>
        <v>4.8</v>
      </c>
      <c r="H172" s="35">
        <v>899.84</v>
      </c>
      <c r="I172" s="35">
        <f t="shared" si="151"/>
        <v>899.84</v>
      </c>
      <c r="J172" s="35"/>
      <c r="K172" s="35" t="s">
        <v>53</v>
      </c>
      <c r="L172" s="35">
        <f t="shared" ref="L172" si="160">I172/G172</f>
        <v>187.46666666666667</v>
      </c>
      <c r="M172" s="35">
        <f t="shared" ref="M172" si="161">H172/G172</f>
        <v>187.46666666666667</v>
      </c>
      <c r="N172" s="35" t="s">
        <v>57</v>
      </c>
      <c r="O172" s="35" t="s">
        <v>54</v>
      </c>
      <c r="P172" s="35" t="s">
        <v>63</v>
      </c>
      <c r="Q172" s="32">
        <v>12</v>
      </c>
      <c r="R172" s="37">
        <v>42521</v>
      </c>
      <c r="S172" s="37">
        <v>42530</v>
      </c>
      <c r="T172" s="37">
        <v>42531</v>
      </c>
      <c r="AE172" s="33"/>
      <c r="AF172" s="33"/>
      <c r="AG172" s="33"/>
      <c r="AH172" s="34"/>
    </row>
    <row r="173" spans="1:34" s="32" customFormat="1" x14ac:dyDescent="0.25">
      <c r="A173" s="36">
        <v>171</v>
      </c>
      <c r="B173" s="38" t="s">
        <v>50</v>
      </c>
      <c r="C173" s="38" t="s">
        <v>227</v>
      </c>
      <c r="D173" s="41" t="s">
        <v>76</v>
      </c>
      <c r="E173" s="38">
        <v>5000042308</v>
      </c>
      <c r="F173" s="35"/>
      <c r="G173" s="35"/>
      <c r="H173" s="35">
        <v>191.5</v>
      </c>
      <c r="I173" s="35">
        <f t="shared" si="151"/>
        <v>191.5</v>
      </c>
      <c r="J173" s="35"/>
      <c r="K173" s="35" t="s">
        <v>53</v>
      </c>
      <c r="L173" s="35"/>
      <c r="M173" s="35"/>
      <c r="N173" s="35" t="s">
        <v>57</v>
      </c>
      <c r="O173" s="35" t="s">
        <v>54</v>
      </c>
      <c r="P173" s="35" t="s">
        <v>77</v>
      </c>
      <c r="Q173" s="32">
        <v>12</v>
      </c>
      <c r="R173" s="37">
        <v>42520</v>
      </c>
      <c r="S173" s="37">
        <v>42530</v>
      </c>
      <c r="T173" s="37">
        <v>42531</v>
      </c>
      <c r="AE173" s="33"/>
      <c r="AF173" s="33"/>
      <c r="AG173" s="33"/>
      <c r="AH173" s="34"/>
    </row>
    <row r="174" spans="1:34" s="32" customFormat="1" x14ac:dyDescent="0.25">
      <c r="A174" s="36">
        <v>172</v>
      </c>
      <c r="B174" s="38" t="s">
        <v>50</v>
      </c>
      <c r="C174" s="38" t="s">
        <v>227</v>
      </c>
      <c r="D174" s="41" t="s">
        <v>115</v>
      </c>
      <c r="E174" s="38">
        <v>5000042309</v>
      </c>
      <c r="F174" s="35"/>
      <c r="G174" s="35">
        <f>(0.064+0.127+0.254+0.382)*2</f>
        <v>1.6539999999999999</v>
      </c>
      <c r="H174" s="35">
        <v>328.3</v>
      </c>
      <c r="I174" s="35">
        <f t="shared" si="151"/>
        <v>328.3</v>
      </c>
      <c r="J174" s="35"/>
      <c r="K174" s="35" t="s">
        <v>53</v>
      </c>
      <c r="L174" s="35">
        <f t="shared" ref="L174" si="162">I174/G174</f>
        <v>198.48851269649336</v>
      </c>
      <c r="M174" s="35">
        <f t="shared" ref="M174" si="163">H174/G174</f>
        <v>198.48851269649336</v>
      </c>
      <c r="N174" s="35" t="s">
        <v>57</v>
      </c>
      <c r="O174" s="35" t="s">
        <v>54</v>
      </c>
      <c r="P174" s="35" t="s">
        <v>77</v>
      </c>
      <c r="Q174" s="32">
        <v>12</v>
      </c>
      <c r="R174" s="37">
        <v>42520</v>
      </c>
      <c r="S174" s="37">
        <v>42530</v>
      </c>
      <c r="T174" s="37">
        <v>42531</v>
      </c>
      <c r="AE174" s="33"/>
      <c r="AF174" s="33"/>
      <c r="AG174" s="33"/>
      <c r="AH174" s="34"/>
    </row>
    <row r="175" spans="1:34" s="32" customFormat="1" x14ac:dyDescent="0.25">
      <c r="A175" s="36">
        <v>173</v>
      </c>
      <c r="B175" s="38" t="s">
        <v>50</v>
      </c>
      <c r="C175" s="38" t="s">
        <v>227</v>
      </c>
      <c r="D175" s="41" t="s">
        <v>154</v>
      </c>
      <c r="E175" s="38">
        <v>5000042318</v>
      </c>
      <c r="F175" s="35"/>
      <c r="G175" s="35">
        <v>0.108</v>
      </c>
      <c r="H175" s="35">
        <v>34.993000000000002</v>
      </c>
      <c r="I175" s="35">
        <f t="shared" si="151"/>
        <v>34.993000000000002</v>
      </c>
      <c r="J175" s="35"/>
      <c r="K175" s="35" t="s">
        <v>53</v>
      </c>
      <c r="L175" s="35">
        <f t="shared" ref="L175:L176" si="164">I175/G175</f>
        <v>324.0092592592593</v>
      </c>
      <c r="M175" s="35">
        <f t="shared" ref="M175:M176" si="165">H175/G175</f>
        <v>324.0092592592593</v>
      </c>
      <c r="N175" s="35" t="s">
        <v>57</v>
      </c>
      <c r="O175" s="35" t="s">
        <v>54</v>
      </c>
      <c r="P175" s="35" t="s">
        <v>63</v>
      </c>
      <c r="Q175" s="32">
        <v>12</v>
      </c>
      <c r="R175" s="37">
        <v>42515</v>
      </c>
      <c r="S175" s="37">
        <v>42530</v>
      </c>
      <c r="T175" s="37">
        <v>42531</v>
      </c>
      <c r="AE175" s="33"/>
      <c r="AF175" s="33"/>
      <c r="AG175" s="33"/>
      <c r="AH175" s="34"/>
    </row>
    <row r="176" spans="1:34" s="32" customFormat="1" x14ac:dyDescent="0.25">
      <c r="A176" s="36">
        <v>174</v>
      </c>
      <c r="B176" s="38" t="s">
        <v>50</v>
      </c>
      <c r="C176" s="38" t="s">
        <v>227</v>
      </c>
      <c r="D176" s="41" t="s">
        <v>154</v>
      </c>
      <c r="E176" s="38">
        <v>5000042312</v>
      </c>
      <c r="F176" s="35"/>
      <c r="G176" s="35">
        <v>0.3</v>
      </c>
      <c r="H176" s="35">
        <v>45.65</v>
      </c>
      <c r="I176" s="35">
        <f t="shared" si="151"/>
        <v>45.65</v>
      </c>
      <c r="J176" s="35"/>
      <c r="K176" s="35" t="s">
        <v>53</v>
      </c>
      <c r="L176" s="35">
        <f t="shared" si="164"/>
        <v>152.16666666666666</v>
      </c>
      <c r="M176" s="35">
        <f t="shared" si="165"/>
        <v>152.16666666666666</v>
      </c>
      <c r="N176" s="35" t="s">
        <v>57</v>
      </c>
      <c r="O176" s="35" t="s">
        <v>54</v>
      </c>
      <c r="P176" s="35" t="s">
        <v>231</v>
      </c>
      <c r="Q176" s="32">
        <v>12</v>
      </c>
      <c r="R176" s="37">
        <v>42515</v>
      </c>
      <c r="S176" s="37">
        <v>42530</v>
      </c>
      <c r="T176" s="37">
        <v>42531</v>
      </c>
      <c r="AE176" s="33"/>
      <c r="AF176" s="33"/>
      <c r="AG176" s="33"/>
      <c r="AH176" s="34"/>
    </row>
    <row r="177" spans="1:34" s="32" customFormat="1" x14ac:dyDescent="0.25">
      <c r="A177" s="36">
        <v>175</v>
      </c>
      <c r="B177" s="38" t="s">
        <v>79</v>
      </c>
      <c r="C177" s="38" t="s">
        <v>227</v>
      </c>
      <c r="D177" s="41" t="s">
        <v>232</v>
      </c>
      <c r="E177" s="38">
        <v>2360068746</v>
      </c>
      <c r="F177" s="35"/>
      <c r="G177" s="35"/>
      <c r="H177" s="35">
        <v>40</v>
      </c>
      <c r="I177" s="35">
        <f t="shared" si="151"/>
        <v>40</v>
      </c>
      <c r="J177" s="35"/>
      <c r="K177" s="35" t="s">
        <v>81</v>
      </c>
      <c r="L177" s="35"/>
      <c r="M177" s="35"/>
      <c r="N177" s="35" t="s">
        <v>54</v>
      </c>
      <c r="O177" s="35" t="s">
        <v>54</v>
      </c>
      <c r="P177" s="35" t="s">
        <v>77</v>
      </c>
      <c r="Q177" s="32">
        <v>12</v>
      </c>
      <c r="R177" s="37">
        <v>42518</v>
      </c>
      <c r="S177" s="37">
        <v>42530</v>
      </c>
      <c r="T177" s="37">
        <v>42531</v>
      </c>
      <c r="AE177" s="33"/>
      <c r="AF177" s="33"/>
      <c r="AG177" s="33"/>
      <c r="AH177" s="34"/>
    </row>
    <row r="178" spans="1:34" s="32" customFormat="1" x14ac:dyDescent="0.25">
      <c r="A178" s="36">
        <v>176</v>
      </c>
      <c r="B178" s="38" t="s">
        <v>50</v>
      </c>
      <c r="C178" s="38" t="s">
        <v>227</v>
      </c>
      <c r="D178" s="41" t="s">
        <v>233</v>
      </c>
      <c r="E178" s="38">
        <v>5000042403</v>
      </c>
      <c r="F178" s="35"/>
      <c r="G178" s="35">
        <f>0.616*15+0.83333*6</f>
        <v>14.239979999999999</v>
      </c>
      <c r="H178" s="35">
        <f>1230.66</f>
        <v>1230.6600000000001</v>
      </c>
      <c r="I178" s="35">
        <f>H178</f>
        <v>1230.6600000000001</v>
      </c>
      <c r="J178" s="35"/>
      <c r="K178" s="35" t="s">
        <v>53</v>
      </c>
      <c r="L178" s="35">
        <f t="shared" ref="L178:L180" si="166">I178/G178</f>
        <v>86.422874189430047</v>
      </c>
      <c r="M178" s="35">
        <f t="shared" ref="M178:M180" si="167">H178/G178</f>
        <v>86.422874189430047</v>
      </c>
      <c r="N178" s="35" t="s">
        <v>57</v>
      </c>
      <c r="O178" s="35" t="s">
        <v>54</v>
      </c>
      <c r="P178" s="35" t="s">
        <v>226</v>
      </c>
      <c r="Q178" s="32">
        <v>11</v>
      </c>
      <c r="R178" s="37">
        <v>42521</v>
      </c>
      <c r="S178" s="37">
        <v>42535</v>
      </c>
      <c r="T178" s="37">
        <v>42535</v>
      </c>
      <c r="AE178" s="33"/>
      <c r="AF178" s="33"/>
      <c r="AG178" s="33"/>
      <c r="AH178" s="34"/>
    </row>
    <row r="179" spans="1:34" s="32" customFormat="1" x14ac:dyDescent="0.25">
      <c r="A179" s="36">
        <v>177</v>
      </c>
      <c r="B179" s="38" t="s">
        <v>90</v>
      </c>
      <c r="C179" s="38" t="s">
        <v>227</v>
      </c>
      <c r="D179" s="41" t="s">
        <v>234</v>
      </c>
      <c r="E179" s="38">
        <v>4201223946</v>
      </c>
      <c r="F179" s="35">
        <v>33</v>
      </c>
      <c r="G179" s="35">
        <v>1</v>
      </c>
      <c r="H179" s="35">
        <v>769.59</v>
      </c>
      <c r="I179" s="35">
        <f>109.093</f>
        <v>109.093</v>
      </c>
      <c r="J179" s="35">
        <f>H179-I179</f>
        <v>660.49700000000007</v>
      </c>
      <c r="K179" s="35" t="s">
        <v>71</v>
      </c>
      <c r="L179" s="35">
        <f t="shared" si="166"/>
        <v>109.093</v>
      </c>
      <c r="M179" s="35">
        <f t="shared" si="167"/>
        <v>769.59</v>
      </c>
      <c r="N179" s="35" t="s">
        <v>82</v>
      </c>
      <c r="O179" s="35" t="s">
        <v>54</v>
      </c>
      <c r="P179" s="35" t="s">
        <v>235</v>
      </c>
      <c r="Q179" s="32">
        <v>1</v>
      </c>
      <c r="R179" s="37">
        <v>42522</v>
      </c>
      <c r="S179" s="37">
        <v>42524</v>
      </c>
      <c r="T179" s="37">
        <v>42535</v>
      </c>
      <c r="AE179" s="33"/>
      <c r="AF179" s="33"/>
      <c r="AG179" s="33"/>
      <c r="AH179" s="34"/>
    </row>
    <row r="180" spans="1:34" s="32" customFormat="1" x14ac:dyDescent="0.25">
      <c r="A180" s="36">
        <v>178</v>
      </c>
      <c r="B180" s="38" t="s">
        <v>79</v>
      </c>
      <c r="C180" s="38" t="s">
        <v>227</v>
      </c>
      <c r="D180" s="41" t="s">
        <v>236</v>
      </c>
      <c r="E180" s="38">
        <v>4201223658</v>
      </c>
      <c r="F180" s="35">
        <v>11</v>
      </c>
      <c r="G180" s="35">
        <v>2.9</v>
      </c>
      <c r="H180" s="35">
        <v>223.8</v>
      </c>
      <c r="I180" s="35">
        <f>H180</f>
        <v>223.8</v>
      </c>
      <c r="J180" s="35"/>
      <c r="K180" s="35" t="s">
        <v>71</v>
      </c>
      <c r="L180" s="35">
        <f t="shared" si="166"/>
        <v>77.172413793103459</v>
      </c>
      <c r="M180" s="35">
        <f t="shared" si="167"/>
        <v>77.172413793103459</v>
      </c>
      <c r="N180" s="35" t="s">
        <v>61</v>
      </c>
      <c r="O180" s="35" t="s">
        <v>62</v>
      </c>
      <c r="P180" s="35" t="s">
        <v>235</v>
      </c>
      <c r="Q180" s="32">
        <v>1</v>
      </c>
      <c r="R180" s="37">
        <v>42513</v>
      </c>
      <c r="S180" s="37">
        <v>42534</v>
      </c>
      <c r="T180" s="37">
        <v>42535</v>
      </c>
      <c r="AE180" s="33"/>
      <c r="AF180" s="33"/>
      <c r="AG180" s="33"/>
      <c r="AH180" s="34"/>
    </row>
    <row r="181" spans="1:34" s="32" customFormat="1" x14ac:dyDescent="0.25">
      <c r="A181" s="36">
        <v>179</v>
      </c>
      <c r="B181" s="38" t="s">
        <v>79</v>
      </c>
      <c r="C181" s="38" t="s">
        <v>227</v>
      </c>
      <c r="D181" s="41" t="s">
        <v>237</v>
      </c>
      <c r="E181" s="38">
        <v>4201223687</v>
      </c>
      <c r="F181" s="35">
        <v>11</v>
      </c>
      <c r="G181" s="35">
        <f>2.9*2</f>
        <v>5.8</v>
      </c>
      <c r="H181" s="35">
        <v>700</v>
      </c>
      <c r="I181" s="35">
        <v>440</v>
      </c>
      <c r="J181" s="35">
        <f>H181-I181</f>
        <v>260</v>
      </c>
      <c r="K181" s="35" t="s">
        <v>71</v>
      </c>
      <c r="L181" s="35">
        <f t="shared" ref="L181" si="168">I181/G181</f>
        <v>75.862068965517238</v>
      </c>
      <c r="M181" s="35">
        <f t="shared" ref="M181" si="169">H181/G181</f>
        <v>120.68965517241379</v>
      </c>
      <c r="N181" s="35" t="s">
        <v>61</v>
      </c>
      <c r="O181" s="35" t="s">
        <v>62</v>
      </c>
      <c r="P181" s="35" t="s">
        <v>235</v>
      </c>
      <c r="Q181" s="32">
        <v>1</v>
      </c>
      <c r="R181" s="37">
        <v>42516</v>
      </c>
      <c r="S181" s="37">
        <v>42534</v>
      </c>
      <c r="T181" s="37">
        <v>42535</v>
      </c>
      <c r="AE181" s="33"/>
      <c r="AF181" s="33"/>
      <c r="AG181" s="33"/>
      <c r="AH181" s="34"/>
    </row>
    <row r="182" spans="1:34" s="32" customFormat="1" x14ac:dyDescent="0.25">
      <c r="A182" s="36">
        <v>180</v>
      </c>
      <c r="B182" s="38" t="s">
        <v>50</v>
      </c>
      <c r="C182" s="38" t="s">
        <v>227</v>
      </c>
      <c r="D182" s="41" t="s">
        <v>78</v>
      </c>
      <c r="E182" s="38">
        <v>5000042397</v>
      </c>
      <c r="F182" s="35"/>
      <c r="G182" s="35"/>
      <c r="H182" s="35">
        <v>848.62</v>
      </c>
      <c r="I182" s="35">
        <f>H182</f>
        <v>848.62</v>
      </c>
      <c r="J182" s="35"/>
      <c r="K182" s="35" t="s">
        <v>53</v>
      </c>
      <c r="L182" s="35"/>
      <c r="M182" s="35"/>
      <c r="N182" s="35" t="s">
        <v>57</v>
      </c>
      <c r="O182" s="35" t="s">
        <v>54</v>
      </c>
      <c r="P182" s="35" t="s">
        <v>77</v>
      </c>
      <c r="Q182" s="32">
        <v>12</v>
      </c>
      <c r="R182" s="37">
        <v>42531</v>
      </c>
      <c r="S182" s="37">
        <v>42534</v>
      </c>
      <c r="T182" s="37">
        <v>42535</v>
      </c>
      <c r="AE182" s="33"/>
      <c r="AF182" s="33"/>
      <c r="AG182" s="33"/>
      <c r="AH182" s="34"/>
    </row>
    <row r="183" spans="1:34" s="32" customFormat="1" x14ac:dyDescent="0.25">
      <c r="A183" s="36">
        <v>181</v>
      </c>
      <c r="B183" s="38" t="s">
        <v>50</v>
      </c>
      <c r="C183" s="38" t="s">
        <v>227</v>
      </c>
      <c r="D183" s="41" t="s">
        <v>76</v>
      </c>
      <c r="E183" s="38">
        <v>5000042396</v>
      </c>
      <c r="F183" s="35"/>
      <c r="G183" s="35"/>
      <c r="H183" s="35">
        <v>1956.47</v>
      </c>
      <c r="I183" s="35">
        <f>H183</f>
        <v>1956.47</v>
      </c>
      <c r="J183" s="35"/>
      <c r="K183" s="35" t="s">
        <v>53</v>
      </c>
      <c r="L183" s="35"/>
      <c r="M183" s="35"/>
      <c r="N183" s="35" t="s">
        <v>57</v>
      </c>
      <c r="O183" s="35" t="s">
        <v>54</v>
      </c>
      <c r="P183" s="35" t="s">
        <v>77</v>
      </c>
      <c r="Q183" s="32">
        <v>12</v>
      </c>
      <c r="R183" s="37">
        <v>42529</v>
      </c>
      <c r="S183" s="37">
        <v>42534</v>
      </c>
      <c r="T183" s="37">
        <v>42535</v>
      </c>
      <c r="AE183" s="33"/>
      <c r="AF183" s="33"/>
      <c r="AG183" s="33"/>
      <c r="AH183" s="34"/>
    </row>
    <row r="184" spans="1:34" s="32" customFormat="1" x14ac:dyDescent="0.25">
      <c r="A184" s="36">
        <v>182</v>
      </c>
      <c r="B184" s="38" t="s">
        <v>79</v>
      </c>
      <c r="C184" s="38" t="s">
        <v>227</v>
      </c>
      <c r="D184" s="41" t="s">
        <v>238</v>
      </c>
      <c r="E184" s="38">
        <v>2360068825</v>
      </c>
      <c r="F184" s="35"/>
      <c r="G184" s="35">
        <v>1.55</v>
      </c>
      <c r="H184" s="35">
        <v>151</v>
      </c>
      <c r="I184" s="35">
        <f>H184</f>
        <v>151</v>
      </c>
      <c r="J184" s="35"/>
      <c r="K184" s="35" t="s">
        <v>81</v>
      </c>
      <c r="L184" s="25">
        <f t="shared" ref="L184:L185" si="170">I184/G184</f>
        <v>97.41935483870968</v>
      </c>
      <c r="M184" s="25">
        <f t="shared" ref="M184:M185" si="171">H184/G184</f>
        <v>97.41935483870968</v>
      </c>
      <c r="N184" s="35" t="s">
        <v>54</v>
      </c>
      <c r="O184" s="35" t="s">
        <v>54</v>
      </c>
      <c r="P184" s="35" t="s">
        <v>116</v>
      </c>
      <c r="Q184" s="32">
        <v>12</v>
      </c>
      <c r="R184" s="37">
        <v>42509</v>
      </c>
      <c r="S184" s="37">
        <v>42534</v>
      </c>
      <c r="T184" s="37">
        <v>42535</v>
      </c>
      <c r="AE184" s="33"/>
      <c r="AF184" s="33"/>
      <c r="AG184" s="33"/>
      <c r="AH184" s="34"/>
    </row>
    <row r="185" spans="1:34" s="32" customFormat="1" x14ac:dyDescent="0.25">
      <c r="A185" s="36">
        <v>183</v>
      </c>
      <c r="B185" s="38" t="s">
        <v>50</v>
      </c>
      <c r="C185" s="38" t="s">
        <v>227</v>
      </c>
      <c r="D185" s="41" t="s">
        <v>239</v>
      </c>
      <c r="E185" s="38">
        <v>5000042395</v>
      </c>
      <c r="F185" s="35"/>
      <c r="G185" s="35">
        <v>2.39</v>
      </c>
      <c r="H185" s="35">
        <v>252</v>
      </c>
      <c r="I185" s="35">
        <f>H185</f>
        <v>252</v>
      </c>
      <c r="J185" s="35"/>
      <c r="K185" s="35" t="s">
        <v>81</v>
      </c>
      <c r="L185" s="25">
        <f t="shared" si="170"/>
        <v>105.43933054393305</v>
      </c>
      <c r="M185" s="25">
        <f t="shared" si="171"/>
        <v>105.43933054393305</v>
      </c>
      <c r="N185" s="35" t="s">
        <v>57</v>
      </c>
      <c r="O185" s="35" t="s">
        <v>54</v>
      </c>
      <c r="P185" s="35" t="s">
        <v>226</v>
      </c>
      <c r="Q185" s="32">
        <v>11</v>
      </c>
      <c r="R185" s="37">
        <v>42503</v>
      </c>
      <c r="S185" s="37">
        <v>42534</v>
      </c>
      <c r="T185" s="37">
        <v>42535</v>
      </c>
      <c r="AE185" s="33"/>
      <c r="AF185" s="33"/>
      <c r="AG185" s="33"/>
      <c r="AH185" s="34"/>
    </row>
    <row r="186" spans="1:34" s="32" customFormat="1" x14ac:dyDescent="0.25">
      <c r="A186" s="36">
        <v>184</v>
      </c>
      <c r="B186" s="38" t="s">
        <v>58</v>
      </c>
      <c r="C186" s="38" t="s">
        <v>227</v>
      </c>
      <c r="D186" s="41" t="s">
        <v>240</v>
      </c>
      <c r="E186" s="38">
        <v>4201225420</v>
      </c>
      <c r="F186" s="35">
        <v>33</v>
      </c>
      <c r="G186" s="35">
        <v>39.78</v>
      </c>
      <c r="H186" s="35">
        <v>4715</v>
      </c>
      <c r="I186" s="35">
        <v>3060.8</v>
      </c>
      <c r="J186" s="35">
        <f>H186-I186</f>
        <v>1654.1999999999998</v>
      </c>
      <c r="K186" s="35" t="s">
        <v>60</v>
      </c>
      <c r="L186" s="25">
        <f t="shared" ref="L186:L189" si="172">I186/G186</f>
        <v>76.943187531422822</v>
      </c>
      <c r="M186" s="25">
        <f t="shared" ref="M186:M189" si="173">H186/G186</f>
        <v>118.52689793866264</v>
      </c>
      <c r="N186" s="35" t="s">
        <v>61</v>
      </c>
      <c r="O186" s="35" t="s">
        <v>62</v>
      </c>
      <c r="P186" s="35" t="s">
        <v>235</v>
      </c>
      <c r="Q186" s="32">
        <v>1</v>
      </c>
      <c r="R186" s="37">
        <v>42529</v>
      </c>
      <c r="S186" s="37">
        <v>42536</v>
      </c>
      <c r="T186" s="37">
        <v>42537</v>
      </c>
      <c r="AE186" s="33"/>
      <c r="AF186" s="33"/>
      <c r="AG186" s="33"/>
      <c r="AH186" s="34"/>
    </row>
    <row r="187" spans="1:34" s="32" customFormat="1" x14ac:dyDescent="0.25">
      <c r="A187" s="36">
        <v>185</v>
      </c>
      <c r="B187" s="38" t="s">
        <v>58</v>
      </c>
      <c r="C187" s="38" t="s">
        <v>227</v>
      </c>
      <c r="D187" s="41" t="s">
        <v>241</v>
      </c>
      <c r="E187" s="38">
        <v>2360068848</v>
      </c>
      <c r="F187" s="35"/>
      <c r="G187" s="35">
        <f>0.4*3</f>
        <v>1.2000000000000002</v>
      </c>
      <c r="H187" s="35">
        <v>114</v>
      </c>
      <c r="I187" s="35">
        <f>H187</f>
        <v>114</v>
      </c>
      <c r="J187" s="35"/>
      <c r="K187" s="35" t="s">
        <v>81</v>
      </c>
      <c r="L187" s="25">
        <f t="shared" si="172"/>
        <v>94.999999999999986</v>
      </c>
      <c r="M187" s="25">
        <f t="shared" si="173"/>
        <v>94.999999999999986</v>
      </c>
      <c r="N187" s="35" t="s">
        <v>54</v>
      </c>
      <c r="O187" s="35" t="s">
        <v>54</v>
      </c>
      <c r="P187" s="35" t="s">
        <v>129</v>
      </c>
      <c r="Q187" s="32">
        <v>11</v>
      </c>
      <c r="R187" s="37">
        <v>42510</v>
      </c>
      <c r="S187" s="37">
        <v>42536</v>
      </c>
      <c r="T187" s="37">
        <v>42537</v>
      </c>
      <c r="AE187" s="33"/>
      <c r="AF187" s="33"/>
      <c r="AG187" s="33"/>
      <c r="AH187" s="34"/>
    </row>
    <row r="188" spans="1:34" s="32" customFormat="1" x14ac:dyDescent="0.25">
      <c r="A188" s="36">
        <v>186</v>
      </c>
      <c r="B188" s="38" t="s">
        <v>122</v>
      </c>
      <c r="C188" s="38" t="s">
        <v>227</v>
      </c>
      <c r="D188" s="41" t="s">
        <v>130</v>
      </c>
      <c r="E188" s="38">
        <v>2360068855</v>
      </c>
      <c r="F188" s="35"/>
      <c r="G188" s="35"/>
      <c r="H188" s="35">
        <v>69.819999999999993</v>
      </c>
      <c r="I188" s="35">
        <f>H188</f>
        <v>69.819999999999993</v>
      </c>
      <c r="J188" s="35"/>
      <c r="K188" s="35" t="s">
        <v>81</v>
      </c>
      <c r="L188" s="25"/>
      <c r="M188" s="25"/>
      <c r="N188" s="35" t="s">
        <v>82</v>
      </c>
      <c r="O188" s="35" t="s">
        <v>54</v>
      </c>
      <c r="P188" s="35" t="s">
        <v>77</v>
      </c>
      <c r="Q188" s="32">
        <v>12</v>
      </c>
      <c r="R188" s="37">
        <v>42525</v>
      </c>
      <c r="S188" s="37">
        <v>42536</v>
      </c>
      <c r="T188" s="37">
        <v>42537</v>
      </c>
      <c r="AE188" s="33"/>
      <c r="AF188" s="33"/>
      <c r="AG188" s="33"/>
      <c r="AH188" s="34"/>
    </row>
    <row r="189" spans="1:34" s="32" customFormat="1" x14ac:dyDescent="0.25">
      <c r="A189" s="36">
        <v>187</v>
      </c>
      <c r="B189" s="38" t="s">
        <v>79</v>
      </c>
      <c r="C189" s="38" t="s">
        <v>227</v>
      </c>
      <c r="D189" s="41" t="s">
        <v>242</v>
      </c>
      <c r="E189" s="38">
        <v>2360068857</v>
      </c>
      <c r="F189" s="35"/>
      <c r="G189" s="35">
        <f>0.159*2</f>
        <v>0.318</v>
      </c>
      <c r="H189" s="35">
        <v>40</v>
      </c>
      <c r="I189" s="35">
        <f>H189</f>
        <v>40</v>
      </c>
      <c r="J189" s="35"/>
      <c r="K189" s="35" t="s">
        <v>53</v>
      </c>
      <c r="L189" s="25">
        <f t="shared" si="172"/>
        <v>125.78616352201257</v>
      </c>
      <c r="M189" s="25">
        <f t="shared" si="173"/>
        <v>125.78616352201257</v>
      </c>
      <c r="N189" s="35" t="s">
        <v>54</v>
      </c>
      <c r="O189" s="35" t="s">
        <v>54</v>
      </c>
      <c r="P189" s="35" t="s">
        <v>129</v>
      </c>
      <c r="Q189" s="32">
        <v>11</v>
      </c>
      <c r="R189" s="37">
        <v>42529</v>
      </c>
      <c r="S189" s="37">
        <v>42536</v>
      </c>
      <c r="T189" s="37">
        <v>42537</v>
      </c>
      <c r="AE189" s="33"/>
      <c r="AF189" s="33"/>
      <c r="AG189" s="33"/>
      <c r="AH189" s="34"/>
    </row>
    <row r="190" spans="1:34" s="32" customFormat="1" x14ac:dyDescent="0.25">
      <c r="A190" s="36">
        <v>188</v>
      </c>
      <c r="B190" s="38" t="s">
        <v>79</v>
      </c>
      <c r="C190" s="38" t="s">
        <v>227</v>
      </c>
      <c r="D190" s="41" t="s">
        <v>87</v>
      </c>
      <c r="E190" s="38">
        <v>2360068885</v>
      </c>
      <c r="F190" s="35"/>
      <c r="G190" s="35">
        <v>9.4</v>
      </c>
      <c r="H190" s="35">
        <v>740</v>
      </c>
      <c r="I190" s="35">
        <f>H190</f>
        <v>740</v>
      </c>
      <c r="J190" s="35"/>
      <c r="K190" s="35" t="s">
        <v>81</v>
      </c>
      <c r="L190" s="25">
        <f t="shared" ref="L190" si="174">I190/G190</f>
        <v>78.723404255319153</v>
      </c>
      <c r="M190" s="25">
        <f t="shared" ref="M190" si="175">H190/G190</f>
        <v>78.723404255319153</v>
      </c>
      <c r="N190" s="35" t="s">
        <v>61</v>
      </c>
      <c r="O190" s="35" t="s">
        <v>62</v>
      </c>
      <c r="P190" s="35" t="s">
        <v>129</v>
      </c>
      <c r="Q190" s="32">
        <v>11</v>
      </c>
      <c r="R190" s="37">
        <v>42528</v>
      </c>
      <c r="S190" s="37">
        <v>42537</v>
      </c>
      <c r="T190" s="37">
        <v>42538</v>
      </c>
      <c r="AE190" s="33"/>
      <c r="AF190" s="33"/>
      <c r="AG190" s="33"/>
      <c r="AH190" s="34"/>
    </row>
    <row r="191" spans="1:34" s="32" customFormat="1" x14ac:dyDescent="0.25">
      <c r="A191" s="36">
        <v>189</v>
      </c>
      <c r="B191" s="38" t="s">
        <v>90</v>
      </c>
      <c r="C191" s="38" t="s">
        <v>227</v>
      </c>
      <c r="D191" s="41" t="s">
        <v>243</v>
      </c>
      <c r="E191" s="38">
        <v>4201226616</v>
      </c>
      <c r="F191" s="35">
        <v>6.6</v>
      </c>
      <c r="G191" s="35">
        <f>4.12+0.944</f>
        <v>5.0640000000000001</v>
      </c>
      <c r="H191" s="35">
        <f>14136+2363</f>
        <v>16499</v>
      </c>
      <c r="I191" s="35">
        <f>9936+2363</f>
        <v>12299</v>
      </c>
      <c r="J191" s="35">
        <f>H191-I191</f>
        <v>4200</v>
      </c>
      <c r="K191" s="35" t="s">
        <v>67</v>
      </c>
      <c r="L191" s="25">
        <f t="shared" ref="L191" si="176">I191/G191</f>
        <v>2428.7124802527646</v>
      </c>
      <c r="M191" s="25">
        <f t="shared" ref="M191" si="177">H191/G191</f>
        <v>3258.0963665086888</v>
      </c>
      <c r="N191" s="35" t="s">
        <v>82</v>
      </c>
      <c r="O191" s="35" t="s">
        <v>54</v>
      </c>
      <c r="P191" s="35" t="s">
        <v>123</v>
      </c>
      <c r="Q191" s="32">
        <v>18</v>
      </c>
      <c r="R191" s="37">
        <v>42534</v>
      </c>
      <c r="S191" s="37">
        <v>42538</v>
      </c>
      <c r="T191" s="37">
        <v>42538</v>
      </c>
      <c r="AE191" s="33"/>
      <c r="AF191" s="33"/>
      <c r="AG191" s="33"/>
      <c r="AH191" s="34"/>
    </row>
    <row r="192" spans="1:34" s="32" customFormat="1" x14ac:dyDescent="0.25">
      <c r="A192" s="36">
        <v>190</v>
      </c>
      <c r="B192" s="38" t="s">
        <v>58</v>
      </c>
      <c r="C192" s="38" t="s">
        <v>227</v>
      </c>
      <c r="D192" s="41" t="s">
        <v>244</v>
      </c>
      <c r="E192" s="38">
        <v>4201226536</v>
      </c>
      <c r="F192" s="35">
        <v>6.6</v>
      </c>
      <c r="G192" s="35">
        <v>4.2</v>
      </c>
      <c r="H192" s="35">
        <v>1436</v>
      </c>
      <c r="I192" s="35">
        <v>339</v>
      </c>
      <c r="J192" s="35">
        <f>H192-I192</f>
        <v>1097</v>
      </c>
      <c r="K192" s="35" t="s">
        <v>60</v>
      </c>
      <c r="L192" s="25">
        <f t="shared" ref="L192" si="178">I192/G192</f>
        <v>80.714285714285708</v>
      </c>
      <c r="M192" s="25">
        <f t="shared" ref="M192" si="179">H192/G192</f>
        <v>341.90476190476187</v>
      </c>
      <c r="N192" s="35" t="s">
        <v>54</v>
      </c>
      <c r="O192" s="35" t="s">
        <v>54</v>
      </c>
      <c r="P192" s="35" t="s">
        <v>245</v>
      </c>
      <c r="Q192" s="32">
        <v>1</v>
      </c>
      <c r="R192" s="37">
        <v>42535</v>
      </c>
      <c r="S192" s="37">
        <v>42538</v>
      </c>
      <c r="T192" s="37">
        <v>42538</v>
      </c>
      <c r="AE192" s="33"/>
      <c r="AF192" s="33"/>
      <c r="AG192" s="33"/>
      <c r="AH192" s="34"/>
    </row>
    <row r="193" spans="1:34" s="32" customFormat="1" x14ac:dyDescent="0.25">
      <c r="A193" s="36">
        <v>191</v>
      </c>
      <c r="B193" s="38" t="s">
        <v>50</v>
      </c>
      <c r="C193" s="38" t="s">
        <v>227</v>
      </c>
      <c r="D193" s="41" t="s">
        <v>78</v>
      </c>
      <c r="E193" s="38">
        <v>5000042490</v>
      </c>
      <c r="F193" s="35"/>
      <c r="G193" s="35"/>
      <c r="H193" s="35">
        <v>3782.78</v>
      </c>
      <c r="I193" s="35">
        <f>H193</f>
        <v>3782.78</v>
      </c>
      <c r="J193" s="35"/>
      <c r="K193" s="35" t="s">
        <v>53</v>
      </c>
      <c r="L193" s="25"/>
      <c r="M193" s="25"/>
      <c r="N193" s="35" t="s">
        <v>57</v>
      </c>
      <c r="O193" s="35" t="s">
        <v>54</v>
      </c>
      <c r="P193" s="35" t="s">
        <v>77</v>
      </c>
      <c r="Q193" s="32">
        <v>12</v>
      </c>
      <c r="R193" s="37">
        <v>42538</v>
      </c>
      <c r="S193" s="37">
        <v>42538</v>
      </c>
      <c r="T193" s="37">
        <v>42538</v>
      </c>
      <c r="AE193" s="33"/>
      <c r="AF193" s="33"/>
      <c r="AG193" s="33"/>
      <c r="AH193" s="34"/>
    </row>
    <row r="194" spans="1:34" s="32" customFormat="1" x14ac:dyDescent="0.25">
      <c r="A194" s="36">
        <v>192</v>
      </c>
      <c r="B194" s="38" t="s">
        <v>79</v>
      </c>
      <c r="C194" s="38" t="s">
        <v>227</v>
      </c>
      <c r="D194" s="41" t="s">
        <v>246</v>
      </c>
      <c r="E194" s="38">
        <v>2360068914</v>
      </c>
      <c r="F194" s="35"/>
      <c r="G194" s="35">
        <f>0.2*12</f>
        <v>2.4000000000000004</v>
      </c>
      <c r="H194" s="35">
        <v>211.2</v>
      </c>
      <c r="I194" s="35">
        <f>H194</f>
        <v>211.2</v>
      </c>
      <c r="J194" s="35"/>
      <c r="K194" s="35" t="s">
        <v>81</v>
      </c>
      <c r="L194" s="25">
        <f t="shared" ref="L194" si="180">I194/G194</f>
        <v>87.999999999999986</v>
      </c>
      <c r="M194" s="25">
        <f t="shared" ref="M194" si="181">H194/G194</f>
        <v>87.999999999999986</v>
      </c>
      <c r="N194" s="35" t="s">
        <v>82</v>
      </c>
      <c r="O194" s="35" t="s">
        <v>54</v>
      </c>
      <c r="P194" s="35" t="s">
        <v>129</v>
      </c>
      <c r="Q194" s="32">
        <v>11</v>
      </c>
      <c r="R194" s="37">
        <v>42534</v>
      </c>
      <c r="S194" s="37">
        <v>42538</v>
      </c>
      <c r="T194" s="37">
        <v>42538</v>
      </c>
      <c r="AE194" s="33"/>
      <c r="AF194" s="33"/>
      <c r="AG194" s="33"/>
      <c r="AH194" s="34"/>
    </row>
    <row r="195" spans="1:34" s="32" customFormat="1" x14ac:dyDescent="0.25">
      <c r="A195" s="36">
        <v>193</v>
      </c>
      <c r="B195" s="38" t="s">
        <v>73</v>
      </c>
      <c r="C195" s="38" t="s">
        <v>227</v>
      </c>
      <c r="D195" s="41" t="s">
        <v>247</v>
      </c>
      <c r="E195" s="38">
        <v>4201227559</v>
      </c>
      <c r="F195" s="35">
        <v>33</v>
      </c>
      <c r="G195" s="35"/>
      <c r="H195" s="35">
        <v>3050</v>
      </c>
      <c r="I195" s="35">
        <f>H195</f>
        <v>3050</v>
      </c>
      <c r="J195" s="35"/>
      <c r="K195" s="35" t="s">
        <v>71</v>
      </c>
      <c r="L195" s="25"/>
      <c r="M195" s="25"/>
      <c r="N195" s="35" t="s">
        <v>61</v>
      </c>
      <c r="O195" s="35" t="s">
        <v>62</v>
      </c>
      <c r="P195" s="35" t="s">
        <v>77</v>
      </c>
      <c r="Q195" s="32">
        <v>12</v>
      </c>
      <c r="R195" s="37">
        <v>42531</v>
      </c>
      <c r="S195" s="37">
        <v>42541</v>
      </c>
      <c r="T195" s="37">
        <v>42541</v>
      </c>
      <c r="AE195" s="33"/>
      <c r="AF195" s="33"/>
      <c r="AG195" s="33"/>
      <c r="AH195" s="34"/>
    </row>
    <row r="196" spans="1:34" s="32" customFormat="1" x14ac:dyDescent="0.25">
      <c r="A196" s="36">
        <v>195</v>
      </c>
      <c r="B196" s="38" t="s">
        <v>79</v>
      </c>
      <c r="C196" s="38" t="s">
        <v>227</v>
      </c>
      <c r="D196" s="41" t="s">
        <v>242</v>
      </c>
      <c r="E196" s="38">
        <v>2360069032</v>
      </c>
      <c r="F196" s="35"/>
      <c r="G196" s="35">
        <f>0.079*1+0.318</f>
        <v>0.39700000000000002</v>
      </c>
      <c r="H196" s="35">
        <v>257</v>
      </c>
      <c r="I196" s="35">
        <f>16+30</f>
        <v>46</v>
      </c>
      <c r="J196" s="35">
        <f>H196-I196</f>
        <v>211</v>
      </c>
      <c r="K196" s="35" t="s">
        <v>53</v>
      </c>
      <c r="L196" s="25">
        <f t="shared" ref="L196:L197" si="182">I196/G196</f>
        <v>115.86901763224181</v>
      </c>
      <c r="M196" s="25">
        <f t="shared" ref="M196:M197" si="183">H196/G196</f>
        <v>647.35516372795962</v>
      </c>
      <c r="N196" s="35" t="s">
        <v>54</v>
      </c>
      <c r="O196" s="35" t="s">
        <v>54</v>
      </c>
      <c r="P196" s="35" t="s">
        <v>248</v>
      </c>
      <c r="Q196" s="32">
        <v>11</v>
      </c>
      <c r="R196" s="37">
        <v>42538</v>
      </c>
      <c r="S196" s="37">
        <v>42544</v>
      </c>
      <c r="T196" s="37">
        <v>42545</v>
      </c>
      <c r="AE196" s="33"/>
      <c r="AF196" s="33"/>
      <c r="AG196" s="33"/>
      <c r="AH196" s="34"/>
    </row>
    <row r="197" spans="1:34" s="32" customFormat="1" x14ac:dyDescent="0.25">
      <c r="A197" s="36">
        <v>196</v>
      </c>
      <c r="B197" s="38" t="s">
        <v>50</v>
      </c>
      <c r="C197" s="38" t="s">
        <v>227</v>
      </c>
      <c r="D197" s="41" t="s">
        <v>115</v>
      </c>
      <c r="E197" s="38">
        <v>5000042587</v>
      </c>
      <c r="F197" s="35"/>
      <c r="G197" s="35">
        <f>0.3*10</f>
        <v>3</v>
      </c>
      <c r="H197" s="35">
        <v>377.88</v>
      </c>
      <c r="I197" s="35">
        <f t="shared" ref="I197" si="184">H197</f>
        <v>377.88</v>
      </c>
      <c r="J197" s="35"/>
      <c r="K197" s="35" t="s">
        <v>53</v>
      </c>
      <c r="L197" s="25">
        <f t="shared" si="182"/>
        <v>125.96</v>
      </c>
      <c r="M197" s="25">
        <f t="shared" si="183"/>
        <v>125.96</v>
      </c>
      <c r="N197" s="35" t="s">
        <v>57</v>
      </c>
      <c r="O197" s="35" t="s">
        <v>54</v>
      </c>
      <c r="P197" s="35" t="s">
        <v>249</v>
      </c>
      <c r="Q197" s="32">
        <v>12</v>
      </c>
      <c r="R197" s="37">
        <v>42543</v>
      </c>
      <c r="S197" s="37">
        <v>42544</v>
      </c>
      <c r="T197" s="37">
        <v>42545</v>
      </c>
      <c r="AE197" s="33"/>
      <c r="AF197" s="33"/>
      <c r="AG197" s="33"/>
      <c r="AH197" s="34"/>
    </row>
    <row r="198" spans="1:34" s="32" customFormat="1" x14ac:dyDescent="0.25">
      <c r="A198" s="36">
        <v>197</v>
      </c>
      <c r="B198" s="38" t="s">
        <v>79</v>
      </c>
      <c r="C198" s="38" t="s">
        <v>227</v>
      </c>
      <c r="D198" s="41" t="s">
        <v>250</v>
      </c>
      <c r="E198" s="38">
        <v>2360069026</v>
      </c>
      <c r="F198" s="35"/>
      <c r="G198" s="35">
        <f>0.05*16+0.025*4</f>
        <v>0.9</v>
      </c>
      <c r="H198" s="35">
        <v>213.32</v>
      </c>
      <c r="I198" s="35">
        <f>H198</f>
        <v>213.32</v>
      </c>
      <c r="J198" s="35"/>
      <c r="K198" s="35" t="s">
        <v>81</v>
      </c>
      <c r="L198" s="25">
        <f t="shared" ref="L198:L199" si="185">I198/G198</f>
        <v>237.02222222222221</v>
      </c>
      <c r="M198" s="25">
        <f t="shared" ref="M198:M199" si="186">H198/G198</f>
        <v>237.02222222222221</v>
      </c>
      <c r="N198" s="35" t="s">
        <v>82</v>
      </c>
      <c r="O198" s="35" t="s">
        <v>54</v>
      </c>
      <c r="P198" s="35" t="s">
        <v>212</v>
      </c>
      <c r="Q198" s="32">
        <v>20</v>
      </c>
      <c r="R198" s="37">
        <v>42537</v>
      </c>
      <c r="S198" s="37">
        <v>42544</v>
      </c>
      <c r="T198" s="37">
        <v>42545</v>
      </c>
      <c r="AE198" s="33"/>
      <c r="AF198" s="33"/>
      <c r="AG198" s="33"/>
      <c r="AH198" s="34"/>
    </row>
    <row r="199" spans="1:34" s="32" customFormat="1" x14ac:dyDescent="0.25">
      <c r="A199" s="36">
        <v>198</v>
      </c>
      <c r="B199" s="38" t="s">
        <v>50</v>
      </c>
      <c r="C199" s="38" t="s">
        <v>227</v>
      </c>
      <c r="D199" s="41" t="s">
        <v>99</v>
      </c>
      <c r="E199" s="38">
        <v>5000042604</v>
      </c>
      <c r="F199" s="35"/>
      <c r="G199" s="35">
        <f>0.396*3</f>
        <v>1.1880000000000002</v>
      </c>
      <c r="H199" s="35">
        <v>141.66</v>
      </c>
      <c r="I199" s="35">
        <f t="shared" ref="I199" si="187">H199</f>
        <v>141.66</v>
      </c>
      <c r="J199" s="35"/>
      <c r="K199" s="35" t="s">
        <v>53</v>
      </c>
      <c r="L199" s="35">
        <f t="shared" si="185"/>
        <v>119.24242424242422</v>
      </c>
      <c r="M199" s="35">
        <f t="shared" si="186"/>
        <v>119.24242424242422</v>
      </c>
      <c r="N199" s="35" t="s">
        <v>57</v>
      </c>
      <c r="O199" s="35" t="s">
        <v>54</v>
      </c>
      <c r="P199" s="35" t="s">
        <v>226</v>
      </c>
      <c r="Q199" s="32">
        <v>11</v>
      </c>
      <c r="R199" s="37">
        <v>42545</v>
      </c>
      <c r="S199" s="37">
        <v>42548</v>
      </c>
      <c r="T199" s="37">
        <v>42548</v>
      </c>
      <c r="AE199" s="33"/>
      <c r="AF199" s="33"/>
      <c r="AG199" s="33"/>
      <c r="AH199" s="34"/>
    </row>
    <row r="200" spans="1:34" s="32" customFormat="1" x14ac:dyDescent="0.25">
      <c r="A200" s="36">
        <v>199</v>
      </c>
      <c r="B200" s="38" t="s">
        <v>58</v>
      </c>
      <c r="C200" s="38" t="s">
        <v>227</v>
      </c>
      <c r="D200" s="41" t="s">
        <v>251</v>
      </c>
      <c r="E200" s="38">
        <v>2360069175</v>
      </c>
      <c r="F200" s="35"/>
      <c r="G200" s="35"/>
      <c r="H200" s="35">
        <v>625</v>
      </c>
      <c r="I200" s="35">
        <f>H200</f>
        <v>625</v>
      </c>
      <c r="J200" s="35"/>
      <c r="K200" s="35" t="s">
        <v>81</v>
      </c>
      <c r="L200" s="35"/>
      <c r="M200" s="35"/>
      <c r="N200" s="35" t="s">
        <v>61</v>
      </c>
      <c r="O200" s="35" t="s">
        <v>62</v>
      </c>
      <c r="P200" s="35" t="s">
        <v>97</v>
      </c>
      <c r="Q200" s="32">
        <v>13</v>
      </c>
      <c r="R200" s="37">
        <v>42545</v>
      </c>
      <c r="S200" s="37">
        <v>42549</v>
      </c>
      <c r="T200" s="37">
        <v>42550</v>
      </c>
      <c r="AE200" s="33"/>
      <c r="AF200" s="33"/>
      <c r="AG200" s="33"/>
      <c r="AH200" s="34"/>
    </row>
    <row r="201" spans="1:34" s="32" customFormat="1" x14ac:dyDescent="0.25">
      <c r="A201" s="36">
        <v>200</v>
      </c>
      <c r="B201" s="38" t="s">
        <v>73</v>
      </c>
      <c r="C201" s="38" t="s">
        <v>227</v>
      </c>
      <c r="D201" s="41" t="s">
        <v>252</v>
      </c>
      <c r="E201" s="38">
        <v>4201232898</v>
      </c>
      <c r="F201" s="35"/>
      <c r="G201" s="35">
        <v>1.5</v>
      </c>
      <c r="H201" s="35">
        <v>675</v>
      </c>
      <c r="I201" s="35">
        <v>116</v>
      </c>
      <c r="J201" s="35">
        <f>H201-I201</f>
        <v>559</v>
      </c>
      <c r="K201" s="35" t="s">
        <v>67</v>
      </c>
      <c r="L201" s="35">
        <f t="shared" ref="L201" si="188">I201/G201</f>
        <v>77.333333333333329</v>
      </c>
      <c r="M201" s="35">
        <f t="shared" ref="M201" si="189">H201/G201</f>
        <v>450</v>
      </c>
      <c r="N201" s="35" t="s">
        <v>54</v>
      </c>
      <c r="O201" s="35" t="s">
        <v>54</v>
      </c>
      <c r="P201" s="35" t="s">
        <v>152</v>
      </c>
      <c r="Q201" s="32">
        <v>2</v>
      </c>
      <c r="R201" s="37">
        <v>42535</v>
      </c>
      <c r="S201" s="37">
        <v>42549</v>
      </c>
      <c r="T201" s="37">
        <v>42550</v>
      </c>
      <c r="AE201" s="33"/>
      <c r="AF201" s="33"/>
      <c r="AG201" s="33"/>
      <c r="AH201" s="34"/>
    </row>
    <row r="202" spans="1:34" s="32" customFormat="1" x14ac:dyDescent="0.25">
      <c r="A202" s="36">
        <v>201</v>
      </c>
      <c r="B202" s="38" t="s">
        <v>50</v>
      </c>
      <c r="C202" s="38" t="s">
        <v>227</v>
      </c>
      <c r="D202" s="41" t="s">
        <v>154</v>
      </c>
      <c r="E202" s="38">
        <v>5000042683</v>
      </c>
      <c r="F202" s="35"/>
      <c r="G202" s="35">
        <f>(0.265+0.371+0.424)*3</f>
        <v>3.18</v>
      </c>
      <c r="H202" s="35">
        <v>485.69499999999999</v>
      </c>
      <c r="I202" s="35">
        <f>H202</f>
        <v>485.69499999999999</v>
      </c>
      <c r="J202" s="35"/>
      <c r="K202" s="35" t="s">
        <v>53</v>
      </c>
      <c r="L202" s="35">
        <f t="shared" ref="L202" si="190">I202/G202</f>
        <v>152.73427672955975</v>
      </c>
      <c r="M202" s="35">
        <f t="shared" ref="M202" si="191">H202/G202</f>
        <v>152.73427672955975</v>
      </c>
      <c r="N202" s="35" t="s">
        <v>57</v>
      </c>
      <c r="O202" s="35" t="s">
        <v>54</v>
      </c>
      <c r="P202" s="35" t="s">
        <v>116</v>
      </c>
      <c r="Q202" s="32">
        <v>12</v>
      </c>
      <c r="R202" s="37">
        <v>42548</v>
      </c>
      <c r="S202" s="37">
        <v>42550</v>
      </c>
      <c r="T202" s="37">
        <v>42551</v>
      </c>
      <c r="AE202" s="33"/>
      <c r="AF202" s="33"/>
      <c r="AG202" s="33"/>
      <c r="AH202" s="34"/>
    </row>
    <row r="203" spans="1:34" s="32" customFormat="1" x14ac:dyDescent="0.25">
      <c r="A203" s="36">
        <v>202</v>
      </c>
      <c r="B203" s="38" t="s">
        <v>50</v>
      </c>
      <c r="C203" s="38" t="s">
        <v>227</v>
      </c>
      <c r="D203" s="41" t="s">
        <v>76</v>
      </c>
      <c r="E203" s="38">
        <v>5000042709</v>
      </c>
      <c r="F203" s="35"/>
      <c r="G203" s="35"/>
      <c r="H203" s="35">
        <v>1688.56</v>
      </c>
      <c r="I203" s="35">
        <f t="shared" ref="I203:I204" si="192">H203</f>
        <v>1688.56</v>
      </c>
      <c r="J203" s="35"/>
      <c r="K203" s="35" t="s">
        <v>53</v>
      </c>
      <c r="L203" s="35"/>
      <c r="M203" s="35"/>
      <c r="N203" s="35" t="s">
        <v>57</v>
      </c>
      <c r="O203" s="35" t="s">
        <v>54</v>
      </c>
      <c r="P203" s="35" t="s">
        <v>77</v>
      </c>
      <c r="Q203" s="32">
        <v>12</v>
      </c>
      <c r="R203" s="37">
        <v>42548</v>
      </c>
      <c r="S203" s="37">
        <v>42550</v>
      </c>
      <c r="T203" s="37">
        <v>42551</v>
      </c>
      <c r="AE203" s="33"/>
      <c r="AF203" s="33"/>
      <c r="AG203" s="33"/>
      <c r="AH203" s="34"/>
    </row>
    <row r="204" spans="1:34" s="32" customFormat="1" x14ac:dyDescent="0.25">
      <c r="A204" s="36">
        <v>203</v>
      </c>
      <c r="B204" s="38" t="s">
        <v>50</v>
      </c>
      <c r="C204" s="38" t="s">
        <v>227</v>
      </c>
      <c r="D204" s="41" t="s">
        <v>76</v>
      </c>
      <c r="E204" s="38">
        <v>5000042646</v>
      </c>
      <c r="F204" s="35"/>
      <c r="G204" s="35"/>
      <c r="H204" s="35">
        <v>150.57400000000001</v>
      </c>
      <c r="I204" s="35">
        <f t="shared" si="192"/>
        <v>150.57400000000001</v>
      </c>
      <c r="J204" s="35"/>
      <c r="K204" s="35" t="s">
        <v>53</v>
      </c>
      <c r="L204" s="35"/>
      <c r="M204" s="35"/>
      <c r="N204" s="35" t="s">
        <v>57</v>
      </c>
      <c r="O204" s="35" t="s">
        <v>54</v>
      </c>
      <c r="P204" s="35" t="s">
        <v>77</v>
      </c>
      <c r="Q204" s="32">
        <v>12</v>
      </c>
      <c r="R204" s="37">
        <v>42536</v>
      </c>
      <c r="S204" s="37">
        <v>42550</v>
      </c>
      <c r="T204" s="37">
        <v>42551</v>
      </c>
      <c r="AE204" s="33"/>
      <c r="AF204" s="33"/>
      <c r="AG204" s="33"/>
      <c r="AH204" s="34"/>
    </row>
    <row r="205" spans="1:34" s="32" customFormat="1" x14ac:dyDescent="0.25">
      <c r="A205" s="36">
        <v>204</v>
      </c>
      <c r="B205" s="38" t="s">
        <v>79</v>
      </c>
      <c r="C205" s="38" t="s">
        <v>227</v>
      </c>
      <c r="D205" s="41" t="s">
        <v>250</v>
      </c>
      <c r="E205" s="38">
        <v>2360069174</v>
      </c>
      <c r="F205" s="35"/>
      <c r="G205" s="35">
        <f>0.05*16+0.025*4</f>
        <v>0.9</v>
      </c>
      <c r="H205" s="35">
        <v>213.32</v>
      </c>
      <c r="I205" s="35">
        <f t="shared" ref="I205:I220" si="193">H205</f>
        <v>213.32</v>
      </c>
      <c r="J205" s="35"/>
      <c r="K205" s="35" t="s">
        <v>81</v>
      </c>
      <c r="L205" s="25">
        <f t="shared" ref="L205" si="194">I205/G205</f>
        <v>237.02222222222221</v>
      </c>
      <c r="M205" s="25">
        <f t="shared" ref="M205" si="195">H205/G205</f>
        <v>237.02222222222221</v>
      </c>
      <c r="N205" s="35" t="s">
        <v>82</v>
      </c>
      <c r="O205" s="35" t="s">
        <v>54</v>
      </c>
      <c r="P205" s="35" t="s">
        <v>212</v>
      </c>
      <c r="Q205" s="32">
        <v>20</v>
      </c>
      <c r="R205" s="37">
        <v>42537</v>
      </c>
      <c r="S205" s="37">
        <v>42544</v>
      </c>
      <c r="T205" s="37">
        <v>42545</v>
      </c>
      <c r="AE205" s="33"/>
      <c r="AF205" s="33"/>
      <c r="AG205" s="33"/>
      <c r="AH205" s="34"/>
    </row>
    <row r="206" spans="1:34" s="32" customFormat="1" x14ac:dyDescent="0.25">
      <c r="A206" s="36">
        <v>205</v>
      </c>
      <c r="B206" s="38" t="s">
        <v>58</v>
      </c>
      <c r="C206" s="38" t="s">
        <v>227</v>
      </c>
      <c r="D206" s="41" t="s">
        <v>253</v>
      </c>
      <c r="E206" s="38">
        <v>2360069186</v>
      </c>
      <c r="F206" s="35"/>
      <c r="G206" s="35">
        <v>0.40400000000000003</v>
      </c>
      <c r="H206" s="35">
        <v>42.5</v>
      </c>
      <c r="I206" s="35">
        <f t="shared" si="193"/>
        <v>42.5</v>
      </c>
      <c r="J206" s="35"/>
      <c r="K206" s="35" t="s">
        <v>81</v>
      </c>
      <c r="L206" s="25">
        <f t="shared" ref="L206" si="196">I206/G206</f>
        <v>105.19801980198019</v>
      </c>
      <c r="M206" s="25">
        <f t="shared" ref="M206" si="197">H206/G206</f>
        <v>105.19801980198019</v>
      </c>
      <c r="N206" s="35" t="s">
        <v>54</v>
      </c>
      <c r="O206" s="35" t="s">
        <v>54</v>
      </c>
      <c r="P206" s="35" t="s">
        <v>129</v>
      </c>
      <c r="Q206" s="32">
        <v>11</v>
      </c>
      <c r="R206" s="37">
        <v>42530</v>
      </c>
      <c r="S206" s="37">
        <v>42550</v>
      </c>
      <c r="T206" s="37">
        <v>42551</v>
      </c>
      <c r="AE206" s="33"/>
      <c r="AF206" s="33"/>
      <c r="AG206" s="33"/>
      <c r="AH206" s="34"/>
    </row>
    <row r="207" spans="1:34" s="32" customFormat="1" x14ac:dyDescent="0.25">
      <c r="A207" s="36">
        <v>206</v>
      </c>
      <c r="B207" s="38" t="s">
        <v>50</v>
      </c>
      <c r="C207" s="38" t="s">
        <v>227</v>
      </c>
      <c r="D207" s="41" t="s">
        <v>52</v>
      </c>
      <c r="E207" s="38">
        <v>5000042694</v>
      </c>
      <c r="F207" s="35"/>
      <c r="G207" s="35">
        <v>0.27100000000000002</v>
      </c>
      <c r="H207" s="35">
        <v>59</v>
      </c>
      <c r="I207" s="35">
        <f t="shared" si="193"/>
        <v>59</v>
      </c>
      <c r="J207" s="35"/>
      <c r="K207" s="35" t="s">
        <v>53</v>
      </c>
      <c r="L207" s="25">
        <f t="shared" ref="L207" si="198">I207/G207</f>
        <v>217.71217712177119</v>
      </c>
      <c r="M207" s="25">
        <f t="shared" ref="M207" si="199">H207/G207</f>
        <v>217.71217712177119</v>
      </c>
      <c r="N207" s="35" t="s">
        <v>57</v>
      </c>
      <c r="O207" s="35" t="s">
        <v>54</v>
      </c>
      <c r="P207" s="35" t="s">
        <v>116</v>
      </c>
      <c r="Q207" s="32">
        <v>12</v>
      </c>
      <c r="R207" s="37">
        <v>42538</v>
      </c>
      <c r="S207" s="37">
        <v>42550</v>
      </c>
      <c r="T207" s="37">
        <v>42551</v>
      </c>
      <c r="AE207" s="33"/>
      <c r="AF207" s="33"/>
      <c r="AG207" s="33"/>
      <c r="AH207" s="34"/>
    </row>
    <row r="208" spans="1:34" s="32" customFormat="1" x14ac:dyDescent="0.25">
      <c r="A208" s="36">
        <v>207</v>
      </c>
      <c r="B208" s="38" t="s">
        <v>79</v>
      </c>
      <c r="C208" s="38" t="s">
        <v>227</v>
      </c>
      <c r="D208" s="41" t="s">
        <v>126</v>
      </c>
      <c r="E208" s="38">
        <v>2360069251</v>
      </c>
      <c r="F208" s="35"/>
      <c r="G208" s="35">
        <v>0.24199999999999999</v>
      </c>
      <c r="H208" s="35">
        <v>27.5</v>
      </c>
      <c r="I208" s="35">
        <f t="shared" si="193"/>
        <v>27.5</v>
      </c>
      <c r="J208" s="35"/>
      <c r="K208" s="35" t="s">
        <v>81</v>
      </c>
      <c r="L208" s="25">
        <f t="shared" ref="L208" si="200">I208/G208</f>
        <v>113.63636363636364</v>
      </c>
      <c r="M208" s="25">
        <f t="shared" ref="M208" si="201">H208/G208</f>
        <v>113.63636363636364</v>
      </c>
      <c r="N208" s="35" t="s">
        <v>61</v>
      </c>
      <c r="O208" s="35" t="s">
        <v>62</v>
      </c>
      <c r="P208" s="35" t="s">
        <v>129</v>
      </c>
      <c r="Q208" s="32">
        <v>11</v>
      </c>
      <c r="R208" s="37">
        <v>42537</v>
      </c>
      <c r="S208" s="37">
        <v>42550</v>
      </c>
      <c r="T208" s="37">
        <v>42551</v>
      </c>
      <c r="AE208" s="33"/>
      <c r="AF208" s="33"/>
      <c r="AG208" s="33"/>
      <c r="AH208" s="34"/>
    </row>
    <row r="209" spans="1:34" s="32" customFormat="1" x14ac:dyDescent="0.25">
      <c r="A209" s="36">
        <v>208</v>
      </c>
      <c r="B209" s="38" t="s">
        <v>50</v>
      </c>
      <c r="C209" s="38" t="s">
        <v>227</v>
      </c>
      <c r="D209" s="41" t="s">
        <v>99</v>
      </c>
      <c r="E209" s="38">
        <v>5000042721</v>
      </c>
      <c r="F209" s="35"/>
      <c r="G209" s="35">
        <f>0.464*30</f>
        <v>13.92</v>
      </c>
      <c r="H209" s="35">
        <v>1096.6500000000001</v>
      </c>
      <c r="I209" s="35">
        <f t="shared" si="193"/>
        <v>1096.6500000000001</v>
      </c>
      <c r="J209" s="35"/>
      <c r="K209" s="35" t="s">
        <v>53</v>
      </c>
      <c r="L209" s="25">
        <f t="shared" ref="L209" si="202">I209/G209</f>
        <v>78.782327586206904</v>
      </c>
      <c r="M209" s="25">
        <f t="shared" ref="M209" si="203">H209/G209</f>
        <v>78.782327586206904</v>
      </c>
      <c r="N209" s="35" t="s">
        <v>57</v>
      </c>
      <c r="O209" s="35" t="s">
        <v>54</v>
      </c>
      <c r="P209" s="35" t="s">
        <v>129</v>
      </c>
      <c r="Q209" s="32">
        <v>11</v>
      </c>
      <c r="R209" s="37">
        <v>42543</v>
      </c>
      <c r="S209" s="37">
        <v>42552</v>
      </c>
      <c r="T209" s="37">
        <v>42552</v>
      </c>
      <c r="AE209" s="33"/>
      <c r="AF209" s="33"/>
      <c r="AG209" s="33"/>
      <c r="AH209" s="34"/>
    </row>
    <row r="210" spans="1:34" s="32" customFormat="1" x14ac:dyDescent="0.25">
      <c r="A210" s="36">
        <v>209</v>
      </c>
      <c r="B210" s="38" t="s">
        <v>50</v>
      </c>
      <c r="C210" s="38" t="s">
        <v>227</v>
      </c>
      <c r="D210" s="41" t="s">
        <v>99</v>
      </c>
      <c r="E210" s="38">
        <v>5000042724</v>
      </c>
      <c r="F210" s="35"/>
      <c r="G210" s="35">
        <f>0.524*3</f>
        <v>1.5720000000000001</v>
      </c>
      <c r="H210" s="35">
        <v>118.414</v>
      </c>
      <c r="I210" s="35">
        <f t="shared" si="193"/>
        <v>118.414</v>
      </c>
      <c r="J210" s="35"/>
      <c r="K210" s="35" t="s">
        <v>53</v>
      </c>
      <c r="L210" s="25">
        <f t="shared" ref="L210" si="204">I210/G210</f>
        <v>75.32697201017811</v>
      </c>
      <c r="M210" s="25">
        <f t="shared" ref="M210" si="205">H210/G210</f>
        <v>75.32697201017811</v>
      </c>
      <c r="N210" s="35" t="s">
        <v>57</v>
      </c>
      <c r="O210" s="35" t="s">
        <v>54</v>
      </c>
      <c r="P210" s="35" t="s">
        <v>129</v>
      </c>
      <c r="Q210" s="32">
        <v>11</v>
      </c>
      <c r="R210" s="37">
        <v>42543</v>
      </c>
      <c r="S210" s="37">
        <v>42552</v>
      </c>
      <c r="T210" s="37">
        <v>42552</v>
      </c>
      <c r="AE210" s="33"/>
      <c r="AF210" s="33"/>
      <c r="AG210" s="33"/>
      <c r="AH210" s="34"/>
    </row>
    <row r="211" spans="1:34" s="32" customFormat="1" x14ac:dyDescent="0.25">
      <c r="A211" s="36">
        <v>210</v>
      </c>
      <c r="B211" s="38" t="s">
        <v>50</v>
      </c>
      <c r="C211" s="38" t="s">
        <v>227</v>
      </c>
      <c r="D211" s="41" t="s">
        <v>99</v>
      </c>
      <c r="E211" s="38">
        <v>5000042720</v>
      </c>
      <c r="F211" s="35"/>
      <c r="G211" s="35">
        <f>0.475*4</f>
        <v>1.9</v>
      </c>
      <c r="H211" s="35">
        <v>178.875</v>
      </c>
      <c r="I211" s="35">
        <f t="shared" si="193"/>
        <v>178.875</v>
      </c>
      <c r="J211" s="35"/>
      <c r="K211" s="35" t="s">
        <v>53</v>
      </c>
      <c r="L211" s="25">
        <f t="shared" ref="L211:L212" si="206">I211/G211</f>
        <v>94.144736842105274</v>
      </c>
      <c r="M211" s="25">
        <f t="shared" ref="M211:M212" si="207">H211/G211</f>
        <v>94.144736842105274</v>
      </c>
      <c r="N211" s="35" t="s">
        <v>57</v>
      </c>
      <c r="O211" s="35" t="s">
        <v>54</v>
      </c>
      <c r="P211" s="35" t="s">
        <v>129</v>
      </c>
      <c r="Q211" s="32">
        <v>11</v>
      </c>
      <c r="R211" s="37">
        <v>42543</v>
      </c>
      <c r="S211" s="37">
        <v>42552</v>
      </c>
      <c r="T211" s="37">
        <v>42552</v>
      </c>
      <c r="AE211" s="33"/>
      <c r="AF211" s="33"/>
      <c r="AG211" s="33"/>
      <c r="AH211" s="34"/>
    </row>
    <row r="212" spans="1:34" s="32" customFormat="1" x14ac:dyDescent="0.25">
      <c r="A212" s="36">
        <v>211</v>
      </c>
      <c r="B212" s="38" t="s">
        <v>50</v>
      </c>
      <c r="C212" s="38" t="s">
        <v>227</v>
      </c>
      <c r="D212" s="41" t="s">
        <v>99</v>
      </c>
      <c r="E212" s="38">
        <v>5000042716</v>
      </c>
      <c r="F212" s="35"/>
      <c r="G212" s="35">
        <f>0.367*1</f>
        <v>0.36699999999999999</v>
      </c>
      <c r="H212" s="35">
        <v>34.979999999999997</v>
      </c>
      <c r="I212" s="35">
        <f t="shared" si="193"/>
        <v>34.979999999999997</v>
      </c>
      <c r="J212" s="35"/>
      <c r="K212" s="35" t="s">
        <v>53</v>
      </c>
      <c r="L212" s="25">
        <f t="shared" si="206"/>
        <v>95.313351498637601</v>
      </c>
      <c r="M212" s="25">
        <f t="shared" si="207"/>
        <v>95.313351498637601</v>
      </c>
      <c r="N212" s="35" t="s">
        <v>57</v>
      </c>
      <c r="O212" s="35" t="s">
        <v>54</v>
      </c>
      <c r="P212" s="35" t="s">
        <v>129</v>
      </c>
      <c r="Q212" s="32">
        <v>11</v>
      </c>
      <c r="R212" s="37">
        <v>42543</v>
      </c>
      <c r="S212" s="37">
        <v>42552</v>
      </c>
      <c r="T212" s="37">
        <v>42552</v>
      </c>
      <c r="AE212" s="33"/>
      <c r="AF212" s="33"/>
      <c r="AG212" s="33"/>
      <c r="AH212" s="34"/>
    </row>
    <row r="213" spans="1:34" s="32" customFormat="1" x14ac:dyDescent="0.25">
      <c r="A213" s="36">
        <v>212</v>
      </c>
      <c r="B213" s="38" t="s">
        <v>50</v>
      </c>
      <c r="C213" s="38" t="s">
        <v>227</v>
      </c>
      <c r="D213" s="41" t="s">
        <v>99</v>
      </c>
      <c r="E213" s="38" t="s">
        <v>254</v>
      </c>
      <c r="F213" s="35"/>
      <c r="G213" s="35"/>
      <c r="H213" s="25">
        <f>(3250+975+4875+2100+975+3250+1400+975+2800+975+975+3250+1625+1625+2100+2100+975+6500+3250+1400)*64.14/1000</f>
        <v>2910.3525</v>
      </c>
      <c r="I213" s="25">
        <f t="shared" si="193"/>
        <v>2910.3525</v>
      </c>
      <c r="J213" s="35"/>
      <c r="K213" s="35" t="s">
        <v>53</v>
      </c>
      <c r="L213" s="25"/>
      <c r="M213" s="25"/>
      <c r="N213" s="35" t="s">
        <v>57</v>
      </c>
      <c r="O213" s="35" t="s">
        <v>54</v>
      </c>
      <c r="P213" s="35" t="s">
        <v>49</v>
      </c>
      <c r="Q213" s="32">
        <v>21</v>
      </c>
      <c r="R213" s="37">
        <v>42545</v>
      </c>
      <c r="S213" s="37">
        <v>42552</v>
      </c>
      <c r="T213" s="37">
        <v>42552</v>
      </c>
      <c r="AE213" s="33"/>
      <c r="AF213" s="33"/>
      <c r="AG213" s="33"/>
      <c r="AH213" s="34"/>
    </row>
    <row r="214" spans="1:34" s="32" customFormat="1" x14ac:dyDescent="0.25">
      <c r="A214" s="36">
        <v>213</v>
      </c>
      <c r="B214" s="38" t="s">
        <v>90</v>
      </c>
      <c r="C214" s="38" t="s">
        <v>227</v>
      </c>
      <c r="D214" s="41" t="s">
        <v>91</v>
      </c>
      <c r="E214" s="38">
        <v>2360069300</v>
      </c>
      <c r="F214" s="35"/>
      <c r="G214" s="35">
        <f>0.266*36+0.133*12+0.076*2</f>
        <v>11.324</v>
      </c>
      <c r="H214" s="35">
        <v>912</v>
      </c>
      <c r="I214" s="35">
        <f t="shared" si="193"/>
        <v>912</v>
      </c>
      <c r="J214" s="35"/>
      <c r="K214" s="35" t="s">
        <v>71</v>
      </c>
      <c r="L214" s="25">
        <f t="shared" ref="L214:L217" si="208">I214/G214</f>
        <v>80.53691275167786</v>
      </c>
      <c r="M214" s="25">
        <f t="shared" ref="M214:M217" si="209">H214/G214</f>
        <v>80.53691275167786</v>
      </c>
      <c r="N214" s="35" t="s">
        <v>82</v>
      </c>
      <c r="O214" s="35" t="s">
        <v>54</v>
      </c>
      <c r="P214" s="35" t="s">
        <v>129</v>
      </c>
      <c r="Q214" s="32">
        <v>11</v>
      </c>
      <c r="R214" s="37">
        <v>42551</v>
      </c>
      <c r="S214" s="37">
        <v>42551</v>
      </c>
      <c r="T214" s="37">
        <v>42552</v>
      </c>
      <c r="AE214" s="33"/>
      <c r="AF214" s="33"/>
      <c r="AG214" s="33"/>
      <c r="AH214" s="34"/>
    </row>
    <row r="215" spans="1:34" s="32" customFormat="1" x14ac:dyDescent="0.25">
      <c r="A215" s="36">
        <v>214</v>
      </c>
      <c r="B215" s="38" t="s">
        <v>58</v>
      </c>
      <c r="C215" s="38" t="s">
        <v>227</v>
      </c>
      <c r="D215" s="41" t="s">
        <v>184</v>
      </c>
      <c r="E215" s="38">
        <v>2360069293</v>
      </c>
      <c r="F215" s="35"/>
      <c r="G215" s="35">
        <f>0.2*5+0.1*6+0.1*6+0.2*4+0.15*24</f>
        <v>6.6</v>
      </c>
      <c r="H215" s="35">
        <v>648</v>
      </c>
      <c r="I215" s="35">
        <f t="shared" si="193"/>
        <v>648</v>
      </c>
      <c r="J215" s="35"/>
      <c r="K215" s="35" t="s">
        <v>81</v>
      </c>
      <c r="L215" s="25">
        <f t="shared" si="208"/>
        <v>98.181818181818187</v>
      </c>
      <c r="M215" s="25">
        <f t="shared" si="209"/>
        <v>98.181818181818187</v>
      </c>
      <c r="N215" s="35" t="s">
        <v>82</v>
      </c>
      <c r="O215" s="35" t="s">
        <v>54</v>
      </c>
      <c r="P215" s="35" t="s">
        <v>129</v>
      </c>
      <c r="Q215" s="32">
        <v>11</v>
      </c>
      <c r="R215" s="37">
        <v>42549</v>
      </c>
      <c r="S215" s="37">
        <v>42551</v>
      </c>
      <c r="T215" s="37">
        <v>42552</v>
      </c>
      <c r="AE215" s="33"/>
      <c r="AF215" s="33"/>
      <c r="AG215" s="33"/>
      <c r="AH215" s="34"/>
    </row>
    <row r="216" spans="1:34" s="32" customFormat="1" x14ac:dyDescent="0.25">
      <c r="A216" s="36">
        <v>215</v>
      </c>
      <c r="B216" s="38" t="s">
        <v>90</v>
      </c>
      <c r="C216" s="38" t="s">
        <v>227</v>
      </c>
      <c r="D216" s="41" t="s">
        <v>109</v>
      </c>
      <c r="E216" s="38">
        <v>2360069304</v>
      </c>
      <c r="F216" s="35"/>
      <c r="G216" s="35">
        <f>0.245*3</f>
        <v>0.73499999999999999</v>
      </c>
      <c r="H216" s="35">
        <v>62.47</v>
      </c>
      <c r="I216" s="35">
        <f t="shared" si="193"/>
        <v>62.47</v>
      </c>
      <c r="J216" s="35"/>
      <c r="K216" s="35" t="s">
        <v>81</v>
      </c>
      <c r="L216" s="25">
        <f t="shared" si="208"/>
        <v>84.993197278911566</v>
      </c>
      <c r="M216" s="25">
        <f t="shared" si="209"/>
        <v>84.993197278911566</v>
      </c>
      <c r="N216" s="35" t="s">
        <v>82</v>
      </c>
      <c r="O216" s="35" t="s">
        <v>54</v>
      </c>
      <c r="P216" s="35" t="s">
        <v>129</v>
      </c>
      <c r="Q216" s="32">
        <v>11</v>
      </c>
      <c r="R216" s="37">
        <v>42549</v>
      </c>
      <c r="S216" s="37">
        <v>42551</v>
      </c>
      <c r="T216" s="37">
        <v>42552</v>
      </c>
      <c r="AE216" s="33"/>
      <c r="AF216" s="33"/>
      <c r="AG216" s="33"/>
      <c r="AH216" s="34"/>
    </row>
    <row r="217" spans="1:34" s="32" customFormat="1" x14ac:dyDescent="0.25">
      <c r="A217" s="36">
        <v>216</v>
      </c>
      <c r="B217" s="38" t="s">
        <v>79</v>
      </c>
      <c r="C217" s="38" t="s">
        <v>227</v>
      </c>
      <c r="D217" s="41" t="s">
        <v>126</v>
      </c>
      <c r="E217" s="38">
        <v>2360069312</v>
      </c>
      <c r="F217" s="35"/>
      <c r="G217" s="35">
        <f>0.22*10</f>
        <v>2.2000000000000002</v>
      </c>
      <c r="H217" s="35">
        <v>254</v>
      </c>
      <c r="I217" s="35">
        <f t="shared" si="193"/>
        <v>254</v>
      </c>
      <c r="J217" s="35"/>
      <c r="K217" s="35" t="s">
        <v>81</v>
      </c>
      <c r="L217" s="25">
        <f t="shared" si="208"/>
        <v>115.45454545454544</v>
      </c>
      <c r="M217" s="25">
        <f t="shared" si="209"/>
        <v>115.45454545454544</v>
      </c>
      <c r="N217" s="35" t="s">
        <v>61</v>
      </c>
      <c r="O217" s="35" t="s">
        <v>62</v>
      </c>
      <c r="P217" s="35" t="s">
        <v>129</v>
      </c>
      <c r="Q217" s="32">
        <v>11</v>
      </c>
      <c r="R217" s="37">
        <v>42551</v>
      </c>
      <c r="S217" s="37">
        <v>42551</v>
      </c>
      <c r="T217" s="37">
        <v>42552</v>
      </c>
      <c r="AE217" s="33"/>
      <c r="AF217" s="33"/>
      <c r="AG217" s="33"/>
      <c r="AH217" s="34"/>
    </row>
    <row r="218" spans="1:34" s="32" customFormat="1" x14ac:dyDescent="0.25">
      <c r="A218" s="36">
        <v>217</v>
      </c>
      <c r="B218" s="38" t="s">
        <v>79</v>
      </c>
      <c r="C218" s="38" t="s">
        <v>227</v>
      </c>
      <c r="D218" s="41" t="s">
        <v>126</v>
      </c>
      <c r="E218" s="38">
        <v>2360069316</v>
      </c>
      <c r="F218" s="35"/>
      <c r="G218" s="35">
        <f>0.484*3</f>
        <v>1.452</v>
      </c>
      <c r="H218" s="35">
        <v>142.5</v>
      </c>
      <c r="I218" s="35">
        <f t="shared" si="193"/>
        <v>142.5</v>
      </c>
      <c r="J218" s="35"/>
      <c r="K218" s="35" t="s">
        <v>81</v>
      </c>
      <c r="L218" s="25">
        <f t="shared" ref="L218:L219" si="210">I218/G218</f>
        <v>98.140495867768593</v>
      </c>
      <c r="M218" s="25">
        <f t="shared" ref="M218:M219" si="211">H218/G218</f>
        <v>98.140495867768593</v>
      </c>
      <c r="N218" s="35" t="s">
        <v>61</v>
      </c>
      <c r="O218" s="35" t="s">
        <v>62</v>
      </c>
      <c r="P218" s="35" t="s">
        <v>129</v>
      </c>
      <c r="Q218" s="32">
        <v>11</v>
      </c>
      <c r="R218" s="37">
        <v>42551</v>
      </c>
      <c r="S218" s="37">
        <v>42551</v>
      </c>
      <c r="T218" s="37">
        <v>42552</v>
      </c>
      <c r="AE218" s="33"/>
      <c r="AF218" s="33"/>
      <c r="AG218" s="33"/>
      <c r="AH218" s="34"/>
    </row>
    <row r="219" spans="1:34" s="32" customFormat="1" x14ac:dyDescent="0.25">
      <c r="A219" s="36">
        <v>187</v>
      </c>
      <c r="B219" s="38" t="s">
        <v>65</v>
      </c>
      <c r="C219" s="38" t="s">
        <v>255</v>
      </c>
      <c r="D219" s="41" t="s">
        <v>256</v>
      </c>
      <c r="E219" s="38">
        <v>4201237621</v>
      </c>
      <c r="F219" s="35">
        <v>6.6</v>
      </c>
      <c r="G219" s="35">
        <v>0.97</v>
      </c>
      <c r="H219" s="35">
        <v>2600</v>
      </c>
      <c r="I219" s="35">
        <f t="shared" si="193"/>
        <v>2600</v>
      </c>
      <c r="J219" s="35"/>
      <c r="K219" s="35" t="s">
        <v>60</v>
      </c>
      <c r="L219" s="35">
        <f t="shared" si="210"/>
        <v>2680.4123711340208</v>
      </c>
      <c r="M219" s="35">
        <f t="shared" si="211"/>
        <v>2680.4123711340208</v>
      </c>
      <c r="N219" s="35" t="s">
        <v>68</v>
      </c>
      <c r="O219" s="35" t="s">
        <v>54</v>
      </c>
      <c r="P219" s="35" t="s">
        <v>123</v>
      </c>
      <c r="Q219" s="32">
        <v>18</v>
      </c>
      <c r="R219" s="37">
        <v>42552</v>
      </c>
      <c r="S219" s="37">
        <v>42556</v>
      </c>
      <c r="T219" s="37">
        <v>42556</v>
      </c>
      <c r="AE219" s="33"/>
      <c r="AF219" s="33"/>
      <c r="AG219" s="33"/>
      <c r="AH219" s="34"/>
    </row>
    <row r="220" spans="1:34" s="32" customFormat="1" x14ac:dyDescent="0.25">
      <c r="A220" s="36">
        <v>188</v>
      </c>
      <c r="B220" s="38" t="s">
        <v>58</v>
      </c>
      <c r="C220" s="38" t="s">
        <v>255</v>
      </c>
      <c r="D220" s="41" t="s">
        <v>257</v>
      </c>
      <c r="E220" s="38">
        <v>4201238815</v>
      </c>
      <c r="F220" s="35">
        <v>33</v>
      </c>
      <c r="G220" s="35">
        <f>5.5</f>
        <v>5.5</v>
      </c>
      <c r="H220" s="35">
        <v>638</v>
      </c>
      <c r="I220" s="35">
        <f t="shared" si="193"/>
        <v>638</v>
      </c>
      <c r="J220" s="35"/>
      <c r="K220" s="35" t="s">
        <v>71</v>
      </c>
      <c r="L220" s="35">
        <f t="shared" ref="L220:L221" si="212">I220/G220</f>
        <v>116</v>
      </c>
      <c r="M220" s="35">
        <f t="shared" ref="M220:M221" si="213">H220/G220</f>
        <v>116</v>
      </c>
      <c r="N220" s="35" t="s">
        <v>61</v>
      </c>
      <c r="O220" s="35" t="s">
        <v>62</v>
      </c>
      <c r="P220" s="35" t="s">
        <v>206</v>
      </c>
      <c r="Q220" s="32">
        <v>1</v>
      </c>
      <c r="R220" s="37">
        <v>42555</v>
      </c>
      <c r="S220" s="37">
        <v>42558</v>
      </c>
      <c r="T220" s="37">
        <v>42559</v>
      </c>
      <c r="AE220" s="33"/>
      <c r="AF220" s="33"/>
      <c r="AG220" s="33"/>
      <c r="AH220" s="34"/>
    </row>
    <row r="221" spans="1:34" s="32" customFormat="1" x14ac:dyDescent="0.25">
      <c r="A221" s="36">
        <v>189</v>
      </c>
      <c r="B221" s="38" t="s">
        <v>50</v>
      </c>
      <c r="C221" s="38" t="s">
        <v>255</v>
      </c>
      <c r="D221" s="41" t="s">
        <v>99</v>
      </c>
      <c r="E221" s="38">
        <v>5000043060</v>
      </c>
      <c r="F221" s="35"/>
      <c r="G221" s="35">
        <f>0.4*65</f>
        <v>26</v>
      </c>
      <c r="H221" s="35">
        <v>2713</v>
      </c>
      <c r="I221" s="35">
        <f t="shared" ref="I221:I233" si="214">H221</f>
        <v>2713</v>
      </c>
      <c r="J221" s="35"/>
      <c r="K221" s="35" t="s">
        <v>53</v>
      </c>
      <c r="L221" s="25">
        <f t="shared" si="212"/>
        <v>104.34615384615384</v>
      </c>
      <c r="M221" s="25">
        <f t="shared" si="213"/>
        <v>104.34615384615384</v>
      </c>
      <c r="N221" s="35" t="s">
        <v>57</v>
      </c>
      <c r="O221" s="35" t="s">
        <v>54</v>
      </c>
      <c r="P221" s="35" t="s">
        <v>226</v>
      </c>
      <c r="Q221" s="32">
        <v>11</v>
      </c>
      <c r="R221" s="37">
        <v>42551</v>
      </c>
      <c r="S221" s="37">
        <v>42566</v>
      </c>
      <c r="T221" s="37">
        <v>42566</v>
      </c>
      <c r="AE221" s="33"/>
      <c r="AF221" s="33"/>
      <c r="AG221" s="33"/>
      <c r="AH221" s="34"/>
    </row>
    <row r="222" spans="1:34" s="32" customFormat="1" x14ac:dyDescent="0.25">
      <c r="A222" s="36">
        <v>190</v>
      </c>
      <c r="B222" s="38" t="s">
        <v>122</v>
      </c>
      <c r="C222" s="38" t="s">
        <v>255</v>
      </c>
      <c r="D222" s="41" t="s">
        <v>130</v>
      </c>
      <c r="E222" s="38">
        <v>2360069551</v>
      </c>
      <c r="F222" s="35"/>
      <c r="G222" s="35"/>
      <c r="H222" s="35">
        <v>139.65</v>
      </c>
      <c r="I222" s="35">
        <f t="shared" si="214"/>
        <v>139.65</v>
      </c>
      <c r="J222" s="35"/>
      <c r="K222" s="35" t="s">
        <v>81</v>
      </c>
      <c r="L222" s="25"/>
      <c r="M222" s="25"/>
      <c r="N222" s="35" t="s">
        <v>82</v>
      </c>
      <c r="O222" s="35" t="s">
        <v>54</v>
      </c>
      <c r="P222" s="35" t="s">
        <v>77</v>
      </c>
      <c r="Q222" s="32">
        <v>12</v>
      </c>
      <c r="R222" s="37">
        <v>42562</v>
      </c>
      <c r="S222" s="37">
        <v>42566</v>
      </c>
      <c r="T222" s="37">
        <v>42569</v>
      </c>
      <c r="AE222" s="33"/>
      <c r="AF222" s="33"/>
      <c r="AG222" s="33"/>
      <c r="AH222" s="34"/>
    </row>
    <row r="223" spans="1:34" s="32" customFormat="1" x14ac:dyDescent="0.25">
      <c r="A223" s="36">
        <v>191</v>
      </c>
      <c r="B223" s="38" t="s">
        <v>65</v>
      </c>
      <c r="C223" s="38" t="s">
        <v>255</v>
      </c>
      <c r="D223" s="41" t="s">
        <v>137</v>
      </c>
      <c r="E223" s="38">
        <v>2360069633</v>
      </c>
      <c r="F223" s="35"/>
      <c r="G223" s="35">
        <f>0.03*4+0.061*24</f>
        <v>1.5840000000000001</v>
      </c>
      <c r="H223" s="35">
        <v>405</v>
      </c>
      <c r="I223" s="35">
        <f t="shared" si="214"/>
        <v>405</v>
      </c>
      <c r="J223" s="35"/>
      <c r="K223" s="35" t="s">
        <v>71</v>
      </c>
      <c r="L223" s="25">
        <f t="shared" ref="L223" si="215">I223/G223</f>
        <v>255.68181818181816</v>
      </c>
      <c r="M223" s="25">
        <f t="shared" ref="M223" si="216">H223/G223</f>
        <v>255.68181818181816</v>
      </c>
      <c r="N223" s="35" t="s">
        <v>68</v>
      </c>
      <c r="O223" s="35" t="s">
        <v>54</v>
      </c>
      <c r="P223" s="35" t="s">
        <v>212</v>
      </c>
      <c r="Q223" s="32">
        <v>20</v>
      </c>
      <c r="R223" s="37">
        <v>42565</v>
      </c>
      <c r="S223" s="37">
        <v>42566</v>
      </c>
      <c r="T223" s="37">
        <v>42569</v>
      </c>
      <c r="AE223" s="33"/>
      <c r="AF223" s="33"/>
      <c r="AG223" s="33"/>
      <c r="AH223" s="34"/>
    </row>
    <row r="224" spans="1:34" s="32" customFormat="1" x14ac:dyDescent="0.25">
      <c r="A224" s="36">
        <v>192</v>
      </c>
      <c r="B224" s="38" t="s">
        <v>50</v>
      </c>
      <c r="C224" s="38" t="s">
        <v>255</v>
      </c>
      <c r="D224" s="41" t="s">
        <v>78</v>
      </c>
      <c r="E224" s="38">
        <v>5000042964</v>
      </c>
      <c r="F224" s="35"/>
      <c r="G224" s="35"/>
      <c r="H224" s="35">
        <v>589.59</v>
      </c>
      <c r="I224" s="35">
        <f t="shared" si="214"/>
        <v>589.59</v>
      </c>
      <c r="J224" s="35"/>
      <c r="K224" s="35" t="s">
        <v>53</v>
      </c>
      <c r="L224" s="25"/>
      <c r="M224" s="25"/>
      <c r="N224" s="35" t="s">
        <v>57</v>
      </c>
      <c r="O224" s="35" t="s">
        <v>54</v>
      </c>
      <c r="P224" s="35" t="s">
        <v>258</v>
      </c>
      <c r="Q224" s="32">
        <v>12</v>
      </c>
      <c r="R224" s="37">
        <v>42557</v>
      </c>
      <c r="S224" s="37">
        <v>42566</v>
      </c>
      <c r="T224" s="37">
        <v>42569</v>
      </c>
      <c r="AE224" s="33"/>
      <c r="AF224" s="33"/>
      <c r="AG224" s="33"/>
      <c r="AH224" s="34"/>
    </row>
    <row r="225" spans="1:34" s="32" customFormat="1" x14ac:dyDescent="0.25">
      <c r="A225" s="36">
        <v>193</v>
      </c>
      <c r="B225" s="38" t="s">
        <v>90</v>
      </c>
      <c r="C225" s="38" t="s">
        <v>255</v>
      </c>
      <c r="D225" s="41" t="s">
        <v>109</v>
      </c>
      <c r="E225" s="38">
        <v>2360069698</v>
      </c>
      <c r="F225" s="35"/>
      <c r="G225" s="35">
        <v>8.07</v>
      </c>
      <c r="H225" s="35">
        <v>612</v>
      </c>
      <c r="I225" s="35">
        <f t="shared" si="214"/>
        <v>612</v>
      </c>
      <c r="J225" s="35"/>
      <c r="K225" s="35" t="s">
        <v>71</v>
      </c>
      <c r="L225" s="25">
        <f t="shared" ref="L225:L226" si="217">I225/G225</f>
        <v>75.836431226765797</v>
      </c>
      <c r="M225" s="25">
        <f t="shared" ref="M225:M226" si="218">H225/G225</f>
        <v>75.836431226765797</v>
      </c>
      <c r="N225" s="35" t="s">
        <v>82</v>
      </c>
      <c r="O225" s="35" t="s">
        <v>54</v>
      </c>
      <c r="P225" s="35" t="s">
        <v>226</v>
      </c>
      <c r="Q225" s="32">
        <v>11</v>
      </c>
      <c r="R225" s="37">
        <v>42559</v>
      </c>
      <c r="S225" s="37">
        <v>42569</v>
      </c>
      <c r="T225" s="37">
        <v>42570</v>
      </c>
      <c r="AE225" s="33"/>
      <c r="AF225" s="33"/>
      <c r="AG225" s="33"/>
      <c r="AH225" s="34"/>
    </row>
    <row r="226" spans="1:34" s="32" customFormat="1" x14ac:dyDescent="0.25">
      <c r="A226" s="36">
        <v>194</v>
      </c>
      <c r="B226" s="38" t="s">
        <v>79</v>
      </c>
      <c r="C226" s="38" t="s">
        <v>255</v>
      </c>
      <c r="D226" s="41" t="s">
        <v>259</v>
      </c>
      <c r="E226" s="38">
        <v>2360069688</v>
      </c>
      <c r="F226" s="35"/>
      <c r="G226" s="35">
        <f>0.05</f>
        <v>0.05</v>
      </c>
      <c r="H226" s="35">
        <v>42</v>
      </c>
      <c r="I226" s="35">
        <f t="shared" si="214"/>
        <v>42</v>
      </c>
      <c r="J226" s="35"/>
      <c r="K226" s="35" t="s">
        <v>71</v>
      </c>
      <c r="L226" s="25">
        <f t="shared" si="217"/>
        <v>840</v>
      </c>
      <c r="M226" s="25">
        <f t="shared" si="218"/>
        <v>840</v>
      </c>
      <c r="N226" s="35" t="s">
        <v>82</v>
      </c>
      <c r="O226" s="35" t="s">
        <v>54</v>
      </c>
      <c r="P226" s="35" t="s">
        <v>231</v>
      </c>
      <c r="Q226" s="32">
        <v>12</v>
      </c>
      <c r="R226" s="37">
        <v>42553</v>
      </c>
      <c r="S226" s="37">
        <v>42569</v>
      </c>
      <c r="T226" s="37">
        <v>42570</v>
      </c>
      <c r="AE226" s="33"/>
      <c r="AF226" s="33"/>
      <c r="AG226" s="33"/>
      <c r="AH226" s="34"/>
    </row>
    <row r="227" spans="1:34" s="32" customFormat="1" x14ac:dyDescent="0.25">
      <c r="A227" s="36">
        <v>195</v>
      </c>
      <c r="B227" s="38" t="s">
        <v>79</v>
      </c>
      <c r="C227" s="38" t="s">
        <v>255</v>
      </c>
      <c r="D227" s="41" t="s">
        <v>103</v>
      </c>
      <c r="E227" s="38">
        <v>2360069686</v>
      </c>
      <c r="F227" s="35"/>
      <c r="G227" s="35">
        <f>0.595*6</f>
        <v>3.57</v>
      </c>
      <c r="H227" s="35">
        <v>390</v>
      </c>
      <c r="I227" s="35">
        <f t="shared" si="214"/>
        <v>390</v>
      </c>
      <c r="J227" s="35"/>
      <c r="K227" s="35" t="s">
        <v>71</v>
      </c>
      <c r="L227" s="25">
        <f t="shared" ref="L227" si="219">I227/G227</f>
        <v>109.24369747899161</v>
      </c>
      <c r="M227" s="25">
        <f t="shared" ref="M227" si="220">H227/G227</f>
        <v>109.24369747899161</v>
      </c>
      <c r="N227" s="35" t="s">
        <v>62</v>
      </c>
      <c r="O227" s="35" t="s">
        <v>62</v>
      </c>
      <c r="P227" s="35" t="s">
        <v>226</v>
      </c>
      <c r="Q227" s="32">
        <v>11</v>
      </c>
      <c r="R227" s="37">
        <v>42558</v>
      </c>
      <c r="S227" s="37">
        <v>42569</v>
      </c>
      <c r="T227" s="37">
        <v>42570</v>
      </c>
      <c r="AE227" s="33"/>
      <c r="AF227" s="33"/>
      <c r="AG227" s="33"/>
      <c r="AH227" s="34"/>
    </row>
    <row r="228" spans="1:34" s="32" customFormat="1" x14ac:dyDescent="0.25">
      <c r="A228" s="36">
        <v>196</v>
      </c>
      <c r="B228" s="38" t="s">
        <v>90</v>
      </c>
      <c r="C228" s="38" t="s">
        <v>255</v>
      </c>
      <c r="D228" s="41" t="s">
        <v>260</v>
      </c>
      <c r="E228" s="38">
        <v>2360069691</v>
      </c>
      <c r="F228" s="35"/>
      <c r="G228" s="35"/>
      <c r="H228" s="35">
        <v>58.5</v>
      </c>
      <c r="I228" s="35">
        <f t="shared" si="214"/>
        <v>58.5</v>
      </c>
      <c r="J228" s="35"/>
      <c r="K228" s="35" t="s">
        <v>71</v>
      </c>
      <c r="L228" s="25"/>
      <c r="M228" s="25"/>
      <c r="N228" s="35" t="s">
        <v>62</v>
      </c>
      <c r="O228" s="35" t="s">
        <v>62</v>
      </c>
      <c r="P228" s="35" t="s">
        <v>77</v>
      </c>
      <c r="Q228" s="32">
        <v>12</v>
      </c>
      <c r="R228" s="37">
        <v>42551</v>
      </c>
      <c r="S228" s="37">
        <v>42569</v>
      </c>
      <c r="T228" s="37">
        <v>42570</v>
      </c>
      <c r="AE228" s="33"/>
      <c r="AF228" s="33"/>
      <c r="AG228" s="33"/>
      <c r="AH228" s="34"/>
    </row>
    <row r="229" spans="1:34" s="32" customFormat="1" x14ac:dyDescent="0.25">
      <c r="A229" s="36">
        <v>197</v>
      </c>
      <c r="B229" s="38" t="s">
        <v>90</v>
      </c>
      <c r="C229" s="38" t="s">
        <v>255</v>
      </c>
      <c r="D229" s="41" t="s">
        <v>225</v>
      </c>
      <c r="E229" s="38">
        <v>4201245066</v>
      </c>
      <c r="F229" s="35">
        <v>6.6</v>
      </c>
      <c r="G229" s="35">
        <v>2.73</v>
      </c>
      <c r="H229" s="35">
        <v>3884</v>
      </c>
      <c r="I229" s="35">
        <f t="shared" si="214"/>
        <v>3884</v>
      </c>
      <c r="J229" s="35"/>
      <c r="K229" s="35" t="s">
        <v>67</v>
      </c>
      <c r="L229" s="25">
        <f t="shared" ref="L229:L231" si="221">I229/G229</f>
        <v>1422.7106227106228</v>
      </c>
      <c r="M229" s="25">
        <f t="shared" ref="M229:M231" si="222">H229/G229</f>
        <v>1422.7106227106228</v>
      </c>
      <c r="N229" s="35" t="s">
        <v>54</v>
      </c>
      <c r="O229" s="35" t="s">
        <v>54</v>
      </c>
      <c r="P229" s="35" t="s">
        <v>123</v>
      </c>
      <c r="Q229" s="32">
        <v>18</v>
      </c>
      <c r="R229" s="37">
        <v>42570</v>
      </c>
      <c r="S229" s="37">
        <v>42571</v>
      </c>
      <c r="T229" s="37">
        <v>42571</v>
      </c>
      <c r="AE229" s="33"/>
      <c r="AF229" s="33"/>
      <c r="AG229" s="33"/>
      <c r="AH229" s="34"/>
    </row>
    <row r="230" spans="1:34" s="32" customFormat="1" x14ac:dyDescent="0.25">
      <c r="A230" s="36">
        <v>198</v>
      </c>
      <c r="B230" s="38" t="s">
        <v>50</v>
      </c>
      <c r="C230" s="38" t="s">
        <v>255</v>
      </c>
      <c r="D230" s="41" t="s">
        <v>99</v>
      </c>
      <c r="E230" s="38">
        <v>5000043117</v>
      </c>
      <c r="F230" s="35"/>
      <c r="G230" s="35">
        <f>0.481*6</f>
        <v>2.8860000000000001</v>
      </c>
      <c r="H230" s="35">
        <v>235.12</v>
      </c>
      <c r="I230" s="35">
        <f t="shared" si="214"/>
        <v>235.12</v>
      </c>
      <c r="J230" s="35"/>
      <c r="K230" s="35" t="s">
        <v>53</v>
      </c>
      <c r="L230" s="25">
        <f t="shared" si="221"/>
        <v>81.469161469161463</v>
      </c>
      <c r="M230" s="25">
        <f t="shared" si="222"/>
        <v>81.469161469161463</v>
      </c>
      <c r="N230" s="35" t="s">
        <v>57</v>
      </c>
      <c r="O230" s="35" t="s">
        <v>54</v>
      </c>
      <c r="P230" s="35" t="s">
        <v>226</v>
      </c>
      <c r="Q230" s="32">
        <v>11</v>
      </c>
      <c r="R230" s="37">
        <v>42555</v>
      </c>
      <c r="S230" s="37">
        <v>42570</v>
      </c>
      <c r="T230" s="37">
        <v>42571</v>
      </c>
      <c r="AE230" s="33"/>
      <c r="AF230" s="33"/>
      <c r="AG230" s="33"/>
      <c r="AH230" s="34"/>
    </row>
    <row r="231" spans="1:34" s="32" customFormat="1" x14ac:dyDescent="0.25">
      <c r="A231" s="36">
        <v>199</v>
      </c>
      <c r="B231" s="38" t="s">
        <v>50</v>
      </c>
      <c r="C231" s="38" t="s">
        <v>255</v>
      </c>
      <c r="D231" s="41" t="s">
        <v>99</v>
      </c>
      <c r="E231" s="38">
        <v>5000043115</v>
      </c>
      <c r="F231" s="35"/>
      <c r="G231" s="35">
        <f>0.167*26</f>
        <v>4.3420000000000005</v>
      </c>
      <c r="H231" s="35">
        <v>918.75</v>
      </c>
      <c r="I231" s="35">
        <f t="shared" si="214"/>
        <v>918.75</v>
      </c>
      <c r="J231" s="35"/>
      <c r="K231" s="35" t="s">
        <v>53</v>
      </c>
      <c r="L231" s="25">
        <f t="shared" si="221"/>
        <v>211.59603869184704</v>
      </c>
      <c r="M231" s="25">
        <f t="shared" si="222"/>
        <v>211.59603869184704</v>
      </c>
      <c r="N231" s="35" t="s">
        <v>57</v>
      </c>
      <c r="O231" s="35" t="s">
        <v>54</v>
      </c>
      <c r="P231" s="35" t="s">
        <v>226</v>
      </c>
      <c r="Q231" s="32">
        <v>11</v>
      </c>
      <c r="R231" s="37">
        <v>42555</v>
      </c>
      <c r="S231" s="37">
        <v>42570</v>
      </c>
      <c r="T231" s="37">
        <v>42571</v>
      </c>
      <c r="AE231" s="33"/>
      <c r="AF231" s="33"/>
      <c r="AG231" s="33"/>
      <c r="AH231" s="34"/>
    </row>
    <row r="232" spans="1:34" s="32" customFormat="1" x14ac:dyDescent="0.25">
      <c r="A232" s="36">
        <v>200</v>
      </c>
      <c r="B232" s="38" t="s">
        <v>73</v>
      </c>
      <c r="C232" s="38" t="s">
        <v>255</v>
      </c>
      <c r="D232" s="41" t="s">
        <v>261</v>
      </c>
      <c r="E232" s="38">
        <v>4201249547</v>
      </c>
      <c r="F232" s="35">
        <v>11</v>
      </c>
      <c r="G232" s="35">
        <v>1.85</v>
      </c>
      <c r="H232" s="38">
        <v>2749</v>
      </c>
      <c r="I232" s="35">
        <f t="shared" si="214"/>
        <v>2749</v>
      </c>
      <c r="J232" s="35"/>
      <c r="K232" s="38" t="s">
        <v>73</v>
      </c>
      <c r="L232" s="25">
        <f t="shared" ref="L232" si="223">I232/G232</f>
        <v>1485.9459459459458</v>
      </c>
      <c r="M232" s="25">
        <f t="shared" ref="M232" si="224">H232/G232</f>
        <v>1485.9459459459458</v>
      </c>
      <c r="N232" s="35" t="s">
        <v>82</v>
      </c>
      <c r="O232" s="35" t="s">
        <v>54</v>
      </c>
      <c r="P232" s="35" t="s">
        <v>152</v>
      </c>
      <c r="Q232" s="32">
        <v>2</v>
      </c>
      <c r="R232" s="37">
        <v>42569</v>
      </c>
      <c r="S232" s="37">
        <v>42573</v>
      </c>
      <c r="T232" s="37">
        <v>42573</v>
      </c>
      <c r="AE232" s="33"/>
      <c r="AF232" s="33"/>
      <c r="AG232" s="33"/>
      <c r="AH232" s="34"/>
    </row>
    <row r="233" spans="1:34" s="32" customFormat="1" x14ac:dyDescent="0.25">
      <c r="A233" s="36">
        <v>201</v>
      </c>
      <c r="B233" s="38" t="s">
        <v>50</v>
      </c>
      <c r="C233" s="38" t="s">
        <v>255</v>
      </c>
      <c r="D233" s="41" t="s">
        <v>262</v>
      </c>
      <c r="E233" s="38">
        <v>5000043352</v>
      </c>
      <c r="F233" s="35">
        <v>6.6</v>
      </c>
      <c r="G233" s="38">
        <f>0.71+2.36</f>
        <v>3.07</v>
      </c>
      <c r="H233" s="38">
        <v>3346</v>
      </c>
      <c r="I233" s="35">
        <f t="shared" si="214"/>
        <v>3346</v>
      </c>
      <c r="J233" s="35"/>
      <c r="K233" s="38" t="s">
        <v>50</v>
      </c>
      <c r="L233" s="25"/>
      <c r="M233" s="25"/>
      <c r="N233" s="35" t="s">
        <v>57</v>
      </c>
      <c r="O233" s="35" t="s">
        <v>54</v>
      </c>
      <c r="P233" s="35" t="s">
        <v>152</v>
      </c>
      <c r="Q233" s="32">
        <v>2</v>
      </c>
      <c r="R233" s="37"/>
      <c r="S233" s="37"/>
      <c r="T233" s="37"/>
      <c r="AE233" s="33"/>
      <c r="AF233" s="33"/>
      <c r="AG233" s="33"/>
      <c r="AH233" s="34"/>
    </row>
    <row r="234" spans="1:34" s="32" customFormat="1" x14ac:dyDescent="0.25">
      <c r="A234" s="36">
        <v>202</v>
      </c>
      <c r="B234" s="38" t="s">
        <v>58</v>
      </c>
      <c r="C234" s="38" t="s">
        <v>255</v>
      </c>
      <c r="D234" s="41" t="s">
        <v>263</v>
      </c>
      <c r="E234" s="38">
        <v>2360069918</v>
      </c>
      <c r="F234" s="35"/>
      <c r="G234" s="35">
        <f>0.423*2</f>
        <v>0.84599999999999997</v>
      </c>
      <c r="H234" s="35">
        <v>227.83</v>
      </c>
      <c r="I234" s="35">
        <v>77.83</v>
      </c>
      <c r="J234" s="35">
        <f>H234-I234</f>
        <v>150</v>
      </c>
      <c r="K234" s="35" t="s">
        <v>75</v>
      </c>
      <c r="L234" s="25">
        <f t="shared" ref="L234" si="225">I234/G234</f>
        <v>91.997635933806151</v>
      </c>
      <c r="M234" s="25">
        <f t="shared" ref="M234" si="226">H234/G234</f>
        <v>269.30260047281325</v>
      </c>
      <c r="N234" s="35" t="s">
        <v>82</v>
      </c>
      <c r="O234" s="35" t="s">
        <v>54</v>
      </c>
      <c r="P234" s="35" t="s">
        <v>264</v>
      </c>
      <c r="Q234" s="32">
        <v>11</v>
      </c>
      <c r="R234" s="37">
        <v>42571</v>
      </c>
      <c r="S234" s="37">
        <v>42578</v>
      </c>
      <c r="T234" s="37">
        <v>42578</v>
      </c>
      <c r="AE234" s="33"/>
      <c r="AF234" s="33"/>
      <c r="AG234" s="33"/>
      <c r="AH234" s="34"/>
    </row>
    <row r="235" spans="1:34" s="32" customFormat="1" x14ac:dyDescent="0.25">
      <c r="A235" s="36">
        <v>203</v>
      </c>
      <c r="B235" s="38" t="s">
        <v>58</v>
      </c>
      <c r="C235" s="38" t="s">
        <v>255</v>
      </c>
      <c r="D235" s="41" t="s">
        <v>114</v>
      </c>
      <c r="E235" s="38">
        <v>2360069887</v>
      </c>
      <c r="F235" s="35"/>
      <c r="G235" s="35">
        <f>0.133*1</f>
        <v>0.13300000000000001</v>
      </c>
      <c r="H235" s="35">
        <v>18.7</v>
      </c>
      <c r="I235" s="35">
        <f t="shared" ref="I235:I241" si="227">H235</f>
        <v>18.7</v>
      </c>
      <c r="J235" s="35"/>
      <c r="K235" s="35" t="s">
        <v>75</v>
      </c>
      <c r="L235" s="25">
        <f t="shared" ref="L235" si="228">I235/G235</f>
        <v>140.6015037593985</v>
      </c>
      <c r="M235" s="25">
        <f t="shared" ref="M235" si="229">H235/G235</f>
        <v>140.6015037593985</v>
      </c>
      <c r="N235" s="35" t="s">
        <v>82</v>
      </c>
      <c r="O235" s="35" t="s">
        <v>54</v>
      </c>
      <c r="P235" s="35" t="s">
        <v>226</v>
      </c>
      <c r="Q235" s="32">
        <v>11</v>
      </c>
      <c r="R235" s="37">
        <v>42564</v>
      </c>
      <c r="S235" s="37">
        <v>42578</v>
      </c>
      <c r="T235" s="37">
        <v>42578</v>
      </c>
      <c r="AE235" s="33"/>
      <c r="AF235" s="33"/>
      <c r="AG235" s="33"/>
      <c r="AH235" s="34"/>
    </row>
    <row r="236" spans="1:34" s="32" customFormat="1" x14ac:dyDescent="0.25">
      <c r="A236" s="36">
        <v>204</v>
      </c>
      <c r="B236" s="38" t="s">
        <v>90</v>
      </c>
      <c r="C236" s="38" t="s">
        <v>255</v>
      </c>
      <c r="D236" s="41" t="s">
        <v>238</v>
      </c>
      <c r="E236" s="38">
        <v>4201248745</v>
      </c>
      <c r="F236" s="35">
        <v>6.6</v>
      </c>
      <c r="G236" s="35">
        <v>1.56</v>
      </c>
      <c r="H236" s="35">
        <v>690</v>
      </c>
      <c r="I236" s="35">
        <f t="shared" si="227"/>
        <v>690</v>
      </c>
      <c r="J236" s="35"/>
      <c r="K236" s="35" t="s">
        <v>71</v>
      </c>
      <c r="L236" s="25">
        <f t="shared" ref="L236" si="230">I236/G236</f>
        <v>442.30769230769232</v>
      </c>
      <c r="M236" s="25">
        <f t="shared" ref="M236" si="231">H236/G236</f>
        <v>442.30769230769232</v>
      </c>
      <c r="N236" s="35" t="s">
        <v>54</v>
      </c>
      <c r="O236" s="35" t="s">
        <v>54</v>
      </c>
      <c r="P236" s="35" t="s">
        <v>152</v>
      </c>
      <c r="Q236" s="32">
        <v>2</v>
      </c>
      <c r="R236" s="37">
        <v>42571</v>
      </c>
      <c r="S236" s="37">
        <v>42578</v>
      </c>
      <c r="T236" s="37">
        <v>42578</v>
      </c>
      <c r="AE236" s="33"/>
      <c r="AF236" s="33"/>
      <c r="AG236" s="33"/>
      <c r="AH236" s="34"/>
    </row>
    <row r="237" spans="1:34" s="32" customFormat="1" x14ac:dyDescent="0.25">
      <c r="A237" s="36">
        <v>205</v>
      </c>
      <c r="B237" s="38" t="s">
        <v>58</v>
      </c>
      <c r="C237" s="38" t="s">
        <v>255</v>
      </c>
      <c r="D237" s="41" t="s">
        <v>265</v>
      </c>
      <c r="E237" s="38">
        <v>2360070070</v>
      </c>
      <c r="F237" s="35">
        <v>11</v>
      </c>
      <c r="G237" s="35">
        <f>0.667*210</f>
        <v>140.07000000000002</v>
      </c>
      <c r="H237" s="35">
        <v>11563.8</v>
      </c>
      <c r="I237" s="35">
        <f t="shared" si="227"/>
        <v>11563.8</v>
      </c>
      <c r="J237" s="35"/>
      <c r="K237" s="35" t="s">
        <v>75</v>
      </c>
      <c r="L237" s="25">
        <f t="shared" ref="L237" si="232">I237/G237</f>
        <v>82.557292782180326</v>
      </c>
      <c r="M237" s="25">
        <f t="shared" ref="M237" si="233">H237/G237</f>
        <v>82.557292782180326</v>
      </c>
      <c r="N237" s="35" t="s">
        <v>61</v>
      </c>
      <c r="O237" s="35" t="s">
        <v>62</v>
      </c>
      <c r="P237" s="35" t="s">
        <v>266</v>
      </c>
      <c r="Q237" s="32">
        <v>10</v>
      </c>
      <c r="R237" s="37">
        <v>42580</v>
      </c>
      <c r="S237" s="37">
        <v>42583</v>
      </c>
      <c r="T237" s="37">
        <v>42583</v>
      </c>
      <c r="AE237" s="33"/>
      <c r="AF237" s="33"/>
      <c r="AG237" s="33"/>
      <c r="AH237" s="34"/>
    </row>
    <row r="238" spans="1:34" s="32" customFormat="1" x14ac:dyDescent="0.25">
      <c r="A238" s="36">
        <v>206</v>
      </c>
      <c r="B238" s="38" t="s">
        <v>50</v>
      </c>
      <c r="C238" s="38" t="s">
        <v>255</v>
      </c>
      <c r="D238" s="41" t="s">
        <v>148</v>
      </c>
      <c r="E238" s="38">
        <v>5000043349</v>
      </c>
      <c r="F238" s="35"/>
      <c r="G238" s="35"/>
      <c r="H238" s="35" t="s">
        <v>284</v>
      </c>
      <c r="I238" s="35" t="str">
        <f t="shared" si="227"/>
        <v>ana</v>
      </c>
      <c r="J238" s="35"/>
      <c r="K238" s="35" t="s">
        <v>53</v>
      </c>
      <c r="L238" s="25"/>
      <c r="M238" s="25"/>
      <c r="N238" s="35" t="s">
        <v>57</v>
      </c>
      <c r="O238" s="35" t="s">
        <v>54</v>
      </c>
      <c r="P238" s="35" t="s">
        <v>77</v>
      </c>
      <c r="Q238" s="32">
        <v>12</v>
      </c>
      <c r="R238" s="37">
        <v>42578</v>
      </c>
      <c r="S238" s="37">
        <v>42583</v>
      </c>
      <c r="T238" s="37">
        <v>42583</v>
      </c>
      <c r="AE238" s="33"/>
      <c r="AF238" s="33"/>
      <c r="AG238" s="33"/>
      <c r="AH238" s="34"/>
    </row>
    <row r="239" spans="1:34" s="32" customFormat="1" x14ac:dyDescent="0.25">
      <c r="A239" s="36">
        <v>207</v>
      </c>
      <c r="B239" s="38" t="s">
        <v>79</v>
      </c>
      <c r="C239" s="38" t="s">
        <v>255</v>
      </c>
      <c r="D239" s="41" t="s">
        <v>267</v>
      </c>
      <c r="E239" s="38">
        <v>2360070071</v>
      </c>
      <c r="F239" s="35"/>
      <c r="G239" s="35">
        <f>0.2*6</f>
        <v>1.2000000000000002</v>
      </c>
      <c r="H239" s="35">
        <v>105</v>
      </c>
      <c r="I239" s="35">
        <f t="shared" si="227"/>
        <v>105</v>
      </c>
      <c r="J239" s="35"/>
      <c r="K239" s="35" t="s">
        <v>75</v>
      </c>
      <c r="L239" s="25">
        <f t="shared" ref="L239:L241" si="234">I239/G239</f>
        <v>87.499999999999986</v>
      </c>
      <c r="M239" s="25">
        <f t="shared" ref="M239:M242" si="235">H239/G239</f>
        <v>87.499999999999986</v>
      </c>
      <c r="N239" s="35" t="s">
        <v>54</v>
      </c>
      <c r="O239" s="35" t="s">
        <v>54</v>
      </c>
      <c r="P239" s="35" t="s">
        <v>104</v>
      </c>
      <c r="Q239" s="32">
        <v>11</v>
      </c>
      <c r="R239" s="37">
        <v>42580</v>
      </c>
      <c r="S239" s="37">
        <v>42583</v>
      </c>
      <c r="T239" s="37">
        <v>42583</v>
      </c>
      <c r="AE239" s="33"/>
      <c r="AF239" s="33"/>
      <c r="AG239" s="33"/>
      <c r="AH239" s="34"/>
    </row>
    <row r="240" spans="1:34" s="32" customFormat="1" x14ac:dyDescent="0.25">
      <c r="A240" s="36">
        <v>208</v>
      </c>
      <c r="B240" s="38" t="s">
        <v>90</v>
      </c>
      <c r="C240" s="38" t="s">
        <v>255</v>
      </c>
      <c r="D240" s="41" t="s">
        <v>268</v>
      </c>
      <c r="E240" s="38">
        <v>2360070100</v>
      </c>
      <c r="F240" s="35"/>
      <c r="G240" s="35">
        <f>0.166*60</f>
        <v>9.9600000000000009</v>
      </c>
      <c r="H240" s="35">
        <v>850</v>
      </c>
      <c r="I240" s="35">
        <f t="shared" si="227"/>
        <v>850</v>
      </c>
      <c r="J240" s="35"/>
      <c r="K240" s="35" t="s">
        <v>75</v>
      </c>
      <c r="L240" s="25">
        <f t="shared" si="234"/>
        <v>85.341365461847388</v>
      </c>
      <c r="M240" s="25">
        <f t="shared" si="235"/>
        <v>85.341365461847388</v>
      </c>
      <c r="N240" s="35" t="s">
        <v>82</v>
      </c>
      <c r="O240" s="35" t="s">
        <v>54</v>
      </c>
      <c r="P240" s="35" t="s">
        <v>104</v>
      </c>
      <c r="Q240" s="32">
        <v>11</v>
      </c>
      <c r="R240" s="37">
        <v>42580</v>
      </c>
      <c r="S240" s="37">
        <v>42583</v>
      </c>
      <c r="T240" s="37">
        <v>42583</v>
      </c>
      <c r="AE240" s="33"/>
      <c r="AF240" s="33"/>
      <c r="AG240" s="33"/>
      <c r="AH240" s="34"/>
    </row>
    <row r="241" spans="1:34" s="32" customFormat="1" x14ac:dyDescent="0.25">
      <c r="A241" s="36">
        <v>209</v>
      </c>
      <c r="B241" s="38" t="s">
        <v>79</v>
      </c>
      <c r="C241" s="38" t="s">
        <v>269</v>
      </c>
      <c r="D241" s="41" t="s">
        <v>250</v>
      </c>
      <c r="E241" s="38">
        <v>2360069237</v>
      </c>
      <c r="F241" s="35"/>
      <c r="G241" s="35">
        <v>7.4999999999999997E-2</v>
      </c>
      <c r="H241" s="35">
        <v>18.827999999999999</v>
      </c>
      <c r="I241" s="35">
        <f t="shared" si="227"/>
        <v>18.827999999999999</v>
      </c>
      <c r="J241" s="35"/>
      <c r="K241" s="35" t="s">
        <v>75</v>
      </c>
      <c r="L241" s="25">
        <f t="shared" si="234"/>
        <v>251.04</v>
      </c>
      <c r="M241" s="25">
        <f t="shared" si="235"/>
        <v>251.04</v>
      </c>
      <c r="N241" s="35" t="s">
        <v>82</v>
      </c>
      <c r="O241" s="35" t="s">
        <v>54</v>
      </c>
      <c r="P241" s="35" t="s">
        <v>212</v>
      </c>
      <c r="Q241" s="32">
        <v>20</v>
      </c>
      <c r="R241" s="37">
        <v>42585</v>
      </c>
      <c r="S241" s="37">
        <v>42586</v>
      </c>
      <c r="T241" s="37">
        <v>42590</v>
      </c>
      <c r="AE241" s="33"/>
      <c r="AF241" s="33"/>
      <c r="AG241" s="33"/>
      <c r="AH241" s="34"/>
    </row>
    <row r="242" spans="1:34" s="32" customFormat="1" x14ac:dyDescent="0.25">
      <c r="A242" s="36">
        <v>210</v>
      </c>
      <c r="B242" s="38" t="s">
        <v>50</v>
      </c>
      <c r="C242" s="38" t="s">
        <v>269</v>
      </c>
      <c r="D242" s="41" t="s">
        <v>270</v>
      </c>
      <c r="E242" s="38">
        <v>5000043453</v>
      </c>
      <c r="F242" s="35"/>
      <c r="G242" s="35">
        <f>0.497*5</f>
        <v>2.4849999999999999</v>
      </c>
      <c r="H242" s="35">
        <v>1248</v>
      </c>
      <c r="I242" s="35">
        <v>790</v>
      </c>
      <c r="J242" s="35">
        <f>H242-I242</f>
        <v>458</v>
      </c>
      <c r="K242" s="35" t="s">
        <v>53</v>
      </c>
      <c r="L242" s="25">
        <f t="shared" ref="L242" si="236">I242/G242</f>
        <v>317.90744466800805</v>
      </c>
      <c r="M242" s="25">
        <f t="shared" si="235"/>
        <v>502.21327967806843</v>
      </c>
      <c r="N242" s="35" t="s">
        <v>57</v>
      </c>
      <c r="O242" s="35" t="s">
        <v>54</v>
      </c>
      <c r="P242" s="35" t="s">
        <v>271</v>
      </c>
      <c r="Q242" s="32">
        <v>1</v>
      </c>
      <c r="R242" s="37">
        <v>42580</v>
      </c>
      <c r="S242" s="37">
        <v>42586</v>
      </c>
      <c r="T242" s="37">
        <v>42590</v>
      </c>
      <c r="AE242" s="33"/>
      <c r="AF242" s="33"/>
      <c r="AG242" s="33"/>
      <c r="AH242" s="34"/>
    </row>
    <row r="243" spans="1:34" s="32" customFormat="1" x14ac:dyDescent="0.25">
      <c r="A243" s="36">
        <v>211</v>
      </c>
      <c r="B243" s="44" t="s">
        <v>79</v>
      </c>
      <c r="C243" s="38" t="s">
        <v>269</v>
      </c>
      <c r="D243" s="41" t="s">
        <v>272</v>
      </c>
      <c r="E243" s="38">
        <v>4201256151</v>
      </c>
      <c r="F243" s="35"/>
      <c r="G243" s="35">
        <v>5.15</v>
      </c>
      <c r="H243" s="35">
        <v>860</v>
      </c>
      <c r="I243" s="35">
        <v>441</v>
      </c>
      <c r="J243" s="35"/>
      <c r="K243" s="35" t="s">
        <v>75</v>
      </c>
      <c r="L243" s="25">
        <f t="shared" ref="L243" si="237">I243/G243</f>
        <v>85.631067961165044</v>
      </c>
      <c r="M243" s="25">
        <f t="shared" ref="M243" si="238">H243/G243</f>
        <v>166.99029126213591</v>
      </c>
      <c r="N243" s="35" t="s">
        <v>54</v>
      </c>
      <c r="O243" s="35" t="s">
        <v>54</v>
      </c>
      <c r="P243" s="35" t="s">
        <v>273</v>
      </c>
      <c r="Q243" s="32">
        <v>11</v>
      </c>
      <c r="R243" s="37">
        <v>42579</v>
      </c>
      <c r="S243" s="37">
        <v>42590</v>
      </c>
      <c r="T243" s="37">
        <v>42590</v>
      </c>
      <c r="AE243" s="33"/>
      <c r="AF243" s="33"/>
      <c r="AG243" s="33"/>
      <c r="AH243" s="34"/>
    </row>
    <row r="244" spans="1:34" s="32" customFormat="1" x14ac:dyDescent="0.25">
      <c r="A244" s="36">
        <v>212</v>
      </c>
      <c r="B244" s="44" t="s">
        <v>79</v>
      </c>
      <c r="C244" s="38" t="s">
        <v>269</v>
      </c>
      <c r="D244" s="41" t="s">
        <v>274</v>
      </c>
      <c r="E244" s="38">
        <v>4201256148</v>
      </c>
      <c r="F244" s="35">
        <v>33</v>
      </c>
      <c r="G244" s="35">
        <f>13.62</f>
        <v>13.62</v>
      </c>
      <c r="H244" s="35">
        <v>1850</v>
      </c>
      <c r="I244" s="35">
        <v>1072</v>
      </c>
      <c r="J244" s="35">
        <f>H244-I244</f>
        <v>778</v>
      </c>
      <c r="K244" s="35" t="s">
        <v>71</v>
      </c>
      <c r="L244" s="25">
        <f t="shared" ref="L244" si="239">I244/G244</f>
        <v>78.70778267254039</v>
      </c>
      <c r="M244" s="25">
        <f t="shared" ref="M244" si="240">H244/G244</f>
        <v>135.82966226138032</v>
      </c>
      <c r="N244" s="35" t="s">
        <v>82</v>
      </c>
      <c r="O244" s="35" t="s">
        <v>54</v>
      </c>
      <c r="P244" s="35" t="s">
        <v>275</v>
      </c>
      <c r="Q244" s="32">
        <v>1</v>
      </c>
      <c r="R244" s="37">
        <v>42583</v>
      </c>
      <c r="S244" s="37">
        <v>42587</v>
      </c>
      <c r="T244" s="37">
        <v>42591</v>
      </c>
      <c r="AE244" s="33"/>
      <c r="AF244" s="33"/>
      <c r="AG244" s="33"/>
      <c r="AH244" s="34"/>
    </row>
    <row r="245" spans="1:34" s="32" customFormat="1" x14ac:dyDescent="0.25">
      <c r="A245" s="36">
        <v>213</v>
      </c>
      <c r="B245" s="44" t="s">
        <v>79</v>
      </c>
      <c r="C245" s="38" t="s">
        <v>269</v>
      </c>
      <c r="D245" s="41" t="s">
        <v>87</v>
      </c>
      <c r="E245" s="38">
        <v>2360070316</v>
      </c>
      <c r="F245" s="35"/>
      <c r="G245" s="35">
        <f>0.414*7</f>
        <v>2.8979999999999997</v>
      </c>
      <c r="H245" s="35">
        <v>237.45</v>
      </c>
      <c r="I245" s="35">
        <f>H245</f>
        <v>237.45</v>
      </c>
      <c r="J245" s="35"/>
      <c r="K245" s="35" t="s">
        <v>75</v>
      </c>
      <c r="L245" s="25">
        <f t="shared" ref="L245" si="241">I245/G245</f>
        <v>81.935817805383024</v>
      </c>
      <c r="M245" s="25">
        <f t="shared" ref="M245" si="242">H245/G245</f>
        <v>81.935817805383024</v>
      </c>
      <c r="N245" s="35" t="s">
        <v>61</v>
      </c>
      <c r="O245" s="35" t="s">
        <v>62</v>
      </c>
      <c r="P245" s="35" t="s">
        <v>226</v>
      </c>
      <c r="Q245" s="32">
        <v>11</v>
      </c>
      <c r="R245" s="37">
        <v>42591</v>
      </c>
      <c r="S245" s="37">
        <v>42591</v>
      </c>
      <c r="T245" s="37">
        <v>42592</v>
      </c>
      <c r="AE245" s="33"/>
      <c r="AF245" s="33"/>
      <c r="AG245" s="33"/>
      <c r="AH245" s="34"/>
    </row>
    <row r="246" spans="1:34" s="32" customFormat="1" x14ac:dyDescent="0.25">
      <c r="A246" s="36">
        <v>214</v>
      </c>
      <c r="B246" s="43" t="s">
        <v>58</v>
      </c>
      <c r="C246" s="38" t="s">
        <v>269</v>
      </c>
      <c r="D246" s="41" t="s">
        <v>276</v>
      </c>
      <c r="E246" s="38">
        <v>4201257673</v>
      </c>
      <c r="F246" s="35">
        <v>11</v>
      </c>
      <c r="G246" s="35">
        <v>3.3650000000000002</v>
      </c>
      <c r="H246" s="35">
        <v>1238</v>
      </c>
      <c r="I246" s="35">
        <f>H246</f>
        <v>1238</v>
      </c>
      <c r="J246" s="35"/>
      <c r="K246" s="35" t="s">
        <v>60</v>
      </c>
      <c r="L246" s="25">
        <f t="shared" ref="L246" si="243">I246/G246</f>
        <v>367.90490341753343</v>
      </c>
      <c r="M246" s="25">
        <f t="shared" ref="M246" si="244">H246/G246</f>
        <v>367.90490341753343</v>
      </c>
      <c r="N246" s="35" t="s">
        <v>82</v>
      </c>
      <c r="O246" s="35" t="s">
        <v>54</v>
      </c>
      <c r="P246" s="35" t="s">
        <v>123</v>
      </c>
      <c r="Q246" s="32">
        <v>18</v>
      </c>
      <c r="R246" s="37">
        <v>42587</v>
      </c>
      <c r="S246" s="37">
        <v>42592</v>
      </c>
      <c r="T246" s="37">
        <v>42593</v>
      </c>
      <c r="AE246" s="33"/>
      <c r="AF246" s="33"/>
      <c r="AG246" s="33"/>
      <c r="AH246" s="34"/>
    </row>
    <row r="247" spans="1:34" s="32" customFormat="1" x14ac:dyDescent="0.25">
      <c r="A247" s="36">
        <v>215</v>
      </c>
      <c r="B247" s="43" t="s">
        <v>122</v>
      </c>
      <c r="C247" s="38" t="s">
        <v>269</v>
      </c>
      <c r="D247" s="41" t="s">
        <v>277</v>
      </c>
      <c r="E247" s="38">
        <v>2360070365</v>
      </c>
      <c r="F247" s="35"/>
      <c r="G247" s="35">
        <f>0.253*2</f>
        <v>0.50600000000000001</v>
      </c>
      <c r="H247" s="35">
        <v>859</v>
      </c>
      <c r="I247" s="35">
        <v>49</v>
      </c>
      <c r="J247" s="35">
        <f>H247-I247</f>
        <v>810</v>
      </c>
      <c r="K247" s="35" t="s">
        <v>60</v>
      </c>
      <c r="L247" s="25">
        <f t="shared" ref="L247:L248" si="245">I247/G247</f>
        <v>96.837944664031625</v>
      </c>
      <c r="M247" s="25">
        <f t="shared" ref="M247:M248" si="246">H247/G247</f>
        <v>1697.6284584980237</v>
      </c>
      <c r="N247" s="35" t="s">
        <v>54</v>
      </c>
      <c r="O247" s="35" t="s">
        <v>54</v>
      </c>
      <c r="P247" s="35" t="s">
        <v>278</v>
      </c>
      <c r="Q247" s="32">
        <v>11</v>
      </c>
      <c r="R247" s="37">
        <v>42578</v>
      </c>
      <c r="S247" s="37">
        <v>42593</v>
      </c>
      <c r="T247" s="37">
        <v>42593</v>
      </c>
      <c r="AE247" s="33"/>
      <c r="AF247" s="33"/>
      <c r="AG247" s="33"/>
      <c r="AH247" s="34"/>
    </row>
    <row r="248" spans="1:34" s="32" customFormat="1" x14ac:dyDescent="0.25">
      <c r="A248" s="36">
        <v>216</v>
      </c>
      <c r="B248" s="43" t="s">
        <v>90</v>
      </c>
      <c r="C248" s="38" t="s">
        <v>269</v>
      </c>
      <c r="D248" s="41" t="s">
        <v>279</v>
      </c>
      <c r="E248" s="38">
        <v>2360070732</v>
      </c>
      <c r="F248" s="35"/>
      <c r="G248" s="35">
        <f>39.1</f>
        <v>39.1</v>
      </c>
      <c r="H248" s="35">
        <v>4153</v>
      </c>
      <c r="I248" s="35">
        <f>H248</f>
        <v>4153</v>
      </c>
      <c r="J248" s="35"/>
      <c r="K248" s="35" t="s">
        <v>75</v>
      </c>
      <c r="L248" s="25">
        <f t="shared" si="245"/>
        <v>106.21483375959079</v>
      </c>
      <c r="M248" s="25">
        <f t="shared" si="246"/>
        <v>106.21483375959079</v>
      </c>
      <c r="N248" s="35" t="s">
        <v>54</v>
      </c>
      <c r="O248" s="35" t="s">
        <v>54</v>
      </c>
      <c r="P248" s="35" t="s">
        <v>104</v>
      </c>
      <c r="Q248" s="32">
        <v>11</v>
      </c>
      <c r="R248" s="37">
        <v>42590</v>
      </c>
      <c r="S248" s="37">
        <v>42594</v>
      </c>
      <c r="T248" s="37">
        <v>42594</v>
      </c>
      <c r="AE248" s="33"/>
      <c r="AF248" s="33"/>
      <c r="AG248" s="33"/>
      <c r="AH248" s="34"/>
    </row>
    <row r="249" spans="1:34" s="32" customFormat="1" x14ac:dyDescent="0.25">
      <c r="A249" s="36">
        <v>217</v>
      </c>
      <c r="B249" s="43" t="s">
        <v>50</v>
      </c>
      <c r="C249" s="38" t="s">
        <v>269</v>
      </c>
      <c r="D249" s="41" t="s">
        <v>78</v>
      </c>
      <c r="E249" s="38">
        <v>5000043636</v>
      </c>
      <c r="F249" s="35"/>
      <c r="G249" s="35"/>
      <c r="H249" s="35">
        <v>3736</v>
      </c>
      <c r="I249" s="35">
        <f>H249</f>
        <v>3736</v>
      </c>
      <c r="J249" s="35"/>
      <c r="K249" s="35" t="s">
        <v>53</v>
      </c>
      <c r="L249" s="25"/>
      <c r="M249" s="25"/>
      <c r="N249" s="35" t="s">
        <v>57</v>
      </c>
      <c r="O249" s="35" t="s">
        <v>54</v>
      </c>
      <c r="P249" s="35" t="s">
        <v>258</v>
      </c>
      <c r="Q249" s="32">
        <v>12</v>
      </c>
      <c r="R249" s="37">
        <v>42593</v>
      </c>
      <c r="S249" s="37">
        <v>42594</v>
      </c>
      <c r="T249" s="37">
        <v>42594</v>
      </c>
      <c r="AE249" s="33"/>
      <c r="AF249" s="33"/>
      <c r="AG249" s="33"/>
      <c r="AH249" s="34"/>
    </row>
    <row r="250" spans="1:34" s="32" customFormat="1" x14ac:dyDescent="0.25">
      <c r="A250" s="36">
        <v>218</v>
      </c>
      <c r="B250" s="43" t="s">
        <v>50</v>
      </c>
      <c r="C250" s="38" t="s">
        <v>269</v>
      </c>
      <c r="D250" s="41" t="s">
        <v>99</v>
      </c>
      <c r="E250" s="38">
        <v>5000043713</v>
      </c>
      <c r="F250" s="35"/>
      <c r="G250" s="35">
        <f>0.3*5</f>
        <v>1.5</v>
      </c>
      <c r="H250" s="35">
        <v>139.74</v>
      </c>
      <c r="I250" s="35">
        <f t="shared" ref="I250" si="247">H250</f>
        <v>139.74</v>
      </c>
      <c r="J250" s="35"/>
      <c r="K250" s="35" t="s">
        <v>53</v>
      </c>
      <c r="L250" s="25">
        <f t="shared" ref="L250" si="248">I250/G250</f>
        <v>93.160000000000011</v>
      </c>
      <c r="M250" s="25">
        <f t="shared" ref="M250" si="249">H250/G250</f>
        <v>93.160000000000011</v>
      </c>
      <c r="N250" s="35" t="s">
        <v>57</v>
      </c>
      <c r="O250" s="35" t="s">
        <v>54</v>
      </c>
      <c r="P250" s="35" t="s">
        <v>226</v>
      </c>
      <c r="Q250" s="32">
        <v>11</v>
      </c>
      <c r="R250" s="37">
        <v>42593</v>
      </c>
      <c r="S250" s="37">
        <v>42599</v>
      </c>
      <c r="T250" s="37">
        <v>42600</v>
      </c>
      <c r="AE250" s="33"/>
      <c r="AF250" s="33"/>
      <c r="AG250" s="33"/>
      <c r="AH250" s="34"/>
    </row>
    <row r="251" spans="1:34" s="32" customFormat="1" x14ac:dyDescent="0.25">
      <c r="A251" s="41">
        <v>219</v>
      </c>
      <c r="B251" s="43" t="s">
        <v>122</v>
      </c>
      <c r="C251" s="38" t="s">
        <v>269</v>
      </c>
      <c r="D251" s="41" t="s">
        <v>280</v>
      </c>
      <c r="E251" s="38">
        <v>4201261008</v>
      </c>
      <c r="F251" s="35">
        <v>11</v>
      </c>
      <c r="G251" s="35">
        <v>2.91</v>
      </c>
      <c r="H251" s="35">
        <v>741</v>
      </c>
      <c r="I251" s="35">
        <v>238</v>
      </c>
      <c r="J251" s="35">
        <f>H251-I251</f>
        <v>503</v>
      </c>
      <c r="K251" s="35" t="s">
        <v>60</v>
      </c>
      <c r="L251" s="25">
        <f t="shared" ref="L251:L252" si="250">I251/G251</f>
        <v>81.786941580756007</v>
      </c>
      <c r="M251" s="25">
        <f t="shared" ref="M251:M252" si="251">H251/G251</f>
        <v>254.63917525773195</v>
      </c>
      <c r="N251" s="35" t="s">
        <v>61</v>
      </c>
      <c r="O251" s="35" t="s">
        <v>62</v>
      </c>
      <c r="P251" s="35" t="s">
        <v>281</v>
      </c>
      <c r="Q251" s="32">
        <v>1</v>
      </c>
      <c r="R251" s="37">
        <v>42591</v>
      </c>
      <c r="S251" s="37">
        <v>42598</v>
      </c>
      <c r="T251" s="37">
        <v>42600</v>
      </c>
      <c r="AE251" s="33"/>
      <c r="AF251" s="33"/>
      <c r="AG251" s="33"/>
      <c r="AH251" s="34"/>
    </row>
    <row r="252" spans="1:34" s="32" customFormat="1" x14ac:dyDescent="0.25">
      <c r="A252" s="36">
        <v>220</v>
      </c>
      <c r="B252" s="43" t="s">
        <v>79</v>
      </c>
      <c r="C252" s="38" t="s">
        <v>269</v>
      </c>
      <c r="D252" s="41" t="s">
        <v>126</v>
      </c>
      <c r="E252" s="38">
        <v>2360070431</v>
      </c>
      <c r="F252" s="35"/>
      <c r="G252" s="35">
        <f>0.333*9</f>
        <v>2.9970000000000003</v>
      </c>
      <c r="H252" s="35">
        <v>324</v>
      </c>
      <c r="I252" s="35">
        <f t="shared" ref="I252" si="252">H252</f>
        <v>324</v>
      </c>
      <c r="J252" s="35"/>
      <c r="K252" s="35" t="s">
        <v>75</v>
      </c>
      <c r="L252" s="25">
        <f t="shared" si="250"/>
        <v>108.1081081081081</v>
      </c>
      <c r="M252" s="25">
        <f t="shared" si="251"/>
        <v>108.1081081081081</v>
      </c>
      <c r="N252" s="35" t="s">
        <v>61</v>
      </c>
      <c r="O252" s="35" t="s">
        <v>62</v>
      </c>
      <c r="P252" s="35" t="s">
        <v>129</v>
      </c>
      <c r="Q252" s="32">
        <v>11</v>
      </c>
      <c r="R252" s="37">
        <v>42593</v>
      </c>
      <c r="S252" s="37">
        <v>42598</v>
      </c>
      <c r="T252" s="37">
        <v>42600</v>
      </c>
      <c r="AE252" s="33"/>
      <c r="AF252" s="33"/>
      <c r="AG252" s="33"/>
      <c r="AH252" s="34"/>
    </row>
    <row r="253" spans="1:34" s="32" customFormat="1" x14ac:dyDescent="0.25">
      <c r="A253" s="36">
        <v>221</v>
      </c>
      <c r="B253" s="43" t="s">
        <v>79</v>
      </c>
      <c r="C253" s="38" t="s">
        <v>269</v>
      </c>
      <c r="D253" s="41" t="s">
        <v>126</v>
      </c>
      <c r="E253" s="38">
        <v>2360070430</v>
      </c>
      <c r="F253" s="35"/>
      <c r="G253" s="35">
        <f>0.416*3</f>
        <v>1.248</v>
      </c>
      <c r="H253" s="35">
        <v>130</v>
      </c>
      <c r="I253" s="35">
        <f t="shared" ref="I253:I254" si="253">H253</f>
        <v>130</v>
      </c>
      <c r="J253" s="35"/>
      <c r="K253" s="35" t="s">
        <v>75</v>
      </c>
      <c r="L253" s="25">
        <f t="shared" ref="L253:L254" si="254">I253/G253</f>
        <v>104.16666666666667</v>
      </c>
      <c r="M253" s="25">
        <f t="shared" ref="M253:M254" si="255">H253/G253</f>
        <v>104.16666666666667</v>
      </c>
      <c r="N253" s="35" t="s">
        <v>61</v>
      </c>
      <c r="O253" s="35" t="s">
        <v>62</v>
      </c>
      <c r="P253" s="35" t="s">
        <v>129</v>
      </c>
      <c r="Q253" s="32">
        <v>11</v>
      </c>
      <c r="R253" s="37">
        <v>42593</v>
      </c>
      <c r="S253" s="37">
        <v>42598</v>
      </c>
      <c r="T253" s="37">
        <v>42600</v>
      </c>
      <c r="AE253" s="33"/>
      <c r="AF253" s="33"/>
      <c r="AG253" s="33"/>
      <c r="AH253" s="34"/>
    </row>
    <row r="254" spans="1:34" s="32" customFormat="1" x14ac:dyDescent="0.25">
      <c r="A254" s="36">
        <v>222</v>
      </c>
      <c r="B254" s="43" t="s">
        <v>79</v>
      </c>
      <c r="C254" s="38" t="s">
        <v>269</v>
      </c>
      <c r="D254" s="41" t="s">
        <v>126</v>
      </c>
      <c r="E254" s="38">
        <v>2360070419</v>
      </c>
      <c r="F254" s="35"/>
      <c r="G254" s="35">
        <f>0.242*3</f>
        <v>0.72599999999999998</v>
      </c>
      <c r="H254" s="35">
        <v>82.5</v>
      </c>
      <c r="I254" s="35">
        <f t="shared" si="253"/>
        <v>82.5</v>
      </c>
      <c r="J254" s="35"/>
      <c r="K254" s="35" t="s">
        <v>75</v>
      </c>
      <c r="L254" s="25">
        <f t="shared" si="254"/>
        <v>113.63636363636364</v>
      </c>
      <c r="M254" s="25">
        <f t="shared" si="255"/>
        <v>113.63636363636364</v>
      </c>
      <c r="N254" s="35" t="s">
        <v>61</v>
      </c>
      <c r="O254" s="35" t="s">
        <v>62</v>
      </c>
      <c r="P254" s="35" t="s">
        <v>129</v>
      </c>
      <c r="Q254" s="32">
        <v>11</v>
      </c>
      <c r="R254" s="37">
        <v>42593</v>
      </c>
      <c r="S254" s="37">
        <v>42598</v>
      </c>
      <c r="T254" s="37">
        <v>42600</v>
      </c>
      <c r="AE254" s="33"/>
      <c r="AF254" s="33"/>
      <c r="AG254" s="33"/>
      <c r="AH254" s="34"/>
    </row>
    <row r="255" spans="1:34" s="32" customFormat="1" x14ac:dyDescent="0.25">
      <c r="A255" s="36">
        <v>223</v>
      </c>
      <c r="B255" s="43" t="s">
        <v>79</v>
      </c>
      <c r="C255" s="38" t="s">
        <v>269</v>
      </c>
      <c r="D255" s="41" t="s">
        <v>126</v>
      </c>
      <c r="E255" s="38">
        <v>2360070418</v>
      </c>
      <c r="F255" s="35"/>
      <c r="G255" s="35">
        <f>0.242*4</f>
        <v>0.96799999999999997</v>
      </c>
      <c r="H255" s="35">
        <v>110</v>
      </c>
      <c r="I255" s="35">
        <f t="shared" ref="I255:I258" si="256">H255</f>
        <v>110</v>
      </c>
      <c r="J255" s="35"/>
      <c r="K255" s="35" t="s">
        <v>75</v>
      </c>
      <c r="L255" s="25">
        <f t="shared" ref="L255:L258" si="257">I255/G255</f>
        <v>113.63636363636364</v>
      </c>
      <c r="M255" s="25">
        <f t="shared" ref="M255:M258" si="258">H255/G255</f>
        <v>113.63636363636364</v>
      </c>
      <c r="N255" s="35" t="s">
        <v>61</v>
      </c>
      <c r="O255" s="35" t="s">
        <v>62</v>
      </c>
      <c r="P255" s="35" t="s">
        <v>129</v>
      </c>
      <c r="Q255" s="32">
        <v>11</v>
      </c>
      <c r="R255" s="37">
        <v>42593</v>
      </c>
      <c r="S255" s="37">
        <v>42598</v>
      </c>
      <c r="T255" s="37">
        <v>42600</v>
      </c>
      <c r="AE255" s="33"/>
      <c r="AF255" s="33"/>
      <c r="AG255" s="33"/>
      <c r="AH255" s="34"/>
    </row>
    <row r="256" spans="1:34" s="32" customFormat="1" x14ac:dyDescent="0.25">
      <c r="A256" s="36">
        <v>224</v>
      </c>
      <c r="B256" s="43" t="s">
        <v>90</v>
      </c>
      <c r="C256" s="38" t="s">
        <v>269</v>
      </c>
      <c r="D256" s="41" t="s">
        <v>91</v>
      </c>
      <c r="E256" s="38">
        <v>2360070416</v>
      </c>
      <c r="F256" s="35"/>
      <c r="G256" s="35">
        <f>0.4*2</f>
        <v>0.8</v>
      </c>
      <c r="H256" s="35">
        <v>64</v>
      </c>
      <c r="I256" s="35">
        <f t="shared" si="256"/>
        <v>64</v>
      </c>
      <c r="J256" s="35"/>
      <c r="K256" s="35" t="s">
        <v>75</v>
      </c>
      <c r="L256" s="25">
        <f t="shared" si="257"/>
        <v>80</v>
      </c>
      <c r="M256" s="25">
        <f t="shared" si="258"/>
        <v>80</v>
      </c>
      <c r="N256" s="35" t="s">
        <v>82</v>
      </c>
      <c r="O256" s="35" t="s">
        <v>54</v>
      </c>
      <c r="P256" s="35" t="s">
        <v>129</v>
      </c>
      <c r="Q256" s="32">
        <v>11</v>
      </c>
      <c r="R256" s="37">
        <v>42585</v>
      </c>
      <c r="S256" s="37">
        <v>42598</v>
      </c>
      <c r="T256" s="37">
        <v>42600</v>
      </c>
      <c r="AE256" s="33"/>
      <c r="AF256" s="33"/>
      <c r="AG256" s="33"/>
      <c r="AH256" s="34"/>
    </row>
    <row r="257" spans="1:34" s="32" customFormat="1" x14ac:dyDescent="0.25">
      <c r="A257" s="36">
        <v>225</v>
      </c>
      <c r="B257" s="43" t="s">
        <v>79</v>
      </c>
      <c r="C257" s="38" t="s">
        <v>269</v>
      </c>
      <c r="D257" s="41" t="s">
        <v>246</v>
      </c>
      <c r="E257" s="38">
        <v>2360070434</v>
      </c>
      <c r="F257" s="35"/>
      <c r="G257" s="35">
        <f>0.22*19</f>
        <v>4.18</v>
      </c>
      <c r="H257" s="35">
        <v>377.24</v>
      </c>
      <c r="I257" s="35">
        <f t="shared" si="256"/>
        <v>377.24</v>
      </c>
      <c r="J257" s="35"/>
      <c r="K257" s="35" t="s">
        <v>75</v>
      </c>
      <c r="L257" s="25">
        <f t="shared" si="257"/>
        <v>90.248803827751203</v>
      </c>
      <c r="M257" s="25">
        <f t="shared" si="258"/>
        <v>90.248803827751203</v>
      </c>
      <c r="N257" s="35" t="s">
        <v>82</v>
      </c>
      <c r="O257" s="35" t="s">
        <v>54</v>
      </c>
      <c r="P257" s="35" t="s">
        <v>129</v>
      </c>
      <c r="Q257" s="32">
        <v>11</v>
      </c>
      <c r="R257" s="37">
        <v>42593</v>
      </c>
      <c r="S257" s="37">
        <v>42598</v>
      </c>
      <c r="T257" s="37">
        <v>42600</v>
      </c>
      <c r="AE257" s="33"/>
      <c r="AF257" s="33"/>
      <c r="AG257" s="33"/>
      <c r="AH257" s="34"/>
    </row>
    <row r="258" spans="1:34" s="32" customFormat="1" x14ac:dyDescent="0.25">
      <c r="A258" s="36">
        <v>226</v>
      </c>
      <c r="B258" s="43" t="s">
        <v>50</v>
      </c>
      <c r="C258" s="38" t="s">
        <v>269</v>
      </c>
      <c r="D258" s="41" t="s">
        <v>115</v>
      </c>
      <c r="E258" s="38">
        <v>5000043677</v>
      </c>
      <c r="F258" s="35"/>
      <c r="G258" s="35">
        <f>(0.15+0.2)*2</f>
        <v>0.7</v>
      </c>
      <c r="H258" s="35">
        <v>138.96</v>
      </c>
      <c r="I258" s="35">
        <f t="shared" si="256"/>
        <v>138.96</v>
      </c>
      <c r="J258" s="35"/>
      <c r="K258" s="35" t="s">
        <v>53</v>
      </c>
      <c r="L258" s="25">
        <f t="shared" si="257"/>
        <v>198.51428571428573</v>
      </c>
      <c r="M258" s="25">
        <f t="shared" si="258"/>
        <v>198.51428571428573</v>
      </c>
      <c r="N258" s="35" t="s">
        <v>57</v>
      </c>
      <c r="O258" s="35" t="s">
        <v>54</v>
      </c>
      <c r="P258" s="35" t="s">
        <v>116</v>
      </c>
      <c r="Q258" s="32">
        <v>12</v>
      </c>
      <c r="R258" s="37">
        <v>42585</v>
      </c>
      <c r="S258" s="37">
        <v>42598</v>
      </c>
      <c r="T258" s="37">
        <v>42600</v>
      </c>
      <c r="AE258" s="33"/>
      <c r="AF258" s="33"/>
      <c r="AG258" s="33"/>
      <c r="AH258" s="34"/>
    </row>
    <row r="259" spans="1:34" s="32" customFormat="1" x14ac:dyDescent="0.25">
      <c r="A259" s="36">
        <v>227</v>
      </c>
      <c r="B259" s="43" t="s">
        <v>50</v>
      </c>
      <c r="C259" s="38" t="s">
        <v>269</v>
      </c>
      <c r="D259" s="41" t="s">
        <v>115</v>
      </c>
      <c r="E259" s="38">
        <v>5000043883</v>
      </c>
      <c r="F259" s="35"/>
      <c r="G259" s="35">
        <f>0.6*6+0.48*6+0.32*9</f>
        <v>9.36</v>
      </c>
      <c r="H259" s="35">
        <v>927.4</v>
      </c>
      <c r="I259" s="35">
        <f t="shared" ref="I259:I261" si="259">H259</f>
        <v>927.4</v>
      </c>
      <c r="J259" s="35"/>
      <c r="K259" s="35" t="s">
        <v>53</v>
      </c>
      <c r="L259" s="25">
        <f t="shared" ref="L259:L261" si="260">I259/G259</f>
        <v>99.081196581196579</v>
      </c>
      <c r="M259" s="25">
        <f t="shared" ref="M259:M261" si="261">H259/G259</f>
        <v>99.081196581196579</v>
      </c>
      <c r="N259" s="35" t="s">
        <v>57</v>
      </c>
      <c r="O259" s="35" t="s">
        <v>54</v>
      </c>
      <c r="P259" s="35" t="s">
        <v>205</v>
      </c>
      <c r="Q259" s="32">
        <v>11</v>
      </c>
      <c r="R259" s="37">
        <v>42601</v>
      </c>
      <c r="S259" s="37">
        <v>42607</v>
      </c>
      <c r="T259" s="37">
        <v>42608</v>
      </c>
      <c r="AE259" s="33"/>
      <c r="AF259" s="33"/>
      <c r="AG259" s="33"/>
      <c r="AH259" s="34"/>
    </row>
    <row r="260" spans="1:34" s="32" customFormat="1" x14ac:dyDescent="0.25">
      <c r="A260" s="36">
        <v>228</v>
      </c>
      <c r="B260" s="43" t="s">
        <v>50</v>
      </c>
      <c r="C260" s="38" t="s">
        <v>269</v>
      </c>
      <c r="D260" s="41" t="s">
        <v>99</v>
      </c>
      <c r="E260" s="38">
        <v>5000043873</v>
      </c>
      <c r="F260" s="35"/>
      <c r="G260" s="35">
        <f>0.5+0.4</f>
        <v>0.9</v>
      </c>
      <c r="H260" s="35">
        <v>116.27</v>
      </c>
      <c r="I260" s="35">
        <f t="shared" si="259"/>
        <v>116.27</v>
      </c>
      <c r="J260" s="35"/>
      <c r="K260" s="35" t="s">
        <v>53</v>
      </c>
      <c r="L260" s="25">
        <f t="shared" si="260"/>
        <v>129.18888888888887</v>
      </c>
      <c r="M260" s="25">
        <f t="shared" si="261"/>
        <v>129.18888888888887</v>
      </c>
      <c r="N260" s="35" t="s">
        <v>57</v>
      </c>
      <c r="O260" s="35" t="s">
        <v>54</v>
      </c>
      <c r="P260" s="35" t="s">
        <v>116</v>
      </c>
      <c r="Q260" s="32">
        <v>12</v>
      </c>
      <c r="R260" s="37">
        <v>42601</v>
      </c>
      <c r="S260" s="37">
        <v>42607</v>
      </c>
      <c r="T260" s="37">
        <v>42608</v>
      </c>
      <c r="AE260" s="33"/>
      <c r="AF260" s="33"/>
      <c r="AG260" s="33"/>
      <c r="AH260" s="34"/>
    </row>
    <row r="261" spans="1:34" s="32" customFormat="1" x14ac:dyDescent="0.25">
      <c r="A261" s="36">
        <v>229</v>
      </c>
      <c r="B261" s="45" t="s">
        <v>79</v>
      </c>
      <c r="C261" s="38" t="s">
        <v>269</v>
      </c>
      <c r="D261" s="35" t="s">
        <v>138</v>
      </c>
      <c r="E261" s="35">
        <v>4201266893</v>
      </c>
      <c r="F261" s="35">
        <v>11</v>
      </c>
      <c r="G261" s="35">
        <v>2.9</v>
      </c>
      <c r="H261" s="35">
        <v>350</v>
      </c>
      <c r="I261" s="35">
        <f t="shared" si="259"/>
        <v>350</v>
      </c>
      <c r="J261" s="35"/>
      <c r="K261" s="35" t="s">
        <v>71</v>
      </c>
      <c r="L261" s="35">
        <f t="shared" si="260"/>
        <v>120.68965517241379</v>
      </c>
      <c r="M261" s="35">
        <f t="shared" si="261"/>
        <v>120.68965517241379</v>
      </c>
      <c r="N261" s="35" t="s">
        <v>61</v>
      </c>
      <c r="O261" s="35" t="s">
        <v>62</v>
      </c>
      <c r="P261" s="35" t="s">
        <v>105</v>
      </c>
      <c r="Q261" s="32">
        <v>1</v>
      </c>
      <c r="R261" s="37">
        <v>42596</v>
      </c>
      <c r="S261" s="37">
        <v>42608</v>
      </c>
      <c r="T261" s="37">
        <v>42611</v>
      </c>
      <c r="AE261" s="33"/>
      <c r="AF261" s="33"/>
      <c r="AG261" s="33"/>
      <c r="AH261" s="34"/>
    </row>
    <row r="262" spans="1:34" s="32" customFormat="1" x14ac:dyDescent="0.25">
      <c r="A262" s="36">
        <v>230</v>
      </c>
      <c r="B262" s="45" t="s">
        <v>50</v>
      </c>
      <c r="C262" s="38" t="s">
        <v>269</v>
      </c>
      <c r="D262" s="41" t="s">
        <v>78</v>
      </c>
      <c r="E262" s="38">
        <v>5000043948</v>
      </c>
      <c r="F262" s="35"/>
      <c r="G262" s="35"/>
      <c r="H262" s="35">
        <v>601.42999999999995</v>
      </c>
      <c r="I262" s="35">
        <f>H262</f>
        <v>601.42999999999995</v>
      </c>
      <c r="J262" s="35"/>
      <c r="K262" s="35" t="s">
        <v>53</v>
      </c>
      <c r="L262" s="25"/>
      <c r="M262" s="25"/>
      <c r="N262" s="35" t="s">
        <v>57</v>
      </c>
      <c r="O262" s="35" t="s">
        <v>54</v>
      </c>
      <c r="P262" s="35" t="s">
        <v>258</v>
      </c>
      <c r="Q262" s="32">
        <v>12</v>
      </c>
      <c r="R262" s="37">
        <v>42611</v>
      </c>
      <c r="S262" s="37">
        <v>42611</v>
      </c>
      <c r="T262" s="37">
        <v>42612</v>
      </c>
      <c r="AE262" s="33"/>
      <c r="AF262" s="33"/>
      <c r="AG262" s="33"/>
      <c r="AH262" s="34"/>
    </row>
    <row r="263" spans="1:34" s="32" customFormat="1" x14ac:dyDescent="0.25">
      <c r="A263" s="36">
        <v>231</v>
      </c>
      <c r="B263" s="45" t="s">
        <v>50</v>
      </c>
      <c r="C263" s="38" t="s">
        <v>269</v>
      </c>
      <c r="D263" s="41" t="s">
        <v>285</v>
      </c>
      <c r="E263" s="38">
        <v>5000043910</v>
      </c>
      <c r="F263" s="35"/>
      <c r="G263" s="35">
        <f>0.253*3</f>
        <v>0.75900000000000001</v>
      </c>
      <c r="H263" s="35">
        <v>113.62</v>
      </c>
      <c r="I263" s="35">
        <f>H263</f>
        <v>113.62</v>
      </c>
      <c r="J263" s="35"/>
      <c r="K263" s="35" t="s">
        <v>53</v>
      </c>
      <c r="L263" s="35">
        <f t="shared" ref="L263" si="262">I263/G263</f>
        <v>149.69696969696969</v>
      </c>
      <c r="M263" s="35">
        <f t="shared" ref="M263" si="263">H263/G263</f>
        <v>149.69696969696969</v>
      </c>
      <c r="N263" s="35" t="s">
        <v>57</v>
      </c>
      <c r="O263" s="35" t="s">
        <v>54</v>
      </c>
      <c r="P263" s="35" t="s">
        <v>155</v>
      </c>
      <c r="Q263" s="32">
        <v>12</v>
      </c>
      <c r="R263" s="37">
        <v>42598</v>
      </c>
      <c r="S263" s="37">
        <v>42611</v>
      </c>
      <c r="T263" s="37">
        <v>42612</v>
      </c>
      <c r="AE263" s="33"/>
      <c r="AF263" s="33"/>
      <c r="AG263" s="33"/>
      <c r="AH263" s="34"/>
    </row>
    <row r="264" spans="1:34" s="32" customFormat="1" x14ac:dyDescent="0.25">
      <c r="A264" s="36">
        <v>232</v>
      </c>
      <c r="B264" s="43" t="s">
        <v>79</v>
      </c>
      <c r="C264" s="38" t="s">
        <v>269</v>
      </c>
      <c r="D264" s="41" t="s">
        <v>126</v>
      </c>
      <c r="E264" s="38">
        <v>2360070763</v>
      </c>
      <c r="F264" s="35"/>
      <c r="G264" s="35">
        <f>0.416*2</f>
        <v>0.83199999999999996</v>
      </c>
      <c r="H264" s="35">
        <v>87</v>
      </c>
      <c r="I264" s="35">
        <f t="shared" ref="I264:I277" si="264">H264</f>
        <v>87</v>
      </c>
      <c r="J264" s="35"/>
      <c r="K264" s="35" t="s">
        <v>75</v>
      </c>
      <c r="L264" s="25">
        <f t="shared" ref="L264:L265" si="265">I264/G264</f>
        <v>104.56730769230769</v>
      </c>
      <c r="M264" s="25">
        <f t="shared" ref="M264:M265" si="266">H264/G264</f>
        <v>104.56730769230769</v>
      </c>
      <c r="N264" s="35" t="s">
        <v>61</v>
      </c>
      <c r="O264" s="35" t="s">
        <v>62</v>
      </c>
      <c r="P264" s="35" t="s">
        <v>129</v>
      </c>
      <c r="Q264" s="32">
        <v>11</v>
      </c>
      <c r="R264" s="37">
        <v>42605</v>
      </c>
      <c r="S264" s="37">
        <v>42611</v>
      </c>
      <c r="T264" s="37">
        <v>42612</v>
      </c>
      <c r="AE264" s="33"/>
      <c r="AF264" s="33"/>
      <c r="AG264" s="33"/>
      <c r="AH264" s="34"/>
    </row>
    <row r="265" spans="1:34" x14ac:dyDescent="0.25">
      <c r="A265" s="11">
        <v>233</v>
      </c>
      <c r="B265" s="43" t="s">
        <v>79</v>
      </c>
      <c r="C265" s="38" t="s">
        <v>269</v>
      </c>
      <c r="D265" s="41" t="s">
        <v>126</v>
      </c>
      <c r="E265" s="38">
        <v>2360070769</v>
      </c>
      <c r="F265" s="35"/>
      <c r="G265" s="35">
        <f>0.416*2</f>
        <v>0.83199999999999996</v>
      </c>
      <c r="H265" s="35">
        <v>87</v>
      </c>
      <c r="I265" s="35">
        <f t="shared" si="264"/>
        <v>87</v>
      </c>
      <c r="J265" s="35"/>
      <c r="K265" s="35" t="s">
        <v>75</v>
      </c>
      <c r="L265" s="25">
        <f t="shared" si="265"/>
        <v>104.56730769230769</v>
      </c>
      <c r="M265" s="25">
        <f t="shared" si="266"/>
        <v>104.56730769230769</v>
      </c>
      <c r="N265" s="35" t="s">
        <v>61</v>
      </c>
      <c r="O265" s="35" t="s">
        <v>62</v>
      </c>
      <c r="P265" s="35" t="s">
        <v>129</v>
      </c>
      <c r="Q265" s="32">
        <v>11</v>
      </c>
      <c r="R265" s="37">
        <v>42605</v>
      </c>
      <c r="S265" s="37">
        <v>42611</v>
      </c>
      <c r="T265" s="37">
        <v>42612</v>
      </c>
      <c r="AE265" s="2"/>
      <c r="AF265" s="2"/>
      <c r="AG265" s="2"/>
      <c r="AH265" s="3"/>
    </row>
    <row r="266" spans="1:34" x14ac:dyDescent="0.25">
      <c r="A266" s="31">
        <v>234</v>
      </c>
      <c r="B266" s="35" t="s">
        <v>90</v>
      </c>
      <c r="C266" s="35" t="s">
        <v>269</v>
      </c>
      <c r="D266" s="35" t="s">
        <v>286</v>
      </c>
      <c r="E266" s="35">
        <v>2360070771</v>
      </c>
      <c r="F266" s="35"/>
      <c r="G266" s="35">
        <v>0.16600000000000001</v>
      </c>
      <c r="H266" s="35">
        <v>22.2</v>
      </c>
      <c r="I266" s="35">
        <f t="shared" si="264"/>
        <v>22.2</v>
      </c>
      <c r="J266" s="35"/>
      <c r="K266" s="35" t="s">
        <v>75</v>
      </c>
      <c r="L266" s="25">
        <f t="shared" ref="L266" si="267">I266/G266</f>
        <v>133.73493975903614</v>
      </c>
      <c r="M266" s="25">
        <f t="shared" ref="M266" si="268">H266/G266</f>
        <v>133.73493975903614</v>
      </c>
      <c r="N266" s="35" t="s">
        <v>82</v>
      </c>
      <c r="O266" s="35" t="s">
        <v>54</v>
      </c>
      <c r="P266" s="35" t="s">
        <v>129</v>
      </c>
      <c r="Q266" s="32">
        <v>11</v>
      </c>
      <c r="R266" s="37">
        <v>42606</v>
      </c>
      <c r="S266" s="37">
        <v>42611</v>
      </c>
      <c r="T266" s="37">
        <v>42612</v>
      </c>
      <c r="AE266" s="2"/>
      <c r="AF266" s="2"/>
      <c r="AG266" s="2"/>
      <c r="AH266" s="3"/>
    </row>
    <row r="267" spans="1:34" s="32" customFormat="1" x14ac:dyDescent="0.25">
      <c r="A267" s="31">
        <v>235</v>
      </c>
      <c r="B267" s="35" t="s">
        <v>73</v>
      </c>
      <c r="C267" s="35" t="s">
        <v>269</v>
      </c>
      <c r="D267" s="35" t="s">
        <v>287</v>
      </c>
      <c r="E267" s="35">
        <v>2360070858</v>
      </c>
      <c r="F267" s="35"/>
      <c r="G267" s="35">
        <f>0.877*10+0.222*5+0.2*7</f>
        <v>11.28</v>
      </c>
      <c r="H267" s="35">
        <v>905.85</v>
      </c>
      <c r="I267" s="35">
        <f t="shared" si="264"/>
        <v>905.85</v>
      </c>
      <c r="J267" s="35"/>
      <c r="K267" s="35" t="s">
        <v>75</v>
      </c>
      <c r="L267" s="25">
        <f t="shared" ref="L267:L270" si="269">I267/G267</f>
        <v>80.305851063829792</v>
      </c>
      <c r="M267" s="25">
        <f t="shared" ref="M267:M270" si="270">H267/G267</f>
        <v>80.305851063829792</v>
      </c>
      <c r="N267" s="35" t="s">
        <v>82</v>
      </c>
      <c r="O267" s="35" t="s">
        <v>54</v>
      </c>
      <c r="P267" s="35" t="s">
        <v>129</v>
      </c>
      <c r="Q267" s="32">
        <v>11</v>
      </c>
      <c r="R267" s="37">
        <v>42612</v>
      </c>
      <c r="S267" s="37">
        <v>42613</v>
      </c>
      <c r="T267" s="37">
        <v>42619</v>
      </c>
      <c r="AE267" s="33"/>
      <c r="AF267" s="33"/>
      <c r="AG267" s="33"/>
      <c r="AH267" s="34"/>
    </row>
    <row r="268" spans="1:34" s="32" customFormat="1" x14ac:dyDescent="0.25">
      <c r="A268" s="31">
        <v>236</v>
      </c>
      <c r="B268" s="35" t="s">
        <v>90</v>
      </c>
      <c r="C268" s="35" t="s">
        <v>269</v>
      </c>
      <c r="D268" s="35" t="s">
        <v>268</v>
      </c>
      <c r="E268" s="35">
        <v>2360070867</v>
      </c>
      <c r="F268" s="35"/>
      <c r="G268" s="35">
        <f>0.166*60</f>
        <v>9.9600000000000009</v>
      </c>
      <c r="H268" s="35">
        <v>850</v>
      </c>
      <c r="I268" s="35">
        <f t="shared" si="264"/>
        <v>850</v>
      </c>
      <c r="J268" s="35"/>
      <c r="K268" s="35" t="s">
        <v>75</v>
      </c>
      <c r="L268" s="25">
        <f t="shared" si="269"/>
        <v>85.341365461847388</v>
      </c>
      <c r="M268" s="25">
        <f t="shared" si="270"/>
        <v>85.341365461847388</v>
      </c>
      <c r="N268" s="35" t="s">
        <v>82</v>
      </c>
      <c r="O268" s="35" t="s">
        <v>54</v>
      </c>
      <c r="P268" s="35" t="s">
        <v>129</v>
      </c>
      <c r="Q268" s="32">
        <v>11</v>
      </c>
      <c r="R268" s="37">
        <v>42612</v>
      </c>
      <c r="S268" s="37">
        <v>42613</v>
      </c>
      <c r="T268" s="37">
        <v>42619</v>
      </c>
      <c r="AE268" s="33"/>
      <c r="AF268" s="33"/>
      <c r="AG268" s="33"/>
      <c r="AH268" s="34"/>
    </row>
    <row r="269" spans="1:34" s="32" customFormat="1" x14ac:dyDescent="0.25">
      <c r="A269" s="31">
        <v>237</v>
      </c>
      <c r="B269" s="35" t="s">
        <v>73</v>
      </c>
      <c r="C269" s="35" t="s">
        <v>269</v>
      </c>
      <c r="D269" s="35" t="s">
        <v>288</v>
      </c>
      <c r="E269" s="35">
        <v>2360070811</v>
      </c>
      <c r="F269" s="35"/>
      <c r="G269" s="35">
        <f>0.1*5</f>
        <v>0.5</v>
      </c>
      <c r="H269" s="35">
        <v>80.75</v>
      </c>
      <c r="I269" s="35">
        <f t="shared" si="264"/>
        <v>80.75</v>
      </c>
      <c r="J269" s="35"/>
      <c r="K269" s="35" t="s">
        <v>75</v>
      </c>
      <c r="L269" s="25">
        <f t="shared" si="269"/>
        <v>161.5</v>
      </c>
      <c r="M269" s="25">
        <f t="shared" si="270"/>
        <v>161.5</v>
      </c>
      <c r="N269" s="35" t="s">
        <v>54</v>
      </c>
      <c r="O269" s="35" t="s">
        <v>54</v>
      </c>
      <c r="P269" s="35" t="s">
        <v>129</v>
      </c>
      <c r="Q269" s="32">
        <v>11</v>
      </c>
      <c r="R269" s="37">
        <v>42612</v>
      </c>
      <c r="S269" s="37">
        <v>42613</v>
      </c>
      <c r="T269" s="37">
        <v>42619</v>
      </c>
      <c r="AE269" s="33"/>
      <c r="AF269" s="33"/>
      <c r="AG269" s="33"/>
      <c r="AH269" s="34"/>
    </row>
    <row r="270" spans="1:34" s="32" customFormat="1" x14ac:dyDescent="0.25">
      <c r="A270" s="31">
        <v>238</v>
      </c>
      <c r="B270" s="35" t="s">
        <v>90</v>
      </c>
      <c r="C270" s="35" t="s">
        <v>269</v>
      </c>
      <c r="D270" s="35" t="s">
        <v>289</v>
      </c>
      <c r="E270" s="35">
        <v>2360070836</v>
      </c>
      <c r="F270" s="35"/>
      <c r="G270" s="35">
        <f>0.726*2+0.545*2</f>
        <v>2.5419999999999998</v>
      </c>
      <c r="H270" s="35">
        <v>320.60000000000002</v>
      </c>
      <c r="I270" s="35">
        <f t="shared" si="264"/>
        <v>320.60000000000002</v>
      </c>
      <c r="J270" s="35"/>
      <c r="K270" s="35" t="s">
        <v>75</v>
      </c>
      <c r="L270" s="25">
        <f t="shared" si="269"/>
        <v>126.12116443745084</v>
      </c>
      <c r="M270" s="25">
        <f t="shared" si="270"/>
        <v>126.12116443745084</v>
      </c>
      <c r="N270" s="35" t="s">
        <v>82</v>
      </c>
      <c r="O270" s="35" t="s">
        <v>54</v>
      </c>
      <c r="P270" s="35" t="s">
        <v>290</v>
      </c>
      <c r="Q270" s="32">
        <v>11</v>
      </c>
      <c r="R270" s="37">
        <v>42604</v>
      </c>
      <c r="S270" s="37">
        <v>42612</v>
      </c>
      <c r="T270" s="37">
        <v>42619</v>
      </c>
      <c r="AE270" s="33"/>
      <c r="AF270" s="33"/>
      <c r="AG270" s="33"/>
      <c r="AH270" s="34"/>
    </row>
    <row r="271" spans="1:34" s="32" customFormat="1" x14ac:dyDescent="0.25">
      <c r="A271" s="31">
        <v>239</v>
      </c>
      <c r="B271" s="35" t="s">
        <v>79</v>
      </c>
      <c r="C271" s="35" t="s">
        <v>269</v>
      </c>
      <c r="D271" s="35" t="s">
        <v>291</v>
      </c>
      <c r="E271" s="35">
        <v>2360070817</v>
      </c>
      <c r="F271" s="35"/>
      <c r="G271" s="35"/>
      <c r="H271" s="35">
        <v>45</v>
      </c>
      <c r="I271" s="35">
        <f t="shared" si="264"/>
        <v>45</v>
      </c>
      <c r="J271" s="35"/>
      <c r="K271" s="35" t="s">
        <v>75</v>
      </c>
      <c r="L271" s="25"/>
      <c r="M271" s="25"/>
      <c r="N271" s="35" t="s">
        <v>82</v>
      </c>
      <c r="O271" s="35" t="s">
        <v>54</v>
      </c>
      <c r="P271" s="35" t="s">
        <v>77</v>
      </c>
      <c r="Q271" s="32">
        <v>12</v>
      </c>
      <c r="R271" s="37">
        <v>42612</v>
      </c>
      <c r="S271" s="37">
        <v>42612</v>
      </c>
      <c r="T271" s="37">
        <v>42619</v>
      </c>
      <c r="AE271" s="33"/>
      <c r="AF271" s="33"/>
      <c r="AG271" s="33"/>
      <c r="AH271" s="34"/>
    </row>
    <row r="272" spans="1:34" s="32" customFormat="1" x14ac:dyDescent="0.25">
      <c r="A272" s="31">
        <v>240</v>
      </c>
      <c r="B272" s="35" t="s">
        <v>79</v>
      </c>
      <c r="C272" s="35" t="s">
        <v>269</v>
      </c>
      <c r="D272" s="35" t="s">
        <v>292</v>
      </c>
      <c r="E272" s="35">
        <v>2360070728</v>
      </c>
      <c r="F272" s="35"/>
      <c r="G272" s="35"/>
      <c r="H272" s="35">
        <v>107</v>
      </c>
      <c r="I272" s="35">
        <f t="shared" si="264"/>
        <v>107</v>
      </c>
      <c r="J272" s="35"/>
      <c r="K272" s="35" t="s">
        <v>75</v>
      </c>
      <c r="L272" s="25"/>
      <c r="M272" s="25"/>
      <c r="N272" s="35" t="s">
        <v>61</v>
      </c>
      <c r="O272" s="35" t="s">
        <v>62</v>
      </c>
      <c r="P272" s="35" t="s">
        <v>142</v>
      </c>
      <c r="Q272" s="32">
        <v>15</v>
      </c>
      <c r="R272" s="37">
        <v>42601</v>
      </c>
      <c r="S272" s="37">
        <v>42612</v>
      </c>
      <c r="T272" s="37">
        <v>42619</v>
      </c>
      <c r="AE272" s="33"/>
      <c r="AF272" s="33"/>
      <c r="AG272" s="33"/>
      <c r="AH272" s="34"/>
    </row>
    <row r="273" spans="1:34" s="32" customFormat="1" x14ac:dyDescent="0.25">
      <c r="A273" s="31">
        <v>241</v>
      </c>
      <c r="B273" s="35" t="s">
        <v>65</v>
      </c>
      <c r="C273" s="35" t="s">
        <v>293</v>
      </c>
      <c r="D273" s="35" t="s">
        <v>294</v>
      </c>
      <c r="E273" s="41">
        <v>4201273372</v>
      </c>
      <c r="F273" s="35">
        <v>6.6</v>
      </c>
      <c r="G273" s="35">
        <v>1.3</v>
      </c>
      <c r="H273" s="35">
        <v>3490</v>
      </c>
      <c r="I273" s="35">
        <f t="shared" si="264"/>
        <v>3490</v>
      </c>
      <c r="J273" s="35"/>
      <c r="K273" s="35" t="s">
        <v>53</v>
      </c>
      <c r="L273" s="25">
        <f t="shared" ref="L273:L274" si="271">I273/G273</f>
        <v>2684.6153846153843</v>
      </c>
      <c r="M273" s="25">
        <f t="shared" ref="M273:M274" si="272">H273/G273</f>
        <v>2684.6153846153843</v>
      </c>
      <c r="N273" s="35" t="s">
        <v>68</v>
      </c>
      <c r="O273" s="35" t="s">
        <v>54</v>
      </c>
      <c r="P273" s="35" t="s">
        <v>123</v>
      </c>
      <c r="Q273" s="32">
        <v>18</v>
      </c>
      <c r="R273" s="37">
        <v>42614</v>
      </c>
      <c r="S273" s="37">
        <v>42619</v>
      </c>
      <c r="T273" s="37">
        <v>42620</v>
      </c>
      <c r="AE273" s="33"/>
      <c r="AF273" s="33"/>
      <c r="AG273" s="33"/>
      <c r="AH273" s="34"/>
    </row>
    <row r="274" spans="1:34" s="32" customFormat="1" x14ac:dyDescent="0.25">
      <c r="A274" s="31">
        <v>242</v>
      </c>
      <c r="B274" s="35" t="s">
        <v>50</v>
      </c>
      <c r="C274" s="35" t="s">
        <v>293</v>
      </c>
      <c r="D274" s="41" t="s">
        <v>99</v>
      </c>
      <c r="E274" s="38">
        <v>5000043873</v>
      </c>
      <c r="F274" s="35"/>
      <c r="G274" s="35">
        <f>0.167*2</f>
        <v>0.33400000000000002</v>
      </c>
      <c r="H274" s="35">
        <v>71.046000000000006</v>
      </c>
      <c r="I274" s="35">
        <f t="shared" si="264"/>
        <v>71.046000000000006</v>
      </c>
      <c r="J274" s="35"/>
      <c r="K274" s="35" t="s">
        <v>53</v>
      </c>
      <c r="L274" s="25">
        <f t="shared" si="271"/>
        <v>212.7125748502994</v>
      </c>
      <c r="M274" s="25">
        <f t="shared" si="272"/>
        <v>212.7125748502994</v>
      </c>
      <c r="N274" s="35" t="s">
        <v>57</v>
      </c>
      <c r="O274" s="35" t="s">
        <v>54</v>
      </c>
      <c r="P274" s="35" t="s">
        <v>205</v>
      </c>
      <c r="Q274" s="32">
        <v>11</v>
      </c>
      <c r="R274" s="37">
        <v>42620</v>
      </c>
      <c r="S274" s="37">
        <v>42620</v>
      </c>
      <c r="T274" s="37">
        <v>42627</v>
      </c>
      <c r="AE274" s="33"/>
      <c r="AF274" s="33"/>
      <c r="AG274" s="33"/>
      <c r="AH274" s="34"/>
    </row>
    <row r="275" spans="1:34" s="32" customFormat="1" x14ac:dyDescent="0.25">
      <c r="A275" s="31">
        <v>243</v>
      </c>
      <c r="B275" s="35" t="s">
        <v>65</v>
      </c>
      <c r="C275" s="35" t="s">
        <v>293</v>
      </c>
      <c r="D275" s="35" t="s">
        <v>295</v>
      </c>
      <c r="E275" s="35">
        <v>2360070995</v>
      </c>
      <c r="F275" s="35"/>
      <c r="G275" s="35">
        <f>0.61*8</f>
        <v>4.88</v>
      </c>
      <c r="H275" s="35">
        <v>418.584</v>
      </c>
      <c r="I275" s="35">
        <f t="shared" si="264"/>
        <v>418.584</v>
      </c>
      <c r="J275" s="35"/>
      <c r="K275" s="35" t="s">
        <v>75</v>
      </c>
      <c r="L275" s="25">
        <f t="shared" ref="L275" si="273">I275/G275</f>
        <v>85.775409836065577</v>
      </c>
      <c r="M275" s="25">
        <f t="shared" ref="M275" si="274">H275/G275</f>
        <v>85.775409836065577</v>
      </c>
      <c r="N275" s="35" t="s">
        <v>68</v>
      </c>
      <c r="O275" s="35" t="s">
        <v>54</v>
      </c>
      <c r="P275" s="35" t="s">
        <v>205</v>
      </c>
      <c r="Q275" s="32">
        <v>11</v>
      </c>
      <c r="R275" s="37">
        <v>42620</v>
      </c>
      <c r="S275" s="37">
        <v>42620</v>
      </c>
      <c r="T275" s="37">
        <v>42627</v>
      </c>
      <c r="AE275" s="33"/>
      <c r="AF275" s="33"/>
      <c r="AG275" s="33"/>
      <c r="AH275" s="34"/>
    </row>
    <row r="276" spans="1:34" s="32" customFormat="1" x14ac:dyDescent="0.25">
      <c r="A276" s="31">
        <v>244</v>
      </c>
      <c r="B276" s="35" t="s">
        <v>58</v>
      </c>
      <c r="C276" s="35" t="s">
        <v>293</v>
      </c>
      <c r="D276" s="38" t="s">
        <v>296</v>
      </c>
      <c r="E276" s="35">
        <v>4201278087</v>
      </c>
      <c r="F276" s="46" t="s">
        <v>297</v>
      </c>
      <c r="G276" s="35">
        <v>109</v>
      </c>
      <c r="H276" s="35">
        <v>59000</v>
      </c>
      <c r="I276" s="35">
        <f t="shared" si="264"/>
        <v>59000</v>
      </c>
      <c r="J276" s="35"/>
      <c r="K276" s="35" t="s">
        <v>67</v>
      </c>
      <c r="L276" s="25">
        <f t="shared" ref="L276" si="275">I276/G276</f>
        <v>541.28440366972472</v>
      </c>
      <c r="M276" s="25">
        <f t="shared" ref="M276" si="276">H276/G276</f>
        <v>541.28440366972472</v>
      </c>
      <c r="N276" s="35" t="s">
        <v>61</v>
      </c>
      <c r="O276" s="35" t="s">
        <v>62</v>
      </c>
      <c r="P276" s="35" t="s">
        <v>123</v>
      </c>
      <c r="Q276" s="32">
        <v>18</v>
      </c>
      <c r="R276" s="37">
        <v>42620</v>
      </c>
      <c r="S276" s="37">
        <v>42620</v>
      </c>
      <c r="T276" s="37">
        <v>42627</v>
      </c>
      <c r="AE276" s="33"/>
      <c r="AF276" s="33"/>
      <c r="AG276" s="33"/>
      <c r="AH276" s="34"/>
    </row>
    <row r="277" spans="1:34" s="32" customFormat="1" x14ac:dyDescent="0.25">
      <c r="A277" s="31">
        <v>245</v>
      </c>
      <c r="B277" s="35" t="s">
        <v>58</v>
      </c>
      <c r="C277" s="35" t="s">
        <v>293</v>
      </c>
      <c r="D277" s="38" t="s">
        <v>298</v>
      </c>
      <c r="E277" s="35">
        <v>2360071145</v>
      </c>
      <c r="F277" s="46"/>
      <c r="G277" s="35">
        <f>0.877*3</f>
        <v>2.6310000000000002</v>
      </c>
      <c r="H277" s="35">
        <v>180</v>
      </c>
      <c r="I277" s="35">
        <f t="shared" si="264"/>
        <v>180</v>
      </c>
      <c r="J277" s="35"/>
      <c r="K277" s="35" t="s">
        <v>75</v>
      </c>
      <c r="L277" s="25">
        <f t="shared" ref="L277" si="277">I277/G277</f>
        <v>68.415051311288479</v>
      </c>
      <c r="M277" s="25">
        <f t="shared" ref="M277" si="278">H277/G277</f>
        <v>68.415051311288479</v>
      </c>
      <c r="N277" s="35" t="s">
        <v>54</v>
      </c>
      <c r="O277" s="35" t="s">
        <v>54</v>
      </c>
      <c r="P277" s="35" t="s">
        <v>226</v>
      </c>
      <c r="Q277" s="32">
        <v>11</v>
      </c>
      <c r="R277" s="37">
        <v>42612</v>
      </c>
      <c r="S277" s="37">
        <v>42628</v>
      </c>
      <c r="T277" s="37">
        <v>42628</v>
      </c>
      <c r="AE277" s="33"/>
      <c r="AF277" s="33"/>
      <c r="AG277" s="33"/>
      <c r="AH277" s="34"/>
    </row>
    <row r="278" spans="1:34" s="32" customFormat="1" x14ac:dyDescent="0.25">
      <c r="A278" s="31">
        <v>246</v>
      </c>
      <c r="B278" s="35" t="s">
        <v>58</v>
      </c>
      <c r="C278" s="35" t="s">
        <v>293</v>
      </c>
      <c r="D278" s="38" t="s">
        <v>298</v>
      </c>
      <c r="E278" s="35">
        <v>2360071147</v>
      </c>
      <c r="F278" s="46"/>
      <c r="G278" s="35"/>
      <c r="H278" s="35">
        <v>570</v>
      </c>
      <c r="I278" s="35">
        <f t="shared" ref="I278:I279" si="279">H278</f>
        <v>570</v>
      </c>
      <c r="J278" s="35"/>
      <c r="K278" s="35" t="s">
        <v>75</v>
      </c>
      <c r="L278" s="25"/>
      <c r="M278" s="25"/>
      <c r="N278" s="35" t="s">
        <v>54</v>
      </c>
      <c r="O278" s="35" t="s">
        <v>54</v>
      </c>
      <c r="P278" s="35" t="s">
        <v>113</v>
      </c>
      <c r="Q278" s="32">
        <v>13</v>
      </c>
      <c r="R278" s="37">
        <v>42608</v>
      </c>
      <c r="S278" s="37">
        <v>42628</v>
      </c>
      <c r="T278" s="37">
        <v>42628</v>
      </c>
      <c r="AE278" s="33"/>
      <c r="AF278" s="33"/>
      <c r="AG278" s="33"/>
      <c r="AH278" s="34"/>
    </row>
    <row r="279" spans="1:34" s="32" customFormat="1" x14ac:dyDescent="0.25">
      <c r="A279" s="31">
        <v>247</v>
      </c>
      <c r="B279" s="35" t="s">
        <v>50</v>
      </c>
      <c r="C279" s="35" t="s">
        <v>293</v>
      </c>
      <c r="D279" s="41" t="s">
        <v>76</v>
      </c>
      <c r="E279" s="38">
        <v>5000044188</v>
      </c>
      <c r="F279" s="35"/>
      <c r="G279" s="35"/>
      <c r="H279" s="35">
        <v>1004.6</v>
      </c>
      <c r="I279" s="35">
        <f t="shared" si="279"/>
        <v>1004.6</v>
      </c>
      <c r="J279" s="35"/>
      <c r="K279" s="35" t="s">
        <v>53</v>
      </c>
      <c r="L279" s="35"/>
      <c r="M279" s="35"/>
      <c r="N279" s="35" t="s">
        <v>57</v>
      </c>
      <c r="O279" s="35" t="s">
        <v>54</v>
      </c>
      <c r="P279" s="35" t="s">
        <v>77</v>
      </c>
      <c r="Q279" s="32">
        <v>12</v>
      </c>
      <c r="R279" s="37">
        <v>42621</v>
      </c>
      <c r="S279" s="37">
        <v>42628</v>
      </c>
      <c r="T279" s="37">
        <v>42628</v>
      </c>
      <c r="AE279" s="33"/>
      <c r="AF279" s="33"/>
      <c r="AG279" s="33"/>
      <c r="AH279" s="34"/>
    </row>
    <row r="280" spans="1:34" s="32" customFormat="1" x14ac:dyDescent="0.25">
      <c r="A280" s="31">
        <v>248</v>
      </c>
      <c r="B280" s="35" t="s">
        <v>50</v>
      </c>
      <c r="C280" s="35" t="s">
        <v>293</v>
      </c>
      <c r="D280" s="41" t="s">
        <v>78</v>
      </c>
      <c r="E280" s="38">
        <v>5000044192</v>
      </c>
      <c r="F280" s="35"/>
      <c r="G280" s="35"/>
      <c r="H280" s="35">
        <v>845.56</v>
      </c>
      <c r="I280" s="35">
        <f>H280</f>
        <v>845.56</v>
      </c>
      <c r="J280" s="35"/>
      <c r="K280" s="35" t="s">
        <v>53</v>
      </c>
      <c r="L280" s="25"/>
      <c r="M280" s="25"/>
      <c r="N280" s="35" t="s">
        <v>57</v>
      </c>
      <c r="O280" s="35" t="s">
        <v>54</v>
      </c>
      <c r="P280" s="35" t="s">
        <v>258</v>
      </c>
      <c r="Q280" s="32">
        <v>12</v>
      </c>
      <c r="R280" s="37">
        <v>42621</v>
      </c>
      <c r="S280" s="37">
        <v>42628</v>
      </c>
      <c r="T280" s="37">
        <v>42628</v>
      </c>
      <c r="AE280" s="33"/>
      <c r="AF280" s="33"/>
      <c r="AG280" s="33"/>
      <c r="AH280" s="34"/>
    </row>
    <row r="281" spans="1:34" s="32" customFormat="1" x14ac:dyDescent="0.25">
      <c r="A281" s="31">
        <v>249</v>
      </c>
      <c r="B281" s="35" t="s">
        <v>90</v>
      </c>
      <c r="C281" s="35" t="s">
        <v>293</v>
      </c>
      <c r="D281" s="35" t="s">
        <v>91</v>
      </c>
      <c r="E281" s="35">
        <v>4201279847</v>
      </c>
      <c r="F281" s="35">
        <v>33</v>
      </c>
      <c r="G281" s="35">
        <v>2.61</v>
      </c>
      <c r="H281" s="35">
        <v>229.68</v>
      </c>
      <c r="I281" s="35">
        <f>H281</f>
        <v>229.68</v>
      </c>
      <c r="J281" s="35"/>
      <c r="K281" s="35" t="s">
        <v>71</v>
      </c>
      <c r="L281" s="25">
        <f t="shared" ref="L281" si="280">I281/G281</f>
        <v>88</v>
      </c>
      <c r="M281" s="25">
        <f t="shared" ref="M281" si="281">H281/G281</f>
        <v>88</v>
      </c>
      <c r="N281" s="35" t="s">
        <v>82</v>
      </c>
      <c r="O281" s="35" t="s">
        <v>54</v>
      </c>
      <c r="P281" s="35" t="s">
        <v>206</v>
      </c>
      <c r="Q281" s="32">
        <v>1</v>
      </c>
      <c r="R281" s="37">
        <v>42627</v>
      </c>
      <c r="S281" s="37">
        <v>42632</v>
      </c>
      <c r="T281" s="37">
        <v>42632</v>
      </c>
      <c r="AE281" s="33"/>
      <c r="AF281" s="33"/>
      <c r="AG281" s="33"/>
      <c r="AH281" s="34"/>
    </row>
    <row r="282" spans="1:34" s="32" customFormat="1" x14ac:dyDescent="0.25">
      <c r="A282" s="31">
        <v>250</v>
      </c>
      <c r="B282" s="35" t="s">
        <v>50</v>
      </c>
      <c r="C282" s="35" t="s">
        <v>293</v>
      </c>
      <c r="D282" s="35" t="s">
        <v>305</v>
      </c>
      <c r="E282" s="35">
        <v>5000044327</v>
      </c>
      <c r="F282" s="35"/>
      <c r="G282" s="35"/>
      <c r="H282" s="35">
        <v>128.80000000000001</v>
      </c>
      <c r="I282" s="35">
        <f>H282</f>
        <v>128.80000000000001</v>
      </c>
      <c r="J282" s="35"/>
      <c r="K282" s="35" t="s">
        <v>53</v>
      </c>
      <c r="L282" s="25"/>
      <c r="M282" s="25"/>
      <c r="N282" s="35" t="s">
        <v>57</v>
      </c>
      <c r="O282" s="35" t="s">
        <v>54</v>
      </c>
      <c r="P282" s="35" t="s">
        <v>77</v>
      </c>
      <c r="Q282" s="32">
        <v>12</v>
      </c>
      <c r="R282" s="37">
        <v>42602</v>
      </c>
      <c r="S282" s="37">
        <v>42634</v>
      </c>
      <c r="T282" s="37">
        <v>42635</v>
      </c>
      <c r="AE282" s="33"/>
      <c r="AF282" s="33"/>
      <c r="AG282" s="33"/>
      <c r="AH282" s="34"/>
    </row>
    <row r="283" spans="1:34" s="32" customFormat="1" x14ac:dyDescent="0.25">
      <c r="A283" s="31">
        <v>251</v>
      </c>
      <c r="B283" s="35" t="s">
        <v>79</v>
      </c>
      <c r="C283" s="35" t="s">
        <v>293</v>
      </c>
      <c r="D283" s="35" t="s">
        <v>306</v>
      </c>
      <c r="E283" s="35">
        <v>4201281348</v>
      </c>
      <c r="F283" s="35">
        <v>11</v>
      </c>
      <c r="G283" s="35">
        <f>2.9*3</f>
        <v>8.6999999999999993</v>
      </c>
      <c r="H283" s="35">
        <v>1275</v>
      </c>
      <c r="I283" s="35">
        <v>789</v>
      </c>
      <c r="J283" s="35">
        <f>H283-I283</f>
        <v>486</v>
      </c>
      <c r="K283" s="35" t="s">
        <v>71</v>
      </c>
      <c r="L283" s="25">
        <f t="shared" ref="L283" si="282">I283/G283</f>
        <v>90.689655172413794</v>
      </c>
      <c r="M283" s="25">
        <f t="shared" ref="M283" si="283">H283/G283</f>
        <v>146.55172413793105</v>
      </c>
      <c r="N283" s="35" t="s">
        <v>61</v>
      </c>
      <c r="O283" s="35" t="s">
        <v>62</v>
      </c>
      <c r="P283" s="35" t="s">
        <v>206</v>
      </c>
      <c r="Q283" s="32">
        <v>1</v>
      </c>
      <c r="R283" s="37">
        <v>42632</v>
      </c>
      <c r="S283" s="37">
        <v>42634</v>
      </c>
      <c r="T283" s="37">
        <v>42635</v>
      </c>
      <c r="AE283" s="33"/>
      <c r="AF283" s="33"/>
      <c r="AG283" s="33"/>
      <c r="AH283" s="34"/>
    </row>
    <row r="284" spans="1:34" s="32" customFormat="1" x14ac:dyDescent="0.25">
      <c r="A284" s="31">
        <v>252</v>
      </c>
      <c r="B284" s="35" t="s">
        <v>58</v>
      </c>
      <c r="C284" s="35" t="s">
        <v>293</v>
      </c>
      <c r="D284" s="35" t="s">
        <v>263</v>
      </c>
      <c r="E284" s="35">
        <v>2360071424</v>
      </c>
      <c r="F284" s="35"/>
      <c r="G284" s="35">
        <f>0.6</f>
        <v>0.6</v>
      </c>
      <c r="H284" s="35">
        <v>153</v>
      </c>
      <c r="I284" s="35">
        <v>56.4</v>
      </c>
      <c r="J284" s="35">
        <f>H284-I284</f>
        <v>96.6</v>
      </c>
      <c r="K284" s="35" t="s">
        <v>75</v>
      </c>
      <c r="L284" s="25">
        <f t="shared" ref="L284" si="284">I284/G284</f>
        <v>94</v>
      </c>
      <c r="M284" s="25">
        <f t="shared" ref="M284" si="285">H284/G284</f>
        <v>255</v>
      </c>
      <c r="N284" s="35" t="s">
        <v>82</v>
      </c>
      <c r="O284" s="35" t="s">
        <v>54</v>
      </c>
      <c r="P284" s="35" t="s">
        <v>307</v>
      </c>
      <c r="Q284" s="32">
        <v>12</v>
      </c>
      <c r="R284" s="37">
        <v>42630</v>
      </c>
      <c r="S284" s="37">
        <v>42637</v>
      </c>
      <c r="T284" s="37">
        <v>42640</v>
      </c>
      <c r="AE284" s="33"/>
      <c r="AF284" s="33"/>
      <c r="AG284" s="33"/>
      <c r="AH284" s="34"/>
    </row>
    <row r="285" spans="1:34" s="32" customFormat="1" x14ac:dyDescent="0.25">
      <c r="A285" s="31">
        <v>253</v>
      </c>
      <c r="B285" s="35" t="s">
        <v>79</v>
      </c>
      <c r="C285" s="35" t="s">
        <v>293</v>
      </c>
      <c r="D285" s="35" t="s">
        <v>308</v>
      </c>
      <c r="E285" s="35">
        <v>2360071428</v>
      </c>
      <c r="F285" s="35"/>
      <c r="G285" s="35"/>
      <c r="H285" s="35">
        <v>17</v>
      </c>
      <c r="I285" s="35"/>
      <c r="J285" s="35"/>
      <c r="K285" s="35" t="s">
        <v>75</v>
      </c>
      <c r="L285" s="25"/>
      <c r="M285" s="25"/>
      <c r="N285" s="35" t="s">
        <v>54</v>
      </c>
      <c r="O285" s="35" t="s">
        <v>54</v>
      </c>
      <c r="P285" s="35" t="s">
        <v>309</v>
      </c>
      <c r="Q285" s="32">
        <v>15</v>
      </c>
      <c r="R285" s="37">
        <v>42619</v>
      </c>
      <c r="S285" s="37">
        <v>42637</v>
      </c>
      <c r="T285" s="37">
        <v>42640</v>
      </c>
      <c r="AE285" s="33"/>
      <c r="AF285" s="33"/>
      <c r="AG285" s="33"/>
      <c r="AH285" s="34"/>
    </row>
    <row r="286" spans="1:34" s="32" customFormat="1" x14ac:dyDescent="0.25">
      <c r="A286" s="31">
        <v>254</v>
      </c>
      <c r="B286" s="35" t="s">
        <v>122</v>
      </c>
      <c r="C286" s="35" t="s">
        <v>293</v>
      </c>
      <c r="D286" s="35" t="s">
        <v>310</v>
      </c>
      <c r="E286" s="35">
        <v>2360071417</v>
      </c>
      <c r="F286" s="35"/>
      <c r="G286" s="35"/>
      <c r="H286" s="35">
        <v>139.65</v>
      </c>
      <c r="I286" s="35">
        <f t="shared" ref="I286:I296" si="286">H286</f>
        <v>139.65</v>
      </c>
      <c r="J286" s="35"/>
      <c r="K286" s="35" t="s">
        <v>75</v>
      </c>
      <c r="L286" s="25"/>
      <c r="M286" s="25"/>
      <c r="N286" s="35" t="s">
        <v>82</v>
      </c>
      <c r="O286" s="35" t="s">
        <v>54</v>
      </c>
      <c r="P286" s="35" t="s">
        <v>77</v>
      </c>
      <c r="Q286" s="32">
        <v>12</v>
      </c>
      <c r="R286" s="37">
        <v>42629</v>
      </c>
      <c r="S286" s="37">
        <v>42637</v>
      </c>
      <c r="T286" s="37">
        <v>42640</v>
      </c>
      <c r="AE286" s="33"/>
      <c r="AF286" s="33"/>
      <c r="AG286" s="33"/>
      <c r="AH286" s="34"/>
    </row>
    <row r="287" spans="1:34" s="32" customFormat="1" x14ac:dyDescent="0.25">
      <c r="A287" s="31">
        <v>255</v>
      </c>
      <c r="B287" s="35" t="s">
        <v>79</v>
      </c>
      <c r="C287" s="35" t="s">
        <v>293</v>
      </c>
      <c r="D287" s="35" t="s">
        <v>311</v>
      </c>
      <c r="E287" s="35">
        <v>2360071416</v>
      </c>
      <c r="F287" s="35"/>
      <c r="G287" s="35">
        <f>0.242*6</f>
        <v>1.452</v>
      </c>
      <c r="H287" s="35">
        <v>165</v>
      </c>
      <c r="I287" s="35">
        <f t="shared" si="286"/>
        <v>165</v>
      </c>
      <c r="J287" s="35"/>
      <c r="K287" s="35" t="s">
        <v>75</v>
      </c>
      <c r="L287" s="25">
        <f t="shared" ref="L287" si="287">I287/G287</f>
        <v>113.63636363636364</v>
      </c>
      <c r="M287" s="25">
        <f t="shared" ref="M287" si="288">H287/G287</f>
        <v>113.63636363636364</v>
      </c>
      <c r="N287" s="35" t="s">
        <v>61</v>
      </c>
      <c r="O287" s="35" t="s">
        <v>62</v>
      </c>
      <c r="P287" s="35" t="s">
        <v>312</v>
      </c>
      <c r="Q287" s="32">
        <v>11</v>
      </c>
      <c r="R287" s="37">
        <v>42630</v>
      </c>
      <c r="S287" s="37">
        <v>42630</v>
      </c>
      <c r="T287" s="37">
        <v>42640</v>
      </c>
      <c r="AE287" s="33"/>
      <c r="AF287" s="33"/>
      <c r="AG287" s="33"/>
      <c r="AH287" s="34"/>
    </row>
    <row r="288" spans="1:34" s="32" customFormat="1" x14ac:dyDescent="0.25">
      <c r="A288" s="31">
        <v>256</v>
      </c>
      <c r="B288" s="35" t="s">
        <v>50</v>
      </c>
      <c r="C288" s="35" t="s">
        <v>293</v>
      </c>
      <c r="D288" s="35" t="s">
        <v>52</v>
      </c>
      <c r="E288" s="35">
        <v>5000044471</v>
      </c>
      <c r="F288" s="35"/>
      <c r="G288" s="35"/>
      <c r="H288" s="35">
        <v>85.343999999999994</v>
      </c>
      <c r="I288" s="35">
        <f t="shared" si="286"/>
        <v>85.343999999999994</v>
      </c>
      <c r="J288" s="35"/>
      <c r="K288" s="35" t="s">
        <v>53</v>
      </c>
      <c r="L288" s="25"/>
      <c r="M288" s="25"/>
      <c r="N288" s="35" t="s">
        <v>57</v>
      </c>
      <c r="O288" s="35" t="s">
        <v>54</v>
      </c>
      <c r="P288" s="35" t="s">
        <v>190</v>
      </c>
      <c r="Q288" s="32">
        <v>12</v>
      </c>
      <c r="R288" s="37">
        <v>42640</v>
      </c>
      <c r="S288" s="37">
        <v>42640</v>
      </c>
      <c r="T288" s="37">
        <v>42640</v>
      </c>
      <c r="AE288" s="33"/>
      <c r="AF288" s="33"/>
      <c r="AG288" s="33"/>
      <c r="AH288" s="34"/>
    </row>
    <row r="289" spans="1:34" s="32" customFormat="1" x14ac:dyDescent="0.25">
      <c r="A289" s="31">
        <v>257</v>
      </c>
      <c r="B289" s="35" t="s">
        <v>79</v>
      </c>
      <c r="C289" s="35" t="s">
        <v>293</v>
      </c>
      <c r="D289" s="35" t="s">
        <v>313</v>
      </c>
      <c r="E289" s="35">
        <v>2360071484</v>
      </c>
      <c r="F289" s="35"/>
      <c r="G289" s="35">
        <f>0.4196*20</f>
        <v>8.3919999999999995</v>
      </c>
      <c r="H289" s="35">
        <v>712</v>
      </c>
      <c r="I289" s="35">
        <f t="shared" si="286"/>
        <v>712</v>
      </c>
      <c r="J289" s="35"/>
      <c r="K289" s="35" t="s">
        <v>75</v>
      </c>
      <c r="L289" s="25">
        <f t="shared" ref="L289" si="289">I289/G289</f>
        <v>84.842707340324125</v>
      </c>
      <c r="M289" s="25">
        <f t="shared" ref="M289" si="290">H289/G289</f>
        <v>84.842707340324125</v>
      </c>
      <c r="N289" s="35" t="s">
        <v>62</v>
      </c>
      <c r="O289" s="35" t="s">
        <v>62</v>
      </c>
      <c r="P289" s="35" t="s">
        <v>312</v>
      </c>
      <c r="Q289" s="32">
        <v>11</v>
      </c>
      <c r="R289" s="37">
        <v>42643</v>
      </c>
      <c r="S289" s="37">
        <v>42643</v>
      </c>
      <c r="T289" s="37">
        <v>42647</v>
      </c>
      <c r="AE289" s="33"/>
      <c r="AF289" s="33"/>
      <c r="AG289" s="33"/>
      <c r="AH289" s="34"/>
    </row>
    <row r="290" spans="1:34" s="32" customFormat="1" x14ac:dyDescent="0.25">
      <c r="A290" s="31">
        <v>258</v>
      </c>
      <c r="B290" s="35" t="s">
        <v>90</v>
      </c>
      <c r="C290" s="35" t="s">
        <v>293</v>
      </c>
      <c r="D290" s="35" t="s">
        <v>314</v>
      </c>
      <c r="E290" s="35">
        <v>2360071576</v>
      </c>
      <c r="F290" s="35"/>
      <c r="G290" s="35">
        <f>0.383*20+0.256*2+0.334*3</f>
        <v>9.1740000000000013</v>
      </c>
      <c r="H290" s="35">
        <v>719</v>
      </c>
      <c r="I290" s="35">
        <f t="shared" si="286"/>
        <v>719</v>
      </c>
      <c r="J290" s="35"/>
      <c r="K290" s="35" t="s">
        <v>75</v>
      </c>
      <c r="L290" s="25">
        <f t="shared" ref="L290" si="291">I290/G290</f>
        <v>78.373664704599946</v>
      </c>
      <c r="M290" s="25">
        <f t="shared" ref="M290" si="292">H290/G290</f>
        <v>78.373664704599946</v>
      </c>
      <c r="N290" s="35" t="s">
        <v>62</v>
      </c>
      <c r="O290" s="35" t="s">
        <v>62</v>
      </c>
      <c r="P290" s="35" t="s">
        <v>312</v>
      </c>
      <c r="Q290" s="32">
        <v>11</v>
      </c>
      <c r="R290" s="37">
        <v>42643</v>
      </c>
      <c r="S290" s="37">
        <v>42643</v>
      </c>
      <c r="T290" s="37">
        <v>42647</v>
      </c>
      <c r="AE290" s="33"/>
      <c r="AF290" s="33"/>
      <c r="AG290" s="33"/>
      <c r="AH290" s="34"/>
    </row>
    <row r="291" spans="1:34" s="32" customFormat="1" x14ac:dyDescent="0.25">
      <c r="A291" s="31">
        <v>259</v>
      </c>
      <c r="B291" s="35" t="s">
        <v>90</v>
      </c>
      <c r="C291" s="35" t="s">
        <v>293</v>
      </c>
      <c r="D291" s="35" t="s">
        <v>315</v>
      </c>
      <c r="E291" s="35">
        <v>2360071533</v>
      </c>
      <c r="F291" s="35"/>
      <c r="G291" s="35">
        <f>0.292*3+0.238+0.119</f>
        <v>1.2329999999999999</v>
      </c>
      <c r="H291" s="35">
        <v>124</v>
      </c>
      <c r="I291" s="35">
        <f t="shared" si="286"/>
        <v>124</v>
      </c>
      <c r="J291" s="35"/>
      <c r="K291" s="35" t="s">
        <v>75</v>
      </c>
      <c r="L291" s="25">
        <f t="shared" ref="L291" si="293">I291/G291</f>
        <v>100.56772100567721</v>
      </c>
      <c r="M291" s="25">
        <f t="shared" ref="M291" si="294">H291/G291</f>
        <v>100.56772100567721</v>
      </c>
      <c r="N291" s="35" t="s">
        <v>54</v>
      </c>
      <c r="O291" s="35" t="s">
        <v>54</v>
      </c>
      <c r="P291" s="35" t="s">
        <v>312</v>
      </c>
      <c r="Q291" s="32">
        <v>11</v>
      </c>
      <c r="R291" s="37">
        <v>42621</v>
      </c>
      <c r="S291" s="37">
        <v>42643</v>
      </c>
      <c r="T291" s="37">
        <v>42647</v>
      </c>
      <c r="AE291" s="33"/>
      <c r="AF291" s="33"/>
      <c r="AG291" s="33"/>
      <c r="AH291" s="34"/>
    </row>
    <row r="292" spans="1:34" s="32" customFormat="1" x14ac:dyDescent="0.25">
      <c r="A292" s="31">
        <v>260</v>
      </c>
      <c r="B292" s="35" t="s">
        <v>73</v>
      </c>
      <c r="C292" s="35" t="s">
        <v>293</v>
      </c>
      <c r="D292" s="35" t="s">
        <v>316</v>
      </c>
      <c r="E292" s="35">
        <v>2360071584</v>
      </c>
      <c r="F292" s="35"/>
      <c r="G292" s="35">
        <f>0.625*5</f>
        <v>3.125</v>
      </c>
      <c r="H292" s="35">
        <v>279</v>
      </c>
      <c r="I292" s="35">
        <f t="shared" si="286"/>
        <v>279</v>
      </c>
      <c r="J292" s="35"/>
      <c r="K292" s="35" t="s">
        <v>75</v>
      </c>
      <c r="L292" s="25">
        <f t="shared" ref="L292:L294" si="295">I292/G292</f>
        <v>89.28</v>
      </c>
      <c r="M292" s="25">
        <f t="shared" ref="M292:M294" si="296">H292/G292</f>
        <v>89.28</v>
      </c>
      <c r="N292" s="35" t="s">
        <v>82</v>
      </c>
      <c r="O292" s="35" t="s">
        <v>54</v>
      </c>
      <c r="P292" s="35" t="s">
        <v>312</v>
      </c>
      <c r="Q292" s="32">
        <v>11</v>
      </c>
      <c r="R292" s="37">
        <v>42642</v>
      </c>
      <c r="S292" s="37">
        <v>42643</v>
      </c>
      <c r="T292" s="37">
        <v>42647</v>
      </c>
      <c r="AE292" s="33"/>
      <c r="AF292" s="33"/>
      <c r="AG292" s="33"/>
      <c r="AH292" s="34"/>
    </row>
    <row r="293" spans="1:34" s="32" customFormat="1" x14ac:dyDescent="0.25">
      <c r="A293" s="31">
        <v>261</v>
      </c>
      <c r="B293" s="35" t="s">
        <v>73</v>
      </c>
      <c r="C293" s="35" t="s">
        <v>293</v>
      </c>
      <c r="D293" s="35" t="s">
        <v>131</v>
      </c>
      <c r="E293" s="35">
        <v>2360071535</v>
      </c>
      <c r="F293" s="35"/>
      <c r="G293" s="35">
        <f>0.6*3</f>
        <v>1.7999999999999998</v>
      </c>
      <c r="H293" s="35">
        <v>124</v>
      </c>
      <c r="I293" s="35">
        <f t="shared" si="286"/>
        <v>124</v>
      </c>
      <c r="J293" s="35"/>
      <c r="K293" s="35" t="s">
        <v>75</v>
      </c>
      <c r="L293" s="25">
        <f t="shared" si="295"/>
        <v>68.8888888888889</v>
      </c>
      <c r="M293" s="25">
        <f t="shared" si="296"/>
        <v>68.8888888888889</v>
      </c>
      <c r="N293" s="35" t="s">
        <v>54</v>
      </c>
      <c r="O293" s="35" t="s">
        <v>54</v>
      </c>
      <c r="P293" s="35" t="s">
        <v>312</v>
      </c>
      <c r="Q293" s="32">
        <v>11</v>
      </c>
      <c r="R293" s="37">
        <v>42639</v>
      </c>
      <c r="S293" s="37">
        <v>42643</v>
      </c>
      <c r="T293" s="37">
        <v>42647</v>
      </c>
      <c r="AE293" s="33"/>
      <c r="AF293" s="33"/>
      <c r="AG293" s="33"/>
      <c r="AH293" s="34"/>
    </row>
    <row r="294" spans="1:34" s="32" customFormat="1" x14ac:dyDescent="0.25">
      <c r="A294" s="31">
        <v>262</v>
      </c>
      <c r="B294" s="35" t="s">
        <v>90</v>
      </c>
      <c r="C294" s="35" t="s">
        <v>293</v>
      </c>
      <c r="D294" s="35" t="s">
        <v>109</v>
      </c>
      <c r="E294" s="35">
        <v>2360071681</v>
      </c>
      <c r="F294" s="35"/>
      <c r="G294" s="35">
        <f>0.334*80</f>
        <v>26.720000000000002</v>
      </c>
      <c r="H294" s="35">
        <v>2110</v>
      </c>
      <c r="I294" s="35">
        <f t="shared" si="286"/>
        <v>2110</v>
      </c>
      <c r="J294" s="35"/>
      <c r="K294" s="35" t="s">
        <v>75</v>
      </c>
      <c r="L294" s="25">
        <f t="shared" si="295"/>
        <v>78.967065868263461</v>
      </c>
      <c r="M294" s="25">
        <f t="shared" si="296"/>
        <v>78.967065868263461</v>
      </c>
      <c r="N294" s="35" t="s">
        <v>82</v>
      </c>
      <c r="O294" s="35" t="s">
        <v>54</v>
      </c>
      <c r="P294" s="35" t="s">
        <v>312</v>
      </c>
      <c r="Q294" s="32">
        <v>11</v>
      </c>
      <c r="R294" s="37">
        <v>42643</v>
      </c>
      <c r="S294" s="37">
        <v>42643</v>
      </c>
      <c r="T294" s="37">
        <v>42647</v>
      </c>
      <c r="AE294" s="33"/>
      <c r="AF294" s="33"/>
      <c r="AG294" s="33"/>
      <c r="AH294" s="34"/>
    </row>
    <row r="295" spans="1:34" s="32" customFormat="1" x14ac:dyDescent="0.25">
      <c r="A295" s="31">
        <v>263</v>
      </c>
      <c r="B295" s="35" t="s">
        <v>50</v>
      </c>
      <c r="C295" s="35" t="s">
        <v>293</v>
      </c>
      <c r="D295" s="41" t="s">
        <v>78</v>
      </c>
      <c r="E295" s="38">
        <v>5000044560</v>
      </c>
      <c r="F295" s="35"/>
      <c r="G295" s="35"/>
      <c r="H295" s="35">
        <v>3739</v>
      </c>
      <c r="I295" s="35">
        <f t="shared" si="286"/>
        <v>3739</v>
      </c>
      <c r="J295" s="35"/>
      <c r="K295" s="35" t="s">
        <v>53</v>
      </c>
      <c r="L295" s="25"/>
      <c r="M295" s="25"/>
      <c r="N295" s="35" t="s">
        <v>57</v>
      </c>
      <c r="O295" s="35" t="s">
        <v>54</v>
      </c>
      <c r="P295" s="35" t="s">
        <v>258</v>
      </c>
      <c r="Q295" s="32">
        <v>12</v>
      </c>
      <c r="R295" s="37">
        <v>42642</v>
      </c>
      <c r="S295" s="37">
        <v>42643</v>
      </c>
      <c r="T295" s="37">
        <v>42643</v>
      </c>
      <c r="AE295" s="33"/>
      <c r="AF295" s="33"/>
      <c r="AG295" s="33"/>
      <c r="AH295" s="34"/>
    </row>
    <row r="296" spans="1:34" s="32" customFormat="1" x14ac:dyDescent="0.25">
      <c r="A296" s="31">
        <v>264</v>
      </c>
      <c r="B296" s="35" t="s">
        <v>50</v>
      </c>
      <c r="C296" s="35" t="s">
        <v>293</v>
      </c>
      <c r="D296" s="41" t="s">
        <v>78</v>
      </c>
      <c r="E296" s="38">
        <v>5000044561</v>
      </c>
      <c r="F296" s="35"/>
      <c r="G296" s="35"/>
      <c r="H296" s="35">
        <v>592.38</v>
      </c>
      <c r="I296" s="35">
        <f t="shared" si="286"/>
        <v>592.38</v>
      </c>
      <c r="J296" s="35"/>
      <c r="K296" s="35" t="s">
        <v>53</v>
      </c>
      <c r="L296" s="25"/>
      <c r="M296" s="25"/>
      <c r="N296" s="35" t="s">
        <v>57</v>
      </c>
      <c r="O296" s="35" t="s">
        <v>54</v>
      </c>
      <c r="P296" s="35" t="s">
        <v>258</v>
      </c>
      <c r="Q296" s="32">
        <v>12</v>
      </c>
      <c r="R296" s="37">
        <v>42642</v>
      </c>
      <c r="S296" s="37">
        <v>42643</v>
      </c>
      <c r="T296" s="37">
        <v>42643</v>
      </c>
      <c r="AE296" s="33"/>
      <c r="AF296" s="33"/>
      <c r="AG296" s="33"/>
      <c r="AH296" s="34"/>
    </row>
    <row r="297" spans="1:34" s="32" customFormat="1" x14ac:dyDescent="0.25">
      <c r="A297" s="31">
        <v>265</v>
      </c>
      <c r="B297" s="35" t="s">
        <v>50</v>
      </c>
      <c r="C297" s="35" t="s">
        <v>318</v>
      </c>
      <c r="D297" s="35" t="s">
        <v>317</v>
      </c>
      <c r="E297" s="35">
        <v>5000044639</v>
      </c>
      <c r="F297" s="35"/>
      <c r="G297" s="35">
        <f>0.05*5</f>
        <v>0.25</v>
      </c>
      <c r="H297" s="35">
        <v>134</v>
      </c>
      <c r="I297" s="35">
        <f>H297</f>
        <v>134</v>
      </c>
      <c r="J297" s="35"/>
      <c r="K297" s="35" t="s">
        <v>53</v>
      </c>
      <c r="L297" s="25"/>
      <c r="M297" s="25"/>
      <c r="N297" s="35" t="s">
        <v>57</v>
      </c>
      <c r="O297" s="35" t="s">
        <v>54</v>
      </c>
      <c r="P297" s="35" t="s">
        <v>116</v>
      </c>
      <c r="Q297" s="32">
        <v>12</v>
      </c>
      <c r="R297" s="37">
        <v>42646</v>
      </c>
      <c r="S297" s="37">
        <v>42648</v>
      </c>
      <c r="T297" s="37">
        <v>42648</v>
      </c>
      <c r="AE297" s="33"/>
      <c r="AF297" s="33"/>
      <c r="AG297" s="33"/>
      <c r="AH297" s="34"/>
    </row>
    <row r="298" spans="1:34" s="32" customFormat="1" x14ac:dyDescent="0.25">
      <c r="A298" s="31">
        <v>266</v>
      </c>
      <c r="B298" s="35" t="s">
        <v>50</v>
      </c>
      <c r="C298" s="35" t="s">
        <v>318</v>
      </c>
      <c r="D298" s="35" t="s">
        <v>177</v>
      </c>
      <c r="E298" s="35">
        <v>5000044918</v>
      </c>
      <c r="F298" s="35"/>
      <c r="G298" s="35">
        <v>13.39</v>
      </c>
      <c r="H298" s="35">
        <v>1566.44</v>
      </c>
      <c r="I298" s="35">
        <f>H298</f>
        <v>1566.44</v>
      </c>
      <c r="J298" s="35"/>
      <c r="K298" s="35" t="s">
        <v>53</v>
      </c>
      <c r="L298" s="25">
        <f t="shared" ref="L298:L302" si="297">I298/G298</f>
        <v>116.98581030619866</v>
      </c>
      <c r="M298" s="25">
        <f t="shared" ref="M298:M302" si="298">H298/G298</f>
        <v>116.98581030619866</v>
      </c>
      <c r="N298" s="35" t="s">
        <v>57</v>
      </c>
      <c r="O298" s="35" t="s">
        <v>54</v>
      </c>
      <c r="P298" s="35" t="s">
        <v>319</v>
      </c>
      <c r="Q298" s="32">
        <v>12</v>
      </c>
      <c r="R298" s="37">
        <v>42661</v>
      </c>
      <c r="S298" s="37">
        <v>42663</v>
      </c>
      <c r="T298" s="37">
        <v>42664</v>
      </c>
      <c r="AE298" s="33"/>
      <c r="AF298" s="33"/>
      <c r="AG298" s="33"/>
      <c r="AH298" s="34"/>
    </row>
    <row r="299" spans="1:34" s="32" customFormat="1" x14ac:dyDescent="0.25">
      <c r="A299" s="31">
        <v>267</v>
      </c>
      <c r="B299" s="35" t="s">
        <v>50</v>
      </c>
      <c r="C299" s="35" t="s">
        <v>318</v>
      </c>
      <c r="D299" s="35" t="s">
        <v>285</v>
      </c>
      <c r="E299" s="35">
        <v>5000044872</v>
      </c>
      <c r="F299" s="35"/>
      <c r="G299" s="35">
        <v>4.6399999999999997</v>
      </c>
      <c r="H299" s="35">
        <v>518.73</v>
      </c>
      <c r="I299" s="35">
        <f>H299</f>
        <v>518.73</v>
      </c>
      <c r="J299" s="35"/>
      <c r="K299" s="35" t="s">
        <v>53</v>
      </c>
      <c r="L299" s="25">
        <f t="shared" ref="L299:L301" si="299">I299/G299</f>
        <v>111.79525862068967</v>
      </c>
      <c r="M299" s="25">
        <f t="shared" ref="M299:M301" si="300">H299/G299</f>
        <v>111.79525862068967</v>
      </c>
      <c r="N299" s="35" t="s">
        <v>57</v>
      </c>
      <c r="O299" s="35" t="s">
        <v>54</v>
      </c>
      <c r="P299" s="35" t="s">
        <v>231</v>
      </c>
      <c r="Q299" s="32">
        <v>12</v>
      </c>
      <c r="R299" s="37">
        <v>42647</v>
      </c>
      <c r="S299" s="37">
        <v>42660</v>
      </c>
      <c r="T299" s="37">
        <v>42664</v>
      </c>
      <c r="AE299" s="33"/>
      <c r="AF299" s="33"/>
      <c r="AG299" s="33"/>
      <c r="AH299" s="34"/>
    </row>
    <row r="300" spans="1:34" s="32" customFormat="1" x14ac:dyDescent="0.25">
      <c r="A300" s="31">
        <v>268</v>
      </c>
      <c r="B300" s="35" t="s">
        <v>50</v>
      </c>
      <c r="C300" s="35" t="s">
        <v>318</v>
      </c>
      <c r="D300" s="35" t="s">
        <v>320</v>
      </c>
      <c r="E300" s="35">
        <v>5000044766</v>
      </c>
      <c r="F300" s="35"/>
      <c r="G300" s="35">
        <f>0.302*5</f>
        <v>1.51</v>
      </c>
      <c r="H300" s="35">
        <v>197.46</v>
      </c>
      <c r="I300" s="35">
        <f t="shared" ref="I300:I310" si="301">H300</f>
        <v>197.46</v>
      </c>
      <c r="J300" s="35"/>
      <c r="K300" s="35" t="s">
        <v>53</v>
      </c>
      <c r="L300" s="25">
        <f t="shared" si="299"/>
        <v>130.76821192052981</v>
      </c>
      <c r="M300" s="25">
        <f t="shared" si="300"/>
        <v>130.76821192052981</v>
      </c>
      <c r="N300" s="35" t="s">
        <v>57</v>
      </c>
      <c r="O300" s="35" t="s">
        <v>54</v>
      </c>
      <c r="P300" s="35" t="s">
        <v>231</v>
      </c>
      <c r="Q300" s="32">
        <v>12</v>
      </c>
      <c r="R300" s="37">
        <v>42648</v>
      </c>
      <c r="S300" s="37">
        <v>42657</v>
      </c>
      <c r="T300" s="37">
        <v>42664</v>
      </c>
      <c r="AE300" s="33"/>
      <c r="AF300" s="33"/>
      <c r="AG300" s="33"/>
      <c r="AH300" s="34"/>
    </row>
    <row r="301" spans="1:34" s="32" customFormat="1" x14ac:dyDescent="0.25">
      <c r="A301" s="31">
        <v>269</v>
      </c>
      <c r="B301" s="35" t="s">
        <v>50</v>
      </c>
      <c r="C301" s="35" t="s">
        <v>318</v>
      </c>
      <c r="D301" s="35" t="s">
        <v>52</v>
      </c>
      <c r="E301" s="35">
        <v>5000044763</v>
      </c>
      <c r="F301" s="35"/>
      <c r="G301" s="35">
        <f>0.3*3</f>
        <v>0.89999999999999991</v>
      </c>
      <c r="H301" s="35">
        <v>190.76</v>
      </c>
      <c r="I301" s="35">
        <f t="shared" si="301"/>
        <v>190.76</v>
      </c>
      <c r="J301" s="35"/>
      <c r="K301" s="35" t="s">
        <v>53</v>
      </c>
      <c r="L301" s="25">
        <f t="shared" si="299"/>
        <v>211.95555555555558</v>
      </c>
      <c r="M301" s="25">
        <f t="shared" si="300"/>
        <v>211.95555555555558</v>
      </c>
      <c r="N301" s="35" t="s">
        <v>57</v>
      </c>
      <c r="O301" s="35" t="s">
        <v>54</v>
      </c>
      <c r="P301" s="35" t="s">
        <v>63</v>
      </c>
      <c r="Q301" s="32">
        <v>12</v>
      </c>
      <c r="R301" s="37">
        <v>42656</v>
      </c>
      <c r="S301" s="37">
        <v>42656</v>
      </c>
      <c r="T301" s="37">
        <v>42664</v>
      </c>
      <c r="AE301" s="33"/>
      <c r="AF301" s="33"/>
      <c r="AG301" s="33"/>
      <c r="AH301" s="34"/>
    </row>
    <row r="302" spans="1:34" s="32" customFormat="1" x14ac:dyDescent="0.25">
      <c r="A302" s="31">
        <v>270</v>
      </c>
      <c r="B302" s="35" t="s">
        <v>65</v>
      </c>
      <c r="C302" s="35" t="s">
        <v>318</v>
      </c>
      <c r="D302" s="35" t="s">
        <v>321</v>
      </c>
      <c r="E302" s="35">
        <v>2360071812</v>
      </c>
      <c r="F302" s="35"/>
      <c r="G302" s="35">
        <f>0.69*3</f>
        <v>2.0699999999999998</v>
      </c>
      <c r="H302" s="35">
        <v>150</v>
      </c>
      <c r="I302" s="35">
        <f t="shared" si="301"/>
        <v>150</v>
      </c>
      <c r="J302" s="35"/>
      <c r="K302" s="35" t="s">
        <v>75</v>
      </c>
      <c r="L302" s="25">
        <f t="shared" si="297"/>
        <v>72.463768115942031</v>
      </c>
      <c r="M302" s="25">
        <f t="shared" si="298"/>
        <v>72.463768115942031</v>
      </c>
      <c r="N302" s="35" t="s">
        <v>322</v>
      </c>
      <c r="O302" s="35" t="s">
        <v>62</v>
      </c>
      <c r="P302" s="35" t="s">
        <v>323</v>
      </c>
      <c r="Q302" s="32">
        <v>11</v>
      </c>
      <c r="R302" s="37">
        <v>42647</v>
      </c>
      <c r="S302" s="37">
        <v>42649</v>
      </c>
      <c r="T302" s="37">
        <v>42664</v>
      </c>
      <c r="AE302" s="33"/>
      <c r="AF302" s="33"/>
      <c r="AG302" s="33"/>
      <c r="AH302" s="34"/>
    </row>
    <row r="303" spans="1:34" s="32" customFormat="1" x14ac:dyDescent="0.25">
      <c r="A303" s="31">
        <v>271</v>
      </c>
      <c r="B303" s="35" t="s">
        <v>90</v>
      </c>
      <c r="C303" s="35" t="s">
        <v>318</v>
      </c>
      <c r="D303" s="35" t="s">
        <v>324</v>
      </c>
      <c r="E303" s="35">
        <v>2360071972</v>
      </c>
      <c r="F303" s="35"/>
      <c r="G303" s="35">
        <f>0.166*4</f>
        <v>0.66400000000000003</v>
      </c>
      <c r="H303" s="35">
        <v>88.88</v>
      </c>
      <c r="I303" s="35">
        <f t="shared" si="301"/>
        <v>88.88</v>
      </c>
      <c r="J303" s="35"/>
      <c r="K303" s="35" t="s">
        <v>75</v>
      </c>
      <c r="L303" s="25">
        <f t="shared" ref="L303:L309" si="302">I303/G303</f>
        <v>133.85542168674698</v>
      </c>
      <c r="M303" s="25">
        <f t="shared" ref="M303:M309" si="303">H303/G303</f>
        <v>133.85542168674698</v>
      </c>
      <c r="N303" s="35" t="s">
        <v>61</v>
      </c>
      <c r="O303" s="35" t="s">
        <v>62</v>
      </c>
      <c r="P303" s="35" t="s">
        <v>323</v>
      </c>
      <c r="Q303" s="32">
        <v>11</v>
      </c>
      <c r="R303" s="37">
        <v>42655</v>
      </c>
      <c r="S303" s="37">
        <v>42656</v>
      </c>
      <c r="T303" s="37">
        <v>42664</v>
      </c>
      <c r="AE303" s="33"/>
      <c r="AF303" s="33"/>
      <c r="AG303" s="33"/>
      <c r="AH303" s="34"/>
    </row>
    <row r="304" spans="1:34" s="32" customFormat="1" x14ac:dyDescent="0.25">
      <c r="A304" s="31">
        <v>272</v>
      </c>
      <c r="B304" s="35" t="s">
        <v>90</v>
      </c>
      <c r="C304" s="35" t="s">
        <v>318</v>
      </c>
      <c r="D304" s="35" t="s">
        <v>140</v>
      </c>
      <c r="E304" s="35">
        <v>2360071982</v>
      </c>
      <c r="F304" s="35"/>
      <c r="G304" s="35"/>
      <c r="H304" s="35">
        <v>52.5</v>
      </c>
      <c r="I304" s="35">
        <f t="shared" si="301"/>
        <v>52.5</v>
      </c>
      <c r="J304" s="35"/>
      <c r="K304" s="35" t="s">
        <v>75</v>
      </c>
      <c r="L304" s="25"/>
      <c r="M304" s="25"/>
      <c r="N304" s="35" t="s">
        <v>54</v>
      </c>
      <c r="O304" s="35" t="s">
        <v>54</v>
      </c>
      <c r="P304" s="35" t="s">
        <v>325</v>
      </c>
      <c r="Q304" s="32">
        <v>15</v>
      </c>
      <c r="R304" s="37">
        <v>42649</v>
      </c>
      <c r="S304" s="37">
        <v>42656</v>
      </c>
      <c r="T304" s="37">
        <v>42664</v>
      </c>
      <c r="AE304" s="33"/>
      <c r="AF304" s="33"/>
      <c r="AG304" s="33"/>
      <c r="AH304" s="34"/>
    </row>
    <row r="305" spans="1:34" s="32" customFormat="1" x14ac:dyDescent="0.25">
      <c r="A305" s="31">
        <v>273</v>
      </c>
      <c r="B305" s="35" t="s">
        <v>79</v>
      </c>
      <c r="C305" s="35" t="s">
        <v>318</v>
      </c>
      <c r="D305" s="35" t="s">
        <v>126</v>
      </c>
      <c r="E305" s="35">
        <v>2360071970</v>
      </c>
      <c r="F305" s="35"/>
      <c r="G305" s="35">
        <f>0.416*8</f>
        <v>3.3279999999999998</v>
      </c>
      <c r="H305" s="35">
        <v>348</v>
      </c>
      <c r="I305" s="35">
        <f t="shared" si="301"/>
        <v>348</v>
      </c>
      <c r="J305" s="35"/>
      <c r="K305" s="35" t="s">
        <v>75</v>
      </c>
      <c r="L305" s="25">
        <f t="shared" si="302"/>
        <v>104.56730769230769</v>
      </c>
      <c r="M305" s="25">
        <f t="shared" si="303"/>
        <v>104.56730769230769</v>
      </c>
      <c r="N305" s="35" t="s">
        <v>61</v>
      </c>
      <c r="O305" s="35" t="s">
        <v>62</v>
      </c>
      <c r="P305" s="35" t="s">
        <v>323</v>
      </c>
      <c r="Q305" s="32">
        <v>11</v>
      </c>
      <c r="R305" s="37">
        <v>42655</v>
      </c>
      <c r="S305" s="37">
        <v>42656</v>
      </c>
      <c r="T305" s="37">
        <v>42664</v>
      </c>
      <c r="AE305" s="33"/>
      <c r="AF305" s="33"/>
      <c r="AG305" s="33"/>
      <c r="AH305" s="34"/>
    </row>
    <row r="306" spans="1:34" s="32" customFormat="1" x14ac:dyDescent="0.25">
      <c r="A306" s="31">
        <v>274</v>
      </c>
      <c r="B306" s="35" t="s">
        <v>79</v>
      </c>
      <c r="C306" s="35" t="s">
        <v>318</v>
      </c>
      <c r="D306" s="35" t="s">
        <v>87</v>
      </c>
      <c r="E306" s="35">
        <v>2360072100</v>
      </c>
      <c r="F306" s="35"/>
      <c r="G306" s="35">
        <f>0.4*10</f>
        <v>4</v>
      </c>
      <c r="H306" s="35">
        <v>295</v>
      </c>
      <c r="I306" s="35">
        <f t="shared" si="301"/>
        <v>295</v>
      </c>
      <c r="J306" s="35"/>
      <c r="K306" s="35" t="s">
        <v>75</v>
      </c>
      <c r="L306" s="25">
        <f t="shared" si="302"/>
        <v>73.75</v>
      </c>
      <c r="M306" s="25">
        <f t="shared" si="303"/>
        <v>73.75</v>
      </c>
      <c r="N306" s="35" t="s">
        <v>61</v>
      </c>
      <c r="O306" s="35" t="s">
        <v>62</v>
      </c>
      <c r="P306" s="35" t="s">
        <v>323</v>
      </c>
      <c r="Q306" s="32">
        <v>11</v>
      </c>
      <c r="R306" s="37">
        <v>42660</v>
      </c>
      <c r="S306" s="37">
        <v>42662</v>
      </c>
      <c r="T306" s="37">
        <v>42664</v>
      </c>
      <c r="AE306" s="33"/>
      <c r="AF306" s="33"/>
      <c r="AG306" s="33"/>
      <c r="AH306" s="34"/>
    </row>
    <row r="307" spans="1:34" s="32" customFormat="1" x14ac:dyDescent="0.25">
      <c r="A307" s="31">
        <v>275</v>
      </c>
      <c r="B307" s="35" t="s">
        <v>65</v>
      </c>
      <c r="C307" s="35" t="s">
        <v>318</v>
      </c>
      <c r="D307" s="35" t="s">
        <v>151</v>
      </c>
      <c r="E307" s="35">
        <v>2360072077</v>
      </c>
      <c r="F307" s="35"/>
      <c r="G307" s="35">
        <v>2.96</v>
      </c>
      <c r="H307" s="35">
        <v>333.12</v>
      </c>
      <c r="I307" s="35">
        <f t="shared" si="301"/>
        <v>333.12</v>
      </c>
      <c r="J307" s="35"/>
      <c r="K307" s="35" t="s">
        <v>75</v>
      </c>
      <c r="L307" s="25">
        <f t="shared" si="302"/>
        <v>112.54054054054055</v>
      </c>
      <c r="M307" s="25">
        <f t="shared" si="303"/>
        <v>112.54054054054055</v>
      </c>
      <c r="N307" s="35" t="s">
        <v>322</v>
      </c>
      <c r="O307" s="35" t="s">
        <v>62</v>
      </c>
      <c r="P307" s="35" t="s">
        <v>326</v>
      </c>
      <c r="Q307" s="32">
        <v>12</v>
      </c>
      <c r="R307" s="37">
        <v>42647</v>
      </c>
      <c r="S307" s="37">
        <v>42660</v>
      </c>
      <c r="T307" s="37">
        <v>42664</v>
      </c>
      <c r="AE307" s="33"/>
      <c r="AF307" s="33"/>
      <c r="AG307" s="33"/>
      <c r="AH307" s="34"/>
    </row>
    <row r="308" spans="1:34" s="32" customFormat="1" x14ac:dyDescent="0.25">
      <c r="A308" s="31">
        <v>276</v>
      </c>
      <c r="B308" s="35" t="s">
        <v>90</v>
      </c>
      <c r="C308" s="35" t="s">
        <v>318</v>
      </c>
      <c r="D308" s="38" t="s">
        <v>330</v>
      </c>
      <c r="E308" s="35">
        <v>4201303903</v>
      </c>
      <c r="F308" s="35">
        <v>6.6</v>
      </c>
      <c r="G308" s="35">
        <v>1</v>
      </c>
      <c r="H308" s="35">
        <v>1760</v>
      </c>
      <c r="I308" s="35">
        <f t="shared" si="301"/>
        <v>1760</v>
      </c>
      <c r="J308" s="35"/>
      <c r="K308" s="35" t="s">
        <v>53</v>
      </c>
      <c r="L308" s="25">
        <f t="shared" si="302"/>
        <v>1760</v>
      </c>
      <c r="M308" s="25">
        <f t="shared" si="303"/>
        <v>1760</v>
      </c>
      <c r="N308" s="35" t="s">
        <v>82</v>
      </c>
      <c r="O308" s="35" t="s">
        <v>54</v>
      </c>
      <c r="P308" s="35" t="s">
        <v>152</v>
      </c>
      <c r="Q308" s="32">
        <v>2</v>
      </c>
      <c r="R308" s="37">
        <v>42662</v>
      </c>
      <c r="S308" s="37">
        <v>42664</v>
      </c>
      <c r="T308" s="37">
        <v>42664</v>
      </c>
      <c r="AE308" s="33"/>
      <c r="AF308" s="33"/>
      <c r="AG308" s="33"/>
      <c r="AH308" s="34"/>
    </row>
    <row r="309" spans="1:34" s="32" customFormat="1" x14ac:dyDescent="0.25">
      <c r="A309" s="31">
        <v>277</v>
      </c>
      <c r="B309" s="35" t="s">
        <v>50</v>
      </c>
      <c r="C309" s="35" t="s">
        <v>318</v>
      </c>
      <c r="D309" s="35" t="s">
        <v>148</v>
      </c>
      <c r="E309" s="35">
        <v>5000044996</v>
      </c>
      <c r="F309" s="35"/>
      <c r="G309" s="35">
        <f>0.05*6</f>
        <v>0.30000000000000004</v>
      </c>
      <c r="H309" s="35">
        <v>74</v>
      </c>
      <c r="I309" s="35">
        <f t="shared" si="301"/>
        <v>74</v>
      </c>
      <c r="J309" s="35"/>
      <c r="K309" s="35" t="s">
        <v>53</v>
      </c>
      <c r="L309" s="25">
        <f t="shared" si="302"/>
        <v>246.66666666666663</v>
      </c>
      <c r="M309" s="25">
        <f t="shared" si="303"/>
        <v>246.66666666666663</v>
      </c>
      <c r="N309" s="35" t="s">
        <v>57</v>
      </c>
      <c r="O309" s="35" t="s">
        <v>54</v>
      </c>
      <c r="P309" s="35" t="s">
        <v>129</v>
      </c>
      <c r="Q309" s="32">
        <v>11</v>
      </c>
      <c r="R309" s="37">
        <v>42667</v>
      </c>
      <c r="S309" s="37">
        <v>42668</v>
      </c>
      <c r="T309" s="37">
        <v>42669</v>
      </c>
      <c r="AE309" s="33"/>
      <c r="AF309" s="33"/>
      <c r="AG309" s="33"/>
      <c r="AH309" s="34"/>
    </row>
    <row r="310" spans="1:34" s="32" customFormat="1" x14ac:dyDescent="0.25">
      <c r="A310" s="31">
        <v>278</v>
      </c>
      <c r="B310" s="35" t="s">
        <v>50</v>
      </c>
      <c r="C310" s="35" t="s">
        <v>318</v>
      </c>
      <c r="D310" s="35" t="s">
        <v>99</v>
      </c>
      <c r="E310" s="35">
        <v>5000045103</v>
      </c>
      <c r="F310" s="35"/>
      <c r="G310" s="35"/>
      <c r="H310" s="35">
        <v>1540</v>
      </c>
      <c r="I310" s="35">
        <f t="shared" si="301"/>
        <v>1540</v>
      </c>
      <c r="J310" s="35"/>
      <c r="K310" s="35" t="s">
        <v>53</v>
      </c>
      <c r="L310" s="25"/>
      <c r="M310" s="25"/>
      <c r="N310" s="35" t="s">
        <v>57</v>
      </c>
      <c r="O310" s="35" t="s">
        <v>54</v>
      </c>
      <c r="P310" s="35" t="s">
        <v>49</v>
      </c>
      <c r="Q310" s="32">
        <v>21</v>
      </c>
      <c r="R310" s="37">
        <v>42667</v>
      </c>
      <c r="S310" s="37">
        <v>42671</v>
      </c>
      <c r="T310" s="37">
        <v>42671</v>
      </c>
      <c r="AE310" s="33"/>
      <c r="AF310" s="33"/>
      <c r="AG310" s="33"/>
      <c r="AH310" s="34"/>
    </row>
    <row r="311" spans="1:34" s="32" customFormat="1" x14ac:dyDescent="0.25">
      <c r="A311" s="31">
        <v>279</v>
      </c>
      <c r="B311" s="35" t="s">
        <v>50</v>
      </c>
      <c r="C311" s="35" t="s">
        <v>318</v>
      </c>
      <c r="D311" s="35" t="s">
        <v>99</v>
      </c>
      <c r="E311" s="35">
        <v>5000045068</v>
      </c>
      <c r="F311" s="35"/>
      <c r="G311" s="35">
        <f>0.175*2+0.2*2</f>
        <v>0.75</v>
      </c>
      <c r="H311" s="35">
        <v>108</v>
      </c>
      <c r="I311" s="35">
        <f t="shared" ref="I311:I312" si="304">H311</f>
        <v>108</v>
      </c>
      <c r="J311" s="35"/>
      <c r="K311" s="35" t="s">
        <v>53</v>
      </c>
      <c r="L311" s="25">
        <f t="shared" ref="L311" si="305">I311/G311</f>
        <v>144</v>
      </c>
      <c r="M311" s="25">
        <f t="shared" ref="M311" si="306">H311/G311</f>
        <v>144</v>
      </c>
      <c r="N311" s="35" t="s">
        <v>57</v>
      </c>
      <c r="O311" s="35" t="s">
        <v>54</v>
      </c>
      <c r="P311" s="35" t="s">
        <v>326</v>
      </c>
      <c r="Q311" s="32">
        <v>12</v>
      </c>
      <c r="R311" s="37">
        <v>42667</v>
      </c>
      <c r="S311" s="37">
        <v>42671</v>
      </c>
      <c r="T311" s="37">
        <v>42671</v>
      </c>
      <c r="AE311" s="33"/>
      <c r="AF311" s="33"/>
      <c r="AG311" s="33"/>
      <c r="AH311" s="34"/>
    </row>
    <row r="312" spans="1:34" s="32" customFormat="1" x14ac:dyDescent="0.25">
      <c r="A312" s="31">
        <v>280</v>
      </c>
      <c r="B312" s="35" t="s">
        <v>79</v>
      </c>
      <c r="C312" s="35" t="s">
        <v>318</v>
      </c>
      <c r="D312" s="41" t="s">
        <v>108</v>
      </c>
      <c r="E312" s="38">
        <v>4201304862</v>
      </c>
      <c r="F312" s="35">
        <v>11</v>
      </c>
      <c r="G312" s="35">
        <v>2.9</v>
      </c>
      <c r="H312" s="35">
        <v>375</v>
      </c>
      <c r="I312" s="35">
        <f t="shared" si="304"/>
        <v>375</v>
      </c>
      <c r="J312" s="35"/>
      <c r="K312" s="35" t="s">
        <v>71</v>
      </c>
      <c r="L312" s="25">
        <f t="shared" ref="L312" si="307">I312/G312</f>
        <v>129.31034482758622</v>
      </c>
      <c r="M312" s="25">
        <f t="shared" ref="M312" si="308">H312/G312</f>
        <v>129.31034482758622</v>
      </c>
      <c r="N312" s="35" t="s">
        <v>61</v>
      </c>
      <c r="O312" s="35" t="s">
        <v>62</v>
      </c>
      <c r="P312" s="35" t="s">
        <v>206</v>
      </c>
      <c r="Q312" s="32">
        <v>1</v>
      </c>
      <c r="R312" s="37">
        <v>42670</v>
      </c>
      <c r="S312" s="37">
        <v>42670</v>
      </c>
      <c r="T312" s="37">
        <v>42671</v>
      </c>
      <c r="AE312" s="33"/>
      <c r="AF312" s="33"/>
      <c r="AG312" s="33"/>
      <c r="AH312" s="34"/>
    </row>
    <row r="313" spans="1:34" s="32" customFormat="1" x14ac:dyDescent="0.25">
      <c r="A313" s="31">
        <v>281</v>
      </c>
      <c r="B313" s="35" t="s">
        <v>79</v>
      </c>
      <c r="C313" s="35" t="s">
        <v>318</v>
      </c>
      <c r="D313" s="41" t="s">
        <v>327</v>
      </c>
      <c r="E313" s="38">
        <v>4201306131</v>
      </c>
      <c r="F313" s="35">
        <v>11</v>
      </c>
      <c r="G313" s="35">
        <f>2.9*2</f>
        <v>5.8</v>
      </c>
      <c r="H313" s="35">
        <v>720</v>
      </c>
      <c r="I313" s="35">
        <v>442</v>
      </c>
      <c r="J313" s="35">
        <f>H313-I313</f>
        <v>278</v>
      </c>
      <c r="K313" s="35" t="s">
        <v>71</v>
      </c>
      <c r="L313" s="25">
        <f t="shared" ref="L313" si="309">I313/G313</f>
        <v>76.206896551724142</v>
      </c>
      <c r="M313" s="25">
        <f t="shared" ref="M313" si="310">H313/G313</f>
        <v>124.13793103448276</v>
      </c>
      <c r="N313" s="35" t="s">
        <v>61</v>
      </c>
      <c r="O313" s="35" t="s">
        <v>62</v>
      </c>
      <c r="P313" s="35" t="s">
        <v>206</v>
      </c>
      <c r="Q313" s="32">
        <v>1</v>
      </c>
      <c r="R313" s="37">
        <v>42671</v>
      </c>
      <c r="S313" s="37">
        <v>42671</v>
      </c>
      <c r="T313" s="37">
        <v>42676</v>
      </c>
      <c r="AE313" s="33"/>
      <c r="AF313" s="33"/>
      <c r="AG313" s="33"/>
      <c r="AH313" s="34"/>
    </row>
    <row r="314" spans="1:34" s="32" customFormat="1" x14ac:dyDescent="0.25">
      <c r="A314" s="31">
        <v>282</v>
      </c>
      <c r="B314" s="35" t="s">
        <v>50</v>
      </c>
      <c r="C314" s="35" t="s">
        <v>318</v>
      </c>
      <c r="D314" s="41" t="s">
        <v>78</v>
      </c>
      <c r="E314" s="38">
        <v>5000045117</v>
      </c>
      <c r="F314" s="35"/>
      <c r="G314" s="35"/>
      <c r="H314" s="35">
        <v>2615</v>
      </c>
      <c r="I314" s="35">
        <f t="shared" ref="I314:I316" si="311">H314</f>
        <v>2615</v>
      </c>
      <c r="J314" s="35"/>
      <c r="K314" s="35" t="s">
        <v>53</v>
      </c>
      <c r="L314" s="25"/>
      <c r="M314" s="25"/>
      <c r="N314" s="35" t="s">
        <v>57</v>
      </c>
      <c r="O314" s="35" t="s">
        <v>54</v>
      </c>
      <c r="P314" s="35" t="s">
        <v>258</v>
      </c>
      <c r="Q314" s="32">
        <v>12</v>
      </c>
      <c r="R314" s="37">
        <v>42671</v>
      </c>
      <c r="S314" s="37">
        <v>42671</v>
      </c>
      <c r="T314" s="37">
        <v>42672</v>
      </c>
      <c r="AE314" s="33"/>
      <c r="AF314" s="33"/>
      <c r="AG314" s="33"/>
      <c r="AH314" s="34"/>
    </row>
    <row r="315" spans="1:34" s="32" customFormat="1" x14ac:dyDescent="0.25">
      <c r="A315" s="31">
        <v>283</v>
      </c>
      <c r="B315" s="35" t="s">
        <v>50</v>
      </c>
      <c r="C315" s="35" t="s">
        <v>318</v>
      </c>
      <c r="D315" s="41" t="s">
        <v>78</v>
      </c>
      <c r="E315" s="38">
        <v>5000045050</v>
      </c>
      <c r="F315" s="35"/>
      <c r="G315" s="35"/>
      <c r="H315" s="35">
        <v>289.93</v>
      </c>
      <c r="I315" s="35">
        <f t="shared" si="311"/>
        <v>289.93</v>
      </c>
      <c r="J315" s="35"/>
      <c r="K315" s="35" t="s">
        <v>53</v>
      </c>
      <c r="L315" s="25"/>
      <c r="M315" s="25"/>
      <c r="N315" s="35" t="s">
        <v>57</v>
      </c>
      <c r="O315" s="35" t="s">
        <v>54</v>
      </c>
      <c r="P315" s="35" t="s">
        <v>258</v>
      </c>
      <c r="Q315" s="32">
        <v>12</v>
      </c>
      <c r="R315" s="37">
        <v>42669</v>
      </c>
      <c r="S315" s="37">
        <v>42671</v>
      </c>
      <c r="T315" s="37">
        <v>42672</v>
      </c>
      <c r="AE315" s="33"/>
      <c r="AF315" s="33"/>
      <c r="AG315" s="33"/>
      <c r="AH315" s="34"/>
    </row>
    <row r="316" spans="1:34" s="32" customFormat="1" x14ac:dyDescent="0.25">
      <c r="A316" s="31">
        <v>284</v>
      </c>
      <c r="B316" s="35" t="s">
        <v>50</v>
      </c>
      <c r="C316" s="35" t="s">
        <v>318</v>
      </c>
      <c r="D316" s="41" t="s">
        <v>76</v>
      </c>
      <c r="E316" s="38">
        <v>5000045008</v>
      </c>
      <c r="F316" s="35"/>
      <c r="G316" s="35">
        <v>20</v>
      </c>
      <c r="H316" s="35">
        <v>1654</v>
      </c>
      <c r="I316" s="35">
        <f t="shared" si="311"/>
        <v>1654</v>
      </c>
      <c r="J316" s="35"/>
      <c r="K316" s="35" t="s">
        <v>53</v>
      </c>
      <c r="L316" s="25">
        <f t="shared" ref="L316:L324" si="312">I316/G316</f>
        <v>82.7</v>
      </c>
      <c r="M316" s="25">
        <f t="shared" ref="M316:M324" si="313">H316/G316</f>
        <v>82.7</v>
      </c>
      <c r="N316" s="35" t="s">
        <v>57</v>
      </c>
      <c r="O316" s="35" t="s">
        <v>54</v>
      </c>
      <c r="P316" s="35" t="s">
        <v>77</v>
      </c>
      <c r="Q316" s="32">
        <v>12</v>
      </c>
      <c r="R316" s="37">
        <v>42664</v>
      </c>
      <c r="S316" s="37">
        <v>42671</v>
      </c>
      <c r="T316" s="37">
        <v>42681</v>
      </c>
      <c r="AE316" s="33"/>
      <c r="AF316" s="33"/>
      <c r="AG316" s="33"/>
      <c r="AH316" s="34"/>
    </row>
    <row r="317" spans="1:34" s="32" customFormat="1" x14ac:dyDescent="0.25">
      <c r="A317" s="31">
        <v>285</v>
      </c>
      <c r="B317" s="35" t="s">
        <v>50</v>
      </c>
      <c r="C317" s="35" t="s">
        <v>318</v>
      </c>
      <c r="D317" s="41" t="s">
        <v>76</v>
      </c>
      <c r="E317" s="38">
        <v>5000045016</v>
      </c>
      <c r="F317" s="35"/>
      <c r="G317" s="35">
        <f>0.1*6+0.2*46+0.4*90+0.6*4+1*4</f>
        <v>52.199999999999996</v>
      </c>
      <c r="H317" s="35">
        <v>3442</v>
      </c>
      <c r="I317" s="35">
        <f t="shared" ref="I317:I324" si="314">H317</f>
        <v>3442</v>
      </c>
      <c r="J317" s="35"/>
      <c r="K317" s="35" t="s">
        <v>53</v>
      </c>
      <c r="L317" s="25">
        <f t="shared" si="312"/>
        <v>65.938697318007669</v>
      </c>
      <c r="M317" s="25">
        <f t="shared" si="313"/>
        <v>65.938697318007669</v>
      </c>
      <c r="N317" s="35" t="s">
        <v>57</v>
      </c>
      <c r="O317" s="35" t="s">
        <v>54</v>
      </c>
      <c r="P317" s="35" t="s">
        <v>331</v>
      </c>
      <c r="Q317" s="32">
        <v>12</v>
      </c>
      <c r="R317" s="37">
        <v>42664</v>
      </c>
      <c r="S317" s="37">
        <v>42671</v>
      </c>
      <c r="T317" s="37">
        <v>42681</v>
      </c>
      <c r="AE317" s="33"/>
      <c r="AF317" s="33"/>
      <c r="AG317" s="33"/>
      <c r="AH317" s="34"/>
    </row>
    <row r="318" spans="1:34" s="32" customFormat="1" x14ac:dyDescent="0.25">
      <c r="A318" s="31">
        <v>286</v>
      </c>
      <c r="B318" s="35" t="s">
        <v>50</v>
      </c>
      <c r="C318" s="35" t="s">
        <v>318</v>
      </c>
      <c r="D318" s="41" t="s">
        <v>76</v>
      </c>
      <c r="E318" s="38">
        <v>5000045017</v>
      </c>
      <c r="F318" s="35"/>
      <c r="G318" s="35">
        <f>0.1*4</f>
        <v>0.4</v>
      </c>
      <c r="H318" s="35">
        <v>139.94999999999999</v>
      </c>
      <c r="I318" s="35">
        <f t="shared" si="314"/>
        <v>139.94999999999999</v>
      </c>
      <c r="J318" s="35"/>
      <c r="K318" s="35" t="s">
        <v>53</v>
      </c>
      <c r="L318" s="25">
        <f t="shared" si="312"/>
        <v>349.87499999999994</v>
      </c>
      <c r="M318" s="25">
        <f t="shared" si="313"/>
        <v>349.87499999999994</v>
      </c>
      <c r="N318" s="35" t="s">
        <v>57</v>
      </c>
      <c r="O318" s="35" t="s">
        <v>54</v>
      </c>
      <c r="P318" s="35" t="s">
        <v>77</v>
      </c>
      <c r="Q318" s="32">
        <v>12</v>
      </c>
      <c r="R318" s="37">
        <v>42664</v>
      </c>
      <c r="S318" s="37">
        <v>42671</v>
      </c>
      <c r="T318" s="37">
        <v>42681</v>
      </c>
      <c r="AE318" s="33"/>
      <c r="AF318" s="33"/>
      <c r="AG318" s="33"/>
      <c r="AH318" s="34"/>
    </row>
    <row r="319" spans="1:34" s="32" customFormat="1" x14ac:dyDescent="0.25">
      <c r="A319" s="31">
        <v>287</v>
      </c>
      <c r="B319" s="35" t="s">
        <v>50</v>
      </c>
      <c r="C319" s="35" t="s">
        <v>318</v>
      </c>
      <c r="D319" s="41" t="s">
        <v>76</v>
      </c>
      <c r="E319" s="38">
        <v>5000045014</v>
      </c>
      <c r="F319" s="35"/>
      <c r="G319" s="35">
        <f>0.2*18+0.3*30+0.65*45</f>
        <v>41.85</v>
      </c>
      <c r="H319" s="35">
        <v>3079</v>
      </c>
      <c r="I319" s="35">
        <f t="shared" si="314"/>
        <v>3079</v>
      </c>
      <c r="J319" s="35"/>
      <c r="K319" s="35" t="s">
        <v>53</v>
      </c>
      <c r="L319" s="25">
        <f t="shared" si="312"/>
        <v>73.572281959378728</v>
      </c>
      <c r="M319" s="25">
        <f t="shared" si="313"/>
        <v>73.572281959378728</v>
      </c>
      <c r="N319" s="35" t="s">
        <v>57</v>
      </c>
      <c r="O319" s="35" t="s">
        <v>54</v>
      </c>
      <c r="P319" s="35" t="s">
        <v>332</v>
      </c>
      <c r="Q319" s="32">
        <v>12</v>
      </c>
      <c r="R319" s="37">
        <v>42664</v>
      </c>
      <c r="S319" s="37">
        <v>42671</v>
      </c>
      <c r="T319" s="37">
        <v>42681</v>
      </c>
      <c r="AE319" s="33"/>
      <c r="AF319" s="33"/>
      <c r="AG319" s="33"/>
      <c r="AH319" s="34"/>
    </row>
    <row r="320" spans="1:34" s="32" customFormat="1" x14ac:dyDescent="0.25">
      <c r="A320" s="31">
        <v>288</v>
      </c>
      <c r="B320" s="35" t="s">
        <v>50</v>
      </c>
      <c r="C320" s="35" t="s">
        <v>318</v>
      </c>
      <c r="D320" s="41" t="s">
        <v>76</v>
      </c>
      <c r="E320" s="38">
        <v>5000045136</v>
      </c>
      <c r="F320" s="35"/>
      <c r="G320" s="35">
        <f>0.3*15</f>
        <v>4.5</v>
      </c>
      <c r="H320" s="35">
        <v>336.74</v>
      </c>
      <c r="I320" s="35">
        <f t="shared" si="314"/>
        <v>336.74</v>
      </c>
      <c r="J320" s="35"/>
      <c r="K320" s="35" t="s">
        <v>53</v>
      </c>
      <c r="L320" s="25">
        <f t="shared" si="312"/>
        <v>74.831111111111113</v>
      </c>
      <c r="M320" s="25">
        <f t="shared" si="313"/>
        <v>74.831111111111113</v>
      </c>
      <c r="N320" s="35" t="s">
        <v>57</v>
      </c>
      <c r="O320" s="35" t="s">
        <v>54</v>
      </c>
      <c r="P320" s="35" t="s">
        <v>332</v>
      </c>
      <c r="Q320" s="32">
        <v>12</v>
      </c>
      <c r="R320" s="37">
        <v>42664</v>
      </c>
      <c r="S320" s="37">
        <v>42671</v>
      </c>
      <c r="T320" s="37">
        <v>42681</v>
      </c>
      <c r="AE320" s="33"/>
      <c r="AF320" s="33"/>
      <c r="AG320" s="33"/>
      <c r="AH320" s="34"/>
    </row>
    <row r="321" spans="1:34" s="32" customFormat="1" x14ac:dyDescent="0.25">
      <c r="A321" s="31">
        <v>289</v>
      </c>
      <c r="B321" s="35" t="s">
        <v>50</v>
      </c>
      <c r="C321" s="35" t="s">
        <v>318</v>
      </c>
      <c r="D321" s="41" t="s">
        <v>76</v>
      </c>
      <c r="E321" s="38">
        <v>5000045018</v>
      </c>
      <c r="F321" s="35"/>
      <c r="G321" s="35">
        <f>0.525*122</f>
        <v>64.05</v>
      </c>
      <c r="H321" s="35">
        <v>4240</v>
      </c>
      <c r="I321" s="35">
        <f t="shared" si="314"/>
        <v>4240</v>
      </c>
      <c r="J321" s="35"/>
      <c r="K321" s="35" t="s">
        <v>53</v>
      </c>
      <c r="L321" s="25">
        <f t="shared" si="312"/>
        <v>66.198282591725217</v>
      </c>
      <c r="M321" s="25">
        <f t="shared" si="313"/>
        <v>66.198282591725217</v>
      </c>
      <c r="N321" s="35" t="s">
        <v>57</v>
      </c>
      <c r="O321" s="35" t="s">
        <v>54</v>
      </c>
      <c r="P321" s="35" t="s">
        <v>77</v>
      </c>
      <c r="Q321" s="32">
        <v>12</v>
      </c>
      <c r="R321" s="37">
        <v>42664</v>
      </c>
      <c r="S321" s="37">
        <v>42671</v>
      </c>
      <c r="T321" s="37">
        <v>42681</v>
      </c>
      <c r="AE321" s="33"/>
      <c r="AF321" s="33"/>
      <c r="AG321" s="33"/>
      <c r="AH321" s="34"/>
    </row>
    <row r="322" spans="1:34" s="32" customFormat="1" x14ac:dyDescent="0.25">
      <c r="A322" s="31">
        <v>290</v>
      </c>
      <c r="B322" s="35" t="s">
        <v>58</v>
      </c>
      <c r="C322" s="35" t="s">
        <v>318</v>
      </c>
      <c r="D322" s="41" t="s">
        <v>333</v>
      </c>
      <c r="E322" s="38">
        <v>2360072222</v>
      </c>
      <c r="F322" s="35"/>
      <c r="G322" s="35">
        <f>0.48*4+0.16*4</f>
        <v>2.56</v>
      </c>
      <c r="H322" s="35">
        <v>268</v>
      </c>
      <c r="I322" s="35">
        <f t="shared" si="314"/>
        <v>268</v>
      </c>
      <c r="J322" s="35"/>
      <c r="K322" s="35" t="s">
        <v>75</v>
      </c>
      <c r="L322" s="25">
        <f t="shared" si="312"/>
        <v>104.6875</v>
      </c>
      <c r="M322" s="25">
        <f t="shared" si="313"/>
        <v>104.6875</v>
      </c>
      <c r="N322" s="35" t="s">
        <v>82</v>
      </c>
      <c r="O322" s="35" t="s">
        <v>54</v>
      </c>
      <c r="P322" s="35" t="s">
        <v>104</v>
      </c>
      <c r="Q322" s="32">
        <v>11</v>
      </c>
      <c r="R322" s="37">
        <v>42647</v>
      </c>
      <c r="S322" s="37">
        <v>42671</v>
      </c>
      <c r="T322" s="37">
        <v>42681</v>
      </c>
      <c r="AE322" s="33"/>
      <c r="AF322" s="33"/>
      <c r="AG322" s="33"/>
      <c r="AH322" s="34"/>
    </row>
    <row r="323" spans="1:34" s="32" customFormat="1" x14ac:dyDescent="0.25">
      <c r="A323" s="31">
        <v>291</v>
      </c>
      <c r="B323" s="35" t="s">
        <v>65</v>
      </c>
      <c r="C323" s="35" t="s">
        <v>318</v>
      </c>
      <c r="D323" s="41" t="s">
        <v>334</v>
      </c>
      <c r="E323" s="38">
        <v>4201306174</v>
      </c>
      <c r="F323" s="35">
        <v>6.6</v>
      </c>
      <c r="G323" s="35">
        <v>0.98</v>
      </c>
      <c r="H323" s="35">
        <v>585</v>
      </c>
      <c r="I323" s="35">
        <f t="shared" si="314"/>
        <v>585</v>
      </c>
      <c r="J323" s="35"/>
      <c r="K323" s="35" t="s">
        <v>71</v>
      </c>
      <c r="L323" s="25">
        <f t="shared" si="312"/>
        <v>596.9387755102041</v>
      </c>
      <c r="M323" s="25">
        <f t="shared" si="313"/>
        <v>596.9387755102041</v>
      </c>
      <c r="N323" s="35" t="s">
        <v>68</v>
      </c>
      <c r="O323" s="35" t="s">
        <v>54</v>
      </c>
      <c r="P323" s="35" t="s">
        <v>152</v>
      </c>
      <c r="Q323" s="32">
        <v>2</v>
      </c>
      <c r="R323" s="37">
        <v>42671</v>
      </c>
      <c r="S323" s="37">
        <v>42671</v>
      </c>
      <c r="T323" s="37">
        <v>42681</v>
      </c>
      <c r="AE323" s="33"/>
      <c r="AF323" s="33"/>
      <c r="AG323" s="33"/>
      <c r="AH323" s="34"/>
    </row>
    <row r="324" spans="1:34" s="32" customFormat="1" x14ac:dyDescent="0.25">
      <c r="A324" s="31">
        <v>292</v>
      </c>
      <c r="B324" s="35" t="s">
        <v>73</v>
      </c>
      <c r="C324" s="35" t="s">
        <v>328</v>
      </c>
      <c r="D324" s="41" t="s">
        <v>335</v>
      </c>
      <c r="E324" s="38">
        <v>2360072560</v>
      </c>
      <c r="F324" s="35"/>
      <c r="G324" s="35">
        <f>0.359+0.232+0.214+0.174</f>
        <v>0.97899999999999987</v>
      </c>
      <c r="H324" s="35">
        <v>99.6</v>
      </c>
      <c r="I324" s="35">
        <f t="shared" si="314"/>
        <v>99.6</v>
      </c>
      <c r="J324" s="35"/>
      <c r="K324" s="35" t="s">
        <v>75</v>
      </c>
      <c r="L324" s="25">
        <f t="shared" si="312"/>
        <v>101.73646578140961</v>
      </c>
      <c r="M324" s="25">
        <f t="shared" si="313"/>
        <v>101.73646578140961</v>
      </c>
      <c r="N324" s="35" t="s">
        <v>54</v>
      </c>
      <c r="O324" s="35" t="s">
        <v>54</v>
      </c>
      <c r="P324" s="35" t="s">
        <v>226</v>
      </c>
      <c r="Q324" s="32">
        <v>11</v>
      </c>
      <c r="R324" s="37">
        <v>42661</v>
      </c>
      <c r="S324" s="37">
        <v>42678</v>
      </c>
      <c r="T324" s="37">
        <v>42681</v>
      </c>
      <c r="AE324" s="33"/>
      <c r="AF324" s="33"/>
      <c r="AG324" s="33"/>
      <c r="AH324" s="34"/>
    </row>
    <row r="325" spans="1:34" s="32" customFormat="1" x14ac:dyDescent="0.25">
      <c r="A325" s="31">
        <v>293</v>
      </c>
      <c r="B325" s="35" t="s">
        <v>65</v>
      </c>
      <c r="C325" s="35" t="s">
        <v>328</v>
      </c>
      <c r="D325" s="41" t="s">
        <v>336</v>
      </c>
      <c r="E325" s="38">
        <v>4201307240</v>
      </c>
      <c r="F325" s="35">
        <v>11</v>
      </c>
      <c r="G325" s="35">
        <v>14.4</v>
      </c>
      <c r="H325" s="35">
        <v>5052</v>
      </c>
      <c r="I325" s="35">
        <v>1392</v>
      </c>
      <c r="J325" s="35">
        <f>H325-I325</f>
        <v>3660</v>
      </c>
      <c r="K325" s="35" t="s">
        <v>60</v>
      </c>
      <c r="L325" s="25">
        <f t="shared" ref="L325:L328" si="315">I325/G325</f>
        <v>96.666666666666657</v>
      </c>
      <c r="M325" s="25">
        <f t="shared" ref="M325:M328" si="316">H325/G325</f>
        <v>350.83333333333331</v>
      </c>
      <c r="N325" s="35" t="s">
        <v>322</v>
      </c>
      <c r="O325" s="35" t="s">
        <v>62</v>
      </c>
      <c r="P325" s="35" t="s">
        <v>123</v>
      </c>
      <c r="Q325" s="32">
        <v>18</v>
      </c>
      <c r="R325" s="37">
        <v>42674</v>
      </c>
      <c r="S325" s="37">
        <v>42676</v>
      </c>
      <c r="T325" s="37">
        <v>42681</v>
      </c>
      <c r="AE325" s="33"/>
      <c r="AF325" s="33"/>
      <c r="AG325" s="33"/>
      <c r="AH325" s="34"/>
    </row>
    <row r="326" spans="1:34" s="32" customFormat="1" x14ac:dyDescent="0.25">
      <c r="A326" s="31">
        <v>294</v>
      </c>
      <c r="B326" s="35" t="s">
        <v>50</v>
      </c>
      <c r="C326" s="35" t="s">
        <v>328</v>
      </c>
      <c r="D326" s="41" t="s">
        <v>76</v>
      </c>
      <c r="E326" s="38">
        <v>5000045249</v>
      </c>
      <c r="F326" s="35"/>
      <c r="G326" s="35">
        <f>0.1*3+0.25*3+0.4*6</f>
        <v>3.45</v>
      </c>
      <c r="H326" s="35">
        <v>338</v>
      </c>
      <c r="I326" s="35">
        <f t="shared" ref="I326:I328" si="317">H326</f>
        <v>338</v>
      </c>
      <c r="J326" s="35"/>
      <c r="K326" s="35" t="s">
        <v>53</v>
      </c>
      <c r="L326" s="25">
        <f t="shared" si="315"/>
        <v>97.971014492753625</v>
      </c>
      <c r="M326" s="25">
        <f t="shared" si="316"/>
        <v>97.971014492753625</v>
      </c>
      <c r="N326" s="35" t="s">
        <v>57</v>
      </c>
      <c r="O326" s="35" t="s">
        <v>54</v>
      </c>
      <c r="P326" s="35" t="s">
        <v>332</v>
      </c>
      <c r="Q326" s="32">
        <v>11</v>
      </c>
      <c r="R326" s="37">
        <v>42677</v>
      </c>
      <c r="S326" s="37">
        <v>42681</v>
      </c>
      <c r="T326" s="37">
        <v>42682</v>
      </c>
      <c r="AE326" s="33"/>
      <c r="AF326" s="33"/>
      <c r="AG326" s="33"/>
      <c r="AH326" s="34"/>
    </row>
    <row r="327" spans="1:34" s="32" customFormat="1" x14ac:dyDescent="0.25">
      <c r="A327" s="31">
        <v>295</v>
      </c>
      <c r="B327" s="35" t="s">
        <v>50</v>
      </c>
      <c r="C327" s="35" t="s">
        <v>328</v>
      </c>
      <c r="D327" s="41" t="s">
        <v>76</v>
      </c>
      <c r="E327" s="38">
        <v>5000045250</v>
      </c>
      <c r="F327" s="35"/>
      <c r="G327" s="35">
        <f>0.2*6+0.4*6</f>
        <v>3.6000000000000005</v>
      </c>
      <c r="H327" s="35">
        <v>278.64999999999998</v>
      </c>
      <c r="I327" s="35">
        <f t="shared" si="317"/>
        <v>278.64999999999998</v>
      </c>
      <c r="J327" s="35"/>
      <c r="K327" s="35" t="s">
        <v>53</v>
      </c>
      <c r="L327" s="25">
        <f t="shared" si="315"/>
        <v>77.402777777777757</v>
      </c>
      <c r="M327" s="25">
        <f t="shared" si="316"/>
        <v>77.402777777777757</v>
      </c>
      <c r="N327" s="35" t="s">
        <v>57</v>
      </c>
      <c r="O327" s="35" t="s">
        <v>54</v>
      </c>
      <c r="P327" s="35" t="s">
        <v>332</v>
      </c>
      <c r="Q327" s="32">
        <v>12</v>
      </c>
      <c r="R327" s="37">
        <v>42677</v>
      </c>
      <c r="S327" s="37">
        <v>42681</v>
      </c>
      <c r="T327" s="37">
        <v>42682</v>
      </c>
      <c r="AE327" s="33"/>
      <c r="AF327" s="33"/>
      <c r="AG327" s="33"/>
      <c r="AH327" s="34"/>
    </row>
    <row r="328" spans="1:34" s="32" customFormat="1" x14ac:dyDescent="0.25">
      <c r="A328" s="31">
        <v>296</v>
      </c>
      <c r="B328" s="35" t="s">
        <v>50</v>
      </c>
      <c r="C328" s="35" t="s">
        <v>328</v>
      </c>
      <c r="D328" s="41" t="s">
        <v>76</v>
      </c>
      <c r="E328" s="38">
        <v>5000045248</v>
      </c>
      <c r="F328" s="35"/>
      <c r="G328" s="35">
        <f>0.3*9+0.1*1+0.2*6+0.5*2</f>
        <v>5</v>
      </c>
      <c r="H328" s="35">
        <v>383</v>
      </c>
      <c r="I328" s="35">
        <f t="shared" si="317"/>
        <v>383</v>
      </c>
      <c r="J328" s="35"/>
      <c r="K328" s="35" t="s">
        <v>53</v>
      </c>
      <c r="L328" s="25">
        <f t="shared" si="315"/>
        <v>76.599999999999994</v>
      </c>
      <c r="M328" s="25">
        <f t="shared" si="316"/>
        <v>76.599999999999994</v>
      </c>
      <c r="N328" s="35" t="s">
        <v>57</v>
      </c>
      <c r="O328" s="35" t="s">
        <v>54</v>
      </c>
      <c r="P328" s="35" t="s">
        <v>332</v>
      </c>
      <c r="Q328" s="32">
        <v>12</v>
      </c>
      <c r="R328" s="37">
        <v>42676</v>
      </c>
      <c r="S328" s="37">
        <v>42681</v>
      </c>
      <c r="T328" s="37">
        <v>42682</v>
      </c>
      <c r="AE328" s="33"/>
      <c r="AF328" s="33"/>
      <c r="AG328" s="33"/>
      <c r="AH328" s="34"/>
    </row>
    <row r="329" spans="1:34" s="32" customFormat="1" x14ac:dyDescent="0.25">
      <c r="A329" s="31">
        <v>297</v>
      </c>
      <c r="B329" s="35" t="s">
        <v>79</v>
      </c>
      <c r="C329" s="35" t="s">
        <v>328</v>
      </c>
      <c r="D329" s="41" t="s">
        <v>329</v>
      </c>
      <c r="E329" s="38">
        <v>4201312709</v>
      </c>
      <c r="F329" s="35">
        <v>6.6</v>
      </c>
      <c r="G329" s="35">
        <v>0.55000000000000004</v>
      </c>
      <c r="H329" s="35">
        <v>660</v>
      </c>
      <c r="I329" s="35">
        <f t="shared" ref="I329:I343" si="318">H329</f>
        <v>660</v>
      </c>
      <c r="J329" s="35"/>
      <c r="K329" s="35" t="s">
        <v>71</v>
      </c>
      <c r="L329" s="25">
        <f t="shared" ref="L329:L331" si="319">I329/G329</f>
        <v>1200</v>
      </c>
      <c r="M329" s="25">
        <f t="shared" ref="M329:M331" si="320">H329/G329</f>
        <v>1200</v>
      </c>
      <c r="N329" s="35" t="s">
        <v>54</v>
      </c>
      <c r="O329" s="35" t="s">
        <v>54</v>
      </c>
      <c r="P329" s="35" t="s">
        <v>152</v>
      </c>
      <c r="Q329" s="32">
        <v>2</v>
      </c>
      <c r="R329" s="37">
        <v>42671</v>
      </c>
      <c r="S329" s="37">
        <v>42676</v>
      </c>
      <c r="T329" s="37">
        <v>42676</v>
      </c>
      <c r="AE329" s="33"/>
      <c r="AF329" s="33"/>
      <c r="AG329" s="33"/>
      <c r="AH329" s="34"/>
    </row>
    <row r="330" spans="1:34" s="32" customFormat="1" x14ac:dyDescent="0.25">
      <c r="A330" s="31">
        <v>298</v>
      </c>
      <c r="B330" s="35" t="s">
        <v>79</v>
      </c>
      <c r="C330" s="35" t="s">
        <v>328</v>
      </c>
      <c r="D330" s="41" t="s">
        <v>311</v>
      </c>
      <c r="E330" s="38">
        <v>2360072600</v>
      </c>
      <c r="F330" s="35"/>
      <c r="G330" s="35">
        <f>0.402*10</f>
        <v>4.0200000000000005</v>
      </c>
      <c r="H330" s="35">
        <v>425</v>
      </c>
      <c r="I330" s="35">
        <f t="shared" si="318"/>
        <v>425</v>
      </c>
      <c r="J330" s="35"/>
      <c r="K330" s="35" t="s">
        <v>75</v>
      </c>
      <c r="L330" s="25">
        <f t="shared" si="319"/>
        <v>105.72139303482585</v>
      </c>
      <c r="M330" s="25">
        <f t="shared" si="320"/>
        <v>105.72139303482585</v>
      </c>
      <c r="N330" s="35" t="s">
        <v>61</v>
      </c>
      <c r="O330" s="35" t="s">
        <v>62</v>
      </c>
      <c r="P330" s="35" t="s">
        <v>104</v>
      </c>
      <c r="Q330" s="32">
        <v>11</v>
      </c>
      <c r="R330" s="37">
        <v>42679</v>
      </c>
      <c r="S330" s="37">
        <v>42681</v>
      </c>
      <c r="T330" s="37">
        <v>42682</v>
      </c>
      <c r="AE330" s="33"/>
      <c r="AF330" s="33"/>
      <c r="AG330" s="33"/>
      <c r="AH330" s="34"/>
    </row>
    <row r="331" spans="1:34" s="32" customFormat="1" x14ac:dyDescent="0.25">
      <c r="A331" s="31">
        <v>299</v>
      </c>
      <c r="B331" s="35" t="s">
        <v>65</v>
      </c>
      <c r="C331" s="35" t="s">
        <v>328</v>
      </c>
      <c r="D331" s="41" t="s">
        <v>337</v>
      </c>
      <c r="E331" s="38">
        <v>2360072552</v>
      </c>
      <c r="F331" s="35"/>
      <c r="G331" s="35">
        <f>2.68</f>
        <v>2.68</v>
      </c>
      <c r="H331" s="35">
        <v>577</v>
      </c>
      <c r="I331" s="35">
        <f t="shared" si="318"/>
        <v>577</v>
      </c>
      <c r="J331" s="35"/>
      <c r="K331" s="35" t="s">
        <v>75</v>
      </c>
      <c r="L331" s="25">
        <f t="shared" si="319"/>
        <v>215.29850746268656</v>
      </c>
      <c r="M331" s="25">
        <f t="shared" si="320"/>
        <v>215.29850746268656</v>
      </c>
      <c r="N331" s="35" t="s">
        <v>68</v>
      </c>
      <c r="O331" s="35" t="s">
        <v>54</v>
      </c>
      <c r="P331" s="35" t="s">
        <v>136</v>
      </c>
      <c r="Q331" s="32">
        <v>20</v>
      </c>
      <c r="R331" s="37">
        <v>42670</v>
      </c>
      <c r="S331" s="37">
        <v>42678</v>
      </c>
      <c r="T331" s="37">
        <v>42682</v>
      </c>
      <c r="AE331" s="33"/>
      <c r="AF331" s="33"/>
      <c r="AG331" s="33"/>
      <c r="AH331" s="34"/>
    </row>
    <row r="332" spans="1:34" s="32" customFormat="1" x14ac:dyDescent="0.25">
      <c r="A332" s="31">
        <v>300</v>
      </c>
      <c r="B332" s="35" t="s">
        <v>65</v>
      </c>
      <c r="C332" s="35" t="s">
        <v>328</v>
      </c>
      <c r="D332" s="41" t="s">
        <v>337</v>
      </c>
      <c r="E332" s="38">
        <v>2360072703</v>
      </c>
      <c r="F332" s="35"/>
      <c r="G332" s="35">
        <v>0.6</v>
      </c>
      <c r="H332" s="35">
        <v>139.80000000000001</v>
      </c>
      <c r="I332" s="35">
        <f t="shared" si="318"/>
        <v>139.80000000000001</v>
      </c>
      <c r="J332" s="35"/>
      <c r="K332" s="35" t="s">
        <v>75</v>
      </c>
      <c r="L332" s="25">
        <f t="shared" ref="L332" si="321">I332/G332</f>
        <v>233.00000000000003</v>
      </c>
      <c r="M332" s="25">
        <f t="shared" ref="M332" si="322">H332/G332</f>
        <v>233.00000000000003</v>
      </c>
      <c r="N332" s="35" t="s">
        <v>68</v>
      </c>
      <c r="O332" s="35" t="s">
        <v>54</v>
      </c>
      <c r="P332" s="35" t="s">
        <v>136</v>
      </c>
      <c r="Q332" s="32">
        <v>20</v>
      </c>
      <c r="R332" s="37">
        <v>42670</v>
      </c>
      <c r="S332" s="37">
        <v>42685</v>
      </c>
      <c r="T332" s="37">
        <v>42688</v>
      </c>
      <c r="AE332" s="33"/>
      <c r="AF332" s="33"/>
      <c r="AG332" s="33"/>
      <c r="AH332" s="34"/>
    </row>
    <row r="333" spans="1:34" s="32" customFormat="1" x14ac:dyDescent="0.25">
      <c r="A333" s="31">
        <v>301</v>
      </c>
      <c r="B333" s="35" t="s">
        <v>50</v>
      </c>
      <c r="C333" s="35" t="s">
        <v>328</v>
      </c>
      <c r="D333" s="47" t="s">
        <v>338</v>
      </c>
      <c r="E333" s="47">
        <v>5000045277</v>
      </c>
      <c r="F333" s="35">
        <v>11</v>
      </c>
      <c r="G333" s="35">
        <v>6.08</v>
      </c>
      <c r="H333" s="35">
        <v>3203</v>
      </c>
      <c r="I333" s="35">
        <f t="shared" si="318"/>
        <v>3203</v>
      </c>
      <c r="J333" s="35"/>
      <c r="K333" s="35" t="s">
        <v>71</v>
      </c>
      <c r="L333" s="25">
        <f t="shared" ref="L333" si="323">I333/G333</f>
        <v>526.80921052631584</v>
      </c>
      <c r="M333" s="25">
        <f t="shared" ref="M333" si="324">H333/G333</f>
        <v>526.80921052631584</v>
      </c>
      <c r="N333" s="35" t="s">
        <v>57</v>
      </c>
      <c r="O333" s="35" t="s">
        <v>54</v>
      </c>
      <c r="P333" s="35" t="s">
        <v>152</v>
      </c>
      <c r="Q333" s="32">
        <v>2</v>
      </c>
      <c r="R333" s="37">
        <v>42675</v>
      </c>
      <c r="S333" s="37">
        <v>42660</v>
      </c>
      <c r="T333" s="37">
        <v>42688</v>
      </c>
      <c r="AE333" s="33"/>
      <c r="AF333" s="33"/>
      <c r="AG333" s="33"/>
      <c r="AH333" s="34"/>
    </row>
    <row r="334" spans="1:34" s="32" customFormat="1" x14ac:dyDescent="0.25">
      <c r="A334" s="31">
        <v>302</v>
      </c>
      <c r="B334" s="35" t="s">
        <v>50</v>
      </c>
      <c r="C334" s="35" t="s">
        <v>328</v>
      </c>
      <c r="D334" s="47" t="s">
        <v>339</v>
      </c>
      <c r="E334" s="47">
        <v>5000045439</v>
      </c>
      <c r="F334" s="35">
        <v>11</v>
      </c>
      <c r="G334" s="35">
        <v>12.99</v>
      </c>
      <c r="H334" s="35">
        <v>11904</v>
      </c>
      <c r="I334" s="35">
        <f t="shared" si="318"/>
        <v>11904</v>
      </c>
      <c r="J334" s="35"/>
      <c r="K334" s="35" t="s">
        <v>71</v>
      </c>
      <c r="L334" s="25">
        <f t="shared" ref="L334:L335" si="325">I334/G334</f>
        <v>916.39722863741338</v>
      </c>
      <c r="M334" s="25">
        <f t="shared" ref="M334:M335" si="326">H334/G334</f>
        <v>916.39722863741338</v>
      </c>
      <c r="N334" s="35" t="s">
        <v>57</v>
      </c>
      <c r="O334" s="35" t="s">
        <v>54</v>
      </c>
      <c r="P334" s="35" t="s">
        <v>123</v>
      </c>
      <c r="Q334" s="32">
        <v>18</v>
      </c>
      <c r="R334" s="37">
        <v>42689</v>
      </c>
      <c r="S334" s="37">
        <v>42690</v>
      </c>
      <c r="T334" s="37">
        <v>42690</v>
      </c>
      <c r="AE334" s="33"/>
      <c r="AF334" s="33"/>
      <c r="AG334" s="33"/>
      <c r="AH334" s="34"/>
    </row>
    <row r="335" spans="1:34" s="32" customFormat="1" x14ac:dyDescent="0.25">
      <c r="A335" s="31">
        <v>303</v>
      </c>
      <c r="B335" s="35" t="s">
        <v>79</v>
      </c>
      <c r="C335" s="35" t="s">
        <v>328</v>
      </c>
      <c r="D335" s="47" t="s">
        <v>341</v>
      </c>
      <c r="E335" s="47">
        <v>4201319414</v>
      </c>
      <c r="F335" s="35">
        <v>11</v>
      </c>
      <c r="G335" s="35">
        <v>2.9</v>
      </c>
      <c r="H335" s="35">
        <v>223.8</v>
      </c>
      <c r="I335" s="35">
        <f t="shared" si="318"/>
        <v>223.8</v>
      </c>
      <c r="J335" s="35"/>
      <c r="K335" s="35" t="s">
        <v>71</v>
      </c>
      <c r="L335" s="25">
        <f t="shared" si="325"/>
        <v>77.172413793103459</v>
      </c>
      <c r="M335" s="25">
        <f t="shared" si="326"/>
        <v>77.172413793103459</v>
      </c>
      <c r="N335" s="35" t="s">
        <v>61</v>
      </c>
      <c r="O335" s="35" t="s">
        <v>62</v>
      </c>
      <c r="P335" s="35" t="s">
        <v>340</v>
      </c>
      <c r="Q335" s="32">
        <v>1</v>
      </c>
      <c r="R335" s="37">
        <v>42633</v>
      </c>
      <c r="S335" s="37">
        <v>42692</v>
      </c>
      <c r="T335" s="37">
        <v>42692</v>
      </c>
      <c r="AE335" s="33"/>
      <c r="AF335" s="33"/>
      <c r="AG335" s="33"/>
      <c r="AH335" s="34"/>
    </row>
    <row r="336" spans="1:34" s="32" customFormat="1" x14ac:dyDescent="0.25">
      <c r="A336" s="31">
        <v>304</v>
      </c>
      <c r="B336" s="35" t="s">
        <v>50</v>
      </c>
      <c r="C336" s="35" t="s">
        <v>328</v>
      </c>
      <c r="D336" s="41" t="s">
        <v>78</v>
      </c>
      <c r="E336" s="38">
        <v>5000045515</v>
      </c>
      <c r="F336" s="35"/>
      <c r="G336" s="35"/>
      <c r="H336" s="35">
        <v>2607</v>
      </c>
      <c r="I336" s="35">
        <f t="shared" si="318"/>
        <v>2607</v>
      </c>
      <c r="J336" s="35"/>
      <c r="K336" s="35" t="s">
        <v>53</v>
      </c>
      <c r="L336" s="25"/>
      <c r="M336" s="25"/>
      <c r="N336" s="35" t="s">
        <v>57</v>
      </c>
      <c r="O336" s="35" t="s">
        <v>54</v>
      </c>
      <c r="P336" s="35" t="s">
        <v>258</v>
      </c>
      <c r="Q336" s="32">
        <v>12</v>
      </c>
      <c r="R336" s="37">
        <v>42690</v>
      </c>
      <c r="S336" s="37">
        <v>42695</v>
      </c>
      <c r="T336" s="37">
        <v>42696</v>
      </c>
      <c r="AE336" s="33"/>
      <c r="AF336" s="33"/>
      <c r="AG336" s="33"/>
      <c r="AH336" s="34"/>
    </row>
    <row r="337" spans="1:34" s="32" customFormat="1" x14ac:dyDescent="0.25">
      <c r="A337" s="31">
        <v>305</v>
      </c>
      <c r="B337" s="35" t="s">
        <v>50</v>
      </c>
      <c r="C337" s="35" t="s">
        <v>328</v>
      </c>
      <c r="D337" s="41" t="s">
        <v>76</v>
      </c>
      <c r="E337" s="38">
        <v>5000045363</v>
      </c>
      <c r="F337" s="35"/>
      <c r="G337" s="35">
        <f>0.2*8</f>
        <v>1.6</v>
      </c>
      <c r="H337" s="35">
        <v>142</v>
      </c>
      <c r="I337" s="35">
        <f t="shared" si="318"/>
        <v>142</v>
      </c>
      <c r="J337" s="35"/>
      <c r="K337" s="35" t="s">
        <v>53</v>
      </c>
      <c r="L337" s="25">
        <f t="shared" ref="L337:L339" si="327">I337/G337</f>
        <v>88.75</v>
      </c>
      <c r="M337" s="25">
        <f t="shared" ref="M337:M339" si="328">H337/G337</f>
        <v>88.75</v>
      </c>
      <c r="N337" s="35" t="s">
        <v>57</v>
      </c>
      <c r="O337" s="35" t="s">
        <v>54</v>
      </c>
      <c r="P337" s="35" t="s">
        <v>226</v>
      </c>
      <c r="Q337" s="32">
        <v>11</v>
      </c>
      <c r="R337" s="37">
        <v>42683</v>
      </c>
      <c r="S337" s="37">
        <v>42695</v>
      </c>
      <c r="T337" s="37">
        <v>42696</v>
      </c>
      <c r="AE337" s="33"/>
      <c r="AF337" s="33"/>
      <c r="AG337" s="33"/>
      <c r="AH337" s="34"/>
    </row>
    <row r="338" spans="1:34" s="32" customFormat="1" x14ac:dyDescent="0.25">
      <c r="A338" s="31">
        <v>306</v>
      </c>
      <c r="B338" s="35" t="s">
        <v>79</v>
      </c>
      <c r="C338" s="35" t="s">
        <v>328</v>
      </c>
      <c r="D338" s="47" t="s">
        <v>103</v>
      </c>
      <c r="E338" s="47">
        <v>2360072833</v>
      </c>
      <c r="F338" s="35"/>
      <c r="G338" s="35">
        <f>0.595*2</f>
        <v>1.19</v>
      </c>
      <c r="H338" s="35">
        <v>130</v>
      </c>
      <c r="I338" s="35">
        <f t="shared" si="318"/>
        <v>130</v>
      </c>
      <c r="J338" s="35"/>
      <c r="K338" s="35" t="s">
        <v>75</v>
      </c>
      <c r="L338" s="25">
        <f t="shared" si="327"/>
        <v>109.24369747899161</v>
      </c>
      <c r="M338" s="25">
        <f t="shared" si="328"/>
        <v>109.24369747899161</v>
      </c>
      <c r="N338" s="35" t="s">
        <v>62</v>
      </c>
      <c r="O338" s="35" t="s">
        <v>62</v>
      </c>
      <c r="P338" s="35" t="s">
        <v>226</v>
      </c>
      <c r="Q338" s="32">
        <v>11</v>
      </c>
      <c r="R338" s="37">
        <v>42685</v>
      </c>
      <c r="S338" s="37">
        <v>42695</v>
      </c>
      <c r="T338" s="37">
        <v>42696</v>
      </c>
      <c r="AE338" s="33"/>
      <c r="AF338" s="33"/>
      <c r="AG338" s="33"/>
      <c r="AH338" s="34"/>
    </row>
    <row r="339" spans="1:34" s="32" customFormat="1" x14ac:dyDescent="0.25">
      <c r="A339" s="31">
        <v>307</v>
      </c>
      <c r="B339" s="35" t="s">
        <v>58</v>
      </c>
      <c r="C339" s="35" t="s">
        <v>328</v>
      </c>
      <c r="D339" s="47" t="s">
        <v>342</v>
      </c>
      <c r="E339" s="47">
        <v>2360072858</v>
      </c>
      <c r="F339" s="35"/>
      <c r="G339" s="35">
        <f>0.37</f>
        <v>0.37</v>
      </c>
      <c r="H339" s="35">
        <v>33.5</v>
      </c>
      <c r="I339" s="35">
        <f t="shared" si="318"/>
        <v>33.5</v>
      </c>
      <c r="J339" s="35"/>
      <c r="K339" s="35" t="s">
        <v>75</v>
      </c>
      <c r="L339" s="25">
        <f t="shared" si="327"/>
        <v>90.540540540540547</v>
      </c>
      <c r="M339" s="25">
        <f t="shared" si="328"/>
        <v>90.540540540540547</v>
      </c>
      <c r="N339" s="35" t="s">
        <v>61</v>
      </c>
      <c r="O339" s="35" t="s">
        <v>62</v>
      </c>
      <c r="P339" s="35" t="s">
        <v>226</v>
      </c>
      <c r="Q339" s="32">
        <v>11</v>
      </c>
      <c r="R339" s="37">
        <v>42676</v>
      </c>
      <c r="S339" s="37">
        <v>42695</v>
      </c>
      <c r="T339" s="37">
        <v>42696</v>
      </c>
      <c r="AE339" s="33"/>
      <c r="AF339" s="33"/>
      <c r="AG339" s="33"/>
      <c r="AH339" s="34"/>
    </row>
    <row r="340" spans="1:34" s="32" customFormat="1" x14ac:dyDescent="0.25">
      <c r="A340" s="31">
        <v>308</v>
      </c>
      <c r="B340" s="35" t="s">
        <v>90</v>
      </c>
      <c r="C340" s="35" t="s">
        <v>328</v>
      </c>
      <c r="D340" s="47" t="s">
        <v>343</v>
      </c>
      <c r="E340" s="47">
        <v>2360072937</v>
      </c>
      <c r="F340" s="35">
        <v>6.6</v>
      </c>
      <c r="G340" s="35">
        <v>45.75</v>
      </c>
      <c r="H340" s="35">
        <v>3294</v>
      </c>
      <c r="I340" s="35">
        <f t="shared" si="318"/>
        <v>3294</v>
      </c>
      <c r="J340" s="35"/>
      <c r="K340" s="35" t="s">
        <v>75</v>
      </c>
      <c r="L340" s="25">
        <f t="shared" ref="L340" si="329">I340/G340</f>
        <v>72</v>
      </c>
      <c r="M340" s="25">
        <f t="shared" ref="M340" si="330">H340/G340</f>
        <v>72</v>
      </c>
      <c r="N340" s="35" t="s">
        <v>82</v>
      </c>
      <c r="O340" s="35" t="s">
        <v>54</v>
      </c>
      <c r="P340" s="35" t="s">
        <v>226</v>
      </c>
      <c r="Q340" s="32">
        <v>11</v>
      </c>
      <c r="R340" s="37">
        <v>42692</v>
      </c>
      <c r="S340" s="37">
        <v>42695</v>
      </c>
      <c r="T340" s="37">
        <v>42697</v>
      </c>
      <c r="AE340" s="33"/>
      <c r="AF340" s="33"/>
      <c r="AG340" s="33"/>
      <c r="AH340" s="34"/>
    </row>
    <row r="341" spans="1:34" s="32" customFormat="1" x14ac:dyDescent="0.25">
      <c r="A341" s="31">
        <v>309</v>
      </c>
      <c r="B341" s="35" t="s">
        <v>50</v>
      </c>
      <c r="C341" s="35" t="s">
        <v>328</v>
      </c>
      <c r="D341" s="47" t="s">
        <v>344</v>
      </c>
      <c r="E341" s="47">
        <v>5000045588</v>
      </c>
      <c r="F341" s="35"/>
      <c r="G341" s="35">
        <v>26</v>
      </c>
      <c r="H341" s="35">
        <v>2212</v>
      </c>
      <c r="I341" s="35">
        <f t="shared" si="318"/>
        <v>2212</v>
      </c>
      <c r="J341" s="35"/>
      <c r="K341" s="35" t="s">
        <v>53</v>
      </c>
      <c r="L341" s="25">
        <f t="shared" ref="L341:L342" si="331">I341/G341</f>
        <v>85.07692307692308</v>
      </c>
      <c r="M341" s="25">
        <f t="shared" ref="M341:M342" si="332">H341/G341</f>
        <v>85.07692307692308</v>
      </c>
      <c r="N341" s="35" t="s">
        <v>57</v>
      </c>
      <c r="O341" s="35" t="s">
        <v>54</v>
      </c>
      <c r="P341" s="35" t="s">
        <v>63</v>
      </c>
      <c r="Q341" s="32">
        <v>12</v>
      </c>
      <c r="R341" s="37">
        <v>42685</v>
      </c>
      <c r="S341" s="37">
        <v>42695</v>
      </c>
      <c r="T341" s="37">
        <v>42697</v>
      </c>
      <c r="AE341" s="33"/>
      <c r="AF341" s="33"/>
      <c r="AG341" s="33"/>
      <c r="AH341" s="34"/>
    </row>
    <row r="342" spans="1:34" s="32" customFormat="1" x14ac:dyDescent="0.25">
      <c r="A342" s="31">
        <v>310</v>
      </c>
      <c r="B342" s="35" t="s">
        <v>79</v>
      </c>
      <c r="C342" s="35" t="s">
        <v>328</v>
      </c>
      <c r="D342" s="47" t="s">
        <v>87</v>
      </c>
      <c r="E342" s="47">
        <v>2360072743</v>
      </c>
      <c r="F342" s="35"/>
      <c r="G342" s="35">
        <v>7.8</v>
      </c>
      <c r="H342" s="35">
        <v>659</v>
      </c>
      <c r="I342" s="35">
        <f t="shared" si="318"/>
        <v>659</v>
      </c>
      <c r="J342" s="35"/>
      <c r="K342" s="35" t="s">
        <v>75</v>
      </c>
      <c r="L342" s="25">
        <f t="shared" si="331"/>
        <v>84.487179487179489</v>
      </c>
      <c r="M342" s="25">
        <f t="shared" si="332"/>
        <v>84.487179487179489</v>
      </c>
      <c r="N342" s="35" t="s">
        <v>82</v>
      </c>
      <c r="O342" s="35" t="s">
        <v>54</v>
      </c>
      <c r="P342" s="35" t="s">
        <v>226</v>
      </c>
      <c r="Q342" s="32">
        <v>11</v>
      </c>
      <c r="R342" s="37">
        <v>42660</v>
      </c>
      <c r="S342" s="37">
        <v>42688</v>
      </c>
      <c r="T342" s="37">
        <v>42697</v>
      </c>
      <c r="AE342" s="33"/>
      <c r="AF342" s="33"/>
      <c r="AG342" s="33"/>
      <c r="AH342" s="34"/>
    </row>
    <row r="343" spans="1:34" s="32" customFormat="1" x14ac:dyDescent="0.25">
      <c r="A343" s="31">
        <v>311</v>
      </c>
      <c r="B343" s="35" t="s">
        <v>50</v>
      </c>
      <c r="C343" s="35" t="s">
        <v>328</v>
      </c>
      <c r="D343" s="47" t="s">
        <v>115</v>
      </c>
      <c r="E343" s="47">
        <v>5000045653</v>
      </c>
      <c r="F343" s="35"/>
      <c r="G343" s="35">
        <f>0.476*36</f>
        <v>17.135999999999999</v>
      </c>
      <c r="H343" s="35">
        <v>1759</v>
      </c>
      <c r="I343" s="35">
        <f t="shared" si="318"/>
        <v>1759</v>
      </c>
      <c r="J343" s="35"/>
      <c r="K343" s="35" t="s">
        <v>53</v>
      </c>
      <c r="L343" s="25">
        <f t="shared" ref="L343" si="333">I343/G343</f>
        <v>102.64939309056956</v>
      </c>
      <c r="M343" s="25">
        <f t="shared" ref="M343" si="334">H343/G343</f>
        <v>102.64939309056956</v>
      </c>
      <c r="N343" s="35" t="s">
        <v>57</v>
      </c>
      <c r="O343" s="35" t="s">
        <v>54</v>
      </c>
      <c r="P343" s="35" t="s">
        <v>226</v>
      </c>
      <c r="Q343" s="32">
        <v>11</v>
      </c>
      <c r="R343" s="37">
        <v>42698</v>
      </c>
      <c r="S343" s="37">
        <v>42699</v>
      </c>
      <c r="T343" s="37">
        <v>42699</v>
      </c>
      <c r="AE343" s="33"/>
      <c r="AF343" s="33"/>
      <c r="AG343" s="33"/>
      <c r="AH343" s="34"/>
    </row>
    <row r="344" spans="1:34" s="32" customFormat="1" x14ac:dyDescent="0.25">
      <c r="A344" s="31">
        <v>312</v>
      </c>
      <c r="B344" s="35" t="s">
        <v>50</v>
      </c>
      <c r="C344" s="35" t="s">
        <v>328</v>
      </c>
      <c r="D344" s="47" t="s">
        <v>115</v>
      </c>
      <c r="E344" s="47">
        <v>5000045718</v>
      </c>
      <c r="F344" s="35"/>
      <c r="G344" s="35">
        <f>0.426*12+0.213*6</f>
        <v>6.3900000000000006</v>
      </c>
      <c r="H344" s="35">
        <v>711</v>
      </c>
      <c r="I344" s="35">
        <f t="shared" ref="I344:I345" si="335">H344</f>
        <v>711</v>
      </c>
      <c r="J344" s="35"/>
      <c r="K344" s="35" t="s">
        <v>53</v>
      </c>
      <c r="L344" s="25">
        <f t="shared" ref="L344" si="336">I344/G344</f>
        <v>111.2676056338028</v>
      </c>
      <c r="M344" s="25">
        <f t="shared" ref="M344" si="337">H344/G344</f>
        <v>111.2676056338028</v>
      </c>
      <c r="N344" s="35" t="s">
        <v>57</v>
      </c>
      <c r="O344" s="35" t="s">
        <v>54</v>
      </c>
      <c r="P344" s="35" t="s">
        <v>226</v>
      </c>
      <c r="Q344" s="32">
        <v>11</v>
      </c>
      <c r="R344" s="37">
        <v>42702</v>
      </c>
      <c r="S344" s="37">
        <v>42703</v>
      </c>
      <c r="T344" s="37">
        <v>42704</v>
      </c>
      <c r="AE344" s="33"/>
      <c r="AF344" s="33"/>
      <c r="AG344" s="33"/>
      <c r="AH344" s="34"/>
    </row>
    <row r="345" spans="1:34" s="32" customFormat="1" x14ac:dyDescent="0.25">
      <c r="A345" s="31">
        <v>313</v>
      </c>
      <c r="B345" s="35" t="s">
        <v>50</v>
      </c>
      <c r="C345" s="35" t="s">
        <v>328</v>
      </c>
      <c r="D345" s="41" t="s">
        <v>76</v>
      </c>
      <c r="E345" s="38">
        <v>5000045681</v>
      </c>
      <c r="F345" s="35"/>
      <c r="G345" s="35"/>
      <c r="H345" s="35">
        <v>45.88</v>
      </c>
      <c r="I345" s="35">
        <f t="shared" si="335"/>
        <v>45.88</v>
      </c>
      <c r="J345" s="35"/>
      <c r="K345" s="35" t="s">
        <v>53</v>
      </c>
      <c r="L345" s="25"/>
      <c r="M345" s="25"/>
      <c r="N345" s="35" t="s">
        <v>57</v>
      </c>
      <c r="O345" s="35" t="s">
        <v>54</v>
      </c>
      <c r="P345" s="35" t="s">
        <v>77</v>
      </c>
      <c r="Q345" s="32">
        <v>12</v>
      </c>
      <c r="R345" s="37">
        <v>42695</v>
      </c>
      <c r="S345" s="37">
        <v>42702</v>
      </c>
      <c r="T345" s="37">
        <v>42704</v>
      </c>
      <c r="AE345" s="33"/>
      <c r="AF345" s="33"/>
      <c r="AG345" s="33"/>
      <c r="AH345" s="34"/>
    </row>
    <row r="346" spans="1:34" s="32" customFormat="1" x14ac:dyDescent="0.25">
      <c r="A346" s="31">
        <v>314</v>
      </c>
      <c r="B346" s="35" t="s">
        <v>50</v>
      </c>
      <c r="C346" s="35" t="s">
        <v>328</v>
      </c>
      <c r="D346" s="41" t="s">
        <v>76</v>
      </c>
      <c r="E346" s="38">
        <v>5000045680</v>
      </c>
      <c r="F346" s="35"/>
      <c r="G346" s="35"/>
      <c r="H346" s="35">
        <v>145</v>
      </c>
      <c r="I346" s="35">
        <f t="shared" ref="I346:I351" si="338">H346</f>
        <v>145</v>
      </c>
      <c r="J346" s="35"/>
      <c r="K346" s="35" t="s">
        <v>53</v>
      </c>
      <c r="L346" s="25"/>
      <c r="M346" s="25"/>
      <c r="N346" s="35" t="s">
        <v>57</v>
      </c>
      <c r="O346" s="35" t="s">
        <v>54</v>
      </c>
      <c r="P346" s="35" t="s">
        <v>77</v>
      </c>
      <c r="Q346" s="32">
        <v>12</v>
      </c>
      <c r="R346" s="37">
        <v>42695</v>
      </c>
      <c r="S346" s="37">
        <v>42702</v>
      </c>
      <c r="T346" s="37">
        <v>42704</v>
      </c>
      <c r="AE346" s="33"/>
      <c r="AF346" s="33"/>
      <c r="AG346" s="33"/>
      <c r="AH346" s="34"/>
    </row>
    <row r="347" spans="1:34" x14ac:dyDescent="0.25">
      <c r="A347" s="35">
        <v>315</v>
      </c>
      <c r="B347" s="35" t="s">
        <v>79</v>
      </c>
      <c r="C347" s="35" t="s">
        <v>328</v>
      </c>
      <c r="D347" s="35" t="s">
        <v>126</v>
      </c>
      <c r="E347" s="35">
        <v>2360073102</v>
      </c>
      <c r="F347" s="35"/>
      <c r="G347" s="35">
        <f>0.242*2</f>
        <v>0.48399999999999999</v>
      </c>
      <c r="H347" s="35">
        <v>55</v>
      </c>
      <c r="I347" s="35">
        <f t="shared" si="338"/>
        <v>55</v>
      </c>
      <c r="J347" s="35"/>
      <c r="K347" s="35" t="s">
        <v>75</v>
      </c>
      <c r="L347" s="25">
        <f t="shared" ref="L347:L349" si="339">I347/G347</f>
        <v>113.63636363636364</v>
      </c>
      <c r="M347" s="25">
        <f t="shared" ref="M347:M349" si="340">H347/G347</f>
        <v>113.63636363636364</v>
      </c>
      <c r="N347" s="35" t="s">
        <v>61</v>
      </c>
      <c r="O347" s="35" t="s">
        <v>62</v>
      </c>
      <c r="P347" s="35" t="s">
        <v>226</v>
      </c>
      <c r="Q347">
        <v>11</v>
      </c>
      <c r="R347" s="37">
        <v>42693</v>
      </c>
      <c r="S347" s="37">
        <v>42703</v>
      </c>
      <c r="T347" s="37">
        <v>42704</v>
      </c>
      <c r="AE347" s="2"/>
      <c r="AF347" s="2"/>
      <c r="AG347" s="2"/>
      <c r="AH347" s="3"/>
    </row>
    <row r="348" spans="1:34" s="32" customFormat="1" x14ac:dyDescent="0.25">
      <c r="A348" s="35">
        <v>316</v>
      </c>
      <c r="B348" s="35" t="s">
        <v>79</v>
      </c>
      <c r="C348" s="35" t="s">
        <v>328</v>
      </c>
      <c r="D348" s="35" t="s">
        <v>103</v>
      </c>
      <c r="E348" s="35">
        <v>2360073106</v>
      </c>
      <c r="F348" s="35"/>
      <c r="G348" s="35">
        <f>0.595*5</f>
        <v>2.9749999999999996</v>
      </c>
      <c r="H348" s="35">
        <v>325</v>
      </c>
      <c r="I348" s="35">
        <f t="shared" si="338"/>
        <v>325</v>
      </c>
      <c r="J348" s="35"/>
      <c r="K348" s="35" t="s">
        <v>75</v>
      </c>
      <c r="L348" s="25">
        <f t="shared" si="339"/>
        <v>109.24369747899161</v>
      </c>
      <c r="M348" s="25">
        <f t="shared" si="340"/>
        <v>109.24369747899161</v>
      </c>
      <c r="N348" s="35" t="s">
        <v>62</v>
      </c>
      <c r="O348" s="35" t="s">
        <v>62</v>
      </c>
      <c r="P348" s="35" t="s">
        <v>226</v>
      </c>
      <c r="Q348" s="32">
        <v>11</v>
      </c>
      <c r="R348" s="37">
        <v>42703</v>
      </c>
      <c r="S348" s="37">
        <v>42704</v>
      </c>
      <c r="T348" s="37">
        <v>42704</v>
      </c>
      <c r="AE348" s="33"/>
      <c r="AF348" s="33"/>
      <c r="AG348" s="33"/>
      <c r="AH348" s="34"/>
    </row>
    <row r="349" spans="1:34" s="32" customFormat="1" x14ac:dyDescent="0.25">
      <c r="A349" s="35">
        <v>317</v>
      </c>
      <c r="B349" s="35" t="s">
        <v>50</v>
      </c>
      <c r="C349" s="35" t="s">
        <v>328</v>
      </c>
      <c r="D349" s="35" t="s">
        <v>177</v>
      </c>
      <c r="E349" s="35">
        <v>5000045731</v>
      </c>
      <c r="F349" s="35"/>
      <c r="G349" s="35">
        <v>0.40500000000000003</v>
      </c>
      <c r="H349" s="35">
        <v>30.15</v>
      </c>
      <c r="I349" s="35">
        <f t="shared" si="338"/>
        <v>30.15</v>
      </c>
      <c r="J349" s="35"/>
      <c r="K349" s="35" t="s">
        <v>53</v>
      </c>
      <c r="L349" s="25">
        <f t="shared" si="339"/>
        <v>74.444444444444443</v>
      </c>
      <c r="M349" s="25">
        <f t="shared" si="340"/>
        <v>74.444444444444443</v>
      </c>
      <c r="N349" s="35" t="s">
        <v>57</v>
      </c>
      <c r="O349" s="35" t="s">
        <v>54</v>
      </c>
      <c r="P349" s="35" t="s">
        <v>226</v>
      </c>
      <c r="Q349" s="32">
        <v>11</v>
      </c>
      <c r="R349" s="37">
        <v>42698</v>
      </c>
      <c r="S349" s="37">
        <v>42703</v>
      </c>
      <c r="T349" s="37">
        <v>42704</v>
      </c>
      <c r="AE349" s="33"/>
      <c r="AF349" s="33"/>
      <c r="AG349" s="33"/>
      <c r="AH349" s="34"/>
    </row>
    <row r="350" spans="1:34" s="32" customFormat="1" x14ac:dyDescent="0.25">
      <c r="A350" s="35">
        <v>318</v>
      </c>
      <c r="B350" s="35" t="s">
        <v>58</v>
      </c>
      <c r="C350" s="35" t="s">
        <v>328</v>
      </c>
      <c r="D350" s="35" t="s">
        <v>345</v>
      </c>
      <c r="E350" s="35">
        <v>2360072966</v>
      </c>
      <c r="F350" s="35"/>
      <c r="G350" s="35">
        <f>0.3*6+0.25*4</f>
        <v>2.8</v>
      </c>
      <c r="H350" s="35">
        <v>282</v>
      </c>
      <c r="I350" s="35">
        <f t="shared" si="338"/>
        <v>282</v>
      </c>
      <c r="J350" s="35"/>
      <c r="K350" s="35" t="s">
        <v>75</v>
      </c>
      <c r="L350" s="25">
        <f t="shared" ref="L350" si="341">I350/G350</f>
        <v>100.71428571428572</v>
      </c>
      <c r="M350" s="25">
        <f t="shared" ref="M350" si="342">H350/G350</f>
        <v>100.71428571428572</v>
      </c>
      <c r="N350" s="35" t="s">
        <v>82</v>
      </c>
      <c r="O350" s="35" t="s">
        <v>54</v>
      </c>
      <c r="P350" s="35" t="s">
        <v>116</v>
      </c>
      <c r="Q350" s="32">
        <v>12</v>
      </c>
      <c r="R350" s="37">
        <v>42678</v>
      </c>
      <c r="S350" s="37">
        <v>42703</v>
      </c>
      <c r="T350" s="37">
        <v>42704</v>
      </c>
      <c r="AE350" s="33"/>
      <c r="AF350" s="33"/>
      <c r="AG350" s="33"/>
      <c r="AH350" s="34"/>
    </row>
    <row r="351" spans="1:34" s="32" customFormat="1" ht="15.75" thickBot="1" x14ac:dyDescent="0.3">
      <c r="A351" s="35">
        <v>319</v>
      </c>
      <c r="B351" s="35" t="s">
        <v>58</v>
      </c>
      <c r="C351" s="35" t="s">
        <v>328</v>
      </c>
      <c r="D351" s="35" t="s">
        <v>349</v>
      </c>
      <c r="E351" s="35">
        <v>4201288512</v>
      </c>
      <c r="F351" s="35">
        <v>400</v>
      </c>
      <c r="G351" s="35">
        <v>2004</v>
      </c>
      <c r="H351" s="35">
        <v>156000</v>
      </c>
      <c r="I351" s="35">
        <f t="shared" si="338"/>
        <v>156000</v>
      </c>
      <c r="J351" s="35"/>
      <c r="K351" s="35" t="s">
        <v>346</v>
      </c>
      <c r="L351" s="25">
        <f t="shared" ref="L351:L352" si="343">I351/G351</f>
        <v>77.844311377245504</v>
      </c>
      <c r="M351" s="25">
        <f t="shared" ref="M351:M352" si="344">H351/G351</f>
        <v>77.844311377245504</v>
      </c>
      <c r="N351" s="35" t="s">
        <v>61</v>
      </c>
      <c r="O351" s="35" t="s">
        <v>62</v>
      </c>
      <c r="P351" s="35" t="s">
        <v>347</v>
      </c>
      <c r="Q351" s="32">
        <v>7</v>
      </c>
      <c r="R351" s="37">
        <v>42682</v>
      </c>
      <c r="S351" s="37">
        <v>42704</v>
      </c>
      <c r="T351" s="37">
        <v>42705</v>
      </c>
      <c r="AE351" s="33"/>
      <c r="AF351" s="33"/>
      <c r="AG351" s="33"/>
      <c r="AH351" s="34"/>
    </row>
    <row r="352" spans="1:34" ht="15.75" thickBot="1" x14ac:dyDescent="0.3">
      <c r="A352" s="35">
        <v>320</v>
      </c>
      <c r="B352" s="35" t="s">
        <v>73</v>
      </c>
      <c r="C352" s="35" t="s">
        <v>328</v>
      </c>
      <c r="D352" s="38" t="s">
        <v>348</v>
      </c>
      <c r="E352" s="51" t="s">
        <v>364</v>
      </c>
      <c r="F352" s="35">
        <v>33</v>
      </c>
      <c r="G352" s="35">
        <v>38</v>
      </c>
      <c r="H352" s="35">
        <v>11000</v>
      </c>
      <c r="I352" s="35">
        <v>4411</v>
      </c>
      <c r="J352" s="35">
        <f>H352-I352</f>
        <v>6589</v>
      </c>
      <c r="K352" s="35" t="s">
        <v>60</v>
      </c>
      <c r="L352" s="35">
        <f t="shared" si="343"/>
        <v>116.07894736842105</v>
      </c>
      <c r="M352" s="35">
        <f t="shared" si="344"/>
        <v>289.4736842105263</v>
      </c>
      <c r="N352" s="35" t="s">
        <v>82</v>
      </c>
      <c r="O352" s="35" t="s">
        <v>54</v>
      </c>
      <c r="P352" s="35" t="s">
        <v>72</v>
      </c>
      <c r="Q352">
        <v>6</v>
      </c>
      <c r="R352" s="37">
        <v>42703</v>
      </c>
      <c r="S352" s="37">
        <v>42704</v>
      </c>
      <c r="T352" s="37">
        <v>42705</v>
      </c>
      <c r="AE352" s="2"/>
      <c r="AF352" s="2"/>
      <c r="AG352" s="2"/>
      <c r="AH352" s="3"/>
    </row>
    <row r="353" spans="1:34" s="32" customFormat="1" x14ac:dyDescent="0.25">
      <c r="A353" s="35">
        <v>321</v>
      </c>
      <c r="B353" s="35" t="s">
        <v>122</v>
      </c>
      <c r="C353" s="35" t="s">
        <v>328</v>
      </c>
      <c r="D353" s="38" t="s">
        <v>351</v>
      </c>
      <c r="E353" s="35">
        <v>4201327497</v>
      </c>
      <c r="F353" s="35">
        <v>11</v>
      </c>
      <c r="G353" s="35">
        <f>5.15+1.54</f>
        <v>6.69</v>
      </c>
      <c r="H353" s="35">
        <v>11750</v>
      </c>
      <c r="I353" s="35">
        <f>H353</f>
        <v>11750</v>
      </c>
      <c r="J353" s="35"/>
      <c r="K353" s="35" t="s">
        <v>53</v>
      </c>
      <c r="L353" s="35">
        <f t="shared" ref="L353" si="345">I353/G353</f>
        <v>1756.352765321375</v>
      </c>
      <c r="M353" s="35">
        <f t="shared" ref="M353" si="346">H353/G353</f>
        <v>1756.352765321375</v>
      </c>
      <c r="N353" s="35" t="s">
        <v>82</v>
      </c>
      <c r="O353" s="35" t="s">
        <v>54</v>
      </c>
      <c r="P353" s="35" t="s">
        <v>123</v>
      </c>
      <c r="Q353" s="32">
        <v>6</v>
      </c>
      <c r="R353" s="37">
        <v>42703</v>
      </c>
      <c r="S353" s="37">
        <v>42711</v>
      </c>
      <c r="T353" s="37">
        <v>42711</v>
      </c>
      <c r="AE353" s="33"/>
      <c r="AF353" s="33"/>
      <c r="AG353" s="33"/>
      <c r="AH353" s="34"/>
    </row>
    <row r="354" spans="1:34" s="32" customFormat="1" x14ac:dyDescent="0.25">
      <c r="A354" s="35">
        <v>322</v>
      </c>
      <c r="B354" s="47" t="s">
        <v>50</v>
      </c>
      <c r="C354" s="35" t="s">
        <v>328</v>
      </c>
      <c r="D354" s="41" t="s">
        <v>76</v>
      </c>
      <c r="E354" s="41">
        <v>5000045756</v>
      </c>
      <c r="F354" s="35"/>
      <c r="G354" s="35"/>
      <c r="H354" s="48">
        <v>1473</v>
      </c>
      <c r="I354" s="50">
        <f>H354</f>
        <v>1473</v>
      </c>
      <c r="J354" s="35"/>
      <c r="K354" s="47" t="s">
        <v>53</v>
      </c>
      <c r="L354" s="35"/>
      <c r="M354" s="35"/>
      <c r="N354" s="35" t="s">
        <v>57</v>
      </c>
      <c r="O354" s="35" t="s">
        <v>54</v>
      </c>
      <c r="P354" s="35" t="s">
        <v>77</v>
      </c>
      <c r="Q354" s="32">
        <v>12</v>
      </c>
      <c r="R354" s="37">
        <v>42702</v>
      </c>
      <c r="S354" s="37">
        <v>42704</v>
      </c>
      <c r="T354" s="37">
        <v>42706</v>
      </c>
      <c r="AE354" s="33"/>
      <c r="AF354" s="33"/>
      <c r="AG354" s="33"/>
      <c r="AH354" s="34"/>
    </row>
    <row r="355" spans="1:34" s="32" customFormat="1" x14ac:dyDescent="0.25">
      <c r="A355" s="35">
        <v>323</v>
      </c>
      <c r="B355" s="47" t="s">
        <v>50</v>
      </c>
      <c r="C355" s="35" t="s">
        <v>328</v>
      </c>
      <c r="D355" s="41" t="s">
        <v>76</v>
      </c>
      <c r="E355" s="41">
        <v>5000045811</v>
      </c>
      <c r="F355" s="35"/>
      <c r="G355" s="35">
        <v>19.84</v>
      </c>
      <c r="H355" s="48">
        <v>1846</v>
      </c>
      <c r="I355" s="50">
        <f>H355</f>
        <v>1846</v>
      </c>
      <c r="J355" s="35"/>
      <c r="K355" s="47" t="s">
        <v>53</v>
      </c>
      <c r="L355" s="35">
        <f t="shared" ref="L355:L357" si="347">I355/G355</f>
        <v>93.04435483870968</v>
      </c>
      <c r="M355" s="35">
        <f t="shared" ref="M355:M357" si="348">H355/G355</f>
        <v>93.04435483870968</v>
      </c>
      <c r="N355" s="35" t="s">
        <v>57</v>
      </c>
      <c r="O355" s="35" t="s">
        <v>54</v>
      </c>
      <c r="P355" s="35" t="s">
        <v>104</v>
      </c>
      <c r="Q355" s="32">
        <v>11</v>
      </c>
      <c r="R355" s="37">
        <v>42702</v>
      </c>
      <c r="S355" s="37">
        <v>42704</v>
      </c>
      <c r="T355" s="37">
        <v>42706</v>
      </c>
      <c r="AE355" s="33"/>
      <c r="AF355" s="33"/>
      <c r="AG355" s="33"/>
      <c r="AH355" s="34"/>
    </row>
    <row r="356" spans="1:34" s="32" customFormat="1" x14ac:dyDescent="0.25">
      <c r="A356" s="35">
        <v>324</v>
      </c>
      <c r="B356" s="47" t="s">
        <v>50</v>
      </c>
      <c r="C356" s="35" t="s">
        <v>328</v>
      </c>
      <c r="D356" s="41" t="s">
        <v>76</v>
      </c>
      <c r="E356" s="41">
        <v>5000045806</v>
      </c>
      <c r="F356" s="35"/>
      <c r="G356" s="35">
        <v>26.6</v>
      </c>
      <c r="H356" s="48">
        <v>2490</v>
      </c>
      <c r="I356" s="50">
        <f>H356</f>
        <v>2490</v>
      </c>
      <c r="J356" s="35"/>
      <c r="K356" s="47" t="s">
        <v>53</v>
      </c>
      <c r="L356" s="35">
        <f t="shared" si="347"/>
        <v>93.609022556390968</v>
      </c>
      <c r="M356" s="35">
        <f t="shared" si="348"/>
        <v>93.609022556390968</v>
      </c>
      <c r="N356" s="35" t="s">
        <v>57</v>
      </c>
      <c r="O356" s="35" t="s">
        <v>54</v>
      </c>
      <c r="P356" s="35" t="s">
        <v>104</v>
      </c>
      <c r="Q356" s="32">
        <v>11</v>
      </c>
      <c r="R356" s="37">
        <v>42702</v>
      </c>
      <c r="S356" s="37">
        <v>42704</v>
      </c>
      <c r="T356" s="37">
        <v>42706</v>
      </c>
      <c r="AE356" s="33"/>
      <c r="AF356" s="33"/>
      <c r="AG356" s="33"/>
      <c r="AH356" s="34"/>
    </row>
    <row r="357" spans="1:34" s="32" customFormat="1" x14ac:dyDescent="0.25">
      <c r="A357" s="35">
        <v>325</v>
      </c>
      <c r="B357" s="24" t="s">
        <v>73</v>
      </c>
      <c r="C357" s="35" t="s">
        <v>328</v>
      </c>
      <c r="D357" s="24" t="s">
        <v>350</v>
      </c>
      <c r="E357" s="47">
        <v>4201327975</v>
      </c>
      <c r="F357" s="35">
        <v>33</v>
      </c>
      <c r="G357" s="35">
        <v>26.52</v>
      </c>
      <c r="H357" s="49">
        <v>3300</v>
      </c>
      <c r="I357" s="35">
        <v>2100</v>
      </c>
      <c r="J357" s="50">
        <f>H357-I357</f>
        <v>1200</v>
      </c>
      <c r="K357" s="24" t="s">
        <v>75</v>
      </c>
      <c r="L357" s="35">
        <f t="shared" si="347"/>
        <v>79.185520361990953</v>
      </c>
      <c r="M357" s="35">
        <f t="shared" si="348"/>
        <v>124.43438914027149</v>
      </c>
      <c r="N357" s="35" t="s">
        <v>57</v>
      </c>
      <c r="O357" s="35" t="s">
        <v>54</v>
      </c>
      <c r="P357" s="35" t="s">
        <v>206</v>
      </c>
      <c r="Q357" s="32">
        <v>1</v>
      </c>
      <c r="R357" s="37">
        <v>42703</v>
      </c>
      <c r="S357" s="37">
        <v>42704</v>
      </c>
      <c r="T357" s="37">
        <v>42706</v>
      </c>
      <c r="AE357" s="33"/>
      <c r="AF357" s="33"/>
      <c r="AG357" s="33"/>
      <c r="AH357" s="34"/>
    </row>
    <row r="358" spans="1:34" s="32" customFormat="1" x14ac:dyDescent="0.25">
      <c r="A358" s="35">
        <v>326</v>
      </c>
      <c r="B358" s="24" t="s">
        <v>58</v>
      </c>
      <c r="C358" s="35" t="s">
        <v>352</v>
      </c>
      <c r="D358" s="24" t="s">
        <v>355</v>
      </c>
      <c r="E358" s="47">
        <v>2360073400</v>
      </c>
      <c r="F358" s="35"/>
      <c r="G358" s="35"/>
      <c r="H358" s="49">
        <v>582</v>
      </c>
      <c r="I358" s="50">
        <f t="shared" ref="I358:I363" si="349">H358</f>
        <v>582</v>
      </c>
      <c r="J358" s="50">
        <f>H358-I358</f>
        <v>0</v>
      </c>
      <c r="K358" s="24" t="s">
        <v>75</v>
      </c>
      <c r="L358" s="35"/>
      <c r="M358" s="35"/>
      <c r="N358" s="35" t="s">
        <v>82</v>
      </c>
      <c r="O358" s="35" t="s">
        <v>54</v>
      </c>
      <c r="P358" s="35" t="s">
        <v>113</v>
      </c>
      <c r="Q358" s="32">
        <v>13</v>
      </c>
      <c r="R358" s="37">
        <v>42712</v>
      </c>
      <c r="S358" s="37">
        <v>42713</v>
      </c>
      <c r="T358" s="37">
        <v>42717</v>
      </c>
      <c r="AE358" s="33"/>
      <c r="AF358" s="33"/>
      <c r="AG358" s="33"/>
      <c r="AH358" s="34"/>
    </row>
    <row r="359" spans="1:34" s="32" customFormat="1" x14ac:dyDescent="0.25">
      <c r="A359" s="35">
        <v>327</v>
      </c>
      <c r="B359" s="47" t="s">
        <v>50</v>
      </c>
      <c r="C359" s="35" t="s">
        <v>352</v>
      </c>
      <c r="D359" s="41" t="s">
        <v>76</v>
      </c>
      <c r="E359" s="41">
        <v>5000045878</v>
      </c>
      <c r="F359" s="35"/>
      <c r="G359" s="35"/>
      <c r="H359" s="48">
        <v>777</v>
      </c>
      <c r="I359" s="50">
        <f t="shared" si="349"/>
        <v>777</v>
      </c>
      <c r="J359" s="35"/>
      <c r="K359" s="47" t="s">
        <v>53</v>
      </c>
      <c r="L359" s="35"/>
      <c r="M359" s="35"/>
      <c r="N359" s="35" t="s">
        <v>57</v>
      </c>
      <c r="O359" s="35" t="s">
        <v>54</v>
      </c>
      <c r="P359" s="35" t="s">
        <v>77</v>
      </c>
      <c r="Q359" s="32">
        <v>12</v>
      </c>
      <c r="R359" s="37">
        <v>42709</v>
      </c>
      <c r="S359" s="37">
        <v>42710</v>
      </c>
      <c r="T359" s="37">
        <v>42711</v>
      </c>
      <c r="AE359" s="33"/>
      <c r="AF359" s="33"/>
      <c r="AG359" s="33"/>
      <c r="AH359" s="34"/>
    </row>
    <row r="360" spans="1:34" s="32" customFormat="1" x14ac:dyDescent="0.25">
      <c r="A360" s="35">
        <v>328</v>
      </c>
      <c r="B360" s="47" t="s">
        <v>50</v>
      </c>
      <c r="C360" s="35" t="s">
        <v>352</v>
      </c>
      <c r="D360" s="41" t="s">
        <v>76</v>
      </c>
      <c r="E360" s="41">
        <v>5000045879</v>
      </c>
      <c r="F360" s="35"/>
      <c r="G360" s="35">
        <v>11.4</v>
      </c>
      <c r="H360" s="48">
        <v>916</v>
      </c>
      <c r="I360" s="50">
        <f t="shared" si="349"/>
        <v>916</v>
      </c>
      <c r="J360" s="35"/>
      <c r="K360" s="47" t="s">
        <v>53</v>
      </c>
      <c r="L360" s="35">
        <f t="shared" ref="L360" si="350">I360/G360</f>
        <v>80.350877192982452</v>
      </c>
      <c r="M360" s="35">
        <f t="shared" ref="M360" si="351">H360/G360</f>
        <v>80.350877192982452</v>
      </c>
      <c r="N360" s="35" t="s">
        <v>57</v>
      </c>
      <c r="O360" s="35" t="s">
        <v>54</v>
      </c>
      <c r="P360" s="35" t="s">
        <v>104</v>
      </c>
      <c r="Q360" s="32">
        <v>11</v>
      </c>
      <c r="R360" s="37">
        <v>42706</v>
      </c>
      <c r="S360" s="37">
        <v>42710</v>
      </c>
      <c r="T360" s="37">
        <v>42711</v>
      </c>
      <c r="AE360" s="33"/>
      <c r="AF360" s="33"/>
      <c r="AG360" s="33"/>
      <c r="AH360" s="34"/>
    </row>
    <row r="361" spans="1:34" s="32" customFormat="1" x14ac:dyDescent="0.25">
      <c r="A361" s="35">
        <v>329</v>
      </c>
      <c r="B361" s="47" t="s">
        <v>50</v>
      </c>
      <c r="C361" s="35" t="s">
        <v>352</v>
      </c>
      <c r="D361" s="41" t="s">
        <v>76</v>
      </c>
      <c r="E361" s="41">
        <v>5000045880</v>
      </c>
      <c r="F361" s="35"/>
      <c r="G361" s="35">
        <v>3.6</v>
      </c>
      <c r="H361" s="48">
        <v>238</v>
      </c>
      <c r="I361" s="50">
        <f t="shared" si="349"/>
        <v>238</v>
      </c>
      <c r="J361" s="35"/>
      <c r="K361" s="47" t="s">
        <v>53</v>
      </c>
      <c r="L361" s="35"/>
      <c r="M361" s="35"/>
      <c r="N361" s="35" t="s">
        <v>57</v>
      </c>
      <c r="O361" s="35" t="s">
        <v>54</v>
      </c>
      <c r="P361" s="35" t="s">
        <v>104</v>
      </c>
      <c r="Q361" s="32">
        <v>11</v>
      </c>
      <c r="R361" s="37">
        <v>42704</v>
      </c>
      <c r="S361" s="37">
        <v>42710</v>
      </c>
      <c r="T361" s="37">
        <v>42711</v>
      </c>
      <c r="AE361" s="33"/>
      <c r="AF361" s="33"/>
      <c r="AG361" s="33"/>
      <c r="AH361" s="34"/>
    </row>
    <row r="362" spans="1:34" s="32" customFormat="1" x14ac:dyDescent="0.25">
      <c r="A362" s="35">
        <v>330</v>
      </c>
      <c r="B362" s="24" t="s">
        <v>58</v>
      </c>
      <c r="C362" s="35" t="s">
        <v>352</v>
      </c>
      <c r="D362" s="24" t="s">
        <v>355</v>
      </c>
      <c r="E362" s="47">
        <v>2360073398</v>
      </c>
      <c r="F362" s="35"/>
      <c r="G362" s="35"/>
      <c r="H362" s="49">
        <v>582</v>
      </c>
      <c r="I362" s="50">
        <f t="shared" si="349"/>
        <v>582</v>
      </c>
      <c r="J362" s="50">
        <f>H362-I362</f>
        <v>0</v>
      </c>
      <c r="K362" s="24" t="s">
        <v>75</v>
      </c>
      <c r="L362" s="35"/>
      <c r="M362" s="35"/>
      <c r="N362" s="35" t="s">
        <v>82</v>
      </c>
      <c r="O362" s="35" t="s">
        <v>54</v>
      </c>
      <c r="P362" s="35" t="s">
        <v>113</v>
      </c>
      <c r="Q362" s="32">
        <v>13</v>
      </c>
      <c r="R362" s="37">
        <v>42712</v>
      </c>
      <c r="S362" s="37">
        <v>42713</v>
      </c>
      <c r="T362" s="37">
        <v>42717</v>
      </c>
      <c r="AE362" s="33"/>
      <c r="AF362" s="33"/>
      <c r="AG362" s="33"/>
      <c r="AH362" s="34"/>
    </row>
    <row r="363" spans="1:34" s="32" customFormat="1" x14ac:dyDescent="0.25">
      <c r="A363" s="35">
        <v>331</v>
      </c>
      <c r="B363" s="35" t="s">
        <v>79</v>
      </c>
      <c r="C363" s="35" t="s">
        <v>352</v>
      </c>
      <c r="D363" s="35" t="s">
        <v>126</v>
      </c>
      <c r="E363" s="35">
        <v>2360073333</v>
      </c>
      <c r="F363" s="35"/>
      <c r="G363" s="35">
        <f>0.333*12</f>
        <v>3.9960000000000004</v>
      </c>
      <c r="H363" s="35">
        <v>432</v>
      </c>
      <c r="I363" s="35">
        <f t="shared" si="349"/>
        <v>432</v>
      </c>
      <c r="J363" s="35"/>
      <c r="K363" s="35" t="s">
        <v>75</v>
      </c>
      <c r="L363" s="35">
        <f t="shared" ref="L363:L365" si="352">I363/G363</f>
        <v>108.1081081081081</v>
      </c>
      <c r="M363" s="35">
        <f t="shared" ref="M363:M365" si="353">H363/G363</f>
        <v>108.1081081081081</v>
      </c>
      <c r="N363" s="35" t="s">
        <v>61</v>
      </c>
      <c r="O363" s="35" t="s">
        <v>62</v>
      </c>
      <c r="P363" s="35" t="s">
        <v>104</v>
      </c>
      <c r="Q363" s="32">
        <v>11</v>
      </c>
      <c r="R363" s="37">
        <v>42710</v>
      </c>
      <c r="S363" s="37">
        <v>42711</v>
      </c>
      <c r="T363" s="37">
        <v>42711</v>
      </c>
      <c r="AE363" s="33"/>
      <c r="AF363" s="33"/>
      <c r="AG363" s="33"/>
      <c r="AH363" s="34"/>
    </row>
    <row r="364" spans="1:34" s="32" customFormat="1" x14ac:dyDescent="0.25">
      <c r="A364" s="35">
        <v>332</v>
      </c>
      <c r="B364" s="35" t="s">
        <v>58</v>
      </c>
      <c r="C364" s="35" t="s">
        <v>352</v>
      </c>
      <c r="D364" s="35" t="s">
        <v>353</v>
      </c>
      <c r="E364" s="35">
        <v>4201328739</v>
      </c>
      <c r="F364" s="35">
        <v>33</v>
      </c>
      <c r="G364" s="35">
        <v>54.37</v>
      </c>
      <c r="H364" s="35">
        <v>7095</v>
      </c>
      <c r="I364" s="35">
        <v>4101</v>
      </c>
      <c r="J364" s="35">
        <f>H364-I364</f>
        <v>2994</v>
      </c>
      <c r="K364" s="35" t="s">
        <v>71</v>
      </c>
      <c r="L364" s="35">
        <f t="shared" si="352"/>
        <v>75.427625528784262</v>
      </c>
      <c r="M364" s="35">
        <f t="shared" si="353"/>
        <v>130.49475813867943</v>
      </c>
      <c r="N364" s="35" t="s">
        <v>61</v>
      </c>
      <c r="O364" s="35" t="s">
        <v>62</v>
      </c>
      <c r="P364" s="35" t="s">
        <v>235</v>
      </c>
      <c r="Q364" s="32">
        <v>1</v>
      </c>
      <c r="R364" s="37">
        <v>42703</v>
      </c>
      <c r="S364" s="37">
        <v>42710</v>
      </c>
      <c r="T364" s="37">
        <v>42711</v>
      </c>
      <c r="AE364" s="33"/>
      <c r="AF364" s="33"/>
      <c r="AG364" s="33"/>
      <c r="AH364" s="34"/>
    </row>
    <row r="365" spans="1:34" s="32" customFormat="1" x14ac:dyDescent="0.25">
      <c r="A365" s="35">
        <v>333</v>
      </c>
      <c r="B365" s="35" t="s">
        <v>79</v>
      </c>
      <c r="C365" s="35" t="s">
        <v>352</v>
      </c>
      <c r="D365" s="35" t="s">
        <v>354</v>
      </c>
      <c r="E365" s="35">
        <v>2360073346</v>
      </c>
      <c r="F365" s="35"/>
      <c r="G365" s="35">
        <f>0.545</f>
        <v>0.54500000000000004</v>
      </c>
      <c r="H365" s="35">
        <v>57</v>
      </c>
      <c r="I365" s="35">
        <f t="shared" ref="I365:I370" si="354">H365</f>
        <v>57</v>
      </c>
      <c r="J365" s="35"/>
      <c r="K365" s="35" t="s">
        <v>75</v>
      </c>
      <c r="L365" s="35">
        <f t="shared" si="352"/>
        <v>104.58715596330275</v>
      </c>
      <c r="M365" s="35">
        <f t="shared" si="353"/>
        <v>104.58715596330275</v>
      </c>
      <c r="N365" s="35" t="s">
        <v>82</v>
      </c>
      <c r="O365" s="35" t="s">
        <v>54</v>
      </c>
      <c r="P365" s="35" t="s">
        <v>104</v>
      </c>
      <c r="Q365" s="32">
        <v>11</v>
      </c>
      <c r="R365" s="37">
        <v>42705</v>
      </c>
      <c r="S365" s="37">
        <v>42710</v>
      </c>
      <c r="T365" s="37">
        <v>42711</v>
      </c>
      <c r="AE365" s="33"/>
      <c r="AF365" s="33"/>
      <c r="AG365" s="33"/>
      <c r="AH365" s="34"/>
    </row>
    <row r="366" spans="1:34" s="32" customFormat="1" x14ac:dyDescent="0.25">
      <c r="A366" s="35">
        <v>334</v>
      </c>
      <c r="B366" s="47" t="s">
        <v>50</v>
      </c>
      <c r="C366" s="35" t="s">
        <v>352</v>
      </c>
      <c r="D366" s="41" t="s">
        <v>99</v>
      </c>
      <c r="E366" s="41">
        <v>5000045916</v>
      </c>
      <c r="F366" s="35"/>
      <c r="G366" s="35">
        <v>0.48</v>
      </c>
      <c r="H366" s="48">
        <v>95.76</v>
      </c>
      <c r="I366" s="50">
        <f t="shared" si="354"/>
        <v>95.76</v>
      </c>
      <c r="J366" s="35"/>
      <c r="K366" s="47" t="s">
        <v>53</v>
      </c>
      <c r="L366" s="35">
        <f t="shared" ref="L366" si="355">I366/G366</f>
        <v>199.50000000000003</v>
      </c>
      <c r="M366" s="35">
        <f t="shared" ref="M366" si="356">H366/G366</f>
        <v>199.50000000000003</v>
      </c>
      <c r="N366" s="35" t="s">
        <v>57</v>
      </c>
      <c r="O366" s="35" t="s">
        <v>54</v>
      </c>
      <c r="P366" s="35" t="s">
        <v>104</v>
      </c>
      <c r="Q366" s="32">
        <v>11</v>
      </c>
      <c r="R366" s="37">
        <v>42698</v>
      </c>
      <c r="S366" s="37">
        <v>42711</v>
      </c>
      <c r="T366" s="37">
        <v>42717</v>
      </c>
      <c r="AE366" s="33"/>
      <c r="AF366" s="33"/>
      <c r="AG366" s="33"/>
      <c r="AH366" s="34"/>
    </row>
    <row r="367" spans="1:34" s="32" customFormat="1" x14ac:dyDescent="0.25">
      <c r="A367" s="35">
        <v>335</v>
      </c>
      <c r="B367" s="47" t="s">
        <v>50</v>
      </c>
      <c r="C367" s="35" t="s">
        <v>352</v>
      </c>
      <c r="D367" s="41" t="s">
        <v>99</v>
      </c>
      <c r="E367" s="41">
        <v>5000045917</v>
      </c>
      <c r="F367" s="35"/>
      <c r="G367" s="35">
        <v>4.68</v>
      </c>
      <c r="H367" s="48">
        <v>391.78</v>
      </c>
      <c r="I367" s="50">
        <f t="shared" si="354"/>
        <v>391.78</v>
      </c>
      <c r="J367" s="35"/>
      <c r="K367" s="47" t="s">
        <v>53</v>
      </c>
      <c r="L367" s="35">
        <f t="shared" ref="L367" si="357">I367/G367</f>
        <v>83.713675213675216</v>
      </c>
      <c r="M367" s="35">
        <f t="shared" ref="M367" si="358">H367/G367</f>
        <v>83.713675213675216</v>
      </c>
      <c r="N367" s="35" t="s">
        <v>57</v>
      </c>
      <c r="O367" s="35" t="s">
        <v>54</v>
      </c>
      <c r="P367" s="35" t="s">
        <v>104</v>
      </c>
      <c r="Q367" s="32">
        <v>11</v>
      </c>
      <c r="R367" s="37">
        <v>42705</v>
      </c>
      <c r="S367" s="37">
        <v>42711</v>
      </c>
      <c r="T367" s="37">
        <v>42717</v>
      </c>
      <c r="AE367" s="33"/>
      <c r="AF367" s="33"/>
      <c r="AG367" s="33"/>
      <c r="AH367" s="34"/>
    </row>
    <row r="368" spans="1:34" s="32" customFormat="1" x14ac:dyDescent="0.25">
      <c r="A368" s="35">
        <v>336</v>
      </c>
      <c r="B368" s="47" t="s">
        <v>50</v>
      </c>
      <c r="C368" s="35" t="s">
        <v>352</v>
      </c>
      <c r="D368" s="41" t="s">
        <v>99</v>
      </c>
      <c r="E368" s="41">
        <v>5000045918</v>
      </c>
      <c r="F368" s="35"/>
      <c r="G368" s="35">
        <v>2.25</v>
      </c>
      <c r="H368" s="48">
        <v>249</v>
      </c>
      <c r="I368" s="50">
        <f t="shared" si="354"/>
        <v>249</v>
      </c>
      <c r="J368" s="35"/>
      <c r="K368" s="47" t="s">
        <v>53</v>
      </c>
      <c r="L368" s="35">
        <f t="shared" ref="L368" si="359">I368/G368</f>
        <v>110.66666666666667</v>
      </c>
      <c r="M368" s="35">
        <f t="shared" ref="M368" si="360">H368/G368</f>
        <v>110.66666666666667</v>
      </c>
      <c r="N368" s="35" t="s">
        <v>57</v>
      </c>
      <c r="O368" s="35" t="s">
        <v>54</v>
      </c>
      <c r="P368" s="35" t="s">
        <v>104</v>
      </c>
      <c r="Q368" s="32">
        <v>11</v>
      </c>
      <c r="R368" s="37">
        <v>42705</v>
      </c>
      <c r="S368" s="37">
        <v>42711</v>
      </c>
      <c r="T368" s="37">
        <v>42717</v>
      </c>
      <c r="AE368" s="33"/>
      <c r="AF368" s="33"/>
      <c r="AG368" s="33"/>
      <c r="AH368" s="34"/>
    </row>
    <row r="369" spans="1:34" s="32" customFormat="1" x14ac:dyDescent="0.25">
      <c r="A369" s="35">
        <v>337</v>
      </c>
      <c r="B369" s="47" t="s">
        <v>50</v>
      </c>
      <c r="C369" s="35" t="s">
        <v>352</v>
      </c>
      <c r="D369" s="41" t="s">
        <v>99</v>
      </c>
      <c r="E369" s="41">
        <v>5000045919</v>
      </c>
      <c r="F369" s="35"/>
      <c r="G369" s="35">
        <v>4.84</v>
      </c>
      <c r="H369" s="48">
        <v>431</v>
      </c>
      <c r="I369" s="50">
        <f t="shared" si="354"/>
        <v>431</v>
      </c>
      <c r="J369" s="35"/>
      <c r="K369" s="47" t="s">
        <v>53</v>
      </c>
      <c r="L369" s="35">
        <f t="shared" ref="L369:L370" si="361">I369/G369</f>
        <v>89.049586776859513</v>
      </c>
      <c r="M369" s="35">
        <f t="shared" ref="M369:M370" si="362">H369/G369</f>
        <v>89.049586776859513</v>
      </c>
      <c r="N369" s="35" t="s">
        <v>57</v>
      </c>
      <c r="O369" s="35" t="s">
        <v>54</v>
      </c>
      <c r="P369" s="35" t="s">
        <v>104</v>
      </c>
      <c r="Q369" s="32">
        <v>11</v>
      </c>
      <c r="R369" s="37">
        <v>42705</v>
      </c>
      <c r="S369" s="37">
        <v>42711</v>
      </c>
      <c r="T369" s="37">
        <v>42717</v>
      </c>
      <c r="AE369" s="33"/>
      <c r="AF369" s="33"/>
      <c r="AG369" s="33"/>
      <c r="AH369" s="34"/>
    </row>
    <row r="370" spans="1:34" s="32" customFormat="1" x14ac:dyDescent="0.25">
      <c r="A370" s="35">
        <v>338</v>
      </c>
      <c r="B370" s="47" t="s">
        <v>50</v>
      </c>
      <c r="C370" s="35" t="s">
        <v>352</v>
      </c>
      <c r="D370" s="41" t="s">
        <v>76</v>
      </c>
      <c r="E370" s="41">
        <v>5000045978</v>
      </c>
      <c r="F370" s="35"/>
      <c r="G370" s="35">
        <v>4.37</v>
      </c>
      <c r="H370" s="48">
        <v>354</v>
      </c>
      <c r="I370" s="50">
        <f t="shared" si="354"/>
        <v>354</v>
      </c>
      <c r="J370" s="35"/>
      <c r="K370" s="47" t="s">
        <v>53</v>
      </c>
      <c r="L370" s="35">
        <f t="shared" si="361"/>
        <v>81.006864988558348</v>
      </c>
      <c r="M370" s="35">
        <f t="shared" si="362"/>
        <v>81.006864988558348</v>
      </c>
      <c r="N370" s="35" t="s">
        <v>57</v>
      </c>
      <c r="O370" s="35" t="s">
        <v>54</v>
      </c>
      <c r="P370" s="35" t="s">
        <v>104</v>
      </c>
      <c r="Q370" s="32">
        <v>11</v>
      </c>
      <c r="R370" s="37">
        <v>42709</v>
      </c>
      <c r="S370" s="37">
        <v>42716</v>
      </c>
      <c r="T370" s="37">
        <v>42717</v>
      </c>
      <c r="AE370" s="33"/>
      <c r="AF370" s="33"/>
      <c r="AG370" s="33"/>
      <c r="AH370" s="34"/>
    </row>
    <row r="371" spans="1:34" s="32" customFormat="1" x14ac:dyDescent="0.25">
      <c r="A371" s="35">
        <v>339</v>
      </c>
      <c r="B371" s="47" t="s">
        <v>50</v>
      </c>
      <c r="C371" s="35" t="s">
        <v>352</v>
      </c>
      <c r="D371" s="41" t="s">
        <v>76</v>
      </c>
      <c r="E371" s="41">
        <v>5000045979</v>
      </c>
      <c r="F371" s="35"/>
      <c r="G371" s="35">
        <v>0.28999999999999998</v>
      </c>
      <c r="H371" s="48">
        <v>383</v>
      </c>
      <c r="I371" s="50">
        <f t="shared" ref="I371:I378" si="363">H371</f>
        <v>383</v>
      </c>
      <c r="J371" s="35"/>
      <c r="K371" s="47" t="s">
        <v>53</v>
      </c>
      <c r="L371" s="35">
        <f t="shared" ref="L371:L376" si="364">I371/G371</f>
        <v>1320.6896551724139</v>
      </c>
      <c r="M371" s="35">
        <f t="shared" ref="M371:M376" si="365">H371/G371</f>
        <v>1320.6896551724139</v>
      </c>
      <c r="N371" s="35" t="s">
        <v>57</v>
      </c>
      <c r="O371" s="35" t="s">
        <v>54</v>
      </c>
      <c r="P371" s="35" t="s">
        <v>77</v>
      </c>
      <c r="Q371" s="32">
        <v>12</v>
      </c>
      <c r="R371" s="37">
        <v>42711</v>
      </c>
      <c r="S371" s="37">
        <v>42716</v>
      </c>
      <c r="T371" s="37">
        <v>42717</v>
      </c>
      <c r="AE371" s="33"/>
      <c r="AF371" s="33"/>
      <c r="AG371" s="33"/>
      <c r="AH371" s="34"/>
    </row>
    <row r="372" spans="1:34" s="32" customFormat="1" x14ac:dyDescent="0.25">
      <c r="A372" s="35">
        <v>340</v>
      </c>
      <c r="B372" s="47" t="s">
        <v>50</v>
      </c>
      <c r="C372" s="35" t="s">
        <v>352</v>
      </c>
      <c r="D372" s="41" t="s">
        <v>76</v>
      </c>
      <c r="E372" s="41">
        <v>5000045980</v>
      </c>
      <c r="F372" s="35"/>
      <c r="G372" s="35">
        <v>0.4</v>
      </c>
      <c r="H372" s="48">
        <v>46.89</v>
      </c>
      <c r="I372" s="50">
        <f t="shared" si="363"/>
        <v>46.89</v>
      </c>
      <c r="J372" s="35"/>
      <c r="K372" s="47" t="s">
        <v>53</v>
      </c>
      <c r="L372" s="35">
        <f t="shared" si="364"/>
        <v>117.22499999999999</v>
      </c>
      <c r="M372" s="35">
        <f t="shared" si="365"/>
        <v>117.22499999999999</v>
      </c>
      <c r="N372" s="35" t="s">
        <v>57</v>
      </c>
      <c r="O372" s="35" t="s">
        <v>54</v>
      </c>
      <c r="P372" s="35" t="s">
        <v>104</v>
      </c>
      <c r="Q372" s="32">
        <v>11</v>
      </c>
      <c r="R372" s="37">
        <v>42711</v>
      </c>
      <c r="S372" s="37">
        <v>42716</v>
      </c>
      <c r="T372" s="37">
        <v>42717</v>
      </c>
      <c r="AE372" s="33"/>
      <c r="AF372" s="33"/>
      <c r="AG372" s="33"/>
      <c r="AH372" s="34"/>
    </row>
    <row r="373" spans="1:34" s="32" customFormat="1" x14ac:dyDescent="0.25">
      <c r="A373" s="35">
        <v>341</v>
      </c>
      <c r="B373" s="47" t="s">
        <v>50</v>
      </c>
      <c r="C373" s="35" t="s">
        <v>352</v>
      </c>
      <c r="D373" s="41" t="s">
        <v>76</v>
      </c>
      <c r="E373" s="41">
        <v>5000045981</v>
      </c>
      <c r="F373" s="35"/>
      <c r="G373" s="35">
        <v>27.71</v>
      </c>
      <c r="H373" s="48">
        <v>1917</v>
      </c>
      <c r="I373" s="50">
        <f t="shared" si="363"/>
        <v>1917</v>
      </c>
      <c r="J373" s="35"/>
      <c r="K373" s="47" t="s">
        <v>53</v>
      </c>
      <c r="L373" s="35">
        <f t="shared" si="364"/>
        <v>69.180801154817757</v>
      </c>
      <c r="M373" s="35">
        <f t="shared" si="365"/>
        <v>69.180801154817757</v>
      </c>
      <c r="N373" s="35" t="s">
        <v>57</v>
      </c>
      <c r="O373" s="35" t="s">
        <v>54</v>
      </c>
      <c r="P373" s="35" t="s">
        <v>104</v>
      </c>
      <c r="Q373" s="32">
        <v>11</v>
      </c>
      <c r="R373" s="37">
        <v>42711</v>
      </c>
      <c r="S373" s="37">
        <v>42716</v>
      </c>
      <c r="T373" s="37">
        <v>42717</v>
      </c>
      <c r="AE373" s="33"/>
      <c r="AF373" s="33"/>
      <c r="AG373" s="33"/>
      <c r="AH373" s="34"/>
    </row>
    <row r="374" spans="1:34" s="32" customFormat="1" x14ac:dyDescent="0.25">
      <c r="A374" s="35">
        <v>342</v>
      </c>
      <c r="B374" s="47" t="s">
        <v>50</v>
      </c>
      <c r="C374" s="35" t="s">
        <v>352</v>
      </c>
      <c r="D374" s="41" t="s">
        <v>76</v>
      </c>
      <c r="E374" s="41">
        <v>5000046002</v>
      </c>
      <c r="F374" s="35"/>
      <c r="G374" s="35">
        <v>0.8</v>
      </c>
      <c r="H374" s="48">
        <v>59.45</v>
      </c>
      <c r="I374" s="50">
        <f t="shared" si="363"/>
        <v>59.45</v>
      </c>
      <c r="J374" s="35"/>
      <c r="K374" s="47" t="s">
        <v>53</v>
      </c>
      <c r="L374" s="35">
        <f t="shared" si="364"/>
        <v>74.3125</v>
      </c>
      <c r="M374" s="35">
        <f t="shared" si="365"/>
        <v>74.3125</v>
      </c>
      <c r="N374" s="35" t="s">
        <v>57</v>
      </c>
      <c r="O374" s="35" t="s">
        <v>54</v>
      </c>
      <c r="P374" s="35" t="s">
        <v>104</v>
      </c>
      <c r="Q374" s="32">
        <v>11</v>
      </c>
      <c r="R374" s="37">
        <v>42711</v>
      </c>
      <c r="S374" s="37">
        <v>42716</v>
      </c>
      <c r="T374" s="37">
        <v>42717</v>
      </c>
      <c r="AE374" s="33"/>
      <c r="AF374" s="33"/>
      <c r="AG374" s="33"/>
      <c r="AH374" s="34"/>
    </row>
    <row r="375" spans="1:34" s="32" customFormat="1" x14ac:dyDescent="0.25">
      <c r="A375" s="35">
        <v>343</v>
      </c>
      <c r="B375" s="47" t="s">
        <v>50</v>
      </c>
      <c r="C375" s="35" t="s">
        <v>352</v>
      </c>
      <c r="D375" s="41" t="s">
        <v>76</v>
      </c>
      <c r="E375" s="41">
        <v>5000046003</v>
      </c>
      <c r="F375" s="35"/>
      <c r="G375" s="35">
        <v>2</v>
      </c>
      <c r="H375" s="48">
        <v>196</v>
      </c>
      <c r="I375" s="50">
        <f t="shared" si="363"/>
        <v>196</v>
      </c>
      <c r="J375" s="35"/>
      <c r="K375" s="47" t="s">
        <v>53</v>
      </c>
      <c r="L375" s="35">
        <f t="shared" si="364"/>
        <v>98</v>
      </c>
      <c r="M375" s="35">
        <f t="shared" si="365"/>
        <v>98</v>
      </c>
      <c r="N375" s="35" t="s">
        <v>57</v>
      </c>
      <c r="O375" s="35" t="s">
        <v>54</v>
      </c>
      <c r="P375" s="35" t="s">
        <v>104</v>
      </c>
      <c r="Q375" s="32">
        <v>11</v>
      </c>
      <c r="R375" s="37">
        <v>42711</v>
      </c>
      <c r="S375" s="37">
        <v>42716</v>
      </c>
      <c r="T375" s="37">
        <v>42717</v>
      </c>
      <c r="AE375" s="33"/>
      <c r="AF375" s="33"/>
      <c r="AG375" s="33"/>
      <c r="AH375" s="34"/>
    </row>
    <row r="376" spans="1:34" s="32" customFormat="1" x14ac:dyDescent="0.25">
      <c r="A376" s="35">
        <v>344</v>
      </c>
      <c r="B376" s="47" t="s">
        <v>50</v>
      </c>
      <c r="C376" s="35" t="s">
        <v>352</v>
      </c>
      <c r="D376" s="41" t="s">
        <v>76</v>
      </c>
      <c r="E376" s="41">
        <v>5000046004</v>
      </c>
      <c r="F376" s="35"/>
      <c r="G376" s="35">
        <v>16.04</v>
      </c>
      <c r="H376" s="48">
        <v>1340</v>
      </c>
      <c r="I376" s="50">
        <f t="shared" si="363"/>
        <v>1340</v>
      </c>
      <c r="J376" s="35"/>
      <c r="K376" s="47" t="s">
        <v>53</v>
      </c>
      <c r="L376" s="35">
        <f t="shared" si="364"/>
        <v>83.541147132169584</v>
      </c>
      <c r="M376" s="35">
        <f t="shared" si="365"/>
        <v>83.541147132169584</v>
      </c>
      <c r="N376" s="35" t="s">
        <v>57</v>
      </c>
      <c r="O376" s="35" t="s">
        <v>54</v>
      </c>
      <c r="P376" s="35" t="s">
        <v>104</v>
      </c>
      <c r="Q376" s="32">
        <v>11</v>
      </c>
      <c r="R376" s="37">
        <v>42712</v>
      </c>
      <c r="S376" s="37">
        <v>42716</v>
      </c>
      <c r="T376" s="37">
        <v>42717</v>
      </c>
      <c r="AE376" s="33"/>
      <c r="AF376" s="33"/>
      <c r="AG376" s="33"/>
      <c r="AH376" s="34"/>
    </row>
    <row r="377" spans="1:34" s="32" customFormat="1" x14ac:dyDescent="0.25">
      <c r="A377" s="35">
        <v>345</v>
      </c>
      <c r="B377" s="35" t="s">
        <v>65</v>
      </c>
      <c r="C377" s="35" t="s">
        <v>352</v>
      </c>
      <c r="D377" s="35" t="s">
        <v>356</v>
      </c>
      <c r="E377" s="35">
        <v>2360073538</v>
      </c>
      <c r="F377" s="35"/>
      <c r="G377" s="35"/>
      <c r="H377" s="35">
        <v>132</v>
      </c>
      <c r="I377" s="35">
        <f t="shared" si="363"/>
        <v>132</v>
      </c>
      <c r="J377" s="35"/>
      <c r="K377" s="35" t="s">
        <v>75</v>
      </c>
      <c r="L377" s="35"/>
      <c r="M377" s="35"/>
      <c r="N377" s="35" t="s">
        <v>322</v>
      </c>
      <c r="O377" s="35" t="s">
        <v>62</v>
      </c>
      <c r="P377" s="35" t="s">
        <v>325</v>
      </c>
      <c r="Q377" s="32">
        <v>15</v>
      </c>
      <c r="R377" s="37">
        <v>42711</v>
      </c>
      <c r="S377" s="37">
        <v>42720</v>
      </c>
      <c r="T377" s="37">
        <v>42720</v>
      </c>
      <c r="AE377" s="33"/>
      <c r="AF377" s="33"/>
      <c r="AG377" s="33"/>
      <c r="AH377" s="34"/>
    </row>
    <row r="378" spans="1:34" s="32" customFormat="1" x14ac:dyDescent="0.25">
      <c r="A378" s="35">
        <v>346</v>
      </c>
      <c r="B378" s="35" t="s">
        <v>50</v>
      </c>
      <c r="C378" s="35" t="s">
        <v>352</v>
      </c>
      <c r="D378" s="41" t="s">
        <v>78</v>
      </c>
      <c r="E378" s="38">
        <v>5000046115</v>
      </c>
      <c r="F378" s="35"/>
      <c r="G378" s="35"/>
      <c r="H378" s="35">
        <v>794.63</v>
      </c>
      <c r="I378" s="35">
        <f t="shared" si="363"/>
        <v>794.63</v>
      </c>
      <c r="J378" s="35"/>
      <c r="K378" s="35" t="s">
        <v>53</v>
      </c>
      <c r="L378" s="25"/>
      <c r="M378" s="25"/>
      <c r="N378" s="35" t="s">
        <v>57</v>
      </c>
      <c r="O378" s="35" t="s">
        <v>54</v>
      </c>
      <c r="P378" s="35" t="s">
        <v>258</v>
      </c>
      <c r="Q378" s="32">
        <v>12</v>
      </c>
      <c r="R378" s="37">
        <v>42718</v>
      </c>
      <c r="S378" s="37">
        <v>42720</v>
      </c>
      <c r="T378" s="37">
        <v>42723</v>
      </c>
      <c r="AE378" s="33"/>
      <c r="AF378" s="33"/>
      <c r="AG378" s="33"/>
      <c r="AH378" s="34"/>
    </row>
    <row r="379" spans="1:34" s="32" customFormat="1" x14ac:dyDescent="0.25">
      <c r="A379" s="35">
        <v>347</v>
      </c>
      <c r="B379" s="35" t="s">
        <v>50</v>
      </c>
      <c r="C379" s="35" t="s">
        <v>352</v>
      </c>
      <c r="D379" s="41" t="s">
        <v>78</v>
      </c>
      <c r="E379" s="38">
        <v>5000046110</v>
      </c>
      <c r="F379" s="35"/>
      <c r="G379" s="35"/>
      <c r="H379" s="35">
        <v>561.39</v>
      </c>
      <c r="I379" s="35">
        <f t="shared" ref="I379" si="366">H379</f>
        <v>561.39</v>
      </c>
      <c r="J379" s="35"/>
      <c r="K379" s="35" t="s">
        <v>53</v>
      </c>
      <c r="L379" s="25"/>
      <c r="M379" s="25"/>
      <c r="N379" s="35" t="s">
        <v>57</v>
      </c>
      <c r="O379" s="35" t="s">
        <v>54</v>
      </c>
      <c r="P379" s="35" t="s">
        <v>258</v>
      </c>
      <c r="Q379" s="32">
        <v>12</v>
      </c>
      <c r="R379" s="37">
        <v>42718</v>
      </c>
      <c r="S379" s="37">
        <v>42720</v>
      </c>
      <c r="T379" s="37">
        <v>42723</v>
      </c>
      <c r="AE379" s="33"/>
      <c r="AF379" s="33"/>
      <c r="AG379" s="33"/>
      <c r="AH379" s="34"/>
    </row>
    <row r="380" spans="1:34" s="32" customFormat="1" x14ac:dyDescent="0.25">
      <c r="A380" s="35">
        <v>348</v>
      </c>
      <c r="B380" s="35" t="s">
        <v>50</v>
      </c>
      <c r="C380" s="35" t="s">
        <v>352</v>
      </c>
      <c r="D380" s="41" t="s">
        <v>357</v>
      </c>
      <c r="E380" s="38">
        <v>5000046060</v>
      </c>
      <c r="F380" s="35"/>
      <c r="G380" s="35">
        <f>0.2*8</f>
        <v>1.6</v>
      </c>
      <c r="H380" s="35">
        <v>220.7</v>
      </c>
      <c r="I380" s="35">
        <f t="shared" ref="I380:I382" si="367">H380</f>
        <v>220.7</v>
      </c>
      <c r="J380" s="35"/>
      <c r="K380" s="35" t="s">
        <v>53</v>
      </c>
      <c r="L380" s="25"/>
      <c r="M380" s="25"/>
      <c r="N380" s="35" t="s">
        <v>57</v>
      </c>
      <c r="O380" s="35" t="s">
        <v>54</v>
      </c>
      <c r="P380" s="35" t="s">
        <v>226</v>
      </c>
      <c r="Q380" s="32">
        <v>11</v>
      </c>
      <c r="R380" s="37">
        <v>42712</v>
      </c>
      <c r="S380" s="37">
        <v>42720</v>
      </c>
      <c r="T380" s="37">
        <v>42723</v>
      </c>
      <c r="AE380" s="33"/>
      <c r="AF380" s="33"/>
      <c r="AG380" s="33"/>
      <c r="AH380" s="34"/>
    </row>
    <row r="381" spans="1:34" s="32" customFormat="1" x14ac:dyDescent="0.25">
      <c r="A381" s="35">
        <v>349</v>
      </c>
      <c r="B381" s="35" t="s">
        <v>50</v>
      </c>
      <c r="C381" s="35" t="s">
        <v>352</v>
      </c>
      <c r="D381" s="41" t="s">
        <v>78</v>
      </c>
      <c r="E381" s="41">
        <v>5000046005</v>
      </c>
      <c r="F381" s="35"/>
      <c r="G381" s="35"/>
      <c r="H381" s="38">
        <v>2550</v>
      </c>
      <c r="I381" s="35">
        <f t="shared" si="367"/>
        <v>2550</v>
      </c>
      <c r="J381" s="35"/>
      <c r="K381" s="35" t="s">
        <v>53</v>
      </c>
      <c r="L381" s="25"/>
      <c r="M381" s="25"/>
      <c r="N381" s="35" t="s">
        <v>57</v>
      </c>
      <c r="O381" s="35" t="s">
        <v>54</v>
      </c>
      <c r="P381" s="35" t="s">
        <v>258</v>
      </c>
      <c r="Q381" s="32">
        <v>12</v>
      </c>
      <c r="R381" s="37">
        <v>42718</v>
      </c>
      <c r="S381" s="37">
        <v>42720</v>
      </c>
      <c r="T381" s="37">
        <v>42723</v>
      </c>
      <c r="AE381" s="33"/>
      <c r="AF381" s="33"/>
      <c r="AG381" s="33"/>
      <c r="AH381" s="34"/>
    </row>
    <row r="382" spans="1:34" s="32" customFormat="1" x14ac:dyDescent="0.25">
      <c r="A382" s="35">
        <v>350</v>
      </c>
      <c r="B382" s="35" t="s">
        <v>79</v>
      </c>
      <c r="C382" s="35" t="s">
        <v>352</v>
      </c>
      <c r="D382" s="35" t="s">
        <v>126</v>
      </c>
      <c r="E382" s="35">
        <v>2360073519</v>
      </c>
      <c r="F382" s="35"/>
      <c r="G382" s="35">
        <f>0.242*2</f>
        <v>0.48399999999999999</v>
      </c>
      <c r="H382" s="35">
        <v>55</v>
      </c>
      <c r="I382" s="35">
        <f t="shared" si="367"/>
        <v>55</v>
      </c>
      <c r="J382" s="35"/>
      <c r="K382" s="35" t="s">
        <v>75</v>
      </c>
      <c r="L382" s="35">
        <f t="shared" ref="L382" si="368">I382/G382</f>
        <v>113.63636363636364</v>
      </c>
      <c r="M382" s="35">
        <f t="shared" ref="M382" si="369">H382/G382</f>
        <v>113.63636363636364</v>
      </c>
      <c r="N382" s="35" t="s">
        <v>61</v>
      </c>
      <c r="O382" s="35" t="s">
        <v>62</v>
      </c>
      <c r="P382" s="35" t="s">
        <v>104</v>
      </c>
      <c r="Q382" s="32">
        <v>11</v>
      </c>
      <c r="R382" s="37">
        <v>42709</v>
      </c>
      <c r="S382" s="37">
        <v>42720</v>
      </c>
      <c r="T382" s="37">
        <v>42723</v>
      </c>
      <c r="AE382" s="33"/>
      <c r="AF382" s="33"/>
      <c r="AG382" s="33"/>
      <c r="AH382" s="34"/>
    </row>
    <row r="383" spans="1:34" s="32" customFormat="1" x14ac:dyDescent="0.25">
      <c r="A383" s="35">
        <v>351</v>
      </c>
      <c r="B383" s="35" t="s">
        <v>79</v>
      </c>
      <c r="C383" s="35" t="s">
        <v>352</v>
      </c>
      <c r="D383" s="35" t="s">
        <v>126</v>
      </c>
      <c r="E383" s="35">
        <v>2360073530</v>
      </c>
      <c r="F383" s="35"/>
      <c r="G383" s="35">
        <f>0.416*3</f>
        <v>1.248</v>
      </c>
      <c r="H383" s="35">
        <v>130.5</v>
      </c>
      <c r="I383" s="35">
        <f t="shared" ref="I383" si="370">H383</f>
        <v>130.5</v>
      </c>
      <c r="J383" s="35"/>
      <c r="K383" s="35" t="s">
        <v>75</v>
      </c>
      <c r="L383" s="35">
        <f t="shared" ref="L383" si="371">I383/G383</f>
        <v>104.56730769230769</v>
      </c>
      <c r="M383" s="35">
        <f t="shared" ref="M383" si="372">H383/G383</f>
        <v>104.56730769230769</v>
      </c>
      <c r="N383" s="35" t="s">
        <v>61</v>
      </c>
      <c r="O383" s="35" t="s">
        <v>62</v>
      </c>
      <c r="P383" s="35" t="s">
        <v>104</v>
      </c>
      <c r="Q383" s="32">
        <v>11</v>
      </c>
      <c r="R383" s="37">
        <v>42718</v>
      </c>
      <c r="S383" s="37">
        <v>42720</v>
      </c>
      <c r="T383" s="37">
        <v>42723</v>
      </c>
      <c r="AE383" s="33"/>
      <c r="AF383" s="33"/>
      <c r="AG383" s="33"/>
      <c r="AH383" s="34"/>
    </row>
    <row r="384" spans="1:34" s="32" customFormat="1" x14ac:dyDescent="0.25">
      <c r="A384" s="35">
        <v>352</v>
      </c>
      <c r="B384" s="35" t="s">
        <v>58</v>
      </c>
      <c r="C384" s="35" t="s">
        <v>352</v>
      </c>
      <c r="D384" s="35" t="s">
        <v>298</v>
      </c>
      <c r="E384" s="35">
        <v>2360073533</v>
      </c>
      <c r="F384" s="35"/>
      <c r="G384" s="35"/>
      <c r="H384" s="35">
        <v>24.93</v>
      </c>
      <c r="I384" s="35">
        <f t="shared" ref="I384:I385" si="373">H384</f>
        <v>24.93</v>
      </c>
      <c r="J384" s="35"/>
      <c r="K384" s="35" t="s">
        <v>75</v>
      </c>
      <c r="L384" s="35"/>
      <c r="M384" s="35"/>
      <c r="N384" s="35" t="s">
        <v>54</v>
      </c>
      <c r="O384" s="35" t="s">
        <v>54</v>
      </c>
      <c r="P384" s="35" t="s">
        <v>325</v>
      </c>
      <c r="Q384" s="32">
        <v>15</v>
      </c>
      <c r="R384" s="37">
        <v>42706</v>
      </c>
      <c r="S384" s="37">
        <v>42720</v>
      </c>
      <c r="T384" s="37">
        <v>42723</v>
      </c>
      <c r="AE384" s="33"/>
      <c r="AF384" s="33"/>
      <c r="AG384" s="33"/>
      <c r="AH384" s="34"/>
    </row>
    <row r="385" spans="1:34" s="32" customFormat="1" x14ac:dyDescent="0.25">
      <c r="A385" s="35">
        <v>353</v>
      </c>
      <c r="B385" s="35" t="s">
        <v>58</v>
      </c>
      <c r="C385" s="35" t="s">
        <v>352</v>
      </c>
      <c r="D385" s="35" t="s">
        <v>358</v>
      </c>
      <c r="E385" s="35">
        <v>2360073526</v>
      </c>
      <c r="F385" s="35"/>
      <c r="G385" s="35">
        <f>0.166*3+0.25*5</f>
        <v>1.748</v>
      </c>
      <c r="H385" s="35">
        <v>154.25</v>
      </c>
      <c r="I385" s="35">
        <f t="shared" si="373"/>
        <v>154.25</v>
      </c>
      <c r="J385" s="35"/>
      <c r="K385" s="35" t="s">
        <v>75</v>
      </c>
      <c r="L385" s="35">
        <f t="shared" ref="L385" si="374">I385/G385</f>
        <v>88.243707093821513</v>
      </c>
      <c r="M385" s="35">
        <f t="shared" ref="M385" si="375">H385/G385</f>
        <v>88.243707093821513</v>
      </c>
      <c r="N385" s="35" t="s">
        <v>82</v>
      </c>
      <c r="O385" s="35" t="s">
        <v>54</v>
      </c>
      <c r="P385" s="35" t="s">
        <v>104</v>
      </c>
      <c r="Q385" s="32">
        <v>11</v>
      </c>
      <c r="R385" s="37">
        <v>42715</v>
      </c>
      <c r="S385" s="37">
        <v>42720</v>
      </c>
      <c r="T385" s="37">
        <v>42723</v>
      </c>
      <c r="AE385" s="33"/>
      <c r="AF385" s="33"/>
      <c r="AG385" s="33"/>
      <c r="AH385" s="34"/>
    </row>
    <row r="386" spans="1:34" s="32" customFormat="1" x14ac:dyDescent="0.25">
      <c r="A386" s="35">
        <v>354</v>
      </c>
      <c r="B386" s="35" t="s">
        <v>90</v>
      </c>
      <c r="C386" s="35" t="s">
        <v>352</v>
      </c>
      <c r="D386" s="35" t="s">
        <v>359</v>
      </c>
      <c r="E386" s="35">
        <v>2360073542</v>
      </c>
      <c r="F386" s="35"/>
      <c r="G386" s="35">
        <f>0.463*6</f>
        <v>2.778</v>
      </c>
      <c r="H386" s="35">
        <v>268.45</v>
      </c>
      <c r="I386" s="35">
        <f t="shared" ref="I386:I388" si="376">H386</f>
        <v>268.45</v>
      </c>
      <c r="J386" s="35"/>
      <c r="K386" s="35" t="s">
        <v>75</v>
      </c>
      <c r="L386" s="35">
        <f t="shared" ref="L386:L387" si="377">I386/G386</f>
        <v>96.634269258459312</v>
      </c>
      <c r="M386" s="35">
        <f t="shared" ref="M386:M387" si="378">H386/G386</f>
        <v>96.634269258459312</v>
      </c>
      <c r="N386" s="35" t="s">
        <v>54</v>
      </c>
      <c r="O386" s="35" t="s">
        <v>54</v>
      </c>
      <c r="P386" s="35" t="s">
        <v>104</v>
      </c>
      <c r="Q386" s="32">
        <v>11</v>
      </c>
      <c r="R386" s="37">
        <v>42706</v>
      </c>
      <c r="S386" s="37">
        <v>42720</v>
      </c>
      <c r="T386" s="37">
        <v>42723</v>
      </c>
      <c r="AE386" s="33"/>
      <c r="AF386" s="33"/>
      <c r="AG386" s="33"/>
      <c r="AH386" s="34"/>
    </row>
    <row r="387" spans="1:34" s="32" customFormat="1" x14ac:dyDescent="0.25">
      <c r="A387" s="35">
        <v>355</v>
      </c>
      <c r="B387" s="35" t="s">
        <v>73</v>
      </c>
      <c r="C387" s="35" t="s">
        <v>352</v>
      </c>
      <c r="D387" s="35" t="s">
        <v>360</v>
      </c>
      <c r="E387" s="35">
        <v>2360073554</v>
      </c>
      <c r="F387" s="35"/>
      <c r="G387" s="35">
        <f>0.368*2</f>
        <v>0.73599999999999999</v>
      </c>
      <c r="H387" s="35">
        <v>81</v>
      </c>
      <c r="I387" s="35">
        <f t="shared" si="376"/>
        <v>81</v>
      </c>
      <c r="J387" s="35"/>
      <c r="K387" s="35" t="s">
        <v>75</v>
      </c>
      <c r="L387" s="35">
        <f t="shared" si="377"/>
        <v>110.05434782608695</v>
      </c>
      <c r="M387" s="35">
        <f t="shared" si="378"/>
        <v>110.05434782608695</v>
      </c>
      <c r="N387" s="35" t="s">
        <v>82</v>
      </c>
      <c r="O387" s="35" t="s">
        <v>54</v>
      </c>
      <c r="P387" s="35" t="s">
        <v>104</v>
      </c>
      <c r="Q387" s="32">
        <v>11</v>
      </c>
      <c r="R387" s="37">
        <v>42707</v>
      </c>
      <c r="S387" s="37">
        <v>42720</v>
      </c>
      <c r="T387" s="37">
        <v>42723</v>
      </c>
      <c r="AE387" s="33"/>
      <c r="AF387" s="33"/>
      <c r="AG387" s="33"/>
      <c r="AH387" s="34"/>
    </row>
    <row r="388" spans="1:34" s="32" customFormat="1" x14ac:dyDescent="0.25">
      <c r="A388" s="35">
        <v>356</v>
      </c>
      <c r="B388" s="35" t="s">
        <v>50</v>
      </c>
      <c r="C388" s="35" t="s">
        <v>352</v>
      </c>
      <c r="D388" s="41" t="s">
        <v>361</v>
      </c>
      <c r="E388" s="38">
        <v>5000046200</v>
      </c>
      <c r="F388" s="35"/>
      <c r="G388" s="35">
        <f>0.583*12</f>
        <v>6.9959999999999996</v>
      </c>
      <c r="H388" s="35">
        <v>761.47</v>
      </c>
      <c r="I388" s="35">
        <f t="shared" si="376"/>
        <v>761.47</v>
      </c>
      <c r="J388" s="35"/>
      <c r="K388" s="35" t="s">
        <v>53</v>
      </c>
      <c r="L388" s="35">
        <f t="shared" ref="L388" si="379">I388/G388</f>
        <v>108.8436249285306</v>
      </c>
      <c r="M388" s="35">
        <f t="shared" ref="M388" si="380">H388/G388</f>
        <v>108.8436249285306</v>
      </c>
      <c r="N388" s="35" t="s">
        <v>57</v>
      </c>
      <c r="O388" s="35" t="s">
        <v>54</v>
      </c>
      <c r="P388" s="35" t="s">
        <v>226</v>
      </c>
      <c r="Q388" s="32">
        <v>11</v>
      </c>
      <c r="R388" s="37">
        <v>42720</v>
      </c>
      <c r="S388" s="37">
        <v>42725</v>
      </c>
      <c r="T388" s="37">
        <v>42726</v>
      </c>
      <c r="AE388" s="33"/>
      <c r="AF388" s="33"/>
      <c r="AG388" s="33"/>
      <c r="AH388" s="34"/>
    </row>
    <row r="389" spans="1:34" s="32" customFormat="1" x14ac:dyDescent="0.25">
      <c r="A389" s="35">
        <v>357</v>
      </c>
      <c r="B389" s="35" t="s">
        <v>50</v>
      </c>
      <c r="C389" s="35" t="s">
        <v>352</v>
      </c>
      <c r="D389" s="41" t="s">
        <v>115</v>
      </c>
      <c r="E389" s="38">
        <v>5000046206</v>
      </c>
      <c r="F389" s="35"/>
      <c r="G389" s="35">
        <f>0.297*3+0.148*3</f>
        <v>1.335</v>
      </c>
      <c r="H389" s="35">
        <v>209.3</v>
      </c>
      <c r="I389" s="35">
        <f t="shared" ref="I389:I398" si="381">H389</f>
        <v>209.3</v>
      </c>
      <c r="J389" s="35"/>
      <c r="K389" s="35" t="s">
        <v>53</v>
      </c>
      <c r="L389" s="35">
        <f t="shared" ref="L389:L398" si="382">I389/G389</f>
        <v>156.77902621722848</v>
      </c>
      <c r="M389" s="35">
        <f t="shared" ref="M389:M398" si="383">H389/G389</f>
        <v>156.77902621722848</v>
      </c>
      <c r="N389" s="35" t="s">
        <v>57</v>
      </c>
      <c r="O389" s="35" t="s">
        <v>54</v>
      </c>
      <c r="P389" s="35" t="s">
        <v>226</v>
      </c>
      <c r="Q389" s="32">
        <v>11</v>
      </c>
      <c r="R389" s="37">
        <v>42723</v>
      </c>
      <c r="S389" s="37">
        <v>42725</v>
      </c>
      <c r="T389" s="37">
        <v>42726</v>
      </c>
      <c r="AE389" s="33"/>
      <c r="AF389" s="33"/>
      <c r="AG389" s="33"/>
      <c r="AH389" s="34"/>
    </row>
    <row r="390" spans="1:34" s="32" customFormat="1" x14ac:dyDescent="0.25">
      <c r="A390" s="35">
        <v>358</v>
      </c>
      <c r="B390" s="35" t="s">
        <v>50</v>
      </c>
      <c r="C390" s="35" t="s">
        <v>352</v>
      </c>
      <c r="D390" s="41" t="s">
        <v>177</v>
      </c>
      <c r="E390" s="38">
        <v>5000046201</v>
      </c>
      <c r="F390" s="35"/>
      <c r="G390" s="35">
        <f>0.175+0.625*2+0.225</f>
        <v>1.6500000000000001</v>
      </c>
      <c r="H390" s="35">
        <v>219.41</v>
      </c>
      <c r="I390" s="35">
        <f t="shared" si="381"/>
        <v>219.41</v>
      </c>
      <c r="J390" s="35"/>
      <c r="K390" s="35" t="s">
        <v>53</v>
      </c>
      <c r="L390" s="35">
        <f t="shared" si="382"/>
        <v>132.97575757575757</v>
      </c>
      <c r="M390" s="35">
        <f t="shared" si="383"/>
        <v>132.97575757575757</v>
      </c>
      <c r="N390" s="35" t="s">
        <v>57</v>
      </c>
      <c r="O390" s="35" t="s">
        <v>54</v>
      </c>
      <c r="P390" s="35" t="s">
        <v>226</v>
      </c>
      <c r="Q390" s="32">
        <v>11</v>
      </c>
      <c r="R390" s="37">
        <v>42718</v>
      </c>
      <c r="S390" s="37">
        <v>42725</v>
      </c>
      <c r="T390" s="37">
        <v>42726</v>
      </c>
      <c r="AE390" s="33"/>
      <c r="AF390" s="33"/>
      <c r="AG390" s="33"/>
      <c r="AH390" s="34"/>
    </row>
    <row r="391" spans="1:34" s="32" customFormat="1" x14ac:dyDescent="0.25">
      <c r="A391" s="35">
        <v>359</v>
      </c>
      <c r="B391" s="35" t="s">
        <v>50</v>
      </c>
      <c r="C391" s="35" t="s">
        <v>352</v>
      </c>
      <c r="D391" s="41" t="s">
        <v>76</v>
      </c>
      <c r="E391" s="41">
        <v>5000046181</v>
      </c>
      <c r="F391" s="35"/>
      <c r="G391" s="35"/>
      <c r="H391" s="48">
        <v>189.35</v>
      </c>
      <c r="I391" s="50">
        <f t="shared" si="381"/>
        <v>189.35</v>
      </c>
      <c r="J391" s="35"/>
      <c r="K391" s="47" t="s">
        <v>53</v>
      </c>
      <c r="L391" s="35"/>
      <c r="M391" s="35"/>
      <c r="N391" s="35" t="s">
        <v>57</v>
      </c>
      <c r="O391" s="35" t="s">
        <v>54</v>
      </c>
      <c r="P391" s="35" t="s">
        <v>77</v>
      </c>
      <c r="Q391" s="32">
        <v>12</v>
      </c>
      <c r="R391" s="37">
        <v>42718</v>
      </c>
      <c r="S391" s="37">
        <v>42725</v>
      </c>
      <c r="T391" s="37">
        <v>42726</v>
      </c>
      <c r="AE391" s="33"/>
      <c r="AF391" s="33"/>
      <c r="AG391" s="33"/>
      <c r="AH391" s="34"/>
    </row>
    <row r="392" spans="1:34" s="32" customFormat="1" x14ac:dyDescent="0.25">
      <c r="A392" s="35">
        <v>360</v>
      </c>
      <c r="B392" s="35" t="s">
        <v>50</v>
      </c>
      <c r="C392" s="35" t="s">
        <v>352</v>
      </c>
      <c r="D392" s="41" t="s">
        <v>76</v>
      </c>
      <c r="E392" s="41">
        <v>5000046198</v>
      </c>
      <c r="F392" s="35"/>
      <c r="G392" s="35">
        <f>0.2*76</f>
        <v>15.200000000000001</v>
      </c>
      <c r="H392" s="48">
        <v>1277.5</v>
      </c>
      <c r="I392" s="50">
        <f t="shared" si="381"/>
        <v>1277.5</v>
      </c>
      <c r="J392" s="35"/>
      <c r="K392" s="47" t="s">
        <v>53</v>
      </c>
      <c r="L392" s="35">
        <f t="shared" si="382"/>
        <v>84.046052631578945</v>
      </c>
      <c r="M392" s="35">
        <f t="shared" si="383"/>
        <v>84.046052631578945</v>
      </c>
      <c r="N392" s="35" t="s">
        <v>57</v>
      </c>
      <c r="O392" s="35" t="s">
        <v>54</v>
      </c>
      <c r="P392" s="35" t="s">
        <v>104</v>
      </c>
      <c r="Q392" s="32">
        <v>11</v>
      </c>
      <c r="R392" s="37">
        <v>42719</v>
      </c>
      <c r="S392" s="37">
        <v>42725</v>
      </c>
      <c r="T392" s="37">
        <v>42726</v>
      </c>
      <c r="AE392" s="33"/>
      <c r="AF392" s="33"/>
      <c r="AG392" s="33"/>
      <c r="AH392" s="34"/>
    </row>
    <row r="393" spans="1:34" s="32" customFormat="1" x14ac:dyDescent="0.25">
      <c r="A393" s="35">
        <v>361</v>
      </c>
      <c r="B393" s="35" t="s">
        <v>50</v>
      </c>
      <c r="C393" s="35" t="s">
        <v>352</v>
      </c>
      <c r="D393" s="41" t="s">
        <v>76</v>
      </c>
      <c r="E393" s="41">
        <v>5000046182</v>
      </c>
      <c r="F393" s="35"/>
      <c r="G393" s="35">
        <f>0.1*3</f>
        <v>0.30000000000000004</v>
      </c>
      <c r="H393" s="48">
        <v>42</v>
      </c>
      <c r="I393" s="50">
        <f t="shared" si="381"/>
        <v>42</v>
      </c>
      <c r="J393" s="35"/>
      <c r="K393" s="47" t="s">
        <v>53</v>
      </c>
      <c r="L393" s="35">
        <f t="shared" si="382"/>
        <v>139.99999999999997</v>
      </c>
      <c r="M393" s="35">
        <f t="shared" si="383"/>
        <v>139.99999999999997</v>
      </c>
      <c r="N393" s="35" t="s">
        <v>57</v>
      </c>
      <c r="O393" s="35" t="s">
        <v>54</v>
      </c>
      <c r="P393" s="35" t="s">
        <v>104</v>
      </c>
      <c r="Q393" s="32">
        <v>11</v>
      </c>
      <c r="R393" s="37">
        <v>42713</v>
      </c>
      <c r="S393" s="37">
        <v>42725</v>
      </c>
      <c r="T393" s="37">
        <v>42726</v>
      </c>
      <c r="AE393" s="33"/>
      <c r="AF393" s="33"/>
      <c r="AG393" s="33"/>
      <c r="AH393" s="34"/>
    </row>
    <row r="394" spans="1:34" s="32" customFormat="1" x14ac:dyDescent="0.25">
      <c r="A394" s="35">
        <v>362</v>
      </c>
      <c r="B394" s="35" t="s">
        <v>50</v>
      </c>
      <c r="C394" s="35" t="s">
        <v>352</v>
      </c>
      <c r="D394" s="41" t="s">
        <v>76</v>
      </c>
      <c r="E394" s="41">
        <v>5000046195</v>
      </c>
      <c r="F394" s="35"/>
      <c r="G394" s="35">
        <f>0.2+0.6*6</f>
        <v>3.8</v>
      </c>
      <c r="H394" s="48">
        <v>271.92</v>
      </c>
      <c r="I394" s="50">
        <f t="shared" si="381"/>
        <v>271.92</v>
      </c>
      <c r="J394" s="35"/>
      <c r="K394" s="47" t="s">
        <v>53</v>
      </c>
      <c r="L394" s="35">
        <f t="shared" si="382"/>
        <v>71.557894736842115</v>
      </c>
      <c r="M394" s="35">
        <f t="shared" si="383"/>
        <v>71.557894736842115</v>
      </c>
      <c r="N394" s="35" t="s">
        <v>57</v>
      </c>
      <c r="O394" s="35" t="s">
        <v>54</v>
      </c>
      <c r="P394" s="35" t="s">
        <v>104</v>
      </c>
      <c r="Q394" s="32">
        <v>11</v>
      </c>
      <c r="R394" s="37">
        <v>42716</v>
      </c>
      <c r="S394" s="37">
        <v>42725</v>
      </c>
      <c r="T394" s="37">
        <v>42726</v>
      </c>
      <c r="AE394" s="33"/>
      <c r="AF394" s="33"/>
      <c r="AG394" s="33"/>
      <c r="AH394" s="34"/>
    </row>
    <row r="395" spans="1:34" s="32" customFormat="1" x14ac:dyDescent="0.25">
      <c r="A395" s="35">
        <v>363</v>
      </c>
      <c r="B395" s="35" t="s">
        <v>50</v>
      </c>
      <c r="C395" s="35" t="s">
        <v>352</v>
      </c>
      <c r="D395" s="41" t="s">
        <v>76</v>
      </c>
      <c r="E395" s="41">
        <v>5000046199</v>
      </c>
      <c r="F395" s="35"/>
      <c r="G395" s="35">
        <v>0.2</v>
      </c>
      <c r="H395" s="48">
        <v>19.5</v>
      </c>
      <c r="I395" s="50">
        <f t="shared" si="381"/>
        <v>19.5</v>
      </c>
      <c r="J395" s="35"/>
      <c r="K395" s="47" t="s">
        <v>53</v>
      </c>
      <c r="L395" s="35">
        <f t="shared" si="382"/>
        <v>97.5</v>
      </c>
      <c r="M395" s="35">
        <f t="shared" si="383"/>
        <v>97.5</v>
      </c>
      <c r="N395" s="35" t="s">
        <v>57</v>
      </c>
      <c r="O395" s="35" t="s">
        <v>54</v>
      </c>
      <c r="P395" s="35" t="s">
        <v>104</v>
      </c>
      <c r="Q395" s="32">
        <v>11</v>
      </c>
      <c r="R395" s="37">
        <v>42718</v>
      </c>
      <c r="S395" s="37">
        <v>42725</v>
      </c>
      <c r="T395" s="37">
        <v>42726</v>
      </c>
      <c r="AE395" s="33"/>
      <c r="AF395" s="33"/>
      <c r="AG395" s="33"/>
      <c r="AH395" s="34"/>
    </row>
    <row r="396" spans="1:34" s="32" customFormat="1" x14ac:dyDescent="0.25">
      <c r="A396" s="35">
        <v>364</v>
      </c>
      <c r="B396" s="35" t="s">
        <v>65</v>
      </c>
      <c r="C396" s="35" t="s">
        <v>352</v>
      </c>
      <c r="D396" s="41" t="s">
        <v>362</v>
      </c>
      <c r="E396" s="41">
        <v>4201345227</v>
      </c>
      <c r="F396" s="35">
        <v>11</v>
      </c>
      <c r="G396" s="35">
        <v>70.260000000000005</v>
      </c>
      <c r="H396" s="48">
        <v>11902</v>
      </c>
      <c r="I396" s="50">
        <f t="shared" si="381"/>
        <v>11902</v>
      </c>
      <c r="J396" s="35"/>
      <c r="K396" s="47" t="s">
        <v>60</v>
      </c>
      <c r="L396" s="35">
        <f t="shared" si="382"/>
        <v>169.39937375462566</v>
      </c>
      <c r="M396" s="35">
        <f t="shared" si="383"/>
        <v>169.39937375462566</v>
      </c>
      <c r="N396" s="35" t="s">
        <v>322</v>
      </c>
      <c r="O396" s="35" t="s">
        <v>62</v>
      </c>
      <c r="P396" s="35" t="s">
        <v>206</v>
      </c>
      <c r="Q396" s="32">
        <v>10</v>
      </c>
      <c r="R396" s="37">
        <v>42731</v>
      </c>
      <c r="S396" s="37">
        <v>42732</v>
      </c>
      <c r="T396" s="37">
        <v>42733</v>
      </c>
      <c r="AE396" s="33"/>
      <c r="AF396" s="33"/>
      <c r="AG396" s="33"/>
      <c r="AH396" s="34"/>
    </row>
    <row r="397" spans="1:34" s="32" customFormat="1" x14ac:dyDescent="0.25">
      <c r="A397" s="35">
        <v>365</v>
      </c>
      <c r="B397" s="35" t="s">
        <v>79</v>
      </c>
      <c r="C397" s="35" t="s">
        <v>352</v>
      </c>
      <c r="D397" s="41" t="s">
        <v>363</v>
      </c>
      <c r="E397" s="41">
        <v>4201345478</v>
      </c>
      <c r="F397" s="35">
        <v>11</v>
      </c>
      <c r="G397" s="35">
        <v>2.9</v>
      </c>
      <c r="H397" s="48">
        <v>447.6</v>
      </c>
      <c r="I397" s="50">
        <f t="shared" si="381"/>
        <v>447.6</v>
      </c>
      <c r="J397" s="35"/>
      <c r="K397" s="47" t="s">
        <v>71</v>
      </c>
      <c r="L397" s="35">
        <f t="shared" si="382"/>
        <v>154.34482758620692</v>
      </c>
      <c r="M397" s="35">
        <f t="shared" si="383"/>
        <v>154.34482758620692</v>
      </c>
      <c r="N397" s="35" t="s">
        <v>61</v>
      </c>
      <c r="O397" s="35" t="s">
        <v>62</v>
      </c>
      <c r="P397" s="35" t="s">
        <v>206</v>
      </c>
      <c r="Q397" s="32">
        <v>1</v>
      </c>
      <c r="R397" s="37">
        <v>42731</v>
      </c>
      <c r="S397" s="37">
        <v>42732</v>
      </c>
      <c r="T397" s="37">
        <v>42733</v>
      </c>
      <c r="AE397" s="33"/>
      <c r="AF397" s="33"/>
      <c r="AG397" s="33"/>
      <c r="AH397" s="34"/>
    </row>
    <row r="398" spans="1:34" s="32" customFormat="1" x14ac:dyDescent="0.25">
      <c r="A398" s="35">
        <v>366</v>
      </c>
      <c r="B398" s="35" t="s">
        <v>65</v>
      </c>
      <c r="C398" s="35" t="s">
        <v>352</v>
      </c>
      <c r="D398" s="41" t="s">
        <v>365</v>
      </c>
      <c r="E398" s="41">
        <v>4201347358</v>
      </c>
      <c r="F398" s="35">
        <v>6.6</v>
      </c>
      <c r="G398" s="35">
        <v>2.79</v>
      </c>
      <c r="H398" s="48">
        <v>3399</v>
      </c>
      <c r="I398" s="50">
        <f t="shared" si="381"/>
        <v>3399</v>
      </c>
      <c r="J398" s="35"/>
      <c r="K398" s="47" t="s">
        <v>71</v>
      </c>
      <c r="L398" s="35">
        <f t="shared" si="382"/>
        <v>1218.2795698924731</v>
      </c>
      <c r="M398" s="35">
        <f t="shared" si="383"/>
        <v>1218.2795698924731</v>
      </c>
      <c r="N398" s="35" t="s">
        <v>68</v>
      </c>
      <c r="O398" s="35" t="s">
        <v>54</v>
      </c>
      <c r="P398" s="35" t="s">
        <v>123</v>
      </c>
      <c r="Q398" s="32">
        <v>18</v>
      </c>
      <c r="R398" s="37">
        <v>42735</v>
      </c>
      <c r="S398" s="37">
        <v>42735</v>
      </c>
      <c r="T398" s="37">
        <v>42735</v>
      </c>
      <c r="AE398" s="33"/>
      <c r="AF398" s="33"/>
      <c r="AG398" s="33"/>
      <c r="AH398" s="34"/>
    </row>
    <row r="399" spans="1:34" s="32" customFormat="1" x14ac:dyDescent="0.25">
      <c r="A399" s="35">
        <v>367</v>
      </c>
      <c r="B399" s="35" t="s">
        <v>50</v>
      </c>
      <c r="C399" s="35" t="s">
        <v>352</v>
      </c>
      <c r="D399" s="41" t="s">
        <v>144</v>
      </c>
      <c r="E399" s="38">
        <v>5000046413</v>
      </c>
      <c r="F399" s="35"/>
      <c r="G399" s="35"/>
      <c r="H399" s="35">
        <v>63.21</v>
      </c>
      <c r="I399" s="35">
        <f t="shared" ref="I399:I404" si="384">H399</f>
        <v>63.21</v>
      </c>
      <c r="J399" s="35"/>
      <c r="K399" s="35" t="s">
        <v>53</v>
      </c>
      <c r="L399" s="35"/>
      <c r="M399" s="35"/>
      <c r="N399" s="35" t="s">
        <v>57</v>
      </c>
      <c r="O399" s="35" t="s">
        <v>54</v>
      </c>
      <c r="P399" s="35" t="s">
        <v>77</v>
      </c>
      <c r="Q399" s="32">
        <v>12</v>
      </c>
      <c r="R399" s="37">
        <v>43100</v>
      </c>
      <c r="S399" s="37">
        <v>43100</v>
      </c>
      <c r="T399" s="37">
        <v>42739</v>
      </c>
      <c r="AE399" s="33"/>
      <c r="AF399" s="33"/>
      <c r="AG399" s="33"/>
      <c r="AH399" s="34"/>
    </row>
    <row r="400" spans="1:34" s="32" customFormat="1" x14ac:dyDescent="0.25">
      <c r="A400" s="35">
        <v>368</v>
      </c>
      <c r="B400" s="35" t="s">
        <v>50</v>
      </c>
      <c r="C400" s="35" t="s">
        <v>352</v>
      </c>
      <c r="D400" s="41" t="s">
        <v>366</v>
      </c>
      <c r="E400" s="38">
        <v>5000046415</v>
      </c>
      <c r="F400" s="35">
        <v>11</v>
      </c>
      <c r="G400" s="35">
        <v>0.73</v>
      </c>
      <c r="H400" s="35">
        <v>554</v>
      </c>
      <c r="I400" s="35">
        <f t="shared" si="384"/>
        <v>554</v>
      </c>
      <c r="J400" s="35"/>
      <c r="K400" s="35" t="s">
        <v>53</v>
      </c>
      <c r="L400" s="35">
        <f t="shared" ref="L400:L403" si="385">I400/G400</f>
        <v>758.90410958904113</v>
      </c>
      <c r="M400" s="35">
        <f t="shared" ref="M400:M403" si="386">H400/G400</f>
        <v>758.90410958904113</v>
      </c>
      <c r="N400" s="35" t="s">
        <v>57</v>
      </c>
      <c r="O400" s="35" t="s">
        <v>54</v>
      </c>
      <c r="P400" s="35" t="s">
        <v>152</v>
      </c>
      <c r="Q400" s="32">
        <v>2</v>
      </c>
      <c r="R400" s="37">
        <v>43084</v>
      </c>
      <c r="S400" s="37">
        <v>43100</v>
      </c>
      <c r="T400" s="37">
        <v>42739</v>
      </c>
      <c r="AE400" s="33"/>
      <c r="AF400" s="33"/>
      <c r="AG400" s="33"/>
      <c r="AH400" s="34"/>
    </row>
    <row r="401" spans="1:34" s="32" customFormat="1" x14ac:dyDescent="0.25">
      <c r="A401" s="35">
        <v>369</v>
      </c>
      <c r="B401" s="35" t="s">
        <v>50</v>
      </c>
      <c r="C401" s="35" t="s">
        <v>352</v>
      </c>
      <c r="D401" s="41" t="s">
        <v>154</v>
      </c>
      <c r="E401" s="38">
        <v>5000046361</v>
      </c>
      <c r="F401" s="35"/>
      <c r="G401" s="35">
        <f>0.2*2</f>
        <v>0.4</v>
      </c>
      <c r="H401" s="35">
        <v>91.25</v>
      </c>
      <c r="I401" s="35">
        <f t="shared" si="384"/>
        <v>91.25</v>
      </c>
      <c r="J401" s="35"/>
      <c r="K401" s="35" t="s">
        <v>53</v>
      </c>
      <c r="L401" s="35">
        <f t="shared" si="385"/>
        <v>228.125</v>
      </c>
      <c r="M401" s="35">
        <f t="shared" si="386"/>
        <v>228.125</v>
      </c>
      <c r="N401" s="35" t="s">
        <v>57</v>
      </c>
      <c r="O401" s="35" t="s">
        <v>54</v>
      </c>
      <c r="P401" s="35" t="s">
        <v>226</v>
      </c>
      <c r="Q401" s="32">
        <v>11</v>
      </c>
      <c r="R401" s="37">
        <v>43088</v>
      </c>
      <c r="S401" s="37">
        <v>43099</v>
      </c>
      <c r="T401" s="37">
        <v>42739</v>
      </c>
      <c r="AE401" s="33"/>
      <c r="AF401" s="33"/>
      <c r="AG401" s="33"/>
      <c r="AH401" s="34"/>
    </row>
    <row r="402" spans="1:34" s="32" customFormat="1" x14ac:dyDescent="0.25">
      <c r="A402" s="35">
        <v>370</v>
      </c>
      <c r="B402" s="35" t="s">
        <v>50</v>
      </c>
      <c r="C402" s="35" t="s">
        <v>352</v>
      </c>
      <c r="D402" s="41" t="s">
        <v>76</v>
      </c>
      <c r="E402" s="41">
        <v>5000046331</v>
      </c>
      <c r="F402" s="35"/>
      <c r="G402" s="35">
        <f>0.3*30</f>
        <v>9</v>
      </c>
      <c r="H402" s="48">
        <v>647</v>
      </c>
      <c r="I402" s="50">
        <f t="shared" si="384"/>
        <v>647</v>
      </c>
      <c r="J402" s="35"/>
      <c r="K402" s="47" t="s">
        <v>53</v>
      </c>
      <c r="L402" s="35">
        <f t="shared" si="385"/>
        <v>71.888888888888886</v>
      </c>
      <c r="M402" s="35">
        <f t="shared" si="386"/>
        <v>71.888888888888886</v>
      </c>
      <c r="N402" s="35" t="s">
        <v>57</v>
      </c>
      <c r="O402" s="35" t="s">
        <v>54</v>
      </c>
      <c r="P402" s="35" t="s">
        <v>104</v>
      </c>
      <c r="Q402" s="32">
        <v>11</v>
      </c>
      <c r="R402" s="37">
        <v>43090</v>
      </c>
      <c r="S402" s="37">
        <v>43099</v>
      </c>
      <c r="T402" s="37">
        <v>42739</v>
      </c>
      <c r="AE402" s="33"/>
      <c r="AF402" s="33"/>
      <c r="AG402" s="33"/>
      <c r="AH402" s="34"/>
    </row>
    <row r="403" spans="1:34" s="32" customFormat="1" x14ac:dyDescent="0.25">
      <c r="A403" s="35">
        <v>371</v>
      </c>
      <c r="B403" s="35" t="s">
        <v>50</v>
      </c>
      <c r="C403" s="35" t="s">
        <v>352</v>
      </c>
      <c r="D403" s="41" t="s">
        <v>76</v>
      </c>
      <c r="E403" s="41">
        <v>5000046333</v>
      </c>
      <c r="F403" s="35"/>
      <c r="G403" s="35">
        <f>0.2*9</f>
        <v>1.8</v>
      </c>
      <c r="H403" s="48">
        <v>164.88</v>
      </c>
      <c r="I403" s="50">
        <f t="shared" si="384"/>
        <v>164.88</v>
      </c>
      <c r="J403" s="35"/>
      <c r="K403" s="47" t="s">
        <v>53</v>
      </c>
      <c r="L403" s="35">
        <f t="shared" si="385"/>
        <v>91.6</v>
      </c>
      <c r="M403" s="35">
        <f t="shared" si="386"/>
        <v>91.6</v>
      </c>
      <c r="N403" s="35" t="s">
        <v>57</v>
      </c>
      <c r="O403" s="35" t="s">
        <v>54</v>
      </c>
      <c r="P403" s="35" t="s">
        <v>104</v>
      </c>
      <c r="Q403" s="32">
        <v>11</v>
      </c>
      <c r="R403" s="37">
        <v>43088</v>
      </c>
      <c r="S403" s="37">
        <v>43099</v>
      </c>
      <c r="T403" s="37">
        <v>42739</v>
      </c>
      <c r="AE403" s="33"/>
      <c r="AF403" s="33"/>
      <c r="AG403" s="33"/>
      <c r="AH403" s="34"/>
    </row>
    <row r="404" spans="1:34" s="32" customFormat="1" x14ac:dyDescent="0.25">
      <c r="A404" s="35">
        <v>372</v>
      </c>
      <c r="B404" s="35" t="s">
        <v>50</v>
      </c>
      <c r="C404" s="35" t="s">
        <v>352</v>
      </c>
      <c r="D404" s="41" t="s">
        <v>76</v>
      </c>
      <c r="E404" s="41">
        <v>5000046335</v>
      </c>
      <c r="F404" s="35"/>
      <c r="G404" s="35"/>
      <c r="H404" s="48">
        <v>795.92</v>
      </c>
      <c r="I404" s="50">
        <f t="shared" si="384"/>
        <v>795.92</v>
      </c>
      <c r="J404" s="35"/>
      <c r="K404" s="47" t="s">
        <v>53</v>
      </c>
      <c r="L404" s="35"/>
      <c r="M404" s="35"/>
      <c r="N404" s="35" t="s">
        <v>57</v>
      </c>
      <c r="O404" s="35" t="s">
        <v>54</v>
      </c>
      <c r="P404" s="35" t="s">
        <v>77</v>
      </c>
      <c r="Q404" s="32">
        <v>12</v>
      </c>
      <c r="R404" s="37">
        <v>43088</v>
      </c>
      <c r="S404" s="37">
        <v>43099</v>
      </c>
      <c r="T404" s="37">
        <v>42739</v>
      </c>
      <c r="AE404" s="33"/>
      <c r="AF404" s="33"/>
      <c r="AG404" s="33"/>
      <c r="AH404" s="34"/>
    </row>
    <row r="405" spans="1:34" s="32" customFormat="1" x14ac:dyDescent="0.25">
      <c r="A405" s="35">
        <v>373</v>
      </c>
      <c r="B405" s="35" t="s">
        <v>73</v>
      </c>
      <c r="C405" s="35" t="s">
        <v>352</v>
      </c>
      <c r="D405" s="41" t="s">
        <v>335</v>
      </c>
      <c r="E405" s="41">
        <v>2360073938</v>
      </c>
      <c r="F405" s="35"/>
      <c r="G405" s="35">
        <f>0.214*2</f>
        <v>0.42799999999999999</v>
      </c>
      <c r="H405" s="48">
        <v>316.5</v>
      </c>
      <c r="I405" s="50">
        <v>46.5</v>
      </c>
      <c r="J405" s="35"/>
      <c r="K405" s="47" t="s">
        <v>75</v>
      </c>
      <c r="L405" s="35">
        <f t="shared" ref="L405:L412" si="387">I405/G405</f>
        <v>108.64485981308411</v>
      </c>
      <c r="M405" s="35">
        <f t="shared" ref="M405:M412" si="388">H405/G405</f>
        <v>739.48598130841128</v>
      </c>
      <c r="N405" s="35" t="s">
        <v>54</v>
      </c>
      <c r="O405" s="35" t="s">
        <v>54</v>
      </c>
      <c r="P405" s="35" t="s">
        <v>111</v>
      </c>
      <c r="Q405" s="32">
        <v>11</v>
      </c>
      <c r="R405" s="37">
        <v>43083</v>
      </c>
      <c r="S405" s="37">
        <v>43099</v>
      </c>
      <c r="T405" s="37">
        <v>42739</v>
      </c>
      <c r="AE405" s="33"/>
      <c r="AF405" s="33"/>
      <c r="AG405" s="33"/>
      <c r="AH405" s="34"/>
    </row>
    <row r="406" spans="1:34" s="32" customFormat="1" x14ac:dyDescent="0.25">
      <c r="A406" s="35">
        <v>374</v>
      </c>
      <c r="B406" s="35" t="s">
        <v>73</v>
      </c>
      <c r="C406" s="35" t="s">
        <v>352</v>
      </c>
      <c r="D406" s="41" t="s">
        <v>131</v>
      </c>
      <c r="E406" s="41">
        <v>2360073935</v>
      </c>
      <c r="F406" s="35"/>
      <c r="G406" s="35">
        <f>0.6*3</f>
        <v>1.7999999999999998</v>
      </c>
      <c r="H406" s="48">
        <v>183.6</v>
      </c>
      <c r="I406" s="50">
        <f>H406</f>
        <v>183.6</v>
      </c>
      <c r="J406" s="35"/>
      <c r="K406" s="47" t="s">
        <v>75</v>
      </c>
      <c r="L406" s="35">
        <f t="shared" si="387"/>
        <v>102</v>
      </c>
      <c r="M406" s="35">
        <f t="shared" si="388"/>
        <v>102</v>
      </c>
      <c r="N406" s="35" t="s">
        <v>61</v>
      </c>
      <c r="O406" s="35" t="s">
        <v>62</v>
      </c>
      <c r="P406" s="35" t="s">
        <v>104</v>
      </c>
      <c r="Q406" s="32">
        <v>11</v>
      </c>
      <c r="R406" s="37">
        <v>43088</v>
      </c>
      <c r="S406" s="37">
        <v>43099</v>
      </c>
      <c r="T406" s="37">
        <v>42739</v>
      </c>
      <c r="AE406" s="33"/>
      <c r="AF406" s="33"/>
      <c r="AG406" s="33"/>
      <c r="AH406" s="34"/>
    </row>
    <row r="407" spans="1:34" s="32" customFormat="1" x14ac:dyDescent="0.25">
      <c r="A407" s="35">
        <v>375</v>
      </c>
      <c r="B407" s="35" t="s">
        <v>122</v>
      </c>
      <c r="C407" s="35" t="s">
        <v>352</v>
      </c>
      <c r="D407" s="41" t="s">
        <v>367</v>
      </c>
      <c r="E407" s="41">
        <v>2360074016</v>
      </c>
      <c r="F407" s="35"/>
      <c r="G407" s="35">
        <f>0.386*6</f>
        <v>2.3159999999999998</v>
      </c>
      <c r="H407" s="48">
        <v>217.8</v>
      </c>
      <c r="I407" s="50">
        <f>H407</f>
        <v>217.8</v>
      </c>
      <c r="J407" s="35"/>
      <c r="K407" s="47" t="s">
        <v>75</v>
      </c>
      <c r="L407" s="35">
        <f t="shared" si="387"/>
        <v>94.041450777202087</v>
      </c>
      <c r="M407" s="35">
        <f t="shared" si="388"/>
        <v>94.041450777202087</v>
      </c>
      <c r="N407" s="35" t="s">
        <v>82</v>
      </c>
      <c r="O407" s="35" t="s">
        <v>54</v>
      </c>
      <c r="P407" s="35" t="s">
        <v>332</v>
      </c>
      <c r="Q407" s="32">
        <v>11</v>
      </c>
      <c r="R407" s="37">
        <v>43062</v>
      </c>
      <c r="S407" s="37">
        <v>43099</v>
      </c>
      <c r="T407" s="37">
        <v>42739</v>
      </c>
      <c r="AE407" s="33"/>
      <c r="AF407" s="33"/>
      <c r="AG407" s="33"/>
      <c r="AH407" s="34"/>
    </row>
    <row r="408" spans="1:34" s="32" customFormat="1" x14ac:dyDescent="0.25">
      <c r="A408" s="35">
        <v>376</v>
      </c>
      <c r="B408" s="35" t="s">
        <v>58</v>
      </c>
      <c r="C408" s="35" t="s">
        <v>352</v>
      </c>
      <c r="D408" s="41" t="s">
        <v>368</v>
      </c>
      <c r="E408" s="41">
        <v>2360073924</v>
      </c>
      <c r="F408" s="35"/>
      <c r="G408" s="35">
        <f>0.771*4</f>
        <v>3.0840000000000001</v>
      </c>
      <c r="H408" s="48">
        <v>256.5</v>
      </c>
      <c r="I408" s="50">
        <f>H408</f>
        <v>256.5</v>
      </c>
      <c r="J408" s="35"/>
      <c r="K408" s="47" t="s">
        <v>75</v>
      </c>
      <c r="L408" s="35">
        <f t="shared" si="387"/>
        <v>83.171206225680933</v>
      </c>
      <c r="M408" s="35">
        <f t="shared" si="388"/>
        <v>83.171206225680933</v>
      </c>
      <c r="N408" s="35" t="s">
        <v>54</v>
      </c>
      <c r="O408" s="35" t="s">
        <v>54</v>
      </c>
      <c r="P408" s="35" t="s">
        <v>332</v>
      </c>
      <c r="Q408" s="32">
        <v>11</v>
      </c>
      <c r="R408" s="37">
        <v>43081</v>
      </c>
      <c r="S408" s="37">
        <v>43099</v>
      </c>
      <c r="T408" s="37">
        <v>42739</v>
      </c>
      <c r="AE408" s="33"/>
      <c r="AF408" s="33"/>
      <c r="AG408" s="33"/>
      <c r="AH408" s="34"/>
    </row>
    <row r="409" spans="1:34" s="32" customFormat="1" x14ac:dyDescent="0.25">
      <c r="A409" s="35">
        <v>377</v>
      </c>
      <c r="B409" s="35" t="s">
        <v>58</v>
      </c>
      <c r="C409" s="35" t="s">
        <v>352</v>
      </c>
      <c r="D409" s="41" t="s">
        <v>369</v>
      </c>
      <c r="E409" s="41">
        <v>2360073928</v>
      </c>
      <c r="F409" s="35"/>
      <c r="G409" s="35">
        <f>0.178*6</f>
        <v>1.0680000000000001</v>
      </c>
      <c r="H409" s="48">
        <v>114.35</v>
      </c>
      <c r="I409" s="50">
        <f>H409</f>
        <v>114.35</v>
      </c>
      <c r="J409" s="35"/>
      <c r="K409" s="47" t="s">
        <v>75</v>
      </c>
      <c r="L409" s="35">
        <f t="shared" si="387"/>
        <v>107.06928838951309</v>
      </c>
      <c r="M409" s="35">
        <f t="shared" si="388"/>
        <v>107.06928838951309</v>
      </c>
      <c r="N409" s="35" t="s">
        <v>54</v>
      </c>
      <c r="O409" s="35" t="s">
        <v>54</v>
      </c>
      <c r="P409" s="35" t="s">
        <v>104</v>
      </c>
      <c r="Q409" s="32">
        <v>11</v>
      </c>
      <c r="R409" s="37">
        <v>43085</v>
      </c>
      <c r="S409" s="37">
        <v>43099</v>
      </c>
      <c r="T409" s="37">
        <v>42739</v>
      </c>
      <c r="AE409" s="33"/>
      <c r="AF409" s="33"/>
      <c r="AG409" s="33"/>
      <c r="AH409" s="34"/>
    </row>
    <row r="410" spans="1:34" s="32" customFormat="1" x14ac:dyDescent="0.25">
      <c r="A410" s="35">
        <v>378</v>
      </c>
      <c r="B410" s="35" t="s">
        <v>79</v>
      </c>
      <c r="C410" s="35" t="s">
        <v>352</v>
      </c>
      <c r="D410" s="35" t="s">
        <v>87</v>
      </c>
      <c r="E410" s="35">
        <v>2360074117</v>
      </c>
      <c r="F410" s="35"/>
      <c r="G410" s="35">
        <f>0.188*3</f>
        <v>0.56400000000000006</v>
      </c>
      <c r="H410" s="35">
        <v>155</v>
      </c>
      <c r="I410" s="35">
        <v>58</v>
      </c>
      <c r="J410" s="35">
        <f>H410-I410</f>
        <v>97</v>
      </c>
      <c r="K410" s="35" t="s">
        <v>75</v>
      </c>
      <c r="L410" s="35">
        <f t="shared" si="387"/>
        <v>102.8368794326241</v>
      </c>
      <c r="M410" s="35">
        <f t="shared" si="388"/>
        <v>274.82269503546098</v>
      </c>
      <c r="N410" s="35" t="s">
        <v>82</v>
      </c>
      <c r="O410" s="35" t="s">
        <v>54</v>
      </c>
      <c r="P410" s="35" t="s">
        <v>111</v>
      </c>
      <c r="Q410" s="32">
        <v>11</v>
      </c>
      <c r="R410" s="37">
        <v>43100</v>
      </c>
      <c r="S410" s="37">
        <v>43100</v>
      </c>
      <c r="T410" s="37">
        <v>42739</v>
      </c>
      <c r="AE410" s="33"/>
      <c r="AF410" s="33"/>
      <c r="AG410" s="33"/>
      <c r="AH410" s="34"/>
    </row>
    <row r="411" spans="1:34" s="32" customFormat="1" x14ac:dyDescent="0.25">
      <c r="A411" s="35">
        <v>379</v>
      </c>
      <c r="B411" s="35" t="s">
        <v>79</v>
      </c>
      <c r="C411" s="35" t="s">
        <v>352</v>
      </c>
      <c r="D411" s="35" t="s">
        <v>327</v>
      </c>
      <c r="E411" s="35">
        <v>4201347457</v>
      </c>
      <c r="F411" s="35">
        <v>11</v>
      </c>
      <c r="G411" s="35">
        <f>2.9*10</f>
        <v>29</v>
      </c>
      <c r="H411" s="35">
        <v>3600</v>
      </c>
      <c r="I411" s="35">
        <f>H411</f>
        <v>3600</v>
      </c>
      <c r="J411" s="35"/>
      <c r="K411" s="35" t="s">
        <v>71</v>
      </c>
      <c r="L411" s="35">
        <f t="shared" si="387"/>
        <v>124.13793103448276</v>
      </c>
      <c r="M411" s="35">
        <f t="shared" si="388"/>
        <v>124.13793103448276</v>
      </c>
      <c r="N411" s="35" t="s">
        <v>61</v>
      </c>
      <c r="O411" s="35" t="s">
        <v>62</v>
      </c>
      <c r="P411" s="35" t="s">
        <v>235</v>
      </c>
      <c r="Q411" s="32">
        <v>1</v>
      </c>
      <c r="R411" s="37">
        <v>43100</v>
      </c>
      <c r="S411" s="37">
        <v>43100</v>
      </c>
      <c r="T411" s="37">
        <v>42739</v>
      </c>
      <c r="AE411" s="33"/>
      <c r="AF411" s="33"/>
      <c r="AG411" s="33"/>
      <c r="AH411" s="34"/>
    </row>
    <row r="412" spans="1:34" s="32" customFormat="1" x14ac:dyDescent="0.25">
      <c r="A412" s="35">
        <v>380</v>
      </c>
      <c r="B412" s="35" t="s">
        <v>50</v>
      </c>
      <c r="C412" s="35" t="s">
        <v>352</v>
      </c>
      <c r="D412" s="41" t="s">
        <v>99</v>
      </c>
      <c r="E412" s="41">
        <v>5000046643</v>
      </c>
      <c r="F412" s="35"/>
      <c r="G412" s="35">
        <f>0.439</f>
        <v>0.439</v>
      </c>
      <c r="H412" s="48">
        <v>38.5</v>
      </c>
      <c r="I412" s="50">
        <f t="shared" ref="I412" si="389">H412</f>
        <v>38.5</v>
      </c>
      <c r="J412" s="35"/>
      <c r="K412" s="47" t="s">
        <v>53</v>
      </c>
      <c r="L412" s="35">
        <f t="shared" si="387"/>
        <v>87.699316628701595</v>
      </c>
      <c r="M412" s="35">
        <f t="shared" si="388"/>
        <v>87.699316628701595</v>
      </c>
      <c r="N412" s="35" t="s">
        <v>57</v>
      </c>
      <c r="O412" s="35" t="s">
        <v>54</v>
      </c>
      <c r="P412" s="35" t="s">
        <v>104</v>
      </c>
      <c r="Q412" s="32">
        <v>11</v>
      </c>
      <c r="R412" s="37">
        <v>43090</v>
      </c>
      <c r="S412" s="37">
        <v>42751</v>
      </c>
      <c r="T412" s="37">
        <v>42751</v>
      </c>
      <c r="AE412" s="33"/>
      <c r="AF412" s="33"/>
      <c r="AG412" s="33"/>
      <c r="AH412" s="34"/>
    </row>
    <row r="413" spans="1:34" s="32" customFormat="1" x14ac:dyDescent="0.25">
      <c r="A413" s="35">
        <v>381</v>
      </c>
      <c r="B413" s="35" t="s">
        <v>50</v>
      </c>
      <c r="C413" s="35" t="s">
        <v>352</v>
      </c>
      <c r="D413" s="41" t="s">
        <v>99</v>
      </c>
      <c r="E413" s="41">
        <v>5000046419</v>
      </c>
      <c r="F413" s="35"/>
      <c r="G413" s="35">
        <f>0.615*6</f>
        <v>3.69</v>
      </c>
      <c r="H413" s="48">
        <v>311</v>
      </c>
      <c r="I413" s="50">
        <f t="shared" ref="I413:I416" si="390">H413</f>
        <v>311</v>
      </c>
      <c r="J413" s="35"/>
      <c r="K413" s="47" t="s">
        <v>53</v>
      </c>
      <c r="L413" s="35">
        <f t="shared" ref="L413:L416" si="391">I413/G413</f>
        <v>84.281842818428188</v>
      </c>
      <c r="M413" s="35">
        <f t="shared" ref="M413:M416" si="392">H413/G413</f>
        <v>84.281842818428188</v>
      </c>
      <c r="N413" s="35" t="s">
        <v>57</v>
      </c>
      <c r="O413" s="35" t="s">
        <v>54</v>
      </c>
      <c r="P413" s="35" t="s">
        <v>104</v>
      </c>
      <c r="Q413" s="32">
        <v>11</v>
      </c>
      <c r="R413" s="37">
        <v>43090</v>
      </c>
      <c r="S413" s="37">
        <v>42751</v>
      </c>
      <c r="T413" s="37">
        <v>42751</v>
      </c>
      <c r="AE413" s="33"/>
      <c r="AF413" s="33"/>
      <c r="AG413" s="33"/>
      <c r="AH413" s="34"/>
    </row>
    <row r="414" spans="1:34" s="32" customFormat="1" x14ac:dyDescent="0.25">
      <c r="A414" s="35">
        <v>382</v>
      </c>
      <c r="B414" s="35" t="s">
        <v>50</v>
      </c>
      <c r="C414" s="35" t="s">
        <v>352</v>
      </c>
      <c r="D414" s="41" t="s">
        <v>99</v>
      </c>
      <c r="E414" s="41">
        <v>5000046416</v>
      </c>
      <c r="F414" s="35"/>
      <c r="G414" s="35">
        <f>0.625*2</f>
        <v>1.25</v>
      </c>
      <c r="H414" s="48">
        <v>107.28</v>
      </c>
      <c r="I414" s="50">
        <f t="shared" si="390"/>
        <v>107.28</v>
      </c>
      <c r="J414" s="35"/>
      <c r="K414" s="47" t="s">
        <v>53</v>
      </c>
      <c r="L414" s="35">
        <f t="shared" si="391"/>
        <v>85.823999999999998</v>
      </c>
      <c r="M414" s="35">
        <f t="shared" si="392"/>
        <v>85.823999999999998</v>
      </c>
      <c r="N414" s="35" t="s">
        <v>57</v>
      </c>
      <c r="O414" s="35" t="s">
        <v>54</v>
      </c>
      <c r="P414" s="35" t="s">
        <v>104</v>
      </c>
      <c r="Q414" s="32">
        <v>11</v>
      </c>
      <c r="R414" s="37">
        <v>43090</v>
      </c>
      <c r="S414" s="37">
        <v>42751</v>
      </c>
      <c r="T414" s="37">
        <v>42751</v>
      </c>
      <c r="AE414" s="33"/>
      <c r="AF414" s="33"/>
      <c r="AG414" s="33"/>
      <c r="AH414" s="34"/>
    </row>
    <row r="415" spans="1:34" s="32" customFormat="1" x14ac:dyDescent="0.25">
      <c r="A415" s="35">
        <v>383</v>
      </c>
      <c r="B415" s="35" t="s">
        <v>50</v>
      </c>
      <c r="C415" s="35" t="s">
        <v>352</v>
      </c>
      <c r="D415" s="41" t="s">
        <v>99</v>
      </c>
      <c r="E415" s="41">
        <v>5000046417</v>
      </c>
      <c r="F415" s="35"/>
      <c r="G415" s="35">
        <v>0.503</v>
      </c>
      <c r="H415" s="48">
        <v>44</v>
      </c>
      <c r="I415" s="50">
        <f t="shared" si="390"/>
        <v>44</v>
      </c>
      <c r="J415" s="35"/>
      <c r="K415" s="47" t="s">
        <v>53</v>
      </c>
      <c r="L415" s="35">
        <f t="shared" si="391"/>
        <v>87.475149105367791</v>
      </c>
      <c r="M415" s="35">
        <f t="shared" si="392"/>
        <v>87.475149105367791</v>
      </c>
      <c r="N415" s="35" t="s">
        <v>57</v>
      </c>
      <c r="O415" s="35" t="s">
        <v>54</v>
      </c>
      <c r="P415" s="35" t="s">
        <v>104</v>
      </c>
      <c r="Q415" s="32">
        <v>11</v>
      </c>
      <c r="R415" s="37">
        <v>43090</v>
      </c>
      <c r="S415" s="37">
        <v>42751</v>
      </c>
      <c r="T415" s="37">
        <v>42751</v>
      </c>
      <c r="AE415" s="33"/>
      <c r="AF415" s="33"/>
      <c r="AG415" s="33"/>
      <c r="AH415" s="34"/>
    </row>
    <row r="416" spans="1:34" s="32" customFormat="1" x14ac:dyDescent="0.25">
      <c r="A416" s="35">
        <v>384</v>
      </c>
      <c r="B416" s="35" t="s">
        <v>50</v>
      </c>
      <c r="C416" s="35" t="s">
        <v>352</v>
      </c>
      <c r="D416" s="41" t="s">
        <v>99</v>
      </c>
      <c r="E416" s="41">
        <v>5000046418</v>
      </c>
      <c r="F416" s="35"/>
      <c r="G416" s="35">
        <f>0.425*2+0.35</f>
        <v>1.2</v>
      </c>
      <c r="H416" s="48">
        <v>143.27000000000001</v>
      </c>
      <c r="I416" s="50">
        <f t="shared" si="390"/>
        <v>143.27000000000001</v>
      </c>
      <c r="J416" s="35"/>
      <c r="K416" s="47" t="s">
        <v>53</v>
      </c>
      <c r="L416" s="35">
        <f t="shared" si="391"/>
        <v>119.39166666666668</v>
      </c>
      <c r="M416" s="35">
        <f t="shared" si="392"/>
        <v>119.39166666666668</v>
      </c>
      <c r="N416" s="35" t="s">
        <v>57</v>
      </c>
      <c r="O416" s="35" t="s">
        <v>54</v>
      </c>
      <c r="P416" s="35" t="s">
        <v>104</v>
      </c>
      <c r="Q416" s="32">
        <v>11</v>
      </c>
      <c r="R416" s="37">
        <v>43090</v>
      </c>
      <c r="S416" s="37">
        <v>42751</v>
      </c>
      <c r="T416" s="37">
        <v>42751</v>
      </c>
      <c r="AE416" s="33"/>
      <c r="AF416" s="33"/>
      <c r="AG416" s="33"/>
      <c r="AH416" s="34"/>
    </row>
    <row r="417" spans="1:34" s="32" customFormat="1" x14ac:dyDescent="0.25">
      <c r="A417" s="35">
        <v>385</v>
      </c>
      <c r="B417" s="35" t="s">
        <v>50</v>
      </c>
      <c r="C417" s="35" t="s">
        <v>352</v>
      </c>
      <c r="D417" s="41" t="s">
        <v>99</v>
      </c>
      <c r="E417" s="41">
        <v>5000046644</v>
      </c>
      <c r="F417" s="35"/>
      <c r="G417" s="35">
        <f>0.381*8</f>
        <v>3.048</v>
      </c>
      <c r="H417" s="48">
        <v>270.64999999999998</v>
      </c>
      <c r="I417" s="50">
        <f t="shared" ref="I417:I420" si="393">H417</f>
        <v>270.64999999999998</v>
      </c>
      <c r="J417" s="35"/>
      <c r="K417" s="47" t="s">
        <v>53</v>
      </c>
      <c r="L417" s="35">
        <f t="shared" ref="L417:L419" si="394">I417/G417</f>
        <v>88.795931758530173</v>
      </c>
      <c r="M417" s="35">
        <f t="shared" ref="M417:M419" si="395">H417/G417</f>
        <v>88.795931758530173</v>
      </c>
      <c r="N417" s="35" t="s">
        <v>57</v>
      </c>
      <c r="O417" s="35" t="s">
        <v>54</v>
      </c>
      <c r="P417" s="35" t="s">
        <v>104</v>
      </c>
      <c r="Q417" s="32">
        <v>11</v>
      </c>
      <c r="R417" s="37">
        <v>43090</v>
      </c>
      <c r="S417" s="37">
        <v>42751</v>
      </c>
      <c r="T417" s="37">
        <v>42751</v>
      </c>
      <c r="AE417" s="33"/>
      <c r="AF417" s="33"/>
      <c r="AG417" s="33"/>
      <c r="AH417" s="34"/>
    </row>
    <row r="418" spans="1:34" s="32" customFormat="1" x14ac:dyDescent="0.25">
      <c r="A418" s="35">
        <v>386</v>
      </c>
      <c r="B418" s="35" t="s">
        <v>50</v>
      </c>
      <c r="C418" s="35" t="s">
        <v>352</v>
      </c>
      <c r="D418" s="41" t="s">
        <v>99</v>
      </c>
      <c r="E418" s="41">
        <v>5000046645</v>
      </c>
      <c r="F418" s="35"/>
      <c r="G418" s="35">
        <f>(0.485+0.372+0.56)*6</f>
        <v>8.5020000000000007</v>
      </c>
      <c r="H418" s="48">
        <v>720.5</v>
      </c>
      <c r="I418" s="50">
        <f t="shared" si="393"/>
        <v>720.5</v>
      </c>
      <c r="J418" s="35"/>
      <c r="K418" s="47" t="s">
        <v>53</v>
      </c>
      <c r="L418" s="35">
        <f t="shared" si="394"/>
        <v>84.744765937426479</v>
      </c>
      <c r="M418" s="35">
        <f t="shared" si="395"/>
        <v>84.744765937426479</v>
      </c>
      <c r="N418" s="35" t="s">
        <v>57</v>
      </c>
      <c r="O418" s="35" t="s">
        <v>54</v>
      </c>
      <c r="P418" s="35" t="s">
        <v>104</v>
      </c>
      <c r="Q418" s="32">
        <v>11</v>
      </c>
      <c r="R418" s="37">
        <v>43090</v>
      </c>
      <c r="S418" s="37">
        <v>42751</v>
      </c>
      <c r="T418" s="37">
        <v>42751</v>
      </c>
      <c r="AE418" s="33"/>
      <c r="AF418" s="33"/>
      <c r="AG418" s="33"/>
      <c r="AH418" s="34"/>
    </row>
    <row r="419" spans="1:34" s="32" customFormat="1" x14ac:dyDescent="0.25">
      <c r="A419" s="35">
        <v>387</v>
      </c>
      <c r="B419" s="35" t="s">
        <v>50</v>
      </c>
      <c r="C419" s="35" t="s">
        <v>51</v>
      </c>
      <c r="D419" s="35" t="s">
        <v>99</v>
      </c>
      <c r="E419" s="35">
        <v>5000046701</v>
      </c>
      <c r="F419" s="35"/>
      <c r="G419" s="35">
        <f>0.5*6</f>
        <v>3</v>
      </c>
      <c r="H419" s="35">
        <v>333</v>
      </c>
      <c r="I419" s="35">
        <f t="shared" si="393"/>
        <v>333</v>
      </c>
      <c r="J419" s="35"/>
      <c r="K419" s="35" t="s">
        <v>53</v>
      </c>
      <c r="L419" s="35">
        <f t="shared" si="394"/>
        <v>111</v>
      </c>
      <c r="M419" s="35">
        <f t="shared" si="395"/>
        <v>111</v>
      </c>
      <c r="N419" s="35" t="s">
        <v>57</v>
      </c>
      <c r="O419" s="35" t="s">
        <v>54</v>
      </c>
      <c r="P419" s="35" t="s">
        <v>370</v>
      </c>
      <c r="Q419" s="32">
        <v>12</v>
      </c>
      <c r="R419" s="37">
        <v>43090</v>
      </c>
      <c r="S419" s="37">
        <v>42753</v>
      </c>
      <c r="T419" s="37">
        <v>42753</v>
      </c>
      <c r="AE419" s="33"/>
      <c r="AF419" s="33"/>
      <c r="AG419" s="33"/>
      <c r="AH419" s="34"/>
    </row>
    <row r="420" spans="1:34" s="32" customFormat="1" x14ac:dyDescent="0.25">
      <c r="A420" s="35">
        <v>388</v>
      </c>
      <c r="B420" s="35" t="s">
        <v>65</v>
      </c>
      <c r="C420" s="35" t="s">
        <v>352</v>
      </c>
      <c r="D420" s="35" t="s">
        <v>371</v>
      </c>
      <c r="E420" s="35">
        <v>4201349045</v>
      </c>
      <c r="F420" s="35">
        <v>765</v>
      </c>
      <c r="G420" s="35">
        <v>5902</v>
      </c>
      <c r="H420" s="35">
        <v>470000</v>
      </c>
      <c r="I420" s="35">
        <f t="shared" si="393"/>
        <v>470000</v>
      </c>
      <c r="J420" s="35"/>
      <c r="K420" s="35" t="s">
        <v>346</v>
      </c>
      <c r="L420" s="35">
        <f t="shared" ref="L420" si="396">I420/G420</f>
        <v>79.634022365299899</v>
      </c>
      <c r="M420" s="35">
        <f t="shared" ref="M420" si="397">H420/G420</f>
        <v>79.634022365299899</v>
      </c>
      <c r="N420" s="35" t="s">
        <v>322</v>
      </c>
      <c r="O420" s="35" t="s">
        <v>62</v>
      </c>
      <c r="P420" s="35" t="s">
        <v>372</v>
      </c>
      <c r="Q420" s="32">
        <v>6</v>
      </c>
      <c r="R420" s="37">
        <v>43100</v>
      </c>
      <c r="S420" s="37">
        <v>42814</v>
      </c>
      <c r="T420" s="37">
        <v>42814</v>
      </c>
      <c r="AE420" s="33"/>
      <c r="AF420" s="33"/>
      <c r="AG420" s="33"/>
      <c r="AH420" s="34"/>
    </row>
    <row r="421" spans="1:34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AE421" s="2"/>
      <c r="AF421" s="2"/>
      <c r="AG421" s="2"/>
      <c r="AH421" s="3"/>
    </row>
    <row r="422" spans="1:34" x14ac:dyDescent="0.25">
      <c r="AE422" s="2"/>
      <c r="AF422" s="2"/>
      <c r="AG422" s="2"/>
      <c r="AH422" s="3"/>
    </row>
    <row r="424" spans="1:34" x14ac:dyDescent="0.25">
      <c r="D424" s="28" t="s">
        <v>186</v>
      </c>
      <c r="E424" s="29"/>
      <c r="F424" s="29"/>
      <c r="G424" s="39">
        <f>SUM(G2:G423)</f>
        <v>12600.259200000004</v>
      </c>
      <c r="H424" s="30">
        <f>SUM(H2:H423)</f>
        <v>1351880.0965000005</v>
      </c>
      <c r="J424">
        <f>645+156</f>
        <v>801</v>
      </c>
      <c r="P424">
        <v>573</v>
      </c>
      <c r="Q424" t="s">
        <v>304</v>
      </c>
    </row>
    <row r="425" spans="1:34" x14ac:dyDescent="0.25">
      <c r="J425">
        <f>J424+470</f>
        <v>1271</v>
      </c>
      <c r="P425">
        <v>160</v>
      </c>
      <c r="Q425" t="s">
        <v>299</v>
      </c>
    </row>
    <row r="426" spans="1:34" x14ac:dyDescent="0.25">
      <c r="J426">
        <f>J425+30</f>
        <v>1301</v>
      </c>
      <c r="P426">
        <v>20</v>
      </c>
      <c r="Q426" t="s">
        <v>300</v>
      </c>
    </row>
    <row r="427" spans="1:34" x14ac:dyDescent="0.25">
      <c r="P427">
        <v>100</v>
      </c>
      <c r="Q427" t="s">
        <v>301</v>
      </c>
    </row>
    <row r="429" spans="1:34" x14ac:dyDescent="0.25">
      <c r="Q429" t="s">
        <v>302</v>
      </c>
    </row>
    <row r="430" spans="1:34" x14ac:dyDescent="0.25">
      <c r="P430">
        <v>708</v>
      </c>
      <c r="Q430" t="s">
        <v>303</v>
      </c>
    </row>
    <row r="432" spans="1:34" x14ac:dyDescent="0.25">
      <c r="F432" t="s">
        <v>161</v>
      </c>
      <c r="G432" t="s">
        <v>159</v>
      </c>
      <c r="H432">
        <v>5789</v>
      </c>
      <c r="I432">
        <v>445</v>
      </c>
      <c r="J432">
        <f>I432/H432</f>
        <v>7.6869925721195373E-2</v>
      </c>
      <c r="M432">
        <f>445*0.65</f>
        <v>289.25</v>
      </c>
      <c r="O432">
        <f>445*1.1</f>
        <v>489.50000000000006</v>
      </c>
    </row>
    <row r="433" spans="6:15" x14ac:dyDescent="0.25">
      <c r="F433" t="s">
        <v>161</v>
      </c>
      <c r="G433" t="s">
        <v>160</v>
      </c>
      <c r="H433">
        <v>4910</v>
      </c>
      <c r="I433">
        <v>340</v>
      </c>
      <c r="J433">
        <f>I433/H433</f>
        <v>6.9246435845213852E-2</v>
      </c>
      <c r="L433">
        <f>1000*76</f>
        <v>76000</v>
      </c>
      <c r="O433">
        <f>415/490</f>
        <v>0.84693877551020413</v>
      </c>
    </row>
    <row r="434" spans="6:15" x14ac:dyDescent="0.25">
      <c r="L434">
        <f>340+76</f>
        <v>416</v>
      </c>
      <c r="M434">
        <f>416/445</f>
        <v>0.93483146067415734</v>
      </c>
    </row>
    <row r="435" spans="6:15" x14ac:dyDescent="0.25">
      <c r="G435" t="s">
        <v>159</v>
      </c>
      <c r="H435">
        <v>441762470</v>
      </c>
      <c r="J435" t="s">
        <v>162</v>
      </c>
      <c r="K435">
        <f>442/470</f>
        <v>0.94042553191489364</v>
      </c>
      <c r="L435">
        <v>442</v>
      </c>
    </row>
    <row r="436" spans="6:15" x14ac:dyDescent="0.25">
      <c r="G436" t="s">
        <v>163</v>
      </c>
      <c r="H436">
        <v>23130042</v>
      </c>
      <c r="L436">
        <v>23</v>
      </c>
    </row>
    <row r="437" spans="6:15" x14ac:dyDescent="0.25">
      <c r="L437">
        <f>470*0.95</f>
        <v>446.5</v>
      </c>
    </row>
    <row r="438" spans="6:15" x14ac:dyDescent="0.25">
      <c r="L438">
        <f>25*0.95</f>
        <v>23.75</v>
      </c>
    </row>
  </sheetData>
  <autoFilter ref="A1:AH41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Nair</dc:creator>
  <cp:lastModifiedBy>Bhawna Basu</cp:lastModifiedBy>
  <dcterms:created xsi:type="dcterms:W3CDTF">2016-01-08T05:23:20Z</dcterms:created>
  <dcterms:modified xsi:type="dcterms:W3CDTF">2017-03-20T06:19:47Z</dcterms:modified>
</cp:coreProperties>
</file>