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DITYA\Desktop\ABB\"/>
    </mc:Choice>
  </mc:AlternateContent>
  <xr:revisionPtr revIDLastSave="0" documentId="13_ncr:1_{7C51449E-3DF2-4870-B2B4-B7CDB28E4EEA}" xr6:coauthVersionLast="40" xr6:coauthVersionMax="40" xr10:uidLastSave="{00000000-0000-0000-0000-000000000000}"/>
  <bookViews>
    <workbookView xWindow="0" yWindow="0" windowWidth="10056" windowHeight="5928" activeTab="1" xr2:uid="{00000000-000D-0000-FFFF-FFFF00000000}"/>
  </bookViews>
  <sheets>
    <sheet name="LV" sheetId="2" r:id="rId1"/>
    <sheet name="HVMV" sheetId="1" r:id="rId2"/>
  </sheets>
  <definedNames>
    <definedName name="_xlnm._FilterDatabase" localSheetId="1" hidden="1">HVMV!$A$1:$AJ$416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4" i="1" l="1"/>
  <c r="M334" i="1" s="1"/>
  <c r="I334" i="1"/>
  <c r="N334" i="1" s="1"/>
  <c r="H334" i="1"/>
  <c r="G334" i="1"/>
  <c r="I333" i="1"/>
  <c r="J333" i="1" s="1"/>
  <c r="M333" i="1" s="1"/>
  <c r="G333" i="1"/>
  <c r="J332" i="1"/>
  <c r="M332" i="1" s="1"/>
  <c r="I332" i="1"/>
  <c r="N332" i="1" s="1"/>
  <c r="G331" i="1"/>
  <c r="N331" i="1" s="1"/>
  <c r="J331" i="1"/>
  <c r="J330" i="1"/>
  <c r="G330" i="1"/>
  <c r="N330" i="1" s="1"/>
  <c r="N329" i="1"/>
  <c r="J329" i="1"/>
  <c r="I329" i="1"/>
  <c r="G329" i="1"/>
  <c r="J328" i="1"/>
  <c r="J327" i="1"/>
  <c r="G327" i="1"/>
  <c r="N327" i="1" s="1"/>
  <c r="I43" i="2"/>
  <c r="N333" i="1" l="1"/>
  <c r="M331" i="1"/>
  <c r="K334" i="1"/>
  <c r="M327" i="1"/>
  <c r="M330" i="1"/>
  <c r="M329" i="1"/>
  <c r="J326" i="1"/>
  <c r="H326" i="1"/>
  <c r="I37" i="2" l="1"/>
  <c r="I38" i="2"/>
  <c r="J325" i="1"/>
  <c r="M325" i="1" s="1"/>
  <c r="N325" i="1"/>
  <c r="J324" i="1"/>
  <c r="M324" i="1" s="1"/>
  <c r="N324" i="1"/>
  <c r="N323" i="1"/>
  <c r="J323" i="1"/>
  <c r="M323" i="1" s="1"/>
  <c r="J322" i="1"/>
  <c r="M322" i="1" s="1"/>
  <c r="J321" i="1"/>
  <c r="M321" i="1" s="1"/>
  <c r="N322" i="1"/>
  <c r="N321" i="1"/>
  <c r="K321" i="1"/>
  <c r="N320" i="1"/>
  <c r="M320" i="1"/>
  <c r="K320" i="1"/>
  <c r="K319" i="1"/>
  <c r="J318" i="1"/>
  <c r="M318" i="1" s="1"/>
  <c r="J317" i="1"/>
  <c r="M317" i="1" s="1"/>
  <c r="J316" i="1"/>
  <c r="M316" i="1" s="1"/>
  <c r="N319" i="1"/>
  <c r="M319" i="1"/>
  <c r="N318" i="1"/>
  <c r="N317" i="1"/>
  <c r="N316" i="1"/>
  <c r="J315" i="1"/>
  <c r="G315" i="1"/>
  <c r="N315" i="1" s="1"/>
  <c r="J314" i="1"/>
  <c r="K313" i="1"/>
  <c r="J312" i="1"/>
  <c r="J311" i="1"/>
  <c r="M311" i="1" s="1"/>
  <c r="I42" i="2"/>
  <c r="I41" i="2"/>
  <c r="K310" i="1"/>
  <c r="K309" i="1"/>
  <c r="N313" i="1"/>
  <c r="M313" i="1"/>
  <c r="N312" i="1"/>
  <c r="N311" i="1"/>
  <c r="N310" i="1"/>
  <c r="M310" i="1"/>
  <c r="N309" i="1"/>
  <c r="M309" i="1"/>
  <c r="J308" i="1"/>
  <c r="G308" i="1"/>
  <c r="N308" i="1" s="1"/>
  <c r="K307" i="1"/>
  <c r="M307" i="1"/>
  <c r="N307" i="1"/>
  <c r="N306" i="1"/>
  <c r="J306" i="1"/>
  <c r="M306" i="1" s="1"/>
  <c r="I40" i="2"/>
  <c r="J305" i="1"/>
  <c r="G305" i="1"/>
  <c r="N305" i="1" s="1"/>
  <c r="N304" i="1"/>
  <c r="M305" i="1" l="1"/>
  <c r="M315" i="1"/>
  <c r="M308" i="1"/>
  <c r="K322" i="1"/>
  <c r="J304" i="1"/>
  <c r="M304" i="1" s="1"/>
  <c r="N303" i="1" l="1"/>
  <c r="J303" i="1"/>
  <c r="M303" i="1" s="1"/>
  <c r="J302" i="1"/>
  <c r="M302" i="1" s="1"/>
  <c r="N302" i="1"/>
  <c r="J301" i="1"/>
  <c r="M301" i="1"/>
  <c r="N301" i="1"/>
  <c r="J300" i="1"/>
  <c r="M300" i="1" s="1"/>
  <c r="N300" i="1"/>
  <c r="J299" i="1"/>
  <c r="M299" i="1" s="1"/>
  <c r="N299" i="1"/>
  <c r="J298" i="1"/>
  <c r="M298" i="1" s="1"/>
  <c r="N298" i="1"/>
  <c r="J297" i="1"/>
  <c r="M297" i="1" s="1"/>
  <c r="N297" i="1"/>
  <c r="J296" i="1"/>
  <c r="M296" i="1" s="1"/>
  <c r="N296" i="1"/>
  <c r="J295" i="1" l="1"/>
  <c r="M295" i="1" s="1"/>
  <c r="N295" i="1"/>
  <c r="J294" i="1"/>
  <c r="G294" i="1"/>
  <c r="N294" i="1" s="1"/>
  <c r="J293" i="1"/>
  <c r="M293" i="1"/>
  <c r="N293" i="1"/>
  <c r="G293" i="1"/>
  <c r="J292" i="1"/>
  <c r="G292" i="1"/>
  <c r="N292" i="1" s="1"/>
  <c r="J291" i="1"/>
  <c r="G291" i="1"/>
  <c r="N291" i="1" s="1"/>
  <c r="G290" i="1"/>
  <c r="N290" i="1" s="1"/>
  <c r="J290" i="1"/>
  <c r="N289" i="1"/>
  <c r="J289" i="1"/>
  <c r="M289" i="1" s="1"/>
  <c r="M294" i="1" l="1"/>
  <c r="M290" i="1"/>
  <c r="M292" i="1"/>
  <c r="M291" i="1"/>
  <c r="J288" i="1"/>
  <c r="G288" i="1"/>
  <c r="N288" i="1" s="1"/>
  <c r="M288" i="1" l="1"/>
  <c r="I35" i="2"/>
  <c r="H34" i="2"/>
  <c r="I34" i="2"/>
  <c r="J287" i="1"/>
  <c r="M287" i="1" s="1"/>
  <c r="G287" i="1"/>
  <c r="N287" i="1" s="1"/>
  <c r="J286" i="1"/>
  <c r="G286" i="1"/>
  <c r="N286" i="1" s="1"/>
  <c r="J285" i="1"/>
  <c r="G285" i="1"/>
  <c r="N285" i="1" s="1"/>
  <c r="N275" i="1"/>
  <c r="G284" i="1"/>
  <c r="N284" i="1"/>
  <c r="J284" i="1"/>
  <c r="G283" i="1"/>
  <c r="N283" i="1" s="1"/>
  <c r="J283" i="1"/>
  <c r="J282" i="1"/>
  <c r="G281" i="1"/>
  <c r="N281" i="1" s="1"/>
  <c r="J281" i="1"/>
  <c r="N279" i="1"/>
  <c r="N276" i="1"/>
  <c r="M285" i="1" l="1"/>
  <c r="M286" i="1"/>
  <c r="M284" i="1"/>
  <c r="M281" i="1"/>
  <c r="M283" i="1"/>
  <c r="N280" i="1"/>
  <c r="J280" i="1"/>
  <c r="M280" i="1" s="1"/>
  <c r="J279" i="1"/>
  <c r="M279" i="1" s="1"/>
  <c r="J278" i="1"/>
  <c r="G278" i="1"/>
  <c r="N278" i="1" s="1"/>
  <c r="J277" i="1"/>
  <c r="J276" i="1"/>
  <c r="M276" i="1" s="1"/>
  <c r="J275" i="1"/>
  <c r="M275" i="1" s="1"/>
  <c r="H33" i="2"/>
  <c r="I33" i="2" s="1"/>
  <c r="M33" i="2"/>
  <c r="J274" i="1"/>
  <c r="M274" i="1" s="1"/>
  <c r="N274" i="1"/>
  <c r="N273" i="1"/>
  <c r="J273" i="1"/>
  <c r="M273" i="1" s="1"/>
  <c r="J272" i="1"/>
  <c r="M272" i="1" s="1"/>
  <c r="N272" i="1"/>
  <c r="J271" i="1"/>
  <c r="M271" i="1" s="1"/>
  <c r="N271" i="1"/>
  <c r="J270" i="1"/>
  <c r="M270" i="1" s="1"/>
  <c r="N270" i="1"/>
  <c r="N269" i="1"/>
  <c r="J269" i="1"/>
  <c r="M269" i="1" s="1"/>
  <c r="J268" i="1"/>
  <c r="M268" i="1" s="1"/>
  <c r="N268" i="1"/>
  <c r="N267" i="1"/>
  <c r="J267" i="1"/>
  <c r="M267" i="1" s="1"/>
  <c r="N266" i="1"/>
  <c r="M266" i="1"/>
  <c r="K266" i="1"/>
  <c r="J265" i="1"/>
  <c r="G265" i="1"/>
  <c r="N265" i="1" s="1"/>
  <c r="J264" i="1"/>
  <c r="I263" i="1"/>
  <c r="J263" i="1" s="1"/>
  <c r="G263" i="1"/>
  <c r="I262" i="1"/>
  <c r="J262" i="1" s="1"/>
  <c r="M262" i="1" s="1"/>
  <c r="G262" i="1"/>
  <c r="J261" i="1"/>
  <c r="G261" i="1"/>
  <c r="N261" i="1" s="1"/>
  <c r="N260" i="1"/>
  <c r="J260" i="1"/>
  <c r="M260" i="1" s="1"/>
  <c r="J259" i="1"/>
  <c r="J258" i="1"/>
  <c r="G258" i="1"/>
  <c r="N258" i="1" s="1"/>
  <c r="I32" i="2"/>
  <c r="I31" i="2"/>
  <c r="I30" i="2"/>
  <c r="J257" i="1"/>
  <c r="J256" i="1"/>
  <c r="M256" i="1" s="1"/>
  <c r="N256" i="1"/>
  <c r="J255" i="1"/>
  <c r="M255" i="1" s="1"/>
  <c r="N255" i="1"/>
  <c r="J254" i="1"/>
  <c r="M254" i="1" s="1"/>
  <c r="N254" i="1"/>
  <c r="J253" i="1"/>
  <c r="M253" i="1" s="1"/>
  <c r="N253" i="1"/>
  <c r="N252" i="1"/>
  <c r="J252" i="1"/>
  <c r="M252" i="1" s="1"/>
  <c r="J251" i="1"/>
  <c r="G251" i="1"/>
  <c r="N251" i="1" s="1"/>
  <c r="N250" i="1"/>
  <c r="J250" i="1"/>
  <c r="G250" i="1"/>
  <c r="J249" i="1"/>
  <c r="J248" i="1"/>
  <c r="G248" i="1"/>
  <c r="N248" i="1" s="1"/>
  <c r="N247" i="1"/>
  <c r="J247" i="1"/>
  <c r="M247" i="1" s="1"/>
  <c r="J246" i="1"/>
  <c r="G246" i="1"/>
  <c r="N246" i="1" s="1"/>
  <c r="J244" i="1"/>
  <c r="J245" i="1"/>
  <c r="J243" i="1"/>
  <c r="N242" i="1"/>
  <c r="J242" i="1"/>
  <c r="M242" i="1" s="1"/>
  <c r="I242" i="1"/>
  <c r="J241" i="1"/>
  <c r="J240" i="1"/>
  <c r="N239" i="1"/>
  <c r="J239" i="1"/>
  <c r="M239" i="1" s="1"/>
  <c r="J238" i="1"/>
  <c r="M238" i="1"/>
  <c r="J237" i="1"/>
  <c r="M237" i="1" s="1"/>
  <c r="J236" i="1"/>
  <c r="M236" i="1" s="1"/>
  <c r="N238" i="1"/>
  <c r="N237" i="1"/>
  <c r="N236" i="1"/>
  <c r="N235" i="1"/>
  <c r="J235" i="1"/>
  <c r="M235" i="1"/>
  <c r="N234" i="1"/>
  <c r="J234" i="1"/>
  <c r="M234" i="1" s="1"/>
  <c r="N233" i="1"/>
  <c r="M233" i="1"/>
  <c r="K233" i="1"/>
  <c r="K232" i="1"/>
  <c r="N232" i="1"/>
  <c r="M232" i="1"/>
  <c r="N231" i="1"/>
  <c r="M231" i="1"/>
  <c r="J230" i="1"/>
  <c r="M230" i="1"/>
  <c r="N230" i="1"/>
  <c r="K229" i="1"/>
  <c r="M229" i="1"/>
  <c r="N229" i="1"/>
  <c r="J228" i="1"/>
  <c r="M228" i="1" s="1"/>
  <c r="N228" i="1"/>
  <c r="N227" i="1"/>
  <c r="M227" i="1"/>
  <c r="K227" i="1"/>
  <c r="J226" i="1"/>
  <c r="G226" i="1"/>
  <c r="N226" i="1" s="1"/>
  <c r="N225" i="1"/>
  <c r="J225" i="1"/>
  <c r="M225" i="1" s="1"/>
  <c r="J224" i="1"/>
  <c r="G224" i="1"/>
  <c r="M223" i="1"/>
  <c r="I223" i="1"/>
  <c r="N223" i="1" s="1"/>
  <c r="J222" i="1"/>
  <c r="M222" i="1" s="1"/>
  <c r="N222" i="1"/>
  <c r="N221" i="1"/>
  <c r="J221" i="1"/>
  <c r="M221" i="1" s="1"/>
  <c r="N220" i="1"/>
  <c r="M220" i="1"/>
  <c r="N219" i="1"/>
  <c r="N218" i="1"/>
  <c r="J219" i="1"/>
  <c r="M219" i="1"/>
  <c r="J218" i="1"/>
  <c r="M218" i="1" s="1"/>
  <c r="J217" i="1"/>
  <c r="M217" i="1" s="1"/>
  <c r="J216" i="1"/>
  <c r="M216" i="1" s="1"/>
  <c r="J207" i="1"/>
  <c r="K215" i="1"/>
  <c r="M215" i="1"/>
  <c r="J214" i="1"/>
  <c r="M214" i="1"/>
  <c r="K213" i="1"/>
  <c r="M213" i="1"/>
  <c r="J212" i="1"/>
  <c r="M212" i="1" s="1"/>
  <c r="N217" i="1"/>
  <c r="N216" i="1"/>
  <c r="N215" i="1"/>
  <c r="N214" i="1"/>
  <c r="N213" i="1"/>
  <c r="N212" i="1"/>
  <c r="J211" i="1"/>
  <c r="M211" i="1" s="1"/>
  <c r="G211" i="1"/>
  <c r="N211" i="1" s="1"/>
  <c r="J210" i="1"/>
  <c r="M210" i="1" s="1"/>
  <c r="J209" i="1"/>
  <c r="H209" i="1"/>
  <c r="G208" i="1"/>
  <c r="N208" i="1" s="1"/>
  <c r="J208" i="1"/>
  <c r="M208" i="1" s="1"/>
  <c r="J206" i="1"/>
  <c r="J205" i="1"/>
  <c r="J204" i="1"/>
  <c r="M204" i="1" s="1"/>
  <c r="N210" i="1"/>
  <c r="N204" i="1"/>
  <c r="J203" i="1"/>
  <c r="G203" i="1"/>
  <c r="N203" i="1" s="1"/>
  <c r="J202" i="1"/>
  <c r="M202" i="1" s="1"/>
  <c r="N202" i="1"/>
  <c r="J201" i="1"/>
  <c r="M201" i="1" s="1"/>
  <c r="N201" i="1"/>
  <c r="N200" i="1"/>
  <c r="J200" i="1"/>
  <c r="M200" i="1" s="1"/>
  <c r="G199" i="1"/>
  <c r="J199" i="1"/>
  <c r="M199" i="1" s="1"/>
  <c r="N199" i="1"/>
  <c r="J198" i="1"/>
  <c r="M198" i="1" s="1"/>
  <c r="N198" i="1"/>
  <c r="N197" i="1"/>
  <c r="I196" i="1"/>
  <c r="J196" i="1" s="1"/>
  <c r="M196" i="1" s="1"/>
  <c r="N195" i="1"/>
  <c r="J195" i="1"/>
  <c r="M195" i="1"/>
  <c r="J194" i="1"/>
  <c r="G194" i="1"/>
  <c r="N194" i="1" s="1"/>
  <c r="J193" i="1"/>
  <c r="M193" i="1" s="1"/>
  <c r="N193" i="1"/>
  <c r="N192" i="1"/>
  <c r="J192" i="1"/>
  <c r="M192" i="1" s="1"/>
  <c r="G191" i="1"/>
  <c r="N191" i="1"/>
  <c r="J191" i="1"/>
  <c r="N190" i="1"/>
  <c r="J190" i="1"/>
  <c r="M190" i="1" s="1"/>
  <c r="J197" i="1"/>
  <c r="M197" i="1" s="1"/>
  <c r="N189" i="1"/>
  <c r="J189" i="1"/>
  <c r="M189" i="1" s="1"/>
  <c r="N188" i="1"/>
  <c r="M188" i="1"/>
  <c r="K188" i="1"/>
  <c r="N187" i="1"/>
  <c r="J187" i="1"/>
  <c r="M187" i="1" s="1"/>
  <c r="N186" i="1"/>
  <c r="J186" i="1"/>
  <c r="M186" i="1" s="1"/>
  <c r="N185" i="1"/>
  <c r="M185" i="1"/>
  <c r="K185" i="1"/>
  <c r="N184" i="1"/>
  <c r="M184" i="1"/>
  <c r="K184" i="1"/>
  <c r="J183" i="1"/>
  <c r="I183" i="1"/>
  <c r="N183" i="1" s="1"/>
  <c r="J182" i="1"/>
  <c r="M182" i="1" s="1"/>
  <c r="N182" i="1"/>
  <c r="N181" i="1"/>
  <c r="J181" i="1"/>
  <c r="M181" i="1" s="1"/>
  <c r="I180" i="1"/>
  <c r="N180" i="1" s="1"/>
  <c r="J179" i="1"/>
  <c r="G179" i="1"/>
  <c r="I178" i="1"/>
  <c r="J178" i="1" s="1"/>
  <c r="H177" i="1"/>
  <c r="K177" i="1"/>
  <c r="G177" i="1"/>
  <c r="M177" i="1" s="1"/>
  <c r="J176" i="1"/>
  <c r="G176" i="1"/>
  <c r="N176" i="1"/>
  <c r="I175" i="1"/>
  <c r="K175" i="1" s="1"/>
  <c r="G175" i="1"/>
  <c r="M175" i="1" s="1"/>
  <c r="J174" i="1"/>
  <c r="I28" i="2"/>
  <c r="I27" i="2"/>
  <c r="I26" i="2"/>
  <c r="I25" i="2"/>
  <c r="I24" i="2"/>
  <c r="J173" i="1"/>
  <c r="N172" i="1"/>
  <c r="J172" i="1"/>
  <c r="M172" i="1" s="1"/>
  <c r="I171" i="1"/>
  <c r="G171" i="1"/>
  <c r="I170" i="1"/>
  <c r="J170" i="1" s="1"/>
  <c r="M170" i="1" s="1"/>
  <c r="G170" i="1"/>
  <c r="J169" i="1"/>
  <c r="M169" i="1" s="1"/>
  <c r="N169" i="1"/>
  <c r="N168" i="1"/>
  <c r="J168" i="1"/>
  <c r="M168" i="1" s="1"/>
  <c r="J167" i="1"/>
  <c r="M167" i="1"/>
  <c r="N167" i="1"/>
  <c r="G167" i="1"/>
  <c r="J166" i="1"/>
  <c r="G166" i="1"/>
  <c r="N166" i="1" s="1"/>
  <c r="N165" i="1"/>
  <c r="M165" i="1"/>
  <c r="K165" i="1"/>
  <c r="G164" i="1"/>
  <c r="N164" i="1" s="1"/>
  <c r="J164" i="1"/>
  <c r="G163" i="1"/>
  <c r="N163" i="1"/>
  <c r="J163" i="1"/>
  <c r="J162" i="1"/>
  <c r="N161" i="1"/>
  <c r="J161" i="1"/>
  <c r="M161" i="1" s="1"/>
  <c r="N160" i="1"/>
  <c r="J160" i="1"/>
  <c r="K160" i="1" s="1"/>
  <c r="J159" i="1"/>
  <c r="G159" i="1"/>
  <c r="N159" i="1" s="1"/>
  <c r="I158" i="1"/>
  <c r="J158" i="1" s="1"/>
  <c r="K157" i="1"/>
  <c r="M157" i="1"/>
  <c r="N157" i="1"/>
  <c r="N153" i="1"/>
  <c r="J153" i="1"/>
  <c r="M153" i="1" s="1"/>
  <c r="G153" i="1"/>
  <c r="J156" i="1"/>
  <c r="M156" i="1" s="1"/>
  <c r="N156" i="1"/>
  <c r="N155" i="1"/>
  <c r="M155" i="1"/>
  <c r="K155" i="1"/>
  <c r="J154" i="1"/>
  <c r="J152" i="1"/>
  <c r="I152" i="1"/>
  <c r="G152" i="1"/>
  <c r="J151" i="1"/>
  <c r="J150" i="1"/>
  <c r="G150" i="1"/>
  <c r="N150" i="1" s="1"/>
  <c r="J149" i="1"/>
  <c r="G149" i="1"/>
  <c r="N149" i="1" s="1"/>
  <c r="J148" i="1"/>
  <c r="I23" i="2"/>
  <c r="N147" i="1"/>
  <c r="J147" i="1"/>
  <c r="M147" i="1" s="1"/>
  <c r="J146" i="1"/>
  <c r="K146" i="1" s="1"/>
  <c r="J145" i="1"/>
  <c r="G145" i="1"/>
  <c r="N145" i="1" s="1"/>
  <c r="J144" i="1"/>
  <c r="M144" i="1" s="1"/>
  <c r="N142" i="1"/>
  <c r="M142" i="1"/>
  <c r="K142" i="1"/>
  <c r="I22" i="2"/>
  <c r="I21" i="2"/>
  <c r="K141" i="1"/>
  <c r="J140" i="1"/>
  <c r="G140" i="1"/>
  <c r="J139" i="1"/>
  <c r="N146" i="1"/>
  <c r="M146" i="1"/>
  <c r="N144" i="1"/>
  <c r="N141" i="1"/>
  <c r="M141" i="1"/>
  <c r="N140" i="1"/>
  <c r="J138" i="1"/>
  <c r="G138" i="1"/>
  <c r="H16" i="2"/>
  <c r="N137" i="1"/>
  <c r="M137" i="1"/>
  <c r="K137" i="1"/>
  <c r="N105" i="1"/>
  <c r="J136" i="1"/>
  <c r="K136" i="1" s="1"/>
  <c r="N135" i="1"/>
  <c r="J135" i="1"/>
  <c r="K135" i="1" s="1"/>
  <c r="K134" i="1"/>
  <c r="M134" i="1"/>
  <c r="N134" i="1"/>
  <c r="N133" i="1"/>
  <c r="M133" i="1"/>
  <c r="K133" i="1"/>
  <c r="N132" i="1"/>
  <c r="M132" i="1"/>
  <c r="K132" i="1"/>
  <c r="N131" i="1"/>
  <c r="M131" i="1"/>
  <c r="K131" i="1"/>
  <c r="N130" i="1"/>
  <c r="M130" i="1"/>
  <c r="J129" i="1"/>
  <c r="K129" i="1" s="1"/>
  <c r="N129" i="1"/>
  <c r="J128" i="1"/>
  <c r="G127" i="1"/>
  <c r="N127" i="1" s="1"/>
  <c r="J127" i="1"/>
  <c r="M127" i="1" s="1"/>
  <c r="J126" i="1"/>
  <c r="G126" i="1"/>
  <c r="N126" i="1" s="1"/>
  <c r="J125" i="1"/>
  <c r="N124" i="1"/>
  <c r="J124" i="1"/>
  <c r="M124" i="1" s="1"/>
  <c r="N123" i="1"/>
  <c r="J123" i="1"/>
  <c r="K123" i="1" s="1"/>
  <c r="K130" i="1"/>
  <c r="I20" i="2"/>
  <c r="I19" i="2"/>
  <c r="N122" i="1"/>
  <c r="J122" i="1"/>
  <c r="M122" i="1" s="1"/>
  <c r="N121" i="1"/>
  <c r="J121" i="1"/>
  <c r="M121" i="1" s="1"/>
  <c r="K120" i="1"/>
  <c r="M120" i="1"/>
  <c r="N120" i="1"/>
  <c r="N119" i="1"/>
  <c r="J119" i="1"/>
  <c r="M119" i="1" s="1"/>
  <c r="G118" i="1"/>
  <c r="N118" i="1" s="1"/>
  <c r="J118" i="1"/>
  <c r="J117" i="1"/>
  <c r="M117" i="1" s="1"/>
  <c r="N117" i="1"/>
  <c r="N116" i="1"/>
  <c r="J116" i="1"/>
  <c r="M116" i="1" s="1"/>
  <c r="J115" i="1"/>
  <c r="N114" i="1"/>
  <c r="J114" i="1"/>
  <c r="M114" i="1" s="1"/>
  <c r="I113" i="1"/>
  <c r="J113" i="1" s="1"/>
  <c r="M113" i="1" s="1"/>
  <c r="J112" i="1"/>
  <c r="M112" i="1" s="1"/>
  <c r="J111" i="1"/>
  <c r="N112" i="1"/>
  <c r="J110" i="1"/>
  <c r="H110" i="1"/>
  <c r="G110" i="1"/>
  <c r="N110" i="1" s="1"/>
  <c r="J109" i="1"/>
  <c r="H109" i="1"/>
  <c r="N108" i="1"/>
  <c r="J108" i="1"/>
  <c r="M108" i="1" s="1"/>
  <c r="N107" i="1"/>
  <c r="J107" i="1"/>
  <c r="M107" i="1" s="1"/>
  <c r="I106" i="1"/>
  <c r="J106" i="1" s="1"/>
  <c r="J105" i="1"/>
  <c r="M105" i="1" s="1"/>
  <c r="J104" i="1"/>
  <c r="I18" i="2"/>
  <c r="I17" i="2"/>
  <c r="I16" i="2"/>
  <c r="I15" i="2"/>
  <c r="N103" i="1"/>
  <c r="J103" i="1"/>
  <c r="M103" i="1" s="1"/>
  <c r="J102" i="1"/>
  <c r="J101" i="1"/>
  <c r="G101" i="1"/>
  <c r="N101" i="1" s="1"/>
  <c r="G100" i="1"/>
  <c r="N100" i="1" s="1"/>
  <c r="J100" i="1"/>
  <c r="M100" i="1" s="1"/>
  <c r="J99" i="1"/>
  <c r="J98" i="1"/>
  <c r="G98" i="1"/>
  <c r="N98" i="1" s="1"/>
  <c r="K97" i="1"/>
  <c r="M97" i="1"/>
  <c r="N97" i="1"/>
  <c r="I12" i="2"/>
  <c r="N96" i="1"/>
  <c r="M96" i="1"/>
  <c r="K96" i="1"/>
  <c r="I95" i="1"/>
  <c r="J95" i="1" s="1"/>
  <c r="M95" i="1" s="1"/>
  <c r="I94" i="1"/>
  <c r="J94" i="1" s="1"/>
  <c r="M94" i="1" s="1"/>
  <c r="G94" i="1"/>
  <c r="J93" i="1"/>
  <c r="N92" i="1"/>
  <c r="J92" i="1"/>
  <c r="M92" i="1" s="1"/>
  <c r="I91" i="1"/>
  <c r="J91" i="1" s="1"/>
  <c r="G91" i="1"/>
  <c r="N90" i="1"/>
  <c r="J90" i="1"/>
  <c r="M90" i="1" s="1"/>
  <c r="I89" i="1"/>
  <c r="J89" i="1" s="1"/>
  <c r="G89" i="1"/>
  <c r="J88" i="1"/>
  <c r="J87" i="1"/>
  <c r="J86" i="1"/>
  <c r="I85" i="1"/>
  <c r="J85" i="1" s="1"/>
  <c r="M85" i="1" s="1"/>
  <c r="G85" i="1"/>
  <c r="I84" i="1"/>
  <c r="J84" i="1"/>
  <c r="G84" i="1"/>
  <c r="N84" i="1" s="1"/>
  <c r="I83" i="1"/>
  <c r="N83" i="1" s="1"/>
  <c r="G83" i="1"/>
  <c r="I11" i="2"/>
  <c r="N37" i="1"/>
  <c r="J37" i="1"/>
  <c r="M37" i="1" s="1"/>
  <c r="N36" i="1"/>
  <c r="J36" i="1"/>
  <c r="M36" i="1" s="1"/>
  <c r="N35" i="1"/>
  <c r="I82" i="1"/>
  <c r="J82" i="1" s="1"/>
  <c r="M82" i="1" s="1"/>
  <c r="J81" i="1"/>
  <c r="G81" i="1"/>
  <c r="M81" i="1" s="1"/>
  <c r="J80" i="1"/>
  <c r="J79" i="1"/>
  <c r="M79" i="1"/>
  <c r="N79" i="1"/>
  <c r="N78" i="1"/>
  <c r="J78" i="1"/>
  <c r="M78" i="1" s="1"/>
  <c r="J77" i="1"/>
  <c r="M77" i="1" s="1"/>
  <c r="J76" i="1"/>
  <c r="M76" i="1" s="1"/>
  <c r="J75" i="1"/>
  <c r="K75" i="1" s="1"/>
  <c r="M75" i="1"/>
  <c r="K74" i="1"/>
  <c r="N77" i="1"/>
  <c r="N76" i="1"/>
  <c r="N75" i="1"/>
  <c r="N74" i="1"/>
  <c r="M74" i="1"/>
  <c r="N73" i="1"/>
  <c r="J73" i="1"/>
  <c r="M73" i="1" s="1"/>
  <c r="J72" i="1"/>
  <c r="I10" i="2"/>
  <c r="I71" i="1"/>
  <c r="J71" i="1" s="1"/>
  <c r="M71" i="1" s="1"/>
  <c r="J70" i="1"/>
  <c r="M70" i="1" s="1"/>
  <c r="J69" i="1"/>
  <c r="M69" i="1" s="1"/>
  <c r="J68" i="1"/>
  <c r="M68" i="1" s="1"/>
  <c r="N67" i="1"/>
  <c r="M67" i="1"/>
  <c r="K67" i="1"/>
  <c r="N66" i="1"/>
  <c r="M66" i="1"/>
  <c r="K66" i="1"/>
  <c r="N65" i="1"/>
  <c r="K65" i="1"/>
  <c r="M65" i="1"/>
  <c r="N71" i="1"/>
  <c r="N70" i="1"/>
  <c r="N69" i="1"/>
  <c r="N68" i="1"/>
  <c r="J64" i="1"/>
  <c r="G64" i="1"/>
  <c r="N64" i="1" s="1"/>
  <c r="N63" i="1"/>
  <c r="J63" i="1"/>
  <c r="M63" i="1" s="1"/>
  <c r="J62" i="1"/>
  <c r="G62" i="1"/>
  <c r="J61" i="1"/>
  <c r="J60" i="1"/>
  <c r="G60" i="1"/>
  <c r="N60" i="1" s="1"/>
  <c r="J59" i="1"/>
  <c r="J58" i="1"/>
  <c r="J57" i="1"/>
  <c r="M57" i="1" s="1"/>
  <c r="N57" i="1"/>
  <c r="N56" i="1"/>
  <c r="J56" i="1"/>
  <c r="M56" i="1" s="1"/>
  <c r="J55" i="1"/>
  <c r="H55" i="1"/>
  <c r="G55" i="1"/>
  <c r="N55" i="1" s="1"/>
  <c r="J54" i="1"/>
  <c r="M54" i="1" s="1"/>
  <c r="G54" i="1"/>
  <c r="N54" i="1" s="1"/>
  <c r="J53" i="1"/>
  <c r="G53" i="1"/>
  <c r="N53" i="1" s="1"/>
  <c r="N52" i="1"/>
  <c r="J52" i="1"/>
  <c r="M52" i="1"/>
  <c r="I51" i="1"/>
  <c r="J51" i="1" s="1"/>
  <c r="J50" i="1"/>
  <c r="G50" i="1"/>
  <c r="N50" i="1" s="1"/>
  <c r="J49" i="1"/>
  <c r="M49" i="1" s="1"/>
  <c r="N49" i="1"/>
  <c r="N48" i="1"/>
  <c r="J48" i="1"/>
  <c r="M48" i="1" s="1"/>
  <c r="J47" i="1"/>
  <c r="G47" i="1"/>
  <c r="N47" i="1" s="1"/>
  <c r="J46" i="1"/>
  <c r="G46" i="1"/>
  <c r="N46" i="1" s="1"/>
  <c r="I45" i="1"/>
  <c r="J45" i="1" s="1"/>
  <c r="G45" i="1"/>
  <c r="N45" i="1" s="1"/>
  <c r="J44" i="1"/>
  <c r="G44" i="1"/>
  <c r="N44" i="1" s="1"/>
  <c r="J43" i="1"/>
  <c r="G43" i="1"/>
  <c r="M43" i="1" s="1"/>
  <c r="J42" i="1"/>
  <c r="J41" i="1"/>
  <c r="M41" i="1" s="1"/>
  <c r="G41" i="1"/>
  <c r="N41" i="1" s="1"/>
  <c r="J40" i="1"/>
  <c r="I39" i="1"/>
  <c r="J39" i="1" s="1"/>
  <c r="N38" i="1"/>
  <c r="J38" i="1"/>
  <c r="M38" i="1" s="1"/>
  <c r="J35" i="1"/>
  <c r="M35" i="1" s="1"/>
  <c r="N34" i="1"/>
  <c r="M34" i="1"/>
  <c r="K34" i="1"/>
  <c r="J33" i="1"/>
  <c r="G33" i="1"/>
  <c r="N33" i="1" s="1"/>
  <c r="I9" i="2"/>
  <c r="J32" i="1"/>
  <c r="J31" i="1"/>
  <c r="M30" i="1"/>
  <c r="N30" i="1"/>
  <c r="M33" i="1"/>
  <c r="N29" i="1"/>
  <c r="J29" i="1"/>
  <c r="M29" i="1" s="1"/>
  <c r="G28" i="1"/>
  <c r="N28" i="1"/>
  <c r="J28" i="1"/>
  <c r="J27" i="1"/>
  <c r="G27" i="1"/>
  <c r="N27" i="1"/>
  <c r="M26" i="1"/>
  <c r="I26" i="1"/>
  <c r="K26" i="1"/>
  <c r="N26" i="1"/>
  <c r="J25" i="1"/>
  <c r="M25" i="1" s="1"/>
  <c r="N25" i="1"/>
  <c r="N24" i="1"/>
  <c r="J24" i="1"/>
  <c r="M24" i="1" s="1"/>
  <c r="K24" i="1"/>
  <c r="I8" i="2"/>
  <c r="I7" i="2"/>
  <c r="I6" i="2"/>
  <c r="I5" i="2"/>
  <c r="I4" i="2"/>
  <c r="I23" i="1"/>
  <c r="J23" i="1" s="1"/>
  <c r="M23" i="1" s="1"/>
  <c r="I22" i="1"/>
  <c r="G22" i="1"/>
  <c r="J21" i="1"/>
  <c r="G21" i="1"/>
  <c r="N21" i="1" s="1"/>
  <c r="J20" i="1"/>
  <c r="H20" i="1"/>
  <c r="G20" i="1"/>
  <c r="N20" i="1"/>
  <c r="J19" i="1"/>
  <c r="G19" i="1"/>
  <c r="M19" i="1" s="1"/>
  <c r="J18" i="1"/>
  <c r="G18" i="1"/>
  <c r="N18" i="1" s="1"/>
  <c r="I17" i="1"/>
  <c r="J17" i="1"/>
  <c r="G17" i="1"/>
  <c r="I16" i="1"/>
  <c r="J16" i="1" s="1"/>
  <c r="J15" i="1"/>
  <c r="G15" i="1"/>
  <c r="N15" i="1" s="1"/>
  <c r="N14" i="1"/>
  <c r="J14" i="1"/>
  <c r="M14" i="1" s="1"/>
  <c r="I13" i="1"/>
  <c r="J13" i="1"/>
  <c r="G12" i="1"/>
  <c r="M12" i="1" s="1"/>
  <c r="N11" i="1"/>
  <c r="J11" i="1"/>
  <c r="M11" i="1" s="1"/>
  <c r="J10" i="1"/>
  <c r="G10" i="1"/>
  <c r="N10" i="1" s="1"/>
  <c r="N9" i="1"/>
  <c r="J9" i="1"/>
  <c r="M9" i="1" s="1"/>
  <c r="J8" i="1"/>
  <c r="J7" i="1"/>
  <c r="G7" i="1"/>
  <c r="N7" i="1" s="1"/>
  <c r="J6" i="1"/>
  <c r="G6" i="1"/>
  <c r="N6" i="1"/>
  <c r="J5" i="1"/>
  <c r="I4" i="1"/>
  <c r="J3" i="1"/>
  <c r="M2" i="1"/>
  <c r="N2" i="1"/>
  <c r="K2" i="1"/>
  <c r="N23" i="1"/>
  <c r="N414" i="1"/>
  <c r="M414" i="1"/>
  <c r="I3" i="2"/>
  <c r="I2" i="2"/>
  <c r="C426" i="1"/>
  <c r="N416" i="1"/>
  <c r="M416" i="1"/>
  <c r="K419" i="1"/>
  <c r="K420" i="1"/>
  <c r="K421" i="1" s="1"/>
  <c r="M433" i="1"/>
  <c r="M432" i="1"/>
  <c r="L430" i="1"/>
  <c r="P428" i="1"/>
  <c r="P427" i="1"/>
  <c r="N427" i="1"/>
  <c r="N429" i="1"/>
  <c r="M429" i="1"/>
  <c r="M428" i="1"/>
  <c r="K428" i="1"/>
  <c r="K427" i="1"/>
  <c r="N17" i="1" l="1"/>
  <c r="N94" i="1"/>
  <c r="M123" i="1"/>
  <c r="M150" i="1"/>
  <c r="M226" i="1"/>
  <c r="M248" i="1"/>
  <c r="M251" i="1"/>
  <c r="M261" i="1"/>
  <c r="M28" i="1"/>
  <c r="M179" i="1"/>
  <c r="N171" i="1"/>
  <c r="M47" i="1"/>
  <c r="M15" i="1"/>
  <c r="M91" i="1"/>
  <c r="M224" i="1"/>
  <c r="M278" i="1"/>
  <c r="N22" i="1"/>
  <c r="I419" i="1"/>
  <c r="N19" i="1"/>
  <c r="M140" i="1"/>
  <c r="M152" i="1"/>
  <c r="M250" i="1"/>
  <c r="N263" i="1"/>
  <c r="M145" i="1"/>
  <c r="M149" i="1"/>
  <c r="M166" i="1"/>
  <c r="M21" i="1"/>
  <c r="M27" i="1"/>
  <c r="M50" i="1"/>
  <c r="M84" i="1"/>
  <c r="M126" i="1"/>
  <c r="M160" i="1"/>
  <c r="J180" i="1"/>
  <c r="M180" i="1" s="1"/>
  <c r="K183" i="1"/>
  <c r="M246" i="1"/>
  <c r="M258" i="1"/>
  <c r="M46" i="1"/>
  <c r="N85" i="1"/>
  <c r="N177" i="1"/>
  <c r="J4" i="1"/>
  <c r="M6" i="1"/>
  <c r="M18" i="1"/>
  <c r="M20" i="1"/>
  <c r="M45" i="1"/>
  <c r="M55" i="1"/>
  <c r="N82" i="1"/>
  <c r="J83" i="1"/>
  <c r="M83" i="1" s="1"/>
  <c r="N91" i="1"/>
  <c r="M101" i="1"/>
  <c r="M110" i="1"/>
  <c r="M118" i="1"/>
  <c r="N152" i="1"/>
  <c r="M159" i="1"/>
  <c r="M163" i="1"/>
  <c r="M164" i="1"/>
  <c r="N170" i="1"/>
  <c r="J171" i="1"/>
  <c r="M171" i="1" s="1"/>
  <c r="M176" i="1"/>
  <c r="M191" i="1"/>
  <c r="M194" i="1"/>
  <c r="M203" i="1"/>
  <c r="M64" i="1"/>
  <c r="M98" i="1"/>
  <c r="M10" i="1"/>
  <c r="M17" i="1"/>
  <c r="M138" i="1"/>
  <c r="K156" i="1"/>
  <c r="M7" i="1"/>
  <c r="M62" i="1"/>
  <c r="M44" i="1"/>
  <c r="M53" i="1"/>
  <c r="N81" i="1"/>
  <c r="N95" i="1"/>
  <c r="K121" i="1"/>
  <c r="K187" i="1"/>
  <c r="K223" i="1"/>
  <c r="M263" i="1"/>
  <c r="M265" i="1"/>
  <c r="N12" i="1"/>
  <c r="J22" i="1"/>
  <c r="M22" i="1" s="1"/>
  <c r="N43" i="1"/>
  <c r="N62" i="1"/>
  <c r="N113" i="1"/>
  <c r="M129" i="1"/>
  <c r="M135" i="1"/>
  <c r="N138" i="1"/>
  <c r="N175" i="1"/>
  <c r="N179" i="1"/>
  <c r="M183" i="1"/>
  <c r="N196" i="1"/>
  <c r="N224" i="1"/>
  <c r="N262" i="1"/>
  <c r="G419" i="1"/>
  <c r="M60" i="1"/>
  <c r="M312" i="1"/>
</calcChain>
</file>

<file path=xl/sharedStrings.xml><?xml version="1.0" encoding="utf-8"?>
<sst xmlns="http://schemas.openxmlformats.org/spreadsheetml/2006/main" count="2716" uniqueCount="380">
  <si>
    <t>#</t>
  </si>
  <si>
    <t>REGION</t>
  </si>
  <si>
    <t>MONTH</t>
  </si>
  <si>
    <t>CUSTOMER</t>
  </si>
  <si>
    <t>OI NUMBER</t>
  </si>
  <si>
    <t>KV</t>
  </si>
  <si>
    <t>MVAR</t>
  </si>
  <si>
    <t>ENGR</t>
  </si>
  <si>
    <t>TOTAL KVAR</t>
  </si>
  <si>
    <t>I/U</t>
  </si>
  <si>
    <t>REMARKS</t>
  </si>
  <si>
    <t>TYPE</t>
  </si>
  <si>
    <t>PO DATE</t>
  </si>
  <si>
    <t>OI DATE</t>
  </si>
  <si>
    <t>OI TO PM</t>
  </si>
  <si>
    <t>PM MAIL TO DES</t>
  </si>
  <si>
    <t>DES OR DRG</t>
  </si>
  <si>
    <t>PM COMM TO DES</t>
  </si>
  <si>
    <t>REV DRG FM DES</t>
  </si>
  <si>
    <t>MFG CL</t>
  </si>
  <si>
    <t>MFG DRG TO SHOP FM DES</t>
  </si>
  <si>
    <t>Type</t>
  </si>
  <si>
    <t>Shunt capacitor banks</t>
  </si>
  <si>
    <t>Open type banks,&lt;72 kV</t>
  </si>
  <si>
    <t>Metal Enclosed - sikap</t>
  </si>
  <si>
    <t>Pole mounted</t>
  </si>
  <si>
    <t>Sub-transmission,&gt;72 kV</t>
  </si>
  <si>
    <t>DryQ</t>
  </si>
  <si>
    <t>Filter banks</t>
  </si>
  <si>
    <t>Harmonic filters</t>
  </si>
  <si>
    <t>HVDC Capacitor Banks</t>
  </si>
  <si>
    <t>DryQ (HVDC Light)</t>
  </si>
  <si>
    <t>DryQ (SVC Light)</t>
  </si>
  <si>
    <t>FACTS applications</t>
  </si>
  <si>
    <t>FACTS</t>
  </si>
  <si>
    <t>Capacitor units</t>
  </si>
  <si>
    <t>Conventional capacitor units</t>
  </si>
  <si>
    <t>Speciallty capacitors N 3 phasr caps</t>
  </si>
  <si>
    <t>CB 2000</t>
  </si>
  <si>
    <t>Capacitor switch</t>
  </si>
  <si>
    <t>Misc</t>
  </si>
  <si>
    <t>Retrofit &amp; Service</t>
  </si>
  <si>
    <t>Mobile Capacitor Banks</t>
  </si>
  <si>
    <t>AUTO switched banks / apfc</t>
  </si>
  <si>
    <t>Services</t>
  </si>
  <si>
    <t>LT Capacitor</t>
  </si>
  <si>
    <t>ZORC</t>
  </si>
  <si>
    <t>EXP</t>
  </si>
  <si>
    <t>JAN</t>
  </si>
  <si>
    <t>I</t>
  </si>
  <si>
    <t>OWN KVAR</t>
  </si>
  <si>
    <t>CTG</t>
  </si>
  <si>
    <t>EXPI</t>
  </si>
  <si>
    <t>RE</t>
  </si>
  <si>
    <t>APFC</t>
  </si>
  <si>
    <t>SIKAP</t>
  </si>
  <si>
    <t>raigarh</t>
  </si>
  <si>
    <t>pugular</t>
  </si>
  <si>
    <t>hv,lv</t>
  </si>
  <si>
    <t>zero</t>
  </si>
  <si>
    <t>plc</t>
  </si>
  <si>
    <t>TOTAL OI TILL DATE</t>
  </si>
  <si>
    <t>Manufacturing</t>
  </si>
  <si>
    <t>Despatch</t>
  </si>
  <si>
    <t>ABB CANADA</t>
  </si>
  <si>
    <t>AM</t>
  </si>
  <si>
    <t>UNITS</t>
  </si>
  <si>
    <t>RS</t>
  </si>
  <si>
    <t>NK</t>
  </si>
  <si>
    <t>CPU</t>
  </si>
  <si>
    <t>U</t>
  </si>
  <si>
    <t>RW</t>
  </si>
  <si>
    <t>RN</t>
  </si>
  <si>
    <t>RC</t>
  </si>
  <si>
    <t>CPI</t>
  </si>
  <si>
    <t>RU</t>
  </si>
  <si>
    <t>BANK</t>
  </si>
  <si>
    <t>ABB TURKEY</t>
  </si>
  <si>
    <t>MINR</t>
  </si>
  <si>
    <t>OWN MINR</t>
  </si>
  <si>
    <t>TRD MINR</t>
  </si>
  <si>
    <t>IDTO</t>
  </si>
  <si>
    <t>FEB</t>
  </si>
  <si>
    <t>ABB UK</t>
  </si>
  <si>
    <t>ABB SINGAPORE</t>
  </si>
  <si>
    <t>ABB FINLAND</t>
  </si>
  <si>
    <t>LECON ENERGETICS</t>
  </si>
  <si>
    <t>QUALITY POWER</t>
  </si>
  <si>
    <t>AGS POWER SOLUTIONS</t>
  </si>
  <si>
    <t>UNIT</t>
  </si>
  <si>
    <t>MAY</t>
  </si>
  <si>
    <t>3 PH</t>
  </si>
  <si>
    <t>DC CAPS</t>
  </si>
  <si>
    <t>DEC</t>
  </si>
  <si>
    <t>FUSE</t>
  </si>
  <si>
    <t>PANELS</t>
  </si>
  <si>
    <t>SN</t>
  </si>
  <si>
    <t>ABHINAV ENTERPRISES</t>
  </si>
  <si>
    <t>GE</t>
  </si>
  <si>
    <t>STATCON</t>
  </si>
  <si>
    <t>SURGE</t>
  </si>
  <si>
    <t>SYNERGY INFRA</t>
  </si>
  <si>
    <t>JAISWAL NECO INDUSTRIES</t>
  </si>
  <si>
    <t>INTERNATIONAL PAPER APPM LIMITED</t>
  </si>
  <si>
    <t xml:space="preserve">SPECTRUM </t>
  </si>
  <si>
    <t>ETA ENGINEERS</t>
  </si>
  <si>
    <t>RADICON ELECTRIC</t>
  </si>
  <si>
    <t>VEDANT ENERGY SOLUTIONS</t>
  </si>
  <si>
    <t>ARORA IRON AND STEEL</t>
  </si>
  <si>
    <t>CONNECTOR</t>
  </si>
  <si>
    <t>GRASIM INDUSTRIES</t>
  </si>
  <si>
    <t>UNIT WITH CONNECTOR</t>
  </si>
  <si>
    <t>FORD INDIA PRIVATE LIMITED</t>
  </si>
  <si>
    <t>UNIT WITH REACTOR</t>
  </si>
  <si>
    <t>TD POWER SYSTEMS</t>
  </si>
  <si>
    <t>JOHNS ELECTRIC CO PVT LIMITED</t>
  </si>
  <si>
    <t>AK ERECTORS</t>
  </si>
  <si>
    <t>AB POWER SYSTEM SOLUTION</t>
  </si>
  <si>
    <t>TSC</t>
  </si>
  <si>
    <t>NUBERG</t>
  </si>
  <si>
    <t>VR</t>
  </si>
  <si>
    <t>PROMAC</t>
  </si>
  <si>
    <t>ABB NELAMANGALA A/C GOLDPLUS</t>
  </si>
  <si>
    <t>??</t>
  </si>
  <si>
    <t>HINDALCO</t>
  </si>
  <si>
    <t>SMS INDIA PVT LIMITED</t>
  </si>
  <si>
    <t>AN</t>
  </si>
  <si>
    <t>FILTER</t>
  </si>
  <si>
    <t>HINDALCO INDUSTRIES</t>
  </si>
  <si>
    <t>Layout and Structure pending</t>
  </si>
  <si>
    <t>Ashwini/ Ashish</t>
  </si>
  <si>
    <t>Eqpt drgs pending</t>
  </si>
  <si>
    <t>Zahir/ Ashish</t>
  </si>
  <si>
    <t>bought drg pending, structure and layout pending</t>
  </si>
  <si>
    <t>drg submission pending</t>
  </si>
  <si>
    <t>Zahir/ Ashok</t>
  </si>
  <si>
    <t>DANIELI INDIA LIMITED</t>
  </si>
  <si>
    <t>BILT GRAPHIC PAPER PRODUCTS LTD</t>
  </si>
  <si>
    <t xml:space="preserve">POWERGRID </t>
  </si>
  <si>
    <t>J K ENGINEERS</t>
  </si>
  <si>
    <t>ABB SWITZERLAND</t>
  </si>
  <si>
    <t>GCB</t>
  </si>
  <si>
    <t>ABB SOUTH AFRICA</t>
  </si>
  <si>
    <t>JSW RAIGAD</t>
  </si>
  <si>
    <t>IDTOI</t>
  </si>
  <si>
    <t>ABB NELAMANGALA A/C KUTCH CHEMICAL</t>
  </si>
  <si>
    <t>BHILOSA INDUSTRIES</t>
  </si>
  <si>
    <t>ACC LIMITED</t>
  </si>
  <si>
    <t>ABB BULGARIA</t>
  </si>
  <si>
    <t>MRF LIMITED</t>
  </si>
  <si>
    <t>GRAPHITE INDIA LIMITED</t>
  </si>
  <si>
    <t>NIKUM ENERGY</t>
  </si>
  <si>
    <t>2360082152</t>
  </si>
  <si>
    <t>AMBA RIVER COKE LIMITED A/C JSW DOLVI</t>
  </si>
  <si>
    <t>INNOTECH</t>
  </si>
  <si>
    <t xml:space="preserve">AU SYSTEMS </t>
  </si>
  <si>
    <t>3 PH UNIT</t>
  </si>
  <si>
    <t>LORDS CHLORO ALKALI</t>
  </si>
  <si>
    <t>TRANSFORMERS &amp; RECTIFIERS INDIA</t>
  </si>
  <si>
    <t>ACC WADI</t>
  </si>
  <si>
    <t>CAP N REACTOR SPARES</t>
  </si>
  <si>
    <t>SURGE CAP</t>
  </si>
  <si>
    <t xml:space="preserve">NUVOCO VISTAS CORP </t>
  </si>
  <si>
    <t>2360082318</t>
  </si>
  <si>
    <t>DESH ELECTRICALS</t>
  </si>
  <si>
    <t>ABB AUSTRALIA</t>
  </si>
  <si>
    <t>UNIT 3 PH</t>
  </si>
  <si>
    <t>GETCO</t>
  </si>
  <si>
    <t>BANK N UNITS</t>
  </si>
  <si>
    <t>RADHA AGENCIES</t>
  </si>
  <si>
    <t>TATA PROJECTS</t>
  </si>
  <si>
    <t>SWITCHED BANK</t>
  </si>
  <si>
    <t>RELIANCE INDUSTRIES</t>
  </si>
  <si>
    <t>SUNFERROMELT</t>
  </si>
  <si>
    <t>JSW STEEL LIMITED</t>
  </si>
  <si>
    <t>MDA MINERALS</t>
  </si>
  <si>
    <t>CIPLA LIMITED</t>
  </si>
  <si>
    <t xml:space="preserve">FLSMITH </t>
  </si>
  <si>
    <t>BAJAJ ELECTRICALS</t>
  </si>
  <si>
    <t>SRIHARI CONSTRUCTIONS A/C TSTRANSCO</t>
  </si>
  <si>
    <t>INELEC ENGINEERS</t>
  </si>
  <si>
    <t>JINDAL ALUMINIUM LIMITED</t>
  </si>
  <si>
    <t>MAR</t>
  </si>
  <si>
    <t>EL-ROI FOUNDATION</t>
  </si>
  <si>
    <t>ELECTRO SERVICES</t>
  </si>
  <si>
    <t>L&amp;T CHENNAI</t>
  </si>
  <si>
    <t>CB2000</t>
  </si>
  <si>
    <t>SAHAJ ENTERPRISES</t>
  </si>
  <si>
    <t>FL SMITH PRIVATE LIMITED</t>
  </si>
  <si>
    <t>SPLIT PH</t>
  </si>
  <si>
    <t>MICRON ELECTRICALS</t>
  </si>
  <si>
    <t>KASHINATH DISTRIBUTORS</t>
  </si>
  <si>
    <t>VEDANTA LIMITED</t>
  </si>
  <si>
    <t>BIRLA CELLULOSIC EXCEL FIBRE DIVISION</t>
  </si>
  <si>
    <t>ABB BANGLADESH</t>
  </si>
  <si>
    <t>MATRIX FERTILISER</t>
  </si>
  <si>
    <t>KSEB PALAKKAD</t>
  </si>
  <si>
    <t>TMEIC INDUSTRIAL SYSTEMS</t>
  </si>
  <si>
    <t>BPCL</t>
  </si>
  <si>
    <t>SILPA PROJECTS</t>
  </si>
  <si>
    <t>ACC</t>
  </si>
  <si>
    <t>HUMBOLDT</t>
  </si>
  <si>
    <t>STATCON &amp; ACTIVE FILTER</t>
  </si>
  <si>
    <t>ABB TUNISIA</t>
  </si>
  <si>
    <t>SIEMENS A/C PGCIL A/C FSC TUMKUR</t>
  </si>
  <si>
    <t>FSC</t>
  </si>
  <si>
    <t>ABB LIMITED A/C PGGI A/C PGCIL PISAULI</t>
  </si>
  <si>
    <t>IDTOU</t>
  </si>
  <si>
    <t>VIJAI ELECTRICALS LIMITED</t>
  </si>
  <si>
    <t>FL SMIDTH PRIVATE LIMITED</t>
  </si>
  <si>
    <t xml:space="preserve">DURASUN ELECTRICS </t>
  </si>
  <si>
    <t>POWERGEAR LIMITED</t>
  </si>
  <si>
    <t>SMS CONSTRUCTIONS A/C KPTCL</t>
  </si>
  <si>
    <t>MBM CONSTRUCTIONS A/C KPTCL</t>
  </si>
  <si>
    <t>SPECTRUM CONSULTANTS</t>
  </si>
  <si>
    <t>ABB LIMITED A/C IAPI A/C MISCO OMAN</t>
  </si>
  <si>
    <t>ALFA SWITCHGEAR PVT LIMITED</t>
  </si>
  <si>
    <t>SPARES</t>
  </si>
  <si>
    <t>ABB LIMITED A/C PGGI A/C FACTS SPARES</t>
  </si>
  <si>
    <t>HVDC</t>
  </si>
  <si>
    <t>4201657066</t>
  </si>
  <si>
    <t>ABB LIMITED A/C IAOG A/C IOCL</t>
  </si>
  <si>
    <t>EVONIK</t>
  </si>
  <si>
    <t>MCNALLY BHARAT ENGG CO</t>
  </si>
  <si>
    <t>QUALITY POWER, SANGLI</t>
  </si>
  <si>
    <t>ABB SWEDEN</t>
  </si>
  <si>
    <t>ABB TAIWAN</t>
  </si>
  <si>
    <t>SRK ELECTRICALS A/C KPTCL</t>
  </si>
  <si>
    <t>CREATIVE POWER A/C KPTCL</t>
  </si>
  <si>
    <t>SAHASRA ELECTRICALS A/C KPTCL</t>
  </si>
  <si>
    <t>JK POWER A/C KPTCL</t>
  </si>
  <si>
    <t>SIEMENS DMIDC</t>
  </si>
  <si>
    <t>STERLING WILSON</t>
  </si>
  <si>
    <t>ABB LIMITED A/C IAPI A/C SULB SAUDI</t>
  </si>
  <si>
    <t>APR</t>
  </si>
  <si>
    <t>OM ENTERPRISES</t>
  </si>
  <si>
    <t>ACKMEY POWER SOLUTIONS</t>
  </si>
  <si>
    <t>EAST INDIA UDYOG A/C JBVNL</t>
  </si>
  <si>
    <t>MCNALLEY BHARAT</t>
  </si>
  <si>
    <t xml:space="preserve">ABB TUNISIA </t>
  </si>
  <si>
    <t>AF</t>
  </si>
  <si>
    <t>APFC/AF</t>
  </si>
  <si>
    <t>TMEIC INDUSTRIAL SYSTEMS a/c jsw bellary</t>
  </si>
  <si>
    <t>JINDAL SAW KUTCH</t>
  </si>
  <si>
    <t>VISHWANATH TRADERS</t>
  </si>
  <si>
    <t>S R DYNAMICS</t>
  </si>
  <si>
    <t>2360083327</t>
  </si>
  <si>
    <t>4201674446</t>
  </si>
  <si>
    <t>L&amp;T CHENNAI a/c LIFT IRRIGATION</t>
  </si>
  <si>
    <t>AF/TRAFO</t>
  </si>
  <si>
    <t>MAHENDRA ELECTRIC ENGINEERING</t>
  </si>
  <si>
    <t>LOYAL TEXTILE MILL</t>
  </si>
  <si>
    <t>WINPOWER INFRA PVT LTD</t>
  </si>
  <si>
    <t>APFC SPARES</t>
  </si>
  <si>
    <t>SIEMENS LIMITED</t>
  </si>
  <si>
    <t>SHUNT BANK</t>
  </si>
  <si>
    <t>KUMAR ELECTRICALS</t>
  </si>
  <si>
    <t>CAP UNITS</t>
  </si>
  <si>
    <t>VEE VEE CONTROLS</t>
  </si>
  <si>
    <t>units</t>
  </si>
  <si>
    <t>SLC PROJECTS PVT LTD</t>
  </si>
  <si>
    <t>ABB LIMITED A/C PGGI A/C RIHAND DADRI</t>
  </si>
  <si>
    <t>SONI ELECTRICAL &amp; ELECTRONICS</t>
  </si>
  <si>
    <t>OWENS CORNING INDIA PVT LTD</t>
  </si>
  <si>
    <t>SJS ELECTRICALS A/C KPTCL</t>
  </si>
  <si>
    <t>ABB ABU DHABI</t>
  </si>
  <si>
    <t>MODULES</t>
  </si>
  <si>
    <t>25 OCT'17</t>
  </si>
  <si>
    <t>TIRUPATI INDUSTRIAL AGENCIES</t>
  </si>
  <si>
    <t>UPPTCL</t>
  </si>
  <si>
    <t>UNITS &amp; REAC</t>
  </si>
  <si>
    <t>ELINS SWITCHBOARD</t>
  </si>
  <si>
    <t>GE T&amp;D INDIA LIMITED</t>
  </si>
  <si>
    <t>LECON ENERGETICS PVT LIMITED</t>
  </si>
  <si>
    <t>MICRO SYSTEMS</t>
  </si>
  <si>
    <t>HUTTI GOLD  MINES</t>
  </si>
  <si>
    <t>JAISWAL ELECTRICAL STORES</t>
  </si>
  <si>
    <t>SYNERGY INFRA &amp; PROJECTS</t>
  </si>
  <si>
    <t>LASER POWER &amp; INFRA PVT LTD</t>
  </si>
  <si>
    <t>TORRENT POWER LIMITED</t>
  </si>
  <si>
    <t>KAMAL TRADING CORPORATION</t>
  </si>
  <si>
    <t>STELMAC LIMITED A/C MSETCL</t>
  </si>
  <si>
    <t>2360083928</t>
  </si>
  <si>
    <t>SIEMENS A/C PGCIL TEHRI MEERUT</t>
  </si>
  <si>
    <t>KS</t>
  </si>
  <si>
    <t>RAGHAVA ELECTRICALS</t>
  </si>
  <si>
    <t>PRAXAIR INDIA PRIVATE LIMITED</t>
  </si>
  <si>
    <t>ABB BRAZIL</t>
  </si>
  <si>
    <t>UNIT 60HZ</t>
  </si>
  <si>
    <t>SS ENTERPRISES</t>
  </si>
  <si>
    <t>ABB DUBAI</t>
  </si>
  <si>
    <t>KALPATRU A/C WBSETCL</t>
  </si>
  <si>
    <t>CAPCHEM ELECTRICAL</t>
  </si>
  <si>
    <t xml:space="preserve">KEI INDUSTRIES </t>
  </si>
  <si>
    <t>NG</t>
  </si>
  <si>
    <t>KAY DEE ENGINEERS</t>
  </si>
  <si>
    <t>RAMGOPAL SOMANI A/C CSPDCL</t>
  </si>
  <si>
    <t>T&amp;T METALS PVT LIMITED</t>
  </si>
  <si>
    <t>KEC INTERNATIONAL</t>
  </si>
  <si>
    <t>RDSO BANK</t>
  </si>
  <si>
    <t>DEVASHREE ISPAT</t>
  </si>
  <si>
    <t>SAARLOHA ADVANCED MATERIALS</t>
  </si>
  <si>
    <t>LARSEN &amp; TOUBRO</t>
  </si>
  <si>
    <t>ABB MANEJA</t>
  </si>
  <si>
    <t>JUN</t>
  </si>
  <si>
    <t>KALYANI STEELS</t>
  </si>
  <si>
    <t>CARBORUNCUM</t>
  </si>
  <si>
    <t>JSW STEEL TARAPUR</t>
  </si>
  <si>
    <t>BROTHERS ELECTRICALS</t>
  </si>
  <si>
    <t>3 PH UNITS</t>
  </si>
  <si>
    <t>ABB JAPAN</t>
  </si>
  <si>
    <t>ABB VIETNAM</t>
  </si>
  <si>
    <t>NCT</t>
  </si>
  <si>
    <t>ABB CHINA</t>
  </si>
  <si>
    <t>2360084263</t>
  </si>
  <si>
    <t>SUKHDEV RAJ SHARMA ENGINEERS</t>
  </si>
  <si>
    <t>PGCIL TALCHER</t>
  </si>
  <si>
    <t>MK ENGINEERS</t>
  </si>
  <si>
    <t>TRISQUARE SWITCHGEARS PVT LTD</t>
  </si>
  <si>
    <t>spares</t>
  </si>
  <si>
    <t>JINDAL SAW LIMITED</t>
  </si>
  <si>
    <t>ABB LIMITED A/C IACT A/C BIOCON</t>
  </si>
  <si>
    <t>ABB KUWAIT A/C GCG</t>
  </si>
  <si>
    <t>ABB KUWAIT A/C Khalid Kharifi</t>
  </si>
  <si>
    <t>CAP N RVC</t>
  </si>
  <si>
    <t>REAC N NGR</t>
  </si>
  <si>
    <t>SHUBHA SHREE JAGDAMBA CEMENT</t>
  </si>
  <si>
    <t>CAP,REAC,FUS</t>
  </si>
  <si>
    <t>CAPS</t>
  </si>
  <si>
    <t>APPLIED TECHNO</t>
  </si>
  <si>
    <t>SKIPPER A/C HVPNL</t>
  </si>
  <si>
    <t>HARTEK POWER</t>
  </si>
  <si>
    <t>L&amp;T CHENNAI a/c ALIRAJPUR LIFT IRRIGATION</t>
  </si>
  <si>
    <t>ABB LIMITED A/C IAPI A/C HZL</t>
  </si>
  <si>
    <t>KALPATRU A/C RDSO</t>
  </si>
  <si>
    <t>ACC SINDRI</t>
  </si>
  <si>
    <t>JUL</t>
  </si>
  <si>
    <t>KALYANPUR CEMENTS</t>
  </si>
  <si>
    <t>SR Dynamics</t>
  </si>
  <si>
    <t>KEC A/C RDSO</t>
  </si>
  <si>
    <t>EIL A/C HPCL</t>
  </si>
  <si>
    <t>TS</t>
  </si>
  <si>
    <t>CONDUCTOR</t>
  </si>
  <si>
    <t>surge</t>
  </si>
  <si>
    <t>SUMAN ELECTRIC UDYOG</t>
  </si>
  <si>
    <t>UDAIPUR CEMENT WORKS</t>
  </si>
  <si>
    <t>LARSEN &amp; TOUBRO LIMITED</t>
  </si>
  <si>
    <t>JAIPRAKASH ASSOCIATES</t>
  </si>
  <si>
    <t>GATE CARD</t>
  </si>
  <si>
    <t>CHINA METALLURGICAL KOLKATA</t>
  </si>
  <si>
    <t>SWAMY ELECTRICALS A/C KPTCL</t>
  </si>
  <si>
    <t>TEJASWINI ELECTRICALS A/C KPTCL</t>
  </si>
  <si>
    <t>ABB PTE SINGAPORE</t>
  </si>
  <si>
    <t>ABB LIMITED A/C WBSETCL</t>
  </si>
  <si>
    <t>SS ENTERPRISES A/C WBSETCL</t>
  </si>
  <si>
    <t>SEP</t>
  </si>
  <si>
    <t>JULY</t>
  </si>
  <si>
    <t>AUG</t>
  </si>
  <si>
    <t>OCT</t>
  </si>
  <si>
    <t>NOV</t>
  </si>
  <si>
    <t>2019</t>
  </si>
  <si>
    <t>PHP</t>
  </si>
  <si>
    <t>KHANDELWAL AGENCIES</t>
  </si>
  <si>
    <t>TSC SPARES</t>
  </si>
  <si>
    <t>ABB LIMITED A/C IAPI A/C MOMBASA CEMENT</t>
  </si>
  <si>
    <t>APFC PANEL</t>
  </si>
  <si>
    <t xml:space="preserve">GACL NALCO ALKALIES </t>
  </si>
  <si>
    <t>ULTRATECH CEMENT LIMITED</t>
  </si>
  <si>
    <t>ABB LIMITED A/C IDTO A/C PHP STEEL</t>
  </si>
  <si>
    <t>ABB LIMITED A/C IDTO A/C PHP CGL STEEL</t>
  </si>
  <si>
    <t>SR Dynamics A/C BHUSHAN STEEL</t>
  </si>
  <si>
    <t>RUSHIL ENTERPRISE</t>
  </si>
  <si>
    <t>MARUTI SUZUKI</t>
  </si>
  <si>
    <t>MISC SPARES</t>
  </si>
  <si>
    <t>SPARE UNITS</t>
  </si>
  <si>
    <t>AVADH SUGAR</t>
  </si>
  <si>
    <t>SHARAVATHY CONDUCTORS</t>
  </si>
  <si>
    <t>SPARES FOR PQCR</t>
  </si>
  <si>
    <t>AMEERI BAHRAIN</t>
  </si>
  <si>
    <t>APFC PANEL AND RVT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</si>
</sst>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6"/>
      <color rgb="FF00B0F0"/>
      <name val="Arial"/>
      <family val="2"/>
    </font>
    <font>
      <b/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Verdana"/>
      <family val="2"/>
    </font>
    <font>
      <sz val="10"/>
      <color rgb="FF000000"/>
      <name val="Segoe UI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0"/>
      <color rgb="FF003300"/>
      <name val="Verdana"/>
      <family val="2"/>
    </font>
    <font>
      <sz val="10"/>
      <color rgb="FFFF0000"/>
      <name val="Arial"/>
      <family val="2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3" xfId="0" applyFont="1" applyFill="1" applyBorder="1"/>
    <xf numFmtId="0" fontId="5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16" fontId="0" fillId="0" borderId="0" xfId="0" applyNumberFormat="1"/>
    <xf numFmtId="0" fontId="6" fillId="0" borderId="3" xfId="0" applyFont="1" applyBorder="1"/>
    <xf numFmtId="0" fontId="5" fillId="2" borderId="3" xfId="0" applyFont="1" applyFill="1" applyBorder="1" applyProtection="1">
      <protection locked="0"/>
    </xf>
    <xf numFmtId="0" fontId="7" fillId="0" borderId="3" xfId="0" applyFont="1" applyBorder="1" applyAlignment="1"/>
    <xf numFmtId="2" fontId="0" fillId="0" borderId="3" xfId="0" applyNumberFormat="1" applyBorder="1"/>
    <xf numFmtId="164" fontId="0" fillId="0" borderId="3" xfId="0" applyNumberFormat="1" applyBorder="1"/>
    <xf numFmtId="0" fontId="8" fillId="0" borderId="4" xfId="0" applyFont="1" applyBorder="1"/>
    <xf numFmtId="0" fontId="0" fillId="0" borderId="5" xfId="0" applyBorder="1"/>
    <xf numFmtId="1" fontId="9" fillId="0" borderId="6" xfId="0" applyNumberFormat="1" applyFont="1" applyBorder="1"/>
    <xf numFmtId="0" fontId="0" fillId="0" borderId="3" xfId="0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0" borderId="0" xfId="0" applyNumberFormat="1"/>
    <xf numFmtId="0" fontId="6" fillId="0" borderId="3" xfId="0" applyFont="1" applyBorder="1"/>
    <xf numFmtId="1" fontId="9" fillId="0" borderId="6" xfId="0" applyNumberFormat="1" applyFont="1" applyBorder="1"/>
    <xf numFmtId="0" fontId="6" fillId="0" borderId="3" xfId="0" applyFont="1" applyBorder="1" applyAlignment="1"/>
    <xf numFmtId="0" fontId="7" fillId="0" borderId="3" xfId="0" applyFont="1" applyFill="1" applyBorder="1" applyAlignment="1">
      <alignment horizontal="left"/>
    </xf>
    <xf numFmtId="0" fontId="0" fillId="0" borderId="3" xfId="0" applyBorder="1" applyAlignment="1"/>
    <xf numFmtId="0" fontId="6" fillId="0" borderId="0" xfId="0" applyFont="1" applyAlignment="1"/>
    <xf numFmtId="0" fontId="7" fillId="0" borderId="0" xfId="0" applyFont="1" applyAlignment="1">
      <alignment vertical="center"/>
    </xf>
    <xf numFmtId="164" fontId="0" fillId="0" borderId="3" xfId="0" applyNumberFormat="1" applyBorder="1" applyAlignment="1"/>
    <xf numFmtId="0" fontId="11" fillId="0" borderId="3" xfId="0" applyFont="1" applyBorder="1"/>
    <xf numFmtId="49" fontId="10" fillId="3" borderId="3" xfId="0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/>
    <xf numFmtId="0" fontId="7" fillId="0" borderId="0" xfId="0" applyFont="1" applyAlignment="1">
      <alignment horizontal="right"/>
    </xf>
    <xf numFmtId="0" fontId="10" fillId="3" borderId="7" xfId="0" applyNumberFormat="1" applyFont="1" applyFill="1" applyBorder="1" applyAlignment="1">
      <alignment horizontal="right" vertical="center" wrapText="1"/>
    </xf>
    <xf numFmtId="165" fontId="0" fillId="0" borderId="3" xfId="0" applyNumberFormat="1" applyBorder="1"/>
    <xf numFmtId="0" fontId="12" fillId="0" borderId="0" xfId="0" quotePrefix="1" applyFont="1" applyAlignment="1">
      <alignment horizontal="left" indent="1"/>
    </xf>
    <xf numFmtId="0" fontId="7" fillId="0" borderId="0" xfId="0" quotePrefix="1" applyFont="1" applyAlignment="1">
      <alignment horizontal="right"/>
    </xf>
    <xf numFmtId="0" fontId="13" fillId="0" borderId="0" xfId="0" quotePrefix="1" applyFont="1" applyAlignment="1">
      <alignment vertical="center"/>
    </xf>
    <xf numFmtId="0" fontId="6" fillId="3" borderId="3" xfId="0" applyFont="1" applyFill="1" applyBorder="1"/>
    <xf numFmtId="0" fontId="14" fillId="0" borderId="0" xfId="0" applyFont="1"/>
    <xf numFmtId="49" fontId="10" fillId="4" borderId="7" xfId="0" applyNumberFormat="1" applyFont="1" applyFill="1" applyBorder="1" applyAlignment="1">
      <alignment horizontal="right" vertical="center" wrapText="1"/>
    </xf>
    <xf numFmtId="0" fontId="0" fillId="0" borderId="3" xfId="0" applyFont="1" applyBorder="1"/>
    <xf numFmtId="0" fontId="5" fillId="2" borderId="8" xfId="0" applyFont="1" applyFill="1" applyBorder="1" applyProtection="1">
      <protection locked="0"/>
    </xf>
    <xf numFmtId="0" fontId="5" fillId="2" borderId="8" xfId="0" applyFont="1" applyFill="1" applyBorder="1"/>
    <xf numFmtId="16" fontId="0" fillId="0" borderId="3" xfId="0" applyNumberFormat="1" applyBorder="1"/>
    <xf numFmtId="2" fontId="11" fillId="0" borderId="3" xfId="0" applyNumberFormat="1" applyFont="1" applyBorder="1"/>
    <xf numFmtId="16" fontId="11" fillId="0" borderId="0" xfId="0" applyNumberFormat="1" applyFont="1"/>
    <xf numFmtId="0" fontId="6" fillId="0" borderId="0" xfId="0" applyFont="1"/>
    <xf numFmtId="0" fontId="15" fillId="0" borderId="0" xfId="0" quotePrefix="1" applyFont="1"/>
    <xf numFmtId="0" fontId="11" fillId="0" borderId="3" xfId="0" applyFont="1" applyBorder="1" applyAlignment="1"/>
    <xf numFmtId="0" fontId="16" fillId="0" borderId="0" xfId="0" quotePrefix="1" applyFont="1"/>
    <xf numFmtId="0" fontId="17" fillId="0" borderId="0" xfId="0" quotePrefix="1" applyFont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18" fillId="0" borderId="0" xfId="0" quotePrefix="1" applyFont="1"/>
    <xf numFmtId="0" fontId="19" fillId="0" borderId="3" xfId="0" applyFont="1" applyBorder="1" applyAlignment="1"/>
    <xf numFmtId="1" fontId="15" fillId="5" borderId="9" xfId="0" applyNumberFormat="1" applyFont="1" applyFill="1" applyBorder="1" applyAlignment="1">
      <alignment horizontal="right" vertical="top"/>
    </xf>
    <xf numFmtId="0" fontId="20" fillId="0" borderId="3" xfId="0" applyFont="1" applyBorder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A47" sqref="A47"/>
    </sheetView>
  </sheetViews>
  <sheetFormatPr defaultRowHeight="14.4" x14ac:dyDescent="0.3"/>
  <cols>
    <col min="4" max="4" width="46.33203125" customWidth="1"/>
    <col min="5" max="5" width="13.5546875" customWidth="1"/>
  </cols>
  <sheetData>
    <row r="1" spans="1:28" x14ac:dyDescent="0.3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95</v>
      </c>
      <c r="G1" s="57" t="s">
        <v>240</v>
      </c>
      <c r="H1" s="57" t="s">
        <v>78</v>
      </c>
      <c r="I1" s="57" t="s">
        <v>79</v>
      </c>
      <c r="J1" s="57" t="s">
        <v>80</v>
      </c>
      <c r="K1" s="57" t="s">
        <v>7</v>
      </c>
      <c r="L1" s="57" t="s">
        <v>99</v>
      </c>
      <c r="M1" s="57" t="s">
        <v>54</v>
      </c>
      <c r="N1" s="57" t="s">
        <v>51</v>
      </c>
      <c r="O1" s="57" t="s">
        <v>9</v>
      </c>
      <c r="P1" s="57" t="s">
        <v>10</v>
      </c>
      <c r="Q1" s="16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3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4" t="s">
        <v>62</v>
      </c>
      <c r="AB1" s="14" t="s">
        <v>63</v>
      </c>
    </row>
    <row r="2" spans="1:28" x14ac:dyDescent="0.3">
      <c r="A2" s="32">
        <v>1</v>
      </c>
      <c r="B2" s="32" t="s">
        <v>47</v>
      </c>
      <c r="C2" s="32" t="s">
        <v>93</v>
      </c>
      <c r="D2" s="43" t="s">
        <v>84</v>
      </c>
      <c r="E2" s="32"/>
      <c r="F2" s="32">
        <v>8</v>
      </c>
      <c r="G2" s="32"/>
      <c r="H2" s="32">
        <v>8.6</v>
      </c>
      <c r="I2" s="32">
        <f t="shared" ref="I2:I12" si="0">H2</f>
        <v>8.6</v>
      </c>
      <c r="J2" s="32"/>
      <c r="K2" s="32" t="s">
        <v>96</v>
      </c>
      <c r="L2" s="32"/>
      <c r="M2" s="32"/>
      <c r="N2" s="32"/>
      <c r="O2" s="32" t="s">
        <v>49</v>
      </c>
      <c r="P2" s="32"/>
      <c r="Q2" s="32" t="s">
        <v>54</v>
      </c>
      <c r="R2" s="58">
        <v>43080</v>
      </c>
      <c r="S2" s="32"/>
      <c r="T2" s="58">
        <v>43091</v>
      </c>
      <c r="U2" s="58">
        <v>43095</v>
      </c>
    </row>
    <row r="3" spans="1:28" x14ac:dyDescent="0.3">
      <c r="A3" s="32">
        <v>2</v>
      </c>
      <c r="B3" s="32" t="s">
        <v>71</v>
      </c>
      <c r="C3" s="32" t="s">
        <v>93</v>
      </c>
      <c r="D3" s="43" t="s">
        <v>97</v>
      </c>
      <c r="E3" s="32"/>
      <c r="F3" s="32">
        <v>8</v>
      </c>
      <c r="G3" s="32"/>
      <c r="H3" s="32">
        <v>5.85</v>
      </c>
      <c r="I3" s="32">
        <f t="shared" si="0"/>
        <v>5.85</v>
      </c>
      <c r="J3" s="32"/>
      <c r="K3" s="32" t="s">
        <v>98</v>
      </c>
      <c r="L3" s="32"/>
      <c r="M3" s="32"/>
      <c r="N3" s="32"/>
      <c r="O3" s="32" t="s">
        <v>49</v>
      </c>
      <c r="P3" s="32"/>
      <c r="Q3" s="32" t="s">
        <v>99</v>
      </c>
      <c r="R3" s="58">
        <v>43051</v>
      </c>
      <c r="S3" s="32"/>
      <c r="T3" s="32"/>
      <c r="U3" s="32"/>
    </row>
    <row r="4" spans="1:28" x14ac:dyDescent="0.3">
      <c r="A4" s="32">
        <v>3</v>
      </c>
      <c r="B4" s="32" t="s">
        <v>71</v>
      </c>
      <c r="C4" s="32" t="s">
        <v>48</v>
      </c>
      <c r="D4" s="43" t="s">
        <v>107</v>
      </c>
      <c r="E4" s="32"/>
      <c r="F4" s="32">
        <v>1</v>
      </c>
      <c r="G4" s="32"/>
      <c r="H4" s="32">
        <v>0.6</v>
      </c>
      <c r="I4" s="32">
        <f t="shared" si="0"/>
        <v>0.6</v>
      </c>
      <c r="J4" s="32"/>
      <c r="K4" s="32" t="s">
        <v>98</v>
      </c>
      <c r="L4" s="32"/>
      <c r="M4" s="32"/>
      <c r="N4" s="32"/>
      <c r="O4" s="32" t="s">
        <v>49</v>
      </c>
      <c r="P4" s="32"/>
      <c r="Q4" s="32" t="s">
        <v>118</v>
      </c>
      <c r="R4" s="58">
        <v>43106</v>
      </c>
      <c r="S4" s="32"/>
      <c r="T4" s="32"/>
      <c r="U4" s="32"/>
    </row>
    <row r="5" spans="1:28" x14ac:dyDescent="0.3">
      <c r="A5" s="32">
        <v>4</v>
      </c>
      <c r="B5" s="32" t="s">
        <v>72</v>
      </c>
      <c r="C5" s="32" t="s">
        <v>48</v>
      </c>
      <c r="D5" s="32" t="s">
        <v>119</v>
      </c>
      <c r="E5" s="32">
        <v>4201597852</v>
      </c>
      <c r="F5" s="32">
        <v>1</v>
      </c>
      <c r="G5" s="32"/>
      <c r="H5" s="32">
        <v>0.68</v>
      </c>
      <c r="I5" s="32">
        <f t="shared" si="0"/>
        <v>0.68</v>
      </c>
      <c r="J5" s="32"/>
      <c r="K5" s="32" t="s">
        <v>120</v>
      </c>
      <c r="L5" s="32"/>
      <c r="M5" s="32"/>
      <c r="N5" s="32"/>
      <c r="O5" s="32" t="s">
        <v>49</v>
      </c>
      <c r="P5" s="32"/>
      <c r="Q5" s="32" t="s">
        <v>54</v>
      </c>
      <c r="R5" s="58">
        <v>43441</v>
      </c>
      <c r="S5" s="58">
        <v>43461</v>
      </c>
      <c r="T5" s="58">
        <v>43123</v>
      </c>
      <c r="U5" s="32"/>
    </row>
    <row r="6" spans="1:28" x14ac:dyDescent="0.3">
      <c r="A6" s="32">
        <v>5</v>
      </c>
      <c r="B6" s="32" t="s">
        <v>67</v>
      </c>
      <c r="C6" s="32" t="s">
        <v>48</v>
      </c>
      <c r="D6" s="32" t="s">
        <v>121</v>
      </c>
      <c r="E6" s="32">
        <v>4201600602</v>
      </c>
      <c r="F6" s="32">
        <v>2</v>
      </c>
      <c r="G6" s="32"/>
      <c r="H6" s="32">
        <v>1.4279999999999999</v>
      </c>
      <c r="I6" s="32">
        <f t="shared" si="0"/>
        <v>1.4279999999999999</v>
      </c>
      <c r="J6" s="32"/>
      <c r="K6" s="32" t="s">
        <v>98</v>
      </c>
      <c r="L6" s="32"/>
      <c r="M6" s="32"/>
      <c r="N6" s="32"/>
      <c r="O6" s="32" t="s">
        <v>49</v>
      </c>
      <c r="P6" s="32"/>
      <c r="Q6" s="32" t="s">
        <v>54</v>
      </c>
      <c r="R6" s="58">
        <v>43454</v>
      </c>
      <c r="S6" s="58">
        <v>43464</v>
      </c>
      <c r="T6" s="58">
        <v>43123</v>
      </c>
      <c r="U6" s="32"/>
    </row>
    <row r="7" spans="1:28" x14ac:dyDescent="0.3">
      <c r="A7" s="32">
        <v>6</v>
      </c>
      <c r="B7" s="32" t="s">
        <v>81</v>
      </c>
      <c r="C7" s="32" t="s">
        <v>48</v>
      </c>
      <c r="D7" s="32" t="s">
        <v>122</v>
      </c>
      <c r="E7" s="32">
        <v>4201578013</v>
      </c>
      <c r="F7" s="32">
        <v>6</v>
      </c>
      <c r="G7" s="32"/>
      <c r="H7" s="32">
        <v>6.8</v>
      </c>
      <c r="I7" s="32">
        <f t="shared" si="0"/>
        <v>6.8</v>
      </c>
      <c r="J7" s="32"/>
      <c r="K7" s="32" t="s">
        <v>96</v>
      </c>
      <c r="L7" s="32"/>
      <c r="M7" s="32"/>
      <c r="N7" s="32"/>
      <c r="O7" s="32" t="s">
        <v>49</v>
      </c>
      <c r="P7" s="32"/>
      <c r="Q7" s="32" t="s">
        <v>123</v>
      </c>
      <c r="R7" s="58">
        <v>43432</v>
      </c>
      <c r="S7" s="58">
        <v>43432</v>
      </c>
      <c r="T7" s="58">
        <v>43123</v>
      </c>
      <c r="U7" s="32"/>
    </row>
    <row r="8" spans="1:28" x14ac:dyDescent="0.3">
      <c r="A8" s="32">
        <v>7</v>
      </c>
      <c r="B8" s="32" t="s">
        <v>53</v>
      </c>
      <c r="C8" s="32" t="s">
        <v>48</v>
      </c>
      <c r="D8" s="32" t="s">
        <v>124</v>
      </c>
      <c r="E8" s="32">
        <v>4201583363</v>
      </c>
      <c r="F8" s="32">
        <v>2</v>
      </c>
      <c r="G8" s="32"/>
      <c r="H8" s="32">
        <v>3.6</v>
      </c>
      <c r="I8" s="32">
        <f t="shared" si="0"/>
        <v>3.6</v>
      </c>
      <c r="J8" s="32"/>
      <c r="K8" s="32" t="s">
        <v>98</v>
      </c>
      <c r="L8" s="32"/>
      <c r="M8" s="32"/>
      <c r="N8" s="32"/>
      <c r="O8" s="32" t="s">
        <v>49</v>
      </c>
      <c r="P8" s="32"/>
      <c r="Q8" s="32" t="s">
        <v>118</v>
      </c>
      <c r="R8" s="58">
        <v>43435</v>
      </c>
      <c r="S8" s="58">
        <v>43439</v>
      </c>
      <c r="T8" s="58">
        <v>43123</v>
      </c>
      <c r="U8" s="32"/>
    </row>
    <row r="9" spans="1:28" x14ac:dyDescent="0.3">
      <c r="A9" s="32">
        <v>8</v>
      </c>
      <c r="B9" s="32" t="s">
        <v>47</v>
      </c>
      <c r="C9" s="32" t="s">
        <v>82</v>
      </c>
      <c r="D9" s="32" t="s">
        <v>142</v>
      </c>
      <c r="E9" s="32">
        <v>5000054393</v>
      </c>
      <c r="F9" s="32">
        <v>2</v>
      </c>
      <c r="G9" s="32"/>
      <c r="H9" s="32">
        <v>16</v>
      </c>
      <c r="I9" s="32">
        <f t="shared" si="0"/>
        <v>16</v>
      </c>
      <c r="J9" s="32"/>
      <c r="K9" s="32" t="s">
        <v>96</v>
      </c>
      <c r="L9" s="32"/>
      <c r="M9" s="32"/>
      <c r="N9" s="32"/>
      <c r="O9" s="32" t="s">
        <v>49</v>
      </c>
      <c r="P9" s="32"/>
      <c r="Q9" s="32" t="s">
        <v>99</v>
      </c>
      <c r="R9" s="58">
        <v>43462</v>
      </c>
      <c r="S9" s="58">
        <v>43132</v>
      </c>
      <c r="T9" s="58">
        <v>43133</v>
      </c>
      <c r="U9" s="32"/>
    </row>
    <row r="10" spans="1:28" x14ac:dyDescent="0.3">
      <c r="A10" s="32">
        <v>9</v>
      </c>
      <c r="B10" s="32" t="s">
        <v>71</v>
      </c>
      <c r="C10" s="32" t="s">
        <v>82</v>
      </c>
      <c r="D10" s="39" t="s">
        <v>176</v>
      </c>
      <c r="E10" s="39">
        <v>4201641584</v>
      </c>
      <c r="F10" s="32">
        <v>1</v>
      </c>
      <c r="G10" s="32"/>
      <c r="H10" s="32">
        <v>2.2999999999999998</v>
      </c>
      <c r="I10" s="32">
        <f t="shared" si="0"/>
        <v>2.2999999999999998</v>
      </c>
      <c r="J10" s="32"/>
      <c r="K10" s="32" t="s">
        <v>96</v>
      </c>
      <c r="L10" s="32"/>
      <c r="M10" s="32"/>
      <c r="N10" s="32"/>
      <c r="O10" s="32" t="s">
        <v>49</v>
      </c>
      <c r="P10" s="32"/>
      <c r="Q10" s="32" t="s">
        <v>99</v>
      </c>
      <c r="R10" s="58">
        <v>43151</v>
      </c>
      <c r="S10" s="58">
        <v>43159</v>
      </c>
      <c r="T10" s="58">
        <v>43160</v>
      </c>
      <c r="U10" s="32"/>
    </row>
    <row r="11" spans="1:28" x14ac:dyDescent="0.3">
      <c r="A11" s="32">
        <v>10</v>
      </c>
      <c r="B11" s="32" t="s">
        <v>67</v>
      </c>
      <c r="C11" s="32" t="s">
        <v>48</v>
      </c>
      <c r="D11" s="32" t="s">
        <v>183</v>
      </c>
      <c r="E11" s="32">
        <v>4201626628</v>
      </c>
      <c r="F11" s="32">
        <v>1</v>
      </c>
      <c r="G11" s="32"/>
      <c r="H11" s="32">
        <v>0.37</v>
      </c>
      <c r="I11" s="32">
        <f t="shared" si="0"/>
        <v>0.37</v>
      </c>
      <c r="J11" s="32"/>
      <c r="K11" s="32" t="s">
        <v>96</v>
      </c>
      <c r="L11" s="32"/>
      <c r="M11" s="32"/>
      <c r="N11" s="32"/>
      <c r="O11" s="32" t="s">
        <v>49</v>
      </c>
      <c r="P11" s="32"/>
      <c r="Q11" s="32" t="s">
        <v>54</v>
      </c>
      <c r="R11" s="58">
        <v>43125</v>
      </c>
      <c r="S11" s="58">
        <v>43168</v>
      </c>
      <c r="T11" s="58">
        <v>43168</v>
      </c>
      <c r="U11" s="32"/>
    </row>
    <row r="12" spans="1:28" x14ac:dyDescent="0.3">
      <c r="A12" s="32">
        <v>11</v>
      </c>
      <c r="B12" s="32" t="s">
        <v>71</v>
      </c>
      <c r="C12" s="32" t="s">
        <v>182</v>
      </c>
      <c r="D12" s="37" t="s">
        <v>193</v>
      </c>
      <c r="E12" s="32">
        <v>4201662459</v>
      </c>
      <c r="F12" s="32">
        <v>6</v>
      </c>
      <c r="G12" s="32"/>
      <c r="H12" s="32">
        <v>3.9</v>
      </c>
      <c r="I12" s="32">
        <f t="shared" si="0"/>
        <v>3.9</v>
      </c>
      <c r="J12" s="32"/>
      <c r="K12" s="32" t="s">
        <v>96</v>
      </c>
      <c r="L12" s="32"/>
      <c r="M12" s="32"/>
      <c r="N12" s="32"/>
      <c r="O12" s="32" t="s">
        <v>49</v>
      </c>
      <c r="P12" s="32"/>
      <c r="Q12" s="32" t="s">
        <v>54</v>
      </c>
      <c r="R12" s="58">
        <v>43166</v>
      </c>
      <c r="S12" s="58">
        <v>43178</v>
      </c>
      <c r="T12" s="58">
        <v>43180</v>
      </c>
      <c r="U12" s="32"/>
    </row>
    <row r="13" spans="1:28" x14ac:dyDescent="0.3">
      <c r="A13" s="32">
        <v>12</v>
      </c>
      <c r="B13" s="32" t="s">
        <v>47</v>
      </c>
      <c r="C13" s="32" t="s">
        <v>182</v>
      </c>
      <c r="D13" s="32" t="s">
        <v>194</v>
      </c>
      <c r="E13" s="67">
        <v>4201641692</v>
      </c>
      <c r="F13" s="32">
        <v>2</v>
      </c>
      <c r="G13" s="32"/>
      <c r="H13" s="32">
        <v>1.85</v>
      </c>
      <c r="I13" s="32">
        <v>1.85</v>
      </c>
      <c r="J13" s="32"/>
      <c r="K13" s="32" t="s">
        <v>96</v>
      </c>
      <c r="L13" s="32"/>
      <c r="M13" s="32"/>
      <c r="N13" s="32"/>
      <c r="O13" s="32"/>
      <c r="P13" s="32"/>
      <c r="Q13" s="32" t="s">
        <v>54</v>
      </c>
      <c r="R13" s="32"/>
      <c r="S13" s="32"/>
      <c r="T13" s="32"/>
      <c r="U13" s="32"/>
    </row>
    <row r="14" spans="1:28" x14ac:dyDescent="0.3">
      <c r="A14" s="32">
        <v>13</v>
      </c>
      <c r="B14" s="32" t="s">
        <v>67</v>
      </c>
      <c r="C14" s="32" t="s">
        <v>182</v>
      </c>
      <c r="D14" s="32" t="s">
        <v>199</v>
      </c>
      <c r="E14" s="67">
        <v>4201663016</v>
      </c>
      <c r="F14" s="32">
        <v>2</v>
      </c>
      <c r="G14" s="32"/>
      <c r="H14" s="32">
        <v>0.55000000000000004</v>
      </c>
      <c r="I14" s="32">
        <v>0.55000000000000004</v>
      </c>
      <c r="J14" s="32"/>
      <c r="K14" s="32" t="s">
        <v>96</v>
      </c>
      <c r="L14" s="32"/>
      <c r="M14" s="32"/>
      <c r="N14" s="32"/>
      <c r="O14" s="32"/>
      <c r="P14" s="32"/>
      <c r="Q14" s="32" t="s">
        <v>54</v>
      </c>
      <c r="R14" s="32"/>
      <c r="S14" s="32"/>
      <c r="T14" s="32"/>
      <c r="U14" s="32"/>
    </row>
    <row r="15" spans="1:28" x14ac:dyDescent="0.3">
      <c r="A15" s="32">
        <v>15</v>
      </c>
      <c r="B15" s="32" t="s">
        <v>47</v>
      </c>
      <c r="C15" s="32" t="s">
        <v>182</v>
      </c>
      <c r="D15" s="22" t="s">
        <v>77</v>
      </c>
      <c r="E15" s="67">
        <v>5000054384</v>
      </c>
      <c r="F15" s="32">
        <v>11</v>
      </c>
      <c r="G15" s="32"/>
      <c r="H15" s="32">
        <v>9.5</v>
      </c>
      <c r="I15" s="32">
        <f t="shared" ref="I15:I24" si="1">H15</f>
        <v>9.5</v>
      </c>
      <c r="J15" s="32"/>
      <c r="K15" s="32" t="s">
        <v>98</v>
      </c>
      <c r="L15" s="32"/>
      <c r="M15" s="32"/>
      <c r="N15" s="32"/>
      <c r="O15" s="32"/>
      <c r="P15" s="32"/>
      <c r="Q15" s="32" t="s">
        <v>99</v>
      </c>
      <c r="R15" s="32"/>
      <c r="S15" s="32"/>
      <c r="T15" s="32"/>
      <c r="U15" s="32"/>
    </row>
    <row r="16" spans="1:28" x14ac:dyDescent="0.3">
      <c r="A16" s="32">
        <v>16</v>
      </c>
      <c r="B16" s="32" t="s">
        <v>71</v>
      </c>
      <c r="C16" s="32" t="s">
        <v>182</v>
      </c>
      <c r="D16" s="35" t="s">
        <v>200</v>
      </c>
      <c r="E16" s="32">
        <v>4201661306</v>
      </c>
      <c r="F16" s="32">
        <v>27</v>
      </c>
      <c r="G16" s="32"/>
      <c r="H16" s="32">
        <f>30-2.44</f>
        <v>27.56</v>
      </c>
      <c r="I16" s="32">
        <f t="shared" si="1"/>
        <v>27.56</v>
      </c>
      <c r="J16" s="32"/>
      <c r="K16" s="32" t="s">
        <v>96</v>
      </c>
      <c r="L16" s="32"/>
      <c r="M16" s="32"/>
      <c r="N16" s="32"/>
      <c r="O16" s="32" t="s">
        <v>49</v>
      </c>
      <c r="P16" s="32"/>
      <c r="Q16" s="32" t="s">
        <v>202</v>
      </c>
      <c r="R16" s="58">
        <v>43185</v>
      </c>
      <c r="S16" s="58">
        <v>43187</v>
      </c>
      <c r="T16" s="58">
        <v>43200</v>
      </c>
      <c r="U16" s="32"/>
    </row>
    <row r="17" spans="1:21" x14ac:dyDescent="0.3">
      <c r="A17" s="32">
        <v>17</v>
      </c>
      <c r="B17" s="32" t="s">
        <v>71</v>
      </c>
      <c r="C17" s="32" t="s">
        <v>182</v>
      </c>
      <c r="D17" s="43" t="s">
        <v>107</v>
      </c>
      <c r="E17" s="32"/>
      <c r="F17" s="32">
        <v>2</v>
      </c>
      <c r="G17" s="32"/>
      <c r="H17" s="32">
        <v>1.2</v>
      </c>
      <c r="I17" s="32">
        <f t="shared" si="1"/>
        <v>1.2</v>
      </c>
      <c r="J17" s="32"/>
      <c r="K17" s="32" t="s">
        <v>96</v>
      </c>
      <c r="L17" s="32"/>
      <c r="M17" s="32"/>
      <c r="N17" s="32"/>
      <c r="O17" s="32"/>
      <c r="P17" s="32"/>
      <c r="Q17" s="32" t="s">
        <v>118</v>
      </c>
      <c r="R17" s="32"/>
      <c r="S17" s="32"/>
      <c r="T17" s="32"/>
      <c r="U17" s="32"/>
    </row>
    <row r="18" spans="1:21" x14ac:dyDescent="0.3">
      <c r="A18" s="32">
        <v>18</v>
      </c>
      <c r="B18" s="32" t="s">
        <v>72</v>
      </c>
      <c r="C18" s="32" t="s">
        <v>182</v>
      </c>
      <c r="D18" s="32" t="s">
        <v>201</v>
      </c>
      <c r="E18" s="67">
        <v>4201612694</v>
      </c>
      <c r="F18" s="32"/>
      <c r="G18" s="32"/>
      <c r="H18" s="32">
        <v>1.1499999999999999</v>
      </c>
      <c r="I18" s="32">
        <f t="shared" si="1"/>
        <v>1.1499999999999999</v>
      </c>
      <c r="J18" s="32"/>
      <c r="K18" s="32" t="s">
        <v>96</v>
      </c>
      <c r="L18" s="32"/>
      <c r="M18" s="32"/>
      <c r="N18" s="32"/>
      <c r="O18" s="32"/>
      <c r="P18" s="32"/>
      <c r="Q18" s="32" t="s">
        <v>54</v>
      </c>
      <c r="R18" s="32"/>
      <c r="S18" s="32"/>
      <c r="T18" s="32"/>
      <c r="U18" s="32"/>
    </row>
    <row r="19" spans="1:21" x14ac:dyDescent="0.3">
      <c r="A19" s="32">
        <v>19</v>
      </c>
      <c r="B19" s="32" t="s">
        <v>81</v>
      </c>
      <c r="C19" s="32" t="s">
        <v>182</v>
      </c>
      <c r="D19" s="32" t="s">
        <v>221</v>
      </c>
      <c r="E19" s="32">
        <v>4201662758</v>
      </c>
      <c r="F19" s="32">
        <v>1</v>
      </c>
      <c r="G19" s="32"/>
      <c r="H19" s="32">
        <v>0.55000000000000004</v>
      </c>
      <c r="I19" s="32">
        <f t="shared" si="1"/>
        <v>0.55000000000000004</v>
      </c>
      <c r="J19" s="32"/>
      <c r="K19" s="32" t="s">
        <v>96</v>
      </c>
      <c r="L19" s="32"/>
      <c r="M19" s="32"/>
      <c r="N19" s="32" t="s">
        <v>144</v>
      </c>
      <c r="O19" s="32" t="s">
        <v>49</v>
      </c>
      <c r="P19" s="32"/>
      <c r="Q19" s="32" t="s">
        <v>54</v>
      </c>
      <c r="R19" s="58">
        <v>43179</v>
      </c>
      <c r="S19" s="58">
        <v>43192</v>
      </c>
      <c r="T19" s="58">
        <v>43192</v>
      </c>
      <c r="U19" s="32"/>
    </row>
    <row r="20" spans="1:21" x14ac:dyDescent="0.3">
      <c r="A20" s="32">
        <v>20</v>
      </c>
      <c r="B20" s="32" t="s">
        <v>71</v>
      </c>
      <c r="C20" s="32" t="s">
        <v>182</v>
      </c>
      <c r="D20" s="29" t="s">
        <v>222</v>
      </c>
      <c r="E20" s="67">
        <v>4201612603</v>
      </c>
      <c r="F20" s="32"/>
      <c r="G20" s="32"/>
      <c r="H20" s="32">
        <v>0.6</v>
      </c>
      <c r="I20" s="32">
        <f t="shared" si="1"/>
        <v>0.6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x14ac:dyDescent="0.3">
      <c r="A21" s="32">
        <v>21</v>
      </c>
      <c r="B21" s="32" t="s">
        <v>53</v>
      </c>
      <c r="C21" s="32" t="s">
        <v>234</v>
      </c>
      <c r="D21" s="32" t="s">
        <v>238</v>
      </c>
      <c r="E21" s="32">
        <v>4201672015</v>
      </c>
      <c r="F21" s="32">
        <v>1</v>
      </c>
      <c r="G21" s="32"/>
      <c r="H21" s="32">
        <v>0.79</v>
      </c>
      <c r="I21" s="32">
        <f t="shared" si="1"/>
        <v>0.79</v>
      </c>
      <c r="J21" s="32"/>
      <c r="K21" s="32" t="s">
        <v>96</v>
      </c>
      <c r="L21" s="32"/>
      <c r="M21" s="32"/>
      <c r="N21" s="32"/>
      <c r="O21" s="32" t="s">
        <v>49</v>
      </c>
      <c r="P21" s="32"/>
      <c r="Q21" s="32" t="s">
        <v>54</v>
      </c>
      <c r="R21" s="58">
        <v>43195</v>
      </c>
      <c r="S21" s="58">
        <v>43203</v>
      </c>
      <c r="T21" s="58">
        <v>43203</v>
      </c>
      <c r="U21" s="32"/>
    </row>
    <row r="22" spans="1:21" x14ac:dyDescent="0.3">
      <c r="A22" s="32">
        <v>22</v>
      </c>
      <c r="B22" s="32" t="s">
        <v>47</v>
      </c>
      <c r="C22" s="32" t="s">
        <v>234</v>
      </c>
      <c r="D22" s="32" t="s">
        <v>239</v>
      </c>
      <c r="E22" s="32">
        <v>5000056341</v>
      </c>
      <c r="F22" s="32">
        <v>9</v>
      </c>
      <c r="G22" s="32">
        <v>2</v>
      </c>
      <c r="H22" s="32">
        <v>5.9</v>
      </c>
      <c r="I22" s="32">
        <f t="shared" si="1"/>
        <v>5.9</v>
      </c>
      <c r="J22" s="32"/>
      <c r="K22" s="32" t="s">
        <v>65</v>
      </c>
      <c r="L22" s="32"/>
      <c r="M22" s="32">
        <v>7</v>
      </c>
      <c r="N22" s="32" t="s">
        <v>52</v>
      </c>
      <c r="O22" s="32" t="s">
        <v>49</v>
      </c>
      <c r="P22" s="32"/>
      <c r="Q22" s="32" t="s">
        <v>241</v>
      </c>
      <c r="R22" s="58">
        <v>43188</v>
      </c>
      <c r="S22" s="58">
        <v>43203</v>
      </c>
      <c r="T22" s="58">
        <v>43203</v>
      </c>
      <c r="U22" s="32"/>
    </row>
    <row r="23" spans="1:21" x14ac:dyDescent="0.3">
      <c r="A23" s="32">
        <v>23</v>
      </c>
      <c r="B23" s="32" t="s">
        <v>73</v>
      </c>
      <c r="C23" s="32" t="s">
        <v>234</v>
      </c>
      <c r="D23" s="32" t="s">
        <v>174</v>
      </c>
      <c r="E23" s="66">
        <v>4201682398</v>
      </c>
      <c r="F23" s="32">
        <v>2</v>
      </c>
      <c r="G23" s="32">
        <v>2</v>
      </c>
      <c r="H23" s="32">
        <v>13.8</v>
      </c>
      <c r="I23" s="32">
        <f t="shared" si="1"/>
        <v>13.8</v>
      </c>
      <c r="J23" s="32"/>
      <c r="K23" s="32" t="s">
        <v>96</v>
      </c>
      <c r="L23" s="32"/>
      <c r="M23" s="32"/>
      <c r="N23" s="32"/>
      <c r="O23" s="32"/>
      <c r="P23" s="32"/>
      <c r="Q23" s="32" t="s">
        <v>249</v>
      </c>
      <c r="R23" s="58">
        <v>43202</v>
      </c>
      <c r="S23" s="58">
        <v>43210</v>
      </c>
      <c r="T23" s="58">
        <v>43212</v>
      </c>
      <c r="U23" s="32"/>
    </row>
    <row r="24" spans="1:21" x14ac:dyDescent="0.3">
      <c r="A24" s="32">
        <v>24</v>
      </c>
      <c r="B24" s="32" t="s">
        <v>47</v>
      </c>
      <c r="C24" s="32" t="s">
        <v>234</v>
      </c>
      <c r="D24" s="32" t="s">
        <v>142</v>
      </c>
      <c r="E24" s="32">
        <v>5000055985</v>
      </c>
      <c r="F24" s="32">
        <v>1</v>
      </c>
      <c r="G24" s="32"/>
      <c r="H24" s="32">
        <v>0.26200000000000001</v>
      </c>
      <c r="I24" s="32">
        <f t="shared" si="1"/>
        <v>0.26200000000000001</v>
      </c>
      <c r="J24" s="32"/>
      <c r="K24" s="32" t="s">
        <v>98</v>
      </c>
      <c r="L24" s="32"/>
      <c r="M24" s="32"/>
      <c r="N24" s="32"/>
      <c r="O24" s="32"/>
      <c r="P24" s="32"/>
      <c r="Q24" s="32" t="s">
        <v>266</v>
      </c>
      <c r="R24" s="32" t="s">
        <v>267</v>
      </c>
      <c r="S24" s="58">
        <v>43175</v>
      </c>
      <c r="T24" s="58">
        <v>43231</v>
      </c>
      <c r="U24" s="32"/>
    </row>
    <row r="25" spans="1:21" x14ac:dyDescent="0.3">
      <c r="A25" s="32">
        <v>25</v>
      </c>
      <c r="B25" s="32" t="s">
        <v>47</v>
      </c>
      <c r="C25" s="32" t="s">
        <v>234</v>
      </c>
      <c r="D25" s="32" t="s">
        <v>142</v>
      </c>
      <c r="E25" s="32">
        <v>5000056858</v>
      </c>
      <c r="F25" s="32">
        <v>4</v>
      </c>
      <c r="G25" s="32"/>
      <c r="H25" s="32">
        <v>0.14299999999999999</v>
      </c>
      <c r="I25" s="32">
        <f t="shared" ref="I25:I28" si="2">H25</f>
        <v>0.14299999999999999</v>
      </c>
      <c r="J25" s="32"/>
      <c r="K25" s="32" t="s">
        <v>98</v>
      </c>
      <c r="L25" s="32"/>
      <c r="M25" s="32"/>
      <c r="N25" s="32"/>
      <c r="O25" s="32"/>
      <c r="P25" s="32"/>
      <c r="Q25" s="32" t="s">
        <v>266</v>
      </c>
      <c r="R25" s="58">
        <v>43200</v>
      </c>
      <c r="S25" s="58">
        <v>43214</v>
      </c>
      <c r="T25" s="58">
        <v>43231</v>
      </c>
      <c r="U25" s="32"/>
    </row>
    <row r="26" spans="1:21" x14ac:dyDescent="0.3">
      <c r="A26" s="32">
        <v>26</v>
      </c>
      <c r="B26" s="32" t="s">
        <v>47</v>
      </c>
      <c r="C26" s="32" t="s">
        <v>234</v>
      </c>
      <c r="D26" s="32" t="s">
        <v>142</v>
      </c>
      <c r="E26" s="32">
        <v>5000056856</v>
      </c>
      <c r="F26" s="32">
        <v>13</v>
      </c>
      <c r="G26" s="32"/>
      <c r="H26" s="32">
        <v>0.36299999999999999</v>
      </c>
      <c r="I26" s="32">
        <f t="shared" si="2"/>
        <v>0.36299999999999999</v>
      </c>
      <c r="J26" s="32"/>
      <c r="K26" s="32" t="s">
        <v>98</v>
      </c>
      <c r="L26" s="32"/>
      <c r="M26" s="32"/>
      <c r="N26" s="32"/>
      <c r="O26" s="32"/>
      <c r="P26" s="32"/>
      <c r="Q26" s="32" t="s">
        <v>266</v>
      </c>
      <c r="R26" s="58">
        <v>43186</v>
      </c>
      <c r="S26" s="58">
        <v>43190</v>
      </c>
      <c r="T26" s="58">
        <v>43231</v>
      </c>
      <c r="U26" s="32"/>
    </row>
    <row r="27" spans="1:21" x14ac:dyDescent="0.3">
      <c r="A27" s="32">
        <v>27</v>
      </c>
      <c r="B27" s="32" t="s">
        <v>47</v>
      </c>
      <c r="C27" s="32" t="s">
        <v>234</v>
      </c>
      <c r="D27" s="32" t="s">
        <v>142</v>
      </c>
      <c r="E27" s="32">
        <v>5000056342</v>
      </c>
      <c r="F27" s="32">
        <v>96</v>
      </c>
      <c r="G27" s="32"/>
      <c r="H27" s="32">
        <v>3.9849999999999999</v>
      </c>
      <c r="I27" s="32">
        <f t="shared" si="2"/>
        <v>3.9849999999999999</v>
      </c>
      <c r="J27" s="32"/>
      <c r="K27" s="32" t="s">
        <v>98</v>
      </c>
      <c r="L27" s="32"/>
      <c r="M27" s="32"/>
      <c r="N27" s="32"/>
      <c r="O27" s="32"/>
      <c r="P27" s="32"/>
      <c r="Q27" s="32" t="s">
        <v>266</v>
      </c>
      <c r="R27" s="58">
        <v>43186</v>
      </c>
      <c r="S27" s="58">
        <v>43190</v>
      </c>
      <c r="T27" s="58">
        <v>43231</v>
      </c>
      <c r="U27" s="32"/>
    </row>
    <row r="28" spans="1:21" x14ac:dyDescent="0.3">
      <c r="A28" s="32">
        <v>28</v>
      </c>
      <c r="B28" s="32" t="s">
        <v>71</v>
      </c>
      <c r="C28" s="32" t="s">
        <v>90</v>
      </c>
      <c r="D28" s="43" t="s">
        <v>107</v>
      </c>
      <c r="E28" s="35">
        <v>4201703230</v>
      </c>
      <c r="F28" s="32">
        <v>1</v>
      </c>
      <c r="G28" s="32"/>
      <c r="H28" s="32">
        <v>0.6</v>
      </c>
      <c r="I28" s="32">
        <f t="shared" si="2"/>
        <v>0.6</v>
      </c>
      <c r="J28" s="32"/>
      <c r="K28" s="32" t="s">
        <v>96</v>
      </c>
      <c r="L28" s="32"/>
      <c r="M28" s="32"/>
      <c r="N28" s="32"/>
      <c r="O28" s="32"/>
      <c r="P28" s="32"/>
      <c r="Q28" s="32" t="s">
        <v>118</v>
      </c>
      <c r="R28" s="58">
        <v>43231</v>
      </c>
      <c r="S28" s="58">
        <v>43251</v>
      </c>
      <c r="T28" s="58">
        <v>43255</v>
      </c>
      <c r="U28" s="32"/>
    </row>
    <row r="29" spans="1:21" x14ac:dyDescent="0.3">
      <c r="A29" s="32">
        <v>29</v>
      </c>
      <c r="B29" s="32" t="s">
        <v>67</v>
      </c>
      <c r="C29" s="32" t="s">
        <v>304</v>
      </c>
      <c r="D29" s="35" t="s">
        <v>315</v>
      </c>
      <c r="E29" s="35">
        <v>4201718262</v>
      </c>
      <c r="F29" s="32">
        <v>1</v>
      </c>
      <c r="G29" s="32"/>
      <c r="H29" s="32"/>
      <c r="I29" s="32">
        <v>0.125</v>
      </c>
      <c r="J29" s="32"/>
      <c r="K29" s="32" t="s">
        <v>96</v>
      </c>
      <c r="L29" s="32"/>
      <c r="M29" s="32"/>
      <c r="N29" s="32"/>
      <c r="O29" s="32" t="s">
        <v>49</v>
      </c>
      <c r="P29" s="32"/>
      <c r="Q29" s="32" t="s">
        <v>54</v>
      </c>
      <c r="R29" s="58">
        <v>43228</v>
      </c>
      <c r="S29" s="58">
        <v>43271</v>
      </c>
      <c r="T29" s="58">
        <v>43271</v>
      </c>
      <c r="U29" s="32"/>
    </row>
    <row r="30" spans="1:21" x14ac:dyDescent="0.3">
      <c r="A30" s="32">
        <v>30</v>
      </c>
      <c r="B30" s="32" t="s">
        <v>81</v>
      </c>
      <c r="C30" s="32" t="s">
        <v>304</v>
      </c>
      <c r="D30" s="32" t="s">
        <v>321</v>
      </c>
      <c r="E30" s="32">
        <v>4201720086</v>
      </c>
      <c r="F30" s="32">
        <v>4</v>
      </c>
      <c r="G30" s="32"/>
      <c r="H30" s="32">
        <v>4</v>
      </c>
      <c r="I30" s="32">
        <f t="shared" ref="I30:I35" si="3">H30</f>
        <v>4</v>
      </c>
      <c r="J30" s="32"/>
      <c r="K30" s="32" t="s">
        <v>96</v>
      </c>
      <c r="L30" s="32"/>
      <c r="M30" s="32"/>
      <c r="N30" s="32"/>
      <c r="O30" s="32" t="s">
        <v>49</v>
      </c>
      <c r="P30" s="32"/>
      <c r="Q30" s="32" t="s">
        <v>118</v>
      </c>
      <c r="R30" s="58">
        <v>43243</v>
      </c>
      <c r="S30" s="58">
        <v>43272</v>
      </c>
      <c r="T30" s="58">
        <v>43278</v>
      </c>
      <c r="U30" s="32"/>
    </row>
    <row r="31" spans="1:21" x14ac:dyDescent="0.3">
      <c r="A31" s="32">
        <v>31</v>
      </c>
      <c r="B31" s="32" t="s">
        <v>47</v>
      </c>
      <c r="C31" s="32" t="s">
        <v>304</v>
      </c>
      <c r="D31" s="69" t="s">
        <v>322</v>
      </c>
      <c r="E31" s="70">
        <v>5000058240</v>
      </c>
      <c r="F31" s="32">
        <v>142</v>
      </c>
      <c r="G31" s="32"/>
      <c r="H31" s="32">
        <v>33.549999999999997</v>
      </c>
      <c r="I31" s="32">
        <f t="shared" si="3"/>
        <v>33.549999999999997</v>
      </c>
      <c r="J31" s="32"/>
      <c r="K31" s="32" t="s">
        <v>98</v>
      </c>
      <c r="L31" s="32"/>
      <c r="M31" s="32">
        <v>142</v>
      </c>
      <c r="N31" s="32" t="s">
        <v>52</v>
      </c>
      <c r="O31" s="32" t="s">
        <v>49</v>
      </c>
      <c r="P31" s="32"/>
      <c r="Q31" s="32" t="s">
        <v>54</v>
      </c>
      <c r="R31" s="32"/>
      <c r="S31" s="32"/>
      <c r="T31" s="32"/>
      <c r="U31" s="32"/>
    </row>
    <row r="32" spans="1:21" s="29" customFormat="1" x14ac:dyDescent="0.3">
      <c r="A32" s="32">
        <v>32</v>
      </c>
      <c r="B32" s="32" t="s">
        <v>47</v>
      </c>
      <c r="C32" s="32" t="s">
        <v>304</v>
      </c>
      <c r="D32" s="69" t="s">
        <v>323</v>
      </c>
      <c r="E32" s="70">
        <v>5000058355</v>
      </c>
      <c r="F32" s="32">
        <v>5</v>
      </c>
      <c r="G32" s="32"/>
      <c r="H32" s="32">
        <v>1.9</v>
      </c>
      <c r="I32" s="32">
        <f t="shared" si="3"/>
        <v>1.9</v>
      </c>
      <c r="J32" s="32"/>
      <c r="K32" s="32" t="s">
        <v>98</v>
      </c>
      <c r="L32" s="32"/>
      <c r="M32" s="32">
        <v>5</v>
      </c>
      <c r="N32" s="32"/>
      <c r="O32" s="32"/>
      <c r="P32" s="32"/>
      <c r="Q32" s="32" t="s">
        <v>54</v>
      </c>
      <c r="R32" s="32"/>
      <c r="S32" s="32"/>
      <c r="T32" s="32"/>
      <c r="U32" s="32"/>
    </row>
    <row r="33" spans="1:21" s="29" customFormat="1" x14ac:dyDescent="0.3">
      <c r="A33" s="32">
        <v>33</v>
      </c>
      <c r="B33" s="32" t="s">
        <v>81</v>
      </c>
      <c r="C33" s="32" t="s">
        <v>304</v>
      </c>
      <c r="D33" s="35" t="s">
        <v>333</v>
      </c>
      <c r="E33" s="32">
        <v>4201728082</v>
      </c>
      <c r="F33" s="32">
        <v>2</v>
      </c>
      <c r="G33" s="32"/>
      <c r="H33" s="32">
        <f>0.775</f>
        <v>0.77500000000000002</v>
      </c>
      <c r="I33" s="32">
        <f t="shared" si="3"/>
        <v>0.77500000000000002</v>
      </c>
      <c r="J33" s="32"/>
      <c r="K33" s="32" t="s">
        <v>96</v>
      </c>
      <c r="L33" s="32"/>
      <c r="M33" s="32">
        <f>F33</f>
        <v>2</v>
      </c>
      <c r="N33" s="32" t="s">
        <v>144</v>
      </c>
      <c r="O33" s="32" t="s">
        <v>49</v>
      </c>
      <c r="P33" s="32"/>
      <c r="Q33" s="32" t="s">
        <v>54</v>
      </c>
      <c r="R33" s="32"/>
      <c r="S33" s="32"/>
      <c r="T33" s="32"/>
      <c r="U33" s="32"/>
    </row>
    <row r="34" spans="1:21" s="29" customFormat="1" x14ac:dyDescent="0.3">
      <c r="A34" s="32">
        <v>34</v>
      </c>
      <c r="B34" s="32" t="s">
        <v>71</v>
      </c>
      <c r="C34" s="32" t="s">
        <v>336</v>
      </c>
      <c r="D34" s="32" t="s">
        <v>346</v>
      </c>
      <c r="E34" s="32">
        <v>4201736030</v>
      </c>
      <c r="F34" s="32">
        <v>1</v>
      </c>
      <c r="G34" s="32"/>
      <c r="H34" s="32">
        <f>0.76</f>
        <v>0.76</v>
      </c>
      <c r="I34" s="32">
        <f t="shared" si="3"/>
        <v>0.76</v>
      </c>
      <c r="J34" s="32"/>
      <c r="K34" s="32" t="s">
        <v>96</v>
      </c>
      <c r="L34" s="32"/>
      <c r="M34" s="32">
        <v>1</v>
      </c>
      <c r="N34" s="32" t="s">
        <v>74</v>
      </c>
      <c r="O34" s="32" t="s">
        <v>49</v>
      </c>
      <c r="P34" s="32"/>
      <c r="Q34" s="32" t="s">
        <v>54</v>
      </c>
      <c r="R34" s="58">
        <v>43290</v>
      </c>
      <c r="S34" s="58">
        <v>43293</v>
      </c>
      <c r="T34" s="58">
        <v>43299</v>
      </c>
      <c r="U34" s="32"/>
    </row>
    <row r="35" spans="1:21" s="29" customFormat="1" x14ac:dyDescent="0.3">
      <c r="A35" s="32">
        <v>35</v>
      </c>
      <c r="B35" s="32" t="s">
        <v>72</v>
      </c>
      <c r="C35" s="32" t="s">
        <v>336</v>
      </c>
      <c r="D35" s="32" t="s">
        <v>347</v>
      </c>
      <c r="E35" s="32">
        <v>2360084908</v>
      </c>
      <c r="F35" s="32"/>
      <c r="G35" s="32"/>
      <c r="H35" s="32">
        <v>3.1E-2</v>
      </c>
      <c r="I35" s="32">
        <f t="shared" si="3"/>
        <v>3.1E-2</v>
      </c>
      <c r="J35" s="32"/>
      <c r="K35" s="32" t="s">
        <v>120</v>
      </c>
      <c r="L35" s="32"/>
      <c r="M35" s="32"/>
      <c r="N35" s="32" t="s">
        <v>144</v>
      </c>
      <c r="O35" s="32" t="s">
        <v>49</v>
      </c>
      <c r="P35" s="32"/>
      <c r="Q35" s="32" t="s">
        <v>348</v>
      </c>
      <c r="R35" s="58">
        <v>43291</v>
      </c>
      <c r="S35" s="58">
        <v>43293</v>
      </c>
      <c r="T35" s="58">
        <v>43299</v>
      </c>
      <c r="U35" s="32"/>
    </row>
    <row r="36" spans="1:21" s="29" customFormat="1" x14ac:dyDescent="0.3">
      <c r="A36" s="32">
        <v>36</v>
      </c>
      <c r="B36" s="32" t="s">
        <v>47</v>
      </c>
      <c r="C36" s="32" t="s">
        <v>336</v>
      </c>
      <c r="D36" s="32" t="s">
        <v>142</v>
      </c>
      <c r="E36" s="32">
        <v>5000058433</v>
      </c>
      <c r="F36" s="32">
        <v>3</v>
      </c>
      <c r="G36" s="32"/>
      <c r="H36" s="32"/>
      <c r="I36" s="32"/>
      <c r="J36" s="32"/>
      <c r="K36" s="32"/>
      <c r="L36" s="32"/>
      <c r="M36" s="32"/>
      <c r="N36" s="32" t="s">
        <v>52</v>
      </c>
      <c r="O36" s="32" t="s">
        <v>49</v>
      </c>
      <c r="P36" s="32"/>
      <c r="Q36" s="32" t="s">
        <v>266</v>
      </c>
      <c r="R36" s="58">
        <v>43255</v>
      </c>
      <c r="S36" s="58">
        <v>43281</v>
      </c>
      <c r="T36" s="58">
        <v>43299</v>
      </c>
      <c r="U36" s="32"/>
    </row>
    <row r="37" spans="1:21" x14ac:dyDescent="0.3">
      <c r="A37" s="32">
        <v>37</v>
      </c>
      <c r="B37" s="32" t="s">
        <v>47</v>
      </c>
      <c r="C37" s="32" t="s">
        <v>336</v>
      </c>
      <c r="D37" s="35" t="s">
        <v>378</v>
      </c>
      <c r="E37" s="32">
        <v>5000059115</v>
      </c>
      <c r="F37" s="32">
        <v>3</v>
      </c>
      <c r="G37" s="32"/>
      <c r="H37" s="32">
        <v>1.61</v>
      </c>
      <c r="I37" s="32">
        <f>H37</f>
        <v>1.61</v>
      </c>
      <c r="J37" s="32"/>
      <c r="K37" s="32" t="s">
        <v>96</v>
      </c>
      <c r="L37" s="32"/>
      <c r="M37" s="32"/>
      <c r="N37" s="32" t="s">
        <v>52</v>
      </c>
      <c r="O37" s="32" t="s">
        <v>49</v>
      </c>
      <c r="P37" s="32"/>
      <c r="Q37" s="32" t="s">
        <v>365</v>
      </c>
      <c r="R37" s="58">
        <v>43298</v>
      </c>
      <c r="S37" s="58">
        <v>43312</v>
      </c>
      <c r="T37" s="58">
        <v>43320</v>
      </c>
      <c r="U37" s="32"/>
    </row>
    <row r="38" spans="1:21" x14ac:dyDescent="0.3">
      <c r="A38" s="32">
        <v>38</v>
      </c>
      <c r="B38" s="32" t="s">
        <v>47</v>
      </c>
      <c r="C38" s="32" t="s">
        <v>336</v>
      </c>
      <c r="D38" s="35" t="s">
        <v>361</v>
      </c>
      <c r="E38" s="32">
        <v>5000059105</v>
      </c>
      <c r="F38" s="32"/>
      <c r="G38" s="32"/>
      <c r="H38" s="32">
        <v>0.32500000000000001</v>
      </c>
      <c r="I38" s="32">
        <f>H38</f>
        <v>0.32500000000000001</v>
      </c>
      <c r="J38" s="32"/>
      <c r="K38" s="32" t="s">
        <v>120</v>
      </c>
      <c r="L38" s="32"/>
      <c r="M38" s="32"/>
      <c r="N38" s="32" t="s">
        <v>52</v>
      </c>
      <c r="O38" s="32" t="s">
        <v>49</v>
      </c>
      <c r="P38" s="32"/>
      <c r="Q38" s="32" t="s">
        <v>377</v>
      </c>
      <c r="R38" s="58">
        <v>43311</v>
      </c>
      <c r="S38" s="58">
        <v>43311</v>
      </c>
      <c r="T38" s="58">
        <v>43320</v>
      </c>
      <c r="U38" s="32"/>
    </row>
    <row r="39" spans="1:21" x14ac:dyDescent="0.3">
      <c r="A39" s="32">
        <v>39</v>
      </c>
      <c r="B39" s="32" t="s">
        <v>72</v>
      </c>
      <c r="C39" s="32" t="s">
        <v>336</v>
      </c>
      <c r="D39" s="35" t="s">
        <v>362</v>
      </c>
      <c r="E39" s="32">
        <v>4201749500</v>
      </c>
      <c r="F39" s="32"/>
      <c r="G39" s="32"/>
      <c r="H39" s="32">
        <v>0.109</v>
      </c>
      <c r="I39" s="32"/>
      <c r="J39" s="32"/>
      <c r="K39" s="32" t="s">
        <v>120</v>
      </c>
      <c r="L39" s="32"/>
      <c r="M39" s="32"/>
      <c r="N39" s="32"/>
      <c r="O39" s="32"/>
      <c r="P39" s="32"/>
      <c r="Q39" s="32" t="s">
        <v>363</v>
      </c>
      <c r="R39" s="58">
        <v>43306</v>
      </c>
      <c r="S39" s="58">
        <v>43312</v>
      </c>
      <c r="T39" s="58">
        <v>43319</v>
      </c>
      <c r="U39" s="32"/>
    </row>
    <row r="40" spans="1:21" s="29" customFormat="1" x14ac:dyDescent="0.3">
      <c r="A40" s="32">
        <v>40</v>
      </c>
      <c r="B40" s="32" t="s">
        <v>81</v>
      </c>
      <c r="C40" s="32" t="s">
        <v>336</v>
      </c>
      <c r="D40" s="35" t="s">
        <v>364</v>
      </c>
      <c r="E40" s="32">
        <v>4201749415</v>
      </c>
      <c r="F40" s="32">
        <v>6</v>
      </c>
      <c r="G40" s="32"/>
      <c r="H40" s="32">
        <v>2.9</v>
      </c>
      <c r="I40" s="32">
        <f>H40</f>
        <v>2.9</v>
      </c>
      <c r="J40" s="32"/>
      <c r="K40" s="32" t="s">
        <v>96</v>
      </c>
      <c r="L40" s="32"/>
      <c r="M40" s="32">
        <v>5</v>
      </c>
      <c r="N40" s="32" t="s">
        <v>144</v>
      </c>
      <c r="O40" s="32" t="s">
        <v>49</v>
      </c>
      <c r="P40" s="32"/>
      <c r="Q40" s="32" t="s">
        <v>365</v>
      </c>
      <c r="R40" s="58">
        <v>43312</v>
      </c>
      <c r="S40" s="58">
        <v>43312</v>
      </c>
      <c r="T40" s="58">
        <v>43319</v>
      </c>
      <c r="U40" s="32"/>
    </row>
    <row r="41" spans="1:21" s="29" customFormat="1" x14ac:dyDescent="0.3">
      <c r="A41" s="32">
        <v>41</v>
      </c>
      <c r="B41" s="32" t="s">
        <v>81</v>
      </c>
      <c r="C41" s="32" t="s">
        <v>336</v>
      </c>
      <c r="D41" s="35" t="s">
        <v>368</v>
      </c>
      <c r="E41" s="32">
        <v>4201747450</v>
      </c>
      <c r="F41" s="32">
        <v>1</v>
      </c>
      <c r="G41" s="32"/>
      <c r="H41" s="32">
        <v>1.04</v>
      </c>
      <c r="I41" s="32">
        <f>H41</f>
        <v>1.04</v>
      </c>
      <c r="J41" s="32"/>
      <c r="K41" s="32" t="s">
        <v>96</v>
      </c>
      <c r="L41" s="32"/>
      <c r="M41" s="32">
        <v>1</v>
      </c>
      <c r="N41" s="32" t="s">
        <v>144</v>
      </c>
      <c r="O41" s="32" t="s">
        <v>49</v>
      </c>
      <c r="P41" s="32"/>
      <c r="Q41" s="32" t="s">
        <v>365</v>
      </c>
      <c r="R41" s="58">
        <v>43308</v>
      </c>
      <c r="S41" s="58">
        <v>43311</v>
      </c>
      <c r="T41" s="58">
        <v>43320</v>
      </c>
      <c r="U41" s="32"/>
    </row>
    <row r="42" spans="1:21" x14ac:dyDescent="0.3">
      <c r="A42" s="32">
        <v>42</v>
      </c>
      <c r="B42" s="32" t="s">
        <v>81</v>
      </c>
      <c r="C42" s="32" t="s">
        <v>336</v>
      </c>
      <c r="D42" s="35" t="s">
        <v>369</v>
      </c>
      <c r="E42" s="32">
        <v>4201747452</v>
      </c>
      <c r="F42" s="32">
        <v>2</v>
      </c>
      <c r="G42" s="32"/>
      <c r="H42" s="32">
        <v>1.45</v>
      </c>
      <c r="I42" s="32">
        <f>H42</f>
        <v>1.45</v>
      </c>
      <c r="J42" s="32"/>
      <c r="K42" s="32" t="s">
        <v>96</v>
      </c>
      <c r="L42" s="32"/>
      <c r="M42" s="32">
        <v>2</v>
      </c>
      <c r="N42" s="32" t="s">
        <v>144</v>
      </c>
      <c r="O42" s="32" t="s">
        <v>49</v>
      </c>
      <c r="P42" s="32"/>
      <c r="Q42" s="32" t="s">
        <v>365</v>
      </c>
      <c r="R42" s="58">
        <v>43308</v>
      </c>
      <c r="S42" s="58">
        <v>43311</v>
      </c>
      <c r="T42" s="58">
        <v>43320</v>
      </c>
      <c r="U42" s="32"/>
    </row>
    <row r="43" spans="1:21" s="29" customFormat="1" x14ac:dyDescent="0.3">
      <c r="A43" s="32">
        <v>43</v>
      </c>
      <c r="B43" s="32" t="s">
        <v>47</v>
      </c>
      <c r="C43" s="32" t="s">
        <v>357</v>
      </c>
      <c r="D43" s="32" t="s">
        <v>84</v>
      </c>
      <c r="E43" s="32">
        <v>5000059340</v>
      </c>
      <c r="F43" s="32">
        <v>2</v>
      </c>
      <c r="G43" s="32"/>
      <c r="H43" s="32">
        <v>2.2000000000000002</v>
      </c>
      <c r="I43" s="32">
        <f>H43</f>
        <v>2.2000000000000002</v>
      </c>
      <c r="J43" s="32"/>
      <c r="K43" s="32" t="s">
        <v>96</v>
      </c>
      <c r="L43" s="32"/>
      <c r="M43" s="32">
        <v>2</v>
      </c>
      <c r="N43" s="32" t="s">
        <v>52</v>
      </c>
      <c r="O43" s="32" t="s">
        <v>49</v>
      </c>
      <c r="P43" s="32"/>
      <c r="Q43" s="32" t="s">
        <v>379</v>
      </c>
      <c r="R43" s="58">
        <v>43320</v>
      </c>
      <c r="S43" s="58">
        <v>43321</v>
      </c>
      <c r="T43" s="58">
        <v>43333</v>
      </c>
      <c r="U43" s="32"/>
    </row>
    <row r="44" spans="1:21" s="29" customFormat="1" x14ac:dyDescent="0.3">
      <c r="A44" s="32"/>
      <c r="B44" s="32"/>
      <c r="C44" s="32"/>
      <c r="D44" s="3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58"/>
      <c r="S44" s="58"/>
      <c r="T44" s="58"/>
      <c r="U44" s="32"/>
    </row>
    <row r="45" spans="1:21" s="29" customFormat="1" x14ac:dyDescent="0.3">
      <c r="A45" s="32"/>
      <c r="B45" s="32"/>
      <c r="C45" s="32"/>
      <c r="D45" s="3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58"/>
      <c r="S45" s="58"/>
      <c r="T45" s="58"/>
      <c r="U45" s="32"/>
    </row>
    <row r="46" spans="1:21" s="29" customFormat="1" x14ac:dyDescent="0.3">
      <c r="A46" s="32"/>
      <c r="B46" s="32"/>
      <c r="C46" s="32"/>
      <c r="D46" s="3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58"/>
      <c r="S46" s="58"/>
      <c r="T46" s="58"/>
      <c r="U46" s="32"/>
    </row>
    <row r="47" spans="1:2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33"/>
  <sheetViews>
    <sheetView tabSelected="1" workbookViewId="0">
      <pane xSplit="1" ySplit="1" topLeftCell="B264" activePane="bottomRight" state="frozen"/>
      <selection pane="topRight" activeCell="B1" sqref="B1"/>
      <selection pane="bottomLeft" activeCell="A2" sqref="A2"/>
      <selection pane="bottomRight" activeCell="H274" sqref="H274"/>
    </sheetView>
  </sheetViews>
  <sheetFormatPr defaultRowHeight="14.4" x14ac:dyDescent="0.3"/>
  <cols>
    <col min="1" max="1" width="6.33203125" customWidth="1"/>
    <col min="2" max="2" width="8.109375" customWidth="1"/>
    <col min="3" max="3" width="8.6640625" customWidth="1"/>
    <col min="4" max="4" width="38" customWidth="1"/>
    <col min="5" max="5" width="12.33203125" bestFit="1" customWidth="1"/>
    <col min="6" max="7" width="9.109375" customWidth="1"/>
    <col min="8" max="8" width="9.109375" style="29"/>
    <col min="9" max="9" width="10" bestFit="1" customWidth="1"/>
    <col min="10" max="11" width="9.109375" customWidth="1"/>
    <col min="13" max="13" width="11.5546875" customWidth="1"/>
    <col min="14" max="14" width="12.5546875" customWidth="1"/>
    <col min="15" max="16" width="9.109375" customWidth="1"/>
    <col min="17" max="17" width="13.109375" customWidth="1"/>
    <col min="18" max="21" width="9.109375" customWidth="1"/>
    <col min="22" max="22" width="16" style="29" customWidth="1"/>
    <col min="23" max="23" width="12.88671875" customWidth="1"/>
    <col min="24" max="24" width="11" customWidth="1"/>
    <col min="25" max="25" width="15" customWidth="1"/>
    <col min="26" max="26" width="12.44140625" customWidth="1"/>
    <col min="28" max="28" width="25.109375" customWidth="1"/>
    <col min="29" max="29" width="14.33203125" customWidth="1"/>
  </cols>
  <sheetData>
    <row r="1" spans="1:36" s="16" customFormat="1" x14ac:dyDescent="0.3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66</v>
      </c>
      <c r="I1" s="15" t="s">
        <v>78</v>
      </c>
      <c r="J1" s="15" t="s">
        <v>79</v>
      </c>
      <c r="K1" s="15" t="s">
        <v>80</v>
      </c>
      <c r="L1" s="15" t="s">
        <v>7</v>
      </c>
      <c r="M1" s="15" t="s">
        <v>50</v>
      </c>
      <c r="N1" s="15" t="s">
        <v>8</v>
      </c>
      <c r="O1" s="15" t="s">
        <v>51</v>
      </c>
      <c r="P1" s="15" t="s">
        <v>9</v>
      </c>
      <c r="Q1" s="15" t="s">
        <v>10</v>
      </c>
      <c r="R1" s="16" t="s">
        <v>11</v>
      </c>
      <c r="S1" s="12" t="s">
        <v>12</v>
      </c>
      <c r="T1" s="12" t="s">
        <v>13</v>
      </c>
      <c r="U1" s="12" t="s">
        <v>14</v>
      </c>
      <c r="V1" s="12"/>
      <c r="W1" s="12" t="s">
        <v>15</v>
      </c>
      <c r="X1" s="13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4" t="s">
        <v>62</v>
      </c>
      <c r="AD1" s="14" t="s">
        <v>63</v>
      </c>
      <c r="AG1" s="17"/>
      <c r="AH1" s="18" t="s">
        <v>21</v>
      </c>
      <c r="AI1" s="14"/>
      <c r="AJ1" s="14"/>
    </row>
    <row r="2" spans="1:36" x14ac:dyDescent="0.3">
      <c r="A2" s="11">
        <v>1</v>
      </c>
      <c r="B2" s="10" t="s">
        <v>47</v>
      </c>
      <c r="C2" s="10" t="s">
        <v>48</v>
      </c>
      <c r="D2" s="10" t="s">
        <v>77</v>
      </c>
      <c r="E2" s="10">
        <v>5000054689</v>
      </c>
      <c r="F2" s="10">
        <v>33</v>
      </c>
      <c r="G2" s="10">
        <v>3.88</v>
      </c>
      <c r="H2" s="32">
        <v>12</v>
      </c>
      <c r="I2" s="10">
        <v>1.0640000000000001</v>
      </c>
      <c r="J2" s="10">
        <v>0.52600000000000002</v>
      </c>
      <c r="K2" s="10">
        <f>I2-J2</f>
        <v>0.53800000000000003</v>
      </c>
      <c r="L2" s="10" t="s">
        <v>65</v>
      </c>
      <c r="M2" s="23">
        <f>(J2/G2)*1000</f>
        <v>135.56701030927837</v>
      </c>
      <c r="N2" s="23">
        <f>I2/G2*1000</f>
        <v>274.22680412371136</v>
      </c>
      <c r="O2" s="32" t="s">
        <v>52</v>
      </c>
      <c r="P2" s="55" t="s">
        <v>49</v>
      </c>
      <c r="Q2" s="10" t="s">
        <v>76</v>
      </c>
      <c r="R2">
        <v>1</v>
      </c>
      <c r="S2" s="19">
        <v>43111</v>
      </c>
      <c r="T2" s="19">
        <v>43117</v>
      </c>
      <c r="U2" s="19">
        <v>43123</v>
      </c>
      <c r="V2" s="34" t="s">
        <v>129</v>
      </c>
      <c r="W2" t="s">
        <v>130</v>
      </c>
      <c r="AG2" s="1"/>
      <c r="AH2" s="2" t="s">
        <v>22</v>
      </c>
      <c r="AI2" s="3"/>
      <c r="AJ2" s="3"/>
    </row>
    <row r="3" spans="1:36" x14ac:dyDescent="0.3">
      <c r="A3" s="11">
        <v>2</v>
      </c>
      <c r="B3" s="10" t="s">
        <v>47</v>
      </c>
      <c r="C3" s="10" t="s">
        <v>48</v>
      </c>
      <c r="D3" s="35" t="s">
        <v>64</v>
      </c>
      <c r="E3" s="41">
        <v>5000054687</v>
      </c>
      <c r="F3" s="10"/>
      <c r="G3" s="10"/>
      <c r="H3" s="32">
        <v>9</v>
      </c>
      <c r="I3" s="10">
        <v>0.27500000000000002</v>
      </c>
      <c r="J3" s="10">
        <f t="shared" ref="J3:J11" si="0">I3</f>
        <v>0.27500000000000002</v>
      </c>
      <c r="K3" s="10"/>
      <c r="L3" s="10" t="s">
        <v>65</v>
      </c>
      <c r="M3" s="23"/>
      <c r="N3" s="23"/>
      <c r="O3" s="32" t="s">
        <v>52</v>
      </c>
      <c r="P3" s="55" t="s">
        <v>49</v>
      </c>
      <c r="Q3" s="10" t="s">
        <v>100</v>
      </c>
      <c r="R3">
        <v>12</v>
      </c>
      <c r="S3" s="19">
        <v>43109</v>
      </c>
      <c r="T3" s="19">
        <v>43117</v>
      </c>
      <c r="U3" s="19">
        <v>43123</v>
      </c>
      <c r="V3" s="34"/>
      <c r="AG3" s="1">
        <v>1</v>
      </c>
      <c r="AH3" s="2" t="s">
        <v>23</v>
      </c>
      <c r="AI3" s="3"/>
      <c r="AJ3" s="3"/>
    </row>
    <row r="4" spans="1:36" x14ac:dyDescent="0.3">
      <c r="A4" s="11">
        <v>3</v>
      </c>
      <c r="B4" s="10" t="s">
        <v>47</v>
      </c>
      <c r="C4" s="10" t="s">
        <v>48</v>
      </c>
      <c r="D4" s="10" t="s">
        <v>85</v>
      </c>
      <c r="E4" s="10">
        <v>5000054681</v>
      </c>
      <c r="F4" s="10"/>
      <c r="G4" s="10"/>
      <c r="H4" s="32">
        <v>1</v>
      </c>
      <c r="I4" s="10">
        <f>0.072</f>
        <v>7.1999999999999995E-2</v>
      </c>
      <c r="J4" s="10">
        <f t="shared" si="0"/>
        <v>7.1999999999999995E-2</v>
      </c>
      <c r="K4" s="10"/>
      <c r="L4" s="10" t="s">
        <v>65</v>
      </c>
      <c r="M4" s="23"/>
      <c r="N4" s="23"/>
      <c r="O4" s="32" t="s">
        <v>52</v>
      </c>
      <c r="P4" s="55" t="s">
        <v>49</v>
      </c>
      <c r="Q4" s="10" t="s">
        <v>91</v>
      </c>
      <c r="R4">
        <v>12</v>
      </c>
      <c r="S4" s="19">
        <v>43109</v>
      </c>
      <c r="T4" s="19">
        <v>43117</v>
      </c>
      <c r="U4" s="19">
        <v>43123</v>
      </c>
      <c r="V4" s="34"/>
      <c r="W4" s="19"/>
      <c r="X4" s="19"/>
      <c r="AA4" s="19">
        <v>42394</v>
      </c>
      <c r="AG4" s="1">
        <v>2</v>
      </c>
      <c r="AH4" s="2" t="s">
        <v>24</v>
      </c>
      <c r="AI4" s="3"/>
      <c r="AJ4" s="3"/>
    </row>
    <row r="5" spans="1:36" x14ac:dyDescent="0.3">
      <c r="A5" s="11">
        <v>4</v>
      </c>
      <c r="B5" s="32" t="s">
        <v>47</v>
      </c>
      <c r="C5" s="32" t="s">
        <v>48</v>
      </c>
      <c r="D5" s="32" t="s">
        <v>64</v>
      </c>
      <c r="E5" s="32">
        <v>5000054767</v>
      </c>
      <c r="F5" s="32"/>
      <c r="G5" s="32"/>
      <c r="H5" s="32">
        <v>41</v>
      </c>
      <c r="I5" s="32">
        <v>0.77200000000000002</v>
      </c>
      <c r="J5" s="32">
        <f t="shared" si="0"/>
        <v>0.77200000000000002</v>
      </c>
      <c r="K5" s="32"/>
      <c r="L5" s="32" t="s">
        <v>65</v>
      </c>
      <c r="M5" s="23"/>
      <c r="N5" s="23"/>
      <c r="O5" s="32" t="s">
        <v>52</v>
      </c>
      <c r="P5" s="55" t="s">
        <v>49</v>
      </c>
      <c r="Q5" s="32" t="s">
        <v>100</v>
      </c>
      <c r="R5" s="29">
        <v>12</v>
      </c>
      <c r="S5" s="34">
        <v>43116</v>
      </c>
      <c r="T5" s="34">
        <v>43122</v>
      </c>
      <c r="U5" s="34">
        <v>43123</v>
      </c>
      <c r="V5" s="34"/>
      <c r="W5" s="19"/>
      <c r="X5" s="19"/>
      <c r="AA5" s="19">
        <v>42394</v>
      </c>
      <c r="AG5" s="1"/>
      <c r="AH5" s="2"/>
      <c r="AI5" s="3"/>
      <c r="AJ5" s="3"/>
    </row>
    <row r="6" spans="1:36" x14ac:dyDescent="0.3">
      <c r="A6" s="11">
        <v>5</v>
      </c>
      <c r="B6" s="32" t="s">
        <v>47</v>
      </c>
      <c r="C6" s="32" t="s">
        <v>48</v>
      </c>
      <c r="D6" s="32" t="s">
        <v>83</v>
      </c>
      <c r="E6" s="32">
        <v>5000054768</v>
      </c>
      <c r="F6" s="32"/>
      <c r="G6" s="32">
        <f>0.425*2</f>
        <v>0.85</v>
      </c>
      <c r="H6" s="32">
        <v>2</v>
      </c>
      <c r="I6" s="32">
        <v>0.16700000000000001</v>
      </c>
      <c r="J6" s="32">
        <f t="shared" si="0"/>
        <v>0.16700000000000001</v>
      </c>
      <c r="K6" s="32"/>
      <c r="L6" s="32" t="s">
        <v>65</v>
      </c>
      <c r="M6" s="23">
        <f>(J6/G6)*1000</f>
        <v>196.47058823529414</v>
      </c>
      <c r="N6" s="23">
        <f>I6/G6*1000</f>
        <v>196.47058823529414</v>
      </c>
      <c r="O6" s="32" t="s">
        <v>52</v>
      </c>
      <c r="P6" s="55" t="s">
        <v>49</v>
      </c>
      <c r="Q6" s="32" t="s">
        <v>91</v>
      </c>
      <c r="R6" s="29">
        <v>12</v>
      </c>
      <c r="S6" s="34">
        <v>43111</v>
      </c>
      <c r="T6" s="34">
        <v>43122</v>
      </c>
      <c r="U6" s="34">
        <v>43123</v>
      </c>
      <c r="V6" s="34"/>
      <c r="AG6" s="1">
        <v>3</v>
      </c>
      <c r="AH6" s="2" t="s">
        <v>25</v>
      </c>
      <c r="AI6" s="3"/>
      <c r="AJ6" s="3"/>
    </row>
    <row r="7" spans="1:36" x14ac:dyDescent="0.3">
      <c r="A7" s="11">
        <v>6</v>
      </c>
      <c r="B7" s="32" t="s">
        <v>71</v>
      </c>
      <c r="C7" s="32" t="s">
        <v>48</v>
      </c>
      <c r="D7" s="43" t="s">
        <v>101</v>
      </c>
      <c r="E7" s="32"/>
      <c r="F7" s="32">
        <v>11</v>
      </c>
      <c r="G7" s="32">
        <f>0.101*3</f>
        <v>0.30300000000000005</v>
      </c>
      <c r="H7" s="32">
        <v>3</v>
      </c>
      <c r="I7" s="32">
        <v>0.215</v>
      </c>
      <c r="J7" s="32">
        <f t="shared" si="0"/>
        <v>0.215</v>
      </c>
      <c r="K7" s="32"/>
      <c r="L7" s="32" t="s">
        <v>75</v>
      </c>
      <c r="M7" s="23">
        <f>(J7/G7)*1000</f>
        <v>709.57095709570945</v>
      </c>
      <c r="N7" s="23">
        <f>I7/G7*1000</f>
        <v>709.57095709570945</v>
      </c>
      <c r="O7" s="32" t="s">
        <v>74</v>
      </c>
      <c r="P7" s="55" t="s">
        <v>49</v>
      </c>
      <c r="Q7" s="32" t="s">
        <v>55</v>
      </c>
      <c r="R7" s="29">
        <v>2</v>
      </c>
      <c r="S7" s="34">
        <v>42745</v>
      </c>
      <c r="T7" s="34">
        <v>42747</v>
      </c>
      <c r="U7" s="34">
        <v>42748</v>
      </c>
      <c r="V7" s="34" t="s">
        <v>131</v>
      </c>
      <c r="W7" s="19" t="s">
        <v>132</v>
      </c>
      <c r="X7" s="19"/>
      <c r="AG7" s="1">
        <v>4</v>
      </c>
      <c r="AH7" s="2" t="s">
        <v>26</v>
      </c>
      <c r="AI7" s="3"/>
      <c r="AJ7" s="3"/>
    </row>
    <row r="8" spans="1:36" x14ac:dyDescent="0.3">
      <c r="A8" s="11">
        <v>7</v>
      </c>
      <c r="B8" s="10" t="s">
        <v>53</v>
      </c>
      <c r="C8" s="10" t="s">
        <v>48</v>
      </c>
      <c r="D8" s="20" t="s">
        <v>102</v>
      </c>
      <c r="E8" s="40">
        <v>2360081728</v>
      </c>
      <c r="F8" s="10"/>
      <c r="G8" s="10"/>
      <c r="H8" s="32">
        <v>0</v>
      </c>
      <c r="I8" s="10">
        <v>0.26</v>
      </c>
      <c r="J8" s="10">
        <f t="shared" si="0"/>
        <v>0.26</v>
      </c>
      <c r="K8" s="10"/>
      <c r="L8" s="10" t="s">
        <v>68</v>
      </c>
      <c r="M8" s="23"/>
      <c r="N8" s="23"/>
      <c r="O8" s="10" t="s">
        <v>49</v>
      </c>
      <c r="P8" s="10" t="s">
        <v>49</v>
      </c>
      <c r="Q8" s="10" t="s">
        <v>94</v>
      </c>
      <c r="R8">
        <v>15</v>
      </c>
      <c r="S8" s="19">
        <v>43103</v>
      </c>
      <c r="T8" s="19">
        <v>43123</v>
      </c>
      <c r="U8" s="19">
        <v>43123</v>
      </c>
      <c r="V8" s="34"/>
      <c r="W8" s="19"/>
      <c r="X8" s="19"/>
      <c r="AG8" s="1">
        <v>5</v>
      </c>
      <c r="AH8" s="2" t="s">
        <v>27</v>
      </c>
      <c r="AI8" s="3"/>
      <c r="AJ8" s="3"/>
    </row>
    <row r="9" spans="1:36" x14ac:dyDescent="0.3">
      <c r="A9" s="11">
        <v>8</v>
      </c>
      <c r="B9" s="32" t="s">
        <v>67</v>
      </c>
      <c r="C9" s="32" t="s">
        <v>48</v>
      </c>
      <c r="D9" s="35" t="s">
        <v>103</v>
      </c>
      <c r="E9" s="40">
        <v>2360081706</v>
      </c>
      <c r="F9" s="32"/>
      <c r="G9" s="32">
        <v>0.36299999999999999</v>
      </c>
      <c r="H9" s="32">
        <v>1</v>
      </c>
      <c r="I9" s="32">
        <v>3.5999999999999997E-2</v>
      </c>
      <c r="J9" s="32">
        <f t="shared" si="0"/>
        <v>3.5999999999999997E-2</v>
      </c>
      <c r="K9" s="32"/>
      <c r="L9" s="32" t="s">
        <v>68</v>
      </c>
      <c r="M9" s="23">
        <f>(J9/G9)*1000</f>
        <v>99.173553719008254</v>
      </c>
      <c r="N9" s="23">
        <f>I9/G9*1000</f>
        <v>99.173553719008254</v>
      </c>
      <c r="O9" s="32" t="s">
        <v>49</v>
      </c>
      <c r="P9" s="32" t="s">
        <v>49</v>
      </c>
      <c r="Q9" s="32" t="s">
        <v>89</v>
      </c>
      <c r="R9" s="29">
        <v>11</v>
      </c>
      <c r="S9" s="34">
        <v>43400</v>
      </c>
      <c r="T9" s="34">
        <v>43122</v>
      </c>
      <c r="U9" s="34">
        <v>43123</v>
      </c>
      <c r="V9" s="34"/>
      <c r="AG9" s="1"/>
      <c r="AH9" s="4" t="s">
        <v>28</v>
      </c>
      <c r="AI9" s="3"/>
      <c r="AJ9" s="3"/>
    </row>
    <row r="10" spans="1:36" x14ac:dyDescent="0.3">
      <c r="A10" s="11">
        <v>9</v>
      </c>
      <c r="B10" s="32" t="s">
        <v>67</v>
      </c>
      <c r="C10" s="32" t="s">
        <v>48</v>
      </c>
      <c r="D10" s="35" t="s">
        <v>104</v>
      </c>
      <c r="E10" s="40">
        <v>2360081716</v>
      </c>
      <c r="F10" s="32"/>
      <c r="G10" s="32">
        <f>0.242*2</f>
        <v>0.48399999999999999</v>
      </c>
      <c r="H10" s="32">
        <v>2</v>
      </c>
      <c r="I10" s="32">
        <v>5.5E-2</v>
      </c>
      <c r="J10" s="32">
        <f t="shared" si="0"/>
        <v>5.5E-2</v>
      </c>
      <c r="K10" s="32"/>
      <c r="L10" s="32" t="s">
        <v>68</v>
      </c>
      <c r="M10" s="23">
        <f>(J10/G10)*1000</f>
        <v>113.63636363636364</v>
      </c>
      <c r="N10" s="23">
        <f>I10/G10*1000</f>
        <v>113.63636363636364</v>
      </c>
      <c r="O10" s="32" t="s">
        <v>69</v>
      </c>
      <c r="P10" s="32" t="s">
        <v>70</v>
      </c>
      <c r="Q10" s="32" t="s">
        <v>89</v>
      </c>
      <c r="R10" s="29">
        <v>11</v>
      </c>
      <c r="S10" s="34">
        <v>43119</v>
      </c>
      <c r="T10" s="34">
        <v>43122</v>
      </c>
      <c r="U10" s="34">
        <v>43123</v>
      </c>
      <c r="V10" s="34"/>
      <c r="AG10" s="1">
        <v>6</v>
      </c>
      <c r="AH10" s="2" t="s">
        <v>29</v>
      </c>
      <c r="AI10" s="3"/>
      <c r="AJ10" s="3"/>
    </row>
    <row r="11" spans="1:36" x14ac:dyDescent="0.3">
      <c r="A11" s="11">
        <v>10</v>
      </c>
      <c r="B11" s="32" t="s">
        <v>67</v>
      </c>
      <c r="C11" s="32" t="s">
        <v>48</v>
      </c>
      <c r="D11" s="35" t="s">
        <v>105</v>
      </c>
      <c r="E11" s="40">
        <v>4201612954</v>
      </c>
      <c r="F11" s="32">
        <v>11</v>
      </c>
      <c r="G11" s="32">
        <v>2.9</v>
      </c>
      <c r="H11" s="32">
        <v>12</v>
      </c>
      <c r="I11" s="32">
        <v>0.223</v>
      </c>
      <c r="J11" s="32">
        <f t="shared" si="0"/>
        <v>0.223</v>
      </c>
      <c r="K11" s="32"/>
      <c r="L11" s="32" t="s">
        <v>75</v>
      </c>
      <c r="M11" s="23">
        <f>(J11/G11)*1000</f>
        <v>76.896551724137936</v>
      </c>
      <c r="N11" s="23">
        <f>I11/G11*1000</f>
        <v>76.896551724137936</v>
      </c>
      <c r="O11" s="32" t="s">
        <v>69</v>
      </c>
      <c r="P11" s="32" t="s">
        <v>70</v>
      </c>
      <c r="Q11" s="32" t="s">
        <v>76</v>
      </c>
      <c r="R11" s="29">
        <v>1</v>
      </c>
      <c r="S11" s="34">
        <v>43112</v>
      </c>
      <c r="T11" s="34">
        <v>43122</v>
      </c>
      <c r="U11" s="34">
        <v>43123</v>
      </c>
      <c r="V11" s="34"/>
      <c r="AG11" s="1"/>
      <c r="AH11" s="2"/>
      <c r="AI11" s="3"/>
      <c r="AJ11" s="3"/>
    </row>
    <row r="12" spans="1:36" x14ac:dyDescent="0.3">
      <c r="A12" s="11">
        <v>11</v>
      </c>
      <c r="B12" s="10" t="s">
        <v>72</v>
      </c>
      <c r="C12" s="10" t="s">
        <v>48</v>
      </c>
      <c r="D12" s="10" t="s">
        <v>106</v>
      </c>
      <c r="E12" s="10">
        <v>2360081692</v>
      </c>
      <c r="F12" s="10"/>
      <c r="G12" s="10">
        <f>0.424</f>
        <v>0.42399999999999999</v>
      </c>
      <c r="H12" s="32">
        <v>1</v>
      </c>
      <c r="I12" s="10">
        <v>8.5000000000000006E-2</v>
      </c>
      <c r="J12" s="10">
        <v>3.3000000000000002E-2</v>
      </c>
      <c r="K12" s="10"/>
      <c r="L12" s="10" t="s">
        <v>68</v>
      </c>
      <c r="M12" s="23">
        <f>(J12/G12)*1000</f>
        <v>77.830188679245296</v>
      </c>
      <c r="N12" s="23">
        <f>I12/G12*1000</f>
        <v>200.47169811320757</v>
      </c>
      <c r="O12" s="10" t="s">
        <v>49</v>
      </c>
      <c r="P12" s="10" t="s">
        <v>49</v>
      </c>
      <c r="Q12" s="10" t="s">
        <v>89</v>
      </c>
      <c r="R12">
        <v>11</v>
      </c>
      <c r="S12" s="19">
        <v>43111</v>
      </c>
      <c r="T12" s="19">
        <v>43122</v>
      </c>
      <c r="U12" s="19">
        <v>43123</v>
      </c>
      <c r="V12" s="34"/>
      <c r="AG12" s="1">
        <v>7</v>
      </c>
      <c r="AH12" s="4" t="s">
        <v>30</v>
      </c>
      <c r="AI12" s="3"/>
      <c r="AJ12" s="3"/>
    </row>
    <row r="13" spans="1:36" x14ac:dyDescent="0.3">
      <c r="A13" s="11">
        <v>12</v>
      </c>
      <c r="B13" s="32" t="s">
        <v>71</v>
      </c>
      <c r="C13" s="32" t="s">
        <v>48</v>
      </c>
      <c r="D13" s="35" t="s">
        <v>108</v>
      </c>
      <c r="E13" s="32">
        <v>2360081688</v>
      </c>
      <c r="F13" s="32"/>
      <c r="G13" s="32"/>
      <c r="H13" s="32"/>
      <c r="I13" s="32">
        <f>0.01</f>
        <v>0.01</v>
      </c>
      <c r="J13" s="32">
        <f t="shared" ref="J13:J23" si="1">I13</f>
        <v>0.01</v>
      </c>
      <c r="K13" s="32"/>
      <c r="L13" s="32" t="s">
        <v>68</v>
      </c>
      <c r="M13" s="32"/>
      <c r="N13" s="32"/>
      <c r="O13" s="32" t="s">
        <v>49</v>
      </c>
      <c r="P13" s="32" t="s">
        <v>49</v>
      </c>
      <c r="Q13" s="32" t="s">
        <v>109</v>
      </c>
      <c r="R13" s="29">
        <v>15</v>
      </c>
      <c r="S13" s="34">
        <v>43115</v>
      </c>
      <c r="T13" s="34">
        <v>43119</v>
      </c>
      <c r="U13" s="34">
        <v>43123</v>
      </c>
      <c r="V13" s="34"/>
      <c r="AG13" s="1"/>
      <c r="AH13" s="2"/>
      <c r="AI13" s="3"/>
      <c r="AJ13" s="3"/>
    </row>
    <row r="14" spans="1:36" x14ac:dyDescent="0.3">
      <c r="A14" s="11">
        <v>13</v>
      </c>
      <c r="B14" s="10" t="s">
        <v>53</v>
      </c>
      <c r="C14" s="32" t="s">
        <v>48</v>
      </c>
      <c r="D14" s="32" t="s">
        <v>110</v>
      </c>
      <c r="E14" s="32">
        <v>2360081682</v>
      </c>
      <c r="F14" s="32"/>
      <c r="G14" s="32">
        <v>1.37</v>
      </c>
      <c r="H14" s="32">
        <v>32</v>
      </c>
      <c r="I14" s="32">
        <v>0.14599999999999999</v>
      </c>
      <c r="J14" s="32">
        <f t="shared" si="1"/>
        <v>0.14599999999999999</v>
      </c>
      <c r="K14" s="32"/>
      <c r="L14" s="32" t="s">
        <v>68</v>
      </c>
      <c r="M14" s="23">
        <f>(J14/G14)*1000</f>
        <v>106.56934306569342</v>
      </c>
      <c r="N14" s="23">
        <f>I14/G14*1000</f>
        <v>106.56934306569342</v>
      </c>
      <c r="O14" s="32" t="s">
        <v>49</v>
      </c>
      <c r="P14" s="32" t="s">
        <v>49</v>
      </c>
      <c r="Q14" s="32" t="s">
        <v>111</v>
      </c>
      <c r="R14" s="29">
        <v>11</v>
      </c>
      <c r="S14" s="34">
        <v>43459</v>
      </c>
      <c r="T14" s="34">
        <v>43119</v>
      </c>
      <c r="U14" s="34">
        <v>43123</v>
      </c>
      <c r="V14" s="34"/>
      <c r="AG14" s="1">
        <v>8</v>
      </c>
      <c r="AH14" s="2" t="s">
        <v>31</v>
      </c>
      <c r="AI14" s="3"/>
      <c r="AJ14" s="3"/>
    </row>
    <row r="15" spans="1:36" x14ac:dyDescent="0.3">
      <c r="A15" s="11">
        <v>14</v>
      </c>
      <c r="B15" s="10" t="s">
        <v>73</v>
      </c>
      <c r="C15" s="10" t="s">
        <v>48</v>
      </c>
      <c r="D15" s="10" t="s">
        <v>112</v>
      </c>
      <c r="E15" s="10">
        <v>2360081629</v>
      </c>
      <c r="F15" s="10"/>
      <c r="G15" s="10">
        <f>0.257</f>
        <v>0.25700000000000001</v>
      </c>
      <c r="H15" s="32">
        <v>1</v>
      </c>
      <c r="I15" s="10">
        <v>0.36</v>
      </c>
      <c r="J15" s="10">
        <f t="shared" si="1"/>
        <v>0.36</v>
      </c>
      <c r="K15" s="10"/>
      <c r="L15" s="10" t="s">
        <v>68</v>
      </c>
      <c r="M15" s="23">
        <f>(J15/G15)*1000</f>
        <v>1400.7782101167313</v>
      </c>
      <c r="N15" s="23">
        <f>I15/G15*1000</f>
        <v>1400.7782101167313</v>
      </c>
      <c r="O15" s="10" t="s">
        <v>49</v>
      </c>
      <c r="P15" s="10" t="s">
        <v>49</v>
      </c>
      <c r="Q15" s="10" t="s">
        <v>113</v>
      </c>
      <c r="R15">
        <v>11</v>
      </c>
      <c r="S15" s="19">
        <v>43114</v>
      </c>
      <c r="T15" s="19">
        <v>43117</v>
      </c>
      <c r="U15" s="19">
        <v>43123</v>
      </c>
      <c r="V15" s="34"/>
      <c r="AG15" s="1">
        <v>9</v>
      </c>
      <c r="AH15" s="2" t="s">
        <v>32</v>
      </c>
      <c r="AI15" s="3"/>
      <c r="AJ15" s="3"/>
    </row>
    <row r="16" spans="1:36" x14ac:dyDescent="0.3">
      <c r="A16" s="11">
        <v>15</v>
      </c>
      <c r="B16" s="10" t="s">
        <v>67</v>
      </c>
      <c r="C16" s="10" t="s">
        <v>48</v>
      </c>
      <c r="D16" s="10" t="s">
        <v>114</v>
      </c>
      <c r="E16" s="10">
        <v>2360081621</v>
      </c>
      <c r="F16" s="10"/>
      <c r="G16" s="10"/>
      <c r="H16" s="32">
        <v>1</v>
      </c>
      <c r="I16" s="10">
        <f>0.0456</f>
        <v>4.5600000000000002E-2</v>
      </c>
      <c r="J16" s="10">
        <f t="shared" si="1"/>
        <v>4.5600000000000002E-2</v>
      </c>
      <c r="K16" s="10"/>
      <c r="L16" s="10" t="s">
        <v>68</v>
      </c>
      <c r="M16" s="32"/>
      <c r="N16" s="32"/>
      <c r="O16" s="10" t="s">
        <v>49</v>
      </c>
      <c r="P16" s="10" t="s">
        <v>49</v>
      </c>
      <c r="Q16" s="10" t="s">
        <v>100</v>
      </c>
      <c r="R16">
        <v>12</v>
      </c>
      <c r="S16" s="19">
        <v>43111</v>
      </c>
      <c r="T16" s="19">
        <v>43116</v>
      </c>
      <c r="U16" s="19">
        <v>43123</v>
      </c>
      <c r="V16" s="34"/>
      <c r="AG16" s="1"/>
      <c r="AH16" s="2"/>
      <c r="AI16" s="3"/>
      <c r="AJ16" s="3"/>
    </row>
    <row r="17" spans="1:36" x14ac:dyDescent="0.3">
      <c r="A17" s="11">
        <v>16</v>
      </c>
      <c r="B17" s="10" t="s">
        <v>72</v>
      </c>
      <c r="C17" s="10" t="s">
        <v>48</v>
      </c>
      <c r="D17" s="10" t="s">
        <v>115</v>
      </c>
      <c r="E17" s="10">
        <v>2360081585</v>
      </c>
      <c r="F17" s="10"/>
      <c r="G17" s="10">
        <f>0.4*2+0.14+0.2</f>
        <v>1.1400000000000001</v>
      </c>
      <c r="H17" s="32">
        <v>5</v>
      </c>
      <c r="I17" s="10">
        <f>0.139</f>
        <v>0.13900000000000001</v>
      </c>
      <c r="J17" s="10">
        <f t="shared" si="1"/>
        <v>0.13900000000000001</v>
      </c>
      <c r="K17" s="10"/>
      <c r="L17" s="10" t="s">
        <v>68</v>
      </c>
      <c r="M17" s="23">
        <f t="shared" ref="M17:M25" si="2">(J17/G17)*1000</f>
        <v>121.92982456140351</v>
      </c>
      <c r="N17" s="23">
        <f t="shared" ref="N17:N25" si="3">I17/G17*1000</f>
        <v>121.92982456140351</v>
      </c>
      <c r="O17" s="10" t="s">
        <v>49</v>
      </c>
      <c r="P17" s="10" t="s">
        <v>49</v>
      </c>
      <c r="Q17" s="10" t="s">
        <v>89</v>
      </c>
      <c r="R17">
        <v>11</v>
      </c>
      <c r="S17" s="19">
        <v>43102</v>
      </c>
      <c r="T17" s="19">
        <v>43112</v>
      </c>
      <c r="U17" s="19">
        <v>43123</v>
      </c>
      <c r="V17" s="34"/>
      <c r="AG17" s="1"/>
      <c r="AH17" s="4" t="s">
        <v>33</v>
      </c>
      <c r="AI17" s="3"/>
      <c r="AJ17" s="3"/>
    </row>
    <row r="18" spans="1:36" x14ac:dyDescent="0.3">
      <c r="A18" s="11">
        <v>17</v>
      </c>
      <c r="B18" s="10" t="s">
        <v>67</v>
      </c>
      <c r="C18" s="32" t="s">
        <v>48</v>
      </c>
      <c r="D18" s="37" t="s">
        <v>86</v>
      </c>
      <c r="E18" s="37">
        <v>2360081549</v>
      </c>
      <c r="F18" s="10"/>
      <c r="G18" s="10">
        <f>0.212+0.631*6</f>
        <v>3.9980000000000002</v>
      </c>
      <c r="H18" s="32">
        <v>7</v>
      </c>
      <c r="I18" s="42">
        <v>0.33900000000000002</v>
      </c>
      <c r="J18" s="24">
        <f t="shared" si="1"/>
        <v>0.33900000000000002</v>
      </c>
      <c r="K18" s="32"/>
      <c r="L18" s="10" t="s">
        <v>68</v>
      </c>
      <c r="M18" s="23">
        <f t="shared" si="2"/>
        <v>84.792396198099055</v>
      </c>
      <c r="N18" s="23">
        <f t="shared" si="3"/>
        <v>84.792396198099055</v>
      </c>
      <c r="O18" s="10" t="s">
        <v>74</v>
      </c>
      <c r="P18" s="10" t="s">
        <v>49</v>
      </c>
      <c r="Q18" s="10" t="s">
        <v>89</v>
      </c>
      <c r="R18" s="29">
        <v>11</v>
      </c>
      <c r="S18" s="19">
        <v>43104</v>
      </c>
      <c r="T18" s="19">
        <v>43104</v>
      </c>
      <c r="U18" s="19">
        <v>43123</v>
      </c>
      <c r="V18" s="34"/>
      <c r="AG18" s="1">
        <v>10</v>
      </c>
      <c r="AH18" s="2" t="s">
        <v>34</v>
      </c>
      <c r="AI18" s="3"/>
      <c r="AJ18" s="3"/>
    </row>
    <row r="19" spans="1:36" x14ac:dyDescent="0.3">
      <c r="A19" s="11">
        <v>18</v>
      </c>
      <c r="B19" s="32" t="s">
        <v>53</v>
      </c>
      <c r="C19" s="32" t="s">
        <v>48</v>
      </c>
      <c r="D19" s="37" t="s">
        <v>116</v>
      </c>
      <c r="E19" s="37">
        <v>2360081745</v>
      </c>
      <c r="F19" s="10"/>
      <c r="G19" s="10">
        <f>0.166*110</f>
        <v>18.260000000000002</v>
      </c>
      <c r="H19" s="32">
        <v>110</v>
      </c>
      <c r="I19" s="42">
        <v>1.67</v>
      </c>
      <c r="J19" s="24">
        <f t="shared" si="1"/>
        <v>1.67</v>
      </c>
      <c r="K19" s="32"/>
      <c r="L19" s="32" t="s">
        <v>68</v>
      </c>
      <c r="M19" s="23">
        <f t="shared" si="2"/>
        <v>91.456736035049275</v>
      </c>
      <c r="N19" s="23">
        <f t="shared" si="3"/>
        <v>91.456736035049275</v>
      </c>
      <c r="O19" s="32" t="s">
        <v>69</v>
      </c>
      <c r="P19" s="32" t="s">
        <v>70</v>
      </c>
      <c r="Q19" s="10" t="s">
        <v>89</v>
      </c>
      <c r="R19">
        <v>11</v>
      </c>
      <c r="S19" s="34">
        <v>43122</v>
      </c>
      <c r="T19" s="34">
        <v>43123</v>
      </c>
      <c r="U19" s="34">
        <v>43123</v>
      </c>
      <c r="V19" s="34"/>
      <c r="AG19" s="2"/>
      <c r="AH19" s="2"/>
      <c r="AI19" s="3"/>
      <c r="AJ19" s="3"/>
    </row>
    <row r="20" spans="1:36" x14ac:dyDescent="0.3">
      <c r="A20" s="11">
        <v>19</v>
      </c>
      <c r="B20" s="32" t="s">
        <v>71</v>
      </c>
      <c r="C20" s="32" t="s">
        <v>48</v>
      </c>
      <c r="D20" s="37" t="s">
        <v>88</v>
      </c>
      <c r="E20" s="37">
        <v>2360081738</v>
      </c>
      <c r="F20" s="10"/>
      <c r="G20" s="10">
        <f>0.302*24+0.256*12</f>
        <v>10.32</v>
      </c>
      <c r="H20" s="32">
        <f>24+12</f>
        <v>36</v>
      </c>
      <c r="I20" s="42">
        <v>0.74299999999999999</v>
      </c>
      <c r="J20" s="24">
        <f t="shared" si="1"/>
        <v>0.74299999999999999</v>
      </c>
      <c r="K20" s="32"/>
      <c r="L20" s="32" t="s">
        <v>68</v>
      </c>
      <c r="M20" s="23">
        <f t="shared" si="2"/>
        <v>71.996124031007753</v>
      </c>
      <c r="N20" s="23">
        <f t="shared" si="3"/>
        <v>71.996124031007753</v>
      </c>
      <c r="O20" s="32" t="s">
        <v>74</v>
      </c>
      <c r="P20" s="32" t="s">
        <v>49</v>
      </c>
      <c r="Q20" s="10" t="s">
        <v>89</v>
      </c>
      <c r="R20">
        <v>11</v>
      </c>
      <c r="S20" s="34">
        <v>43122</v>
      </c>
      <c r="T20" s="34">
        <v>43123</v>
      </c>
      <c r="U20" s="34">
        <v>43123</v>
      </c>
      <c r="V20" s="34"/>
      <c r="AG20" s="1"/>
      <c r="AH20" s="4" t="s">
        <v>35</v>
      </c>
      <c r="AI20" s="3"/>
      <c r="AJ20" s="3"/>
    </row>
    <row r="21" spans="1:36" x14ac:dyDescent="0.3">
      <c r="A21" s="11">
        <v>20</v>
      </c>
      <c r="B21" s="32" t="s">
        <v>71</v>
      </c>
      <c r="C21" s="32" t="s">
        <v>48</v>
      </c>
      <c r="D21" s="39" t="s">
        <v>117</v>
      </c>
      <c r="E21" s="39">
        <v>2360081737</v>
      </c>
      <c r="F21" s="10"/>
      <c r="G21" s="10">
        <f>0.233*2</f>
        <v>0.46600000000000003</v>
      </c>
      <c r="H21" s="32">
        <v>2</v>
      </c>
      <c r="I21" s="39">
        <v>3.7999999999999999E-2</v>
      </c>
      <c r="J21" s="24">
        <f t="shared" si="1"/>
        <v>3.7999999999999999E-2</v>
      </c>
      <c r="K21" s="32"/>
      <c r="L21" s="32" t="s">
        <v>68</v>
      </c>
      <c r="M21" s="32">
        <f t="shared" si="2"/>
        <v>81.545064377682394</v>
      </c>
      <c r="N21" s="32">
        <f t="shared" si="3"/>
        <v>81.545064377682394</v>
      </c>
      <c r="O21" s="32" t="s">
        <v>74</v>
      </c>
      <c r="P21" s="32" t="s">
        <v>49</v>
      </c>
      <c r="Q21" s="10" t="s">
        <v>89</v>
      </c>
      <c r="R21">
        <v>11</v>
      </c>
      <c r="S21" s="34">
        <v>43123</v>
      </c>
      <c r="T21" s="34">
        <v>43123</v>
      </c>
      <c r="U21" s="34">
        <v>43123</v>
      </c>
      <c r="V21" s="34"/>
      <c r="AG21" s="5">
        <v>11</v>
      </c>
      <c r="AH21" s="6" t="s">
        <v>36</v>
      </c>
      <c r="AI21" s="3"/>
      <c r="AJ21" s="3"/>
    </row>
    <row r="22" spans="1:36" x14ac:dyDescent="0.3">
      <c r="A22" s="11">
        <v>21</v>
      </c>
      <c r="B22" s="32" t="s">
        <v>71</v>
      </c>
      <c r="C22" s="32" t="s">
        <v>48</v>
      </c>
      <c r="D22" s="39" t="s">
        <v>87</v>
      </c>
      <c r="E22" s="39">
        <v>2360081734</v>
      </c>
      <c r="F22" s="10"/>
      <c r="G22" s="10">
        <f>0.313*2+0.218*2</f>
        <v>1.0620000000000001</v>
      </c>
      <c r="H22" s="32">
        <v>4</v>
      </c>
      <c r="I22" s="39">
        <f>0.0883</f>
        <v>8.8300000000000003E-2</v>
      </c>
      <c r="J22" s="24">
        <f t="shared" si="1"/>
        <v>8.8300000000000003E-2</v>
      </c>
      <c r="K22" s="32"/>
      <c r="L22" s="32" t="s">
        <v>75</v>
      </c>
      <c r="M22" s="32">
        <f t="shared" si="2"/>
        <v>83.145009416195862</v>
      </c>
      <c r="N22" s="32">
        <f t="shared" si="3"/>
        <v>83.145009416195862</v>
      </c>
      <c r="O22" s="32" t="s">
        <v>74</v>
      </c>
      <c r="P22" s="32" t="s">
        <v>49</v>
      </c>
      <c r="Q22" s="10" t="s">
        <v>89</v>
      </c>
      <c r="R22">
        <v>11</v>
      </c>
      <c r="S22" s="34">
        <v>43118</v>
      </c>
      <c r="T22" s="34">
        <v>43123</v>
      </c>
      <c r="U22" s="34">
        <v>43123</v>
      </c>
      <c r="V22" s="34"/>
      <c r="AG22" s="1">
        <v>12</v>
      </c>
      <c r="AH22" s="2" t="s">
        <v>37</v>
      </c>
      <c r="AI22" s="3"/>
      <c r="AJ22" s="3"/>
    </row>
    <row r="23" spans="1:36" x14ac:dyDescent="0.3">
      <c r="A23" s="11">
        <v>22</v>
      </c>
      <c r="B23" s="32" t="s">
        <v>47</v>
      </c>
      <c r="C23" s="32" t="s">
        <v>48</v>
      </c>
      <c r="D23" s="39" t="s">
        <v>77</v>
      </c>
      <c r="E23" s="39">
        <v>5000054813</v>
      </c>
      <c r="F23" s="10"/>
      <c r="G23" s="10">
        <v>0.56999999999999995</v>
      </c>
      <c r="H23" s="32">
        <v>4</v>
      </c>
      <c r="I23" s="39">
        <f>0.066</f>
        <v>6.6000000000000003E-2</v>
      </c>
      <c r="J23" s="24">
        <f t="shared" si="1"/>
        <v>6.6000000000000003E-2</v>
      </c>
      <c r="K23" s="32"/>
      <c r="L23" s="32" t="s">
        <v>65</v>
      </c>
      <c r="M23" s="23">
        <f t="shared" si="2"/>
        <v>115.78947368421053</v>
      </c>
      <c r="N23" s="23">
        <f t="shared" si="3"/>
        <v>115.78947368421053</v>
      </c>
      <c r="O23" s="32" t="s">
        <v>52</v>
      </c>
      <c r="P23" s="32" t="s">
        <v>49</v>
      </c>
      <c r="Q23" s="10" t="s">
        <v>89</v>
      </c>
      <c r="R23">
        <v>11</v>
      </c>
      <c r="S23" s="34">
        <v>43122</v>
      </c>
      <c r="T23" s="34">
        <v>43123</v>
      </c>
      <c r="U23" s="34">
        <v>43123</v>
      </c>
      <c r="V23" s="34"/>
      <c r="AG23" s="1"/>
      <c r="AH23" s="2"/>
      <c r="AI23" s="3"/>
      <c r="AJ23" s="3"/>
    </row>
    <row r="24" spans="1:36" x14ac:dyDescent="0.3">
      <c r="A24" s="11">
        <v>23</v>
      </c>
      <c r="B24" s="32" t="s">
        <v>72</v>
      </c>
      <c r="C24" s="32" t="s">
        <v>48</v>
      </c>
      <c r="D24" s="39" t="s">
        <v>125</v>
      </c>
      <c r="E24" s="39">
        <v>4201611894</v>
      </c>
      <c r="F24" s="10">
        <v>6.6</v>
      </c>
      <c r="G24" s="10">
        <v>12.87</v>
      </c>
      <c r="H24" s="32">
        <v>60</v>
      </c>
      <c r="I24" s="39">
        <v>8.89</v>
      </c>
      <c r="J24" s="24">
        <f>1.36</f>
        <v>1.36</v>
      </c>
      <c r="K24" s="24">
        <f>I24-J24</f>
        <v>7.53</v>
      </c>
      <c r="L24" s="32" t="s">
        <v>126</v>
      </c>
      <c r="M24" s="23">
        <f t="shared" si="2"/>
        <v>105.67210567210569</v>
      </c>
      <c r="N24" s="23">
        <f t="shared" si="3"/>
        <v>690.75369075369088</v>
      </c>
      <c r="O24" s="32" t="s">
        <v>74</v>
      </c>
      <c r="P24" s="32" t="s">
        <v>49</v>
      </c>
      <c r="Q24" s="10" t="s">
        <v>127</v>
      </c>
      <c r="R24">
        <v>6</v>
      </c>
      <c r="S24" s="34">
        <v>43109</v>
      </c>
      <c r="T24" s="34">
        <v>43123</v>
      </c>
      <c r="U24" s="34">
        <v>43124</v>
      </c>
      <c r="V24" s="34" t="s">
        <v>133</v>
      </c>
      <c r="AG24" s="1">
        <v>13</v>
      </c>
      <c r="AH24" s="30" t="s">
        <v>38</v>
      </c>
      <c r="AI24" s="7"/>
      <c r="AJ24" s="7"/>
    </row>
    <row r="25" spans="1:36" x14ac:dyDescent="0.3">
      <c r="A25" s="11">
        <v>24</v>
      </c>
      <c r="B25" s="32" t="s">
        <v>53</v>
      </c>
      <c r="C25" s="32" t="s">
        <v>48</v>
      </c>
      <c r="D25" s="39" t="s">
        <v>128</v>
      </c>
      <c r="E25" s="39">
        <v>4201610486</v>
      </c>
      <c r="F25" s="10">
        <v>6.6</v>
      </c>
      <c r="G25" s="10">
        <v>1.0900000000000001</v>
      </c>
      <c r="H25" s="32">
        <v>3</v>
      </c>
      <c r="I25" s="39">
        <v>1</v>
      </c>
      <c r="J25" s="24">
        <f>I25</f>
        <v>1</v>
      </c>
      <c r="K25" s="32"/>
      <c r="L25" s="32" t="s">
        <v>126</v>
      </c>
      <c r="M25" s="23">
        <f t="shared" si="2"/>
        <v>917.43119266055044</v>
      </c>
      <c r="N25" s="23">
        <f t="shared" si="3"/>
        <v>917.43119266055044</v>
      </c>
      <c r="O25" s="32" t="s">
        <v>49</v>
      </c>
      <c r="P25" s="32" t="s">
        <v>49</v>
      </c>
      <c r="Q25" s="10" t="s">
        <v>54</v>
      </c>
      <c r="R25">
        <v>18</v>
      </c>
      <c r="S25" s="34">
        <v>43464</v>
      </c>
      <c r="T25" s="34">
        <v>43117</v>
      </c>
      <c r="U25" s="34">
        <v>43124</v>
      </c>
      <c r="V25" s="34" t="s">
        <v>134</v>
      </c>
      <c r="W25" t="s">
        <v>135</v>
      </c>
      <c r="AG25" s="1">
        <v>14</v>
      </c>
      <c r="AH25" s="30" t="s">
        <v>39</v>
      </c>
      <c r="AI25" s="8"/>
      <c r="AJ25" s="9"/>
    </row>
    <row r="26" spans="1:36" x14ac:dyDescent="0.3">
      <c r="A26" s="11">
        <v>47</v>
      </c>
      <c r="B26" s="10" t="s">
        <v>53</v>
      </c>
      <c r="C26" s="10" t="s">
        <v>48</v>
      </c>
      <c r="D26" s="10" t="s">
        <v>136</v>
      </c>
      <c r="E26" s="10">
        <v>4201619244</v>
      </c>
      <c r="F26" s="10">
        <v>11</v>
      </c>
      <c r="G26" s="10">
        <v>17</v>
      </c>
      <c r="H26" s="32">
        <v>72</v>
      </c>
      <c r="I26" s="10">
        <f>13.5</f>
        <v>13.5</v>
      </c>
      <c r="J26" s="10">
        <v>1.17</v>
      </c>
      <c r="K26" s="10">
        <f>I26-J26</f>
        <v>12.33</v>
      </c>
      <c r="L26" s="10" t="s">
        <v>75</v>
      </c>
      <c r="M26" s="23">
        <f t="shared" ref="M26" si="4">(J26/G26)*1000</f>
        <v>68.823529411764696</v>
      </c>
      <c r="N26" s="23">
        <f t="shared" ref="N26" si="5">I26/G26*1000</f>
        <v>794.11764705882354</v>
      </c>
      <c r="O26" s="10" t="s">
        <v>74</v>
      </c>
      <c r="P26" s="10" t="s">
        <v>49</v>
      </c>
      <c r="Q26" s="10" t="s">
        <v>127</v>
      </c>
      <c r="R26">
        <v>6</v>
      </c>
      <c r="S26" s="19">
        <v>43129</v>
      </c>
      <c r="T26" s="19">
        <v>43130</v>
      </c>
      <c r="U26" s="19">
        <v>43133</v>
      </c>
      <c r="V26" s="34"/>
      <c r="AG26" s="1">
        <v>15</v>
      </c>
      <c r="AH26" s="30" t="s">
        <v>40</v>
      </c>
      <c r="AI26" s="8"/>
      <c r="AJ26" s="3"/>
    </row>
    <row r="27" spans="1:36" x14ac:dyDescent="0.3">
      <c r="A27" s="11">
        <v>48</v>
      </c>
      <c r="B27" s="32" t="s">
        <v>71</v>
      </c>
      <c r="C27" s="32" t="s">
        <v>48</v>
      </c>
      <c r="D27" s="32" t="s">
        <v>137</v>
      </c>
      <c r="E27" s="32">
        <v>2360081839</v>
      </c>
      <c r="F27" s="32"/>
      <c r="G27" s="32">
        <f>0.16*6</f>
        <v>0.96</v>
      </c>
      <c r="H27" s="32">
        <v>6</v>
      </c>
      <c r="I27" s="32">
        <v>0.10199999999999999</v>
      </c>
      <c r="J27" s="32">
        <f>I27</f>
        <v>0.10199999999999999</v>
      </c>
      <c r="K27" s="32"/>
      <c r="L27" s="32" t="s">
        <v>68</v>
      </c>
      <c r="M27" s="23">
        <f t="shared" ref="M27" si="6">(J27/G27)*1000</f>
        <v>106.25</v>
      </c>
      <c r="N27" s="23">
        <f t="shared" ref="N27" si="7">I27/G27*1000</f>
        <v>106.25</v>
      </c>
      <c r="O27" s="32" t="s">
        <v>49</v>
      </c>
      <c r="P27" s="32" t="s">
        <v>49</v>
      </c>
      <c r="Q27" s="32" t="s">
        <v>66</v>
      </c>
      <c r="R27" s="29">
        <v>11</v>
      </c>
      <c r="S27" s="34">
        <v>43123</v>
      </c>
      <c r="T27" s="34">
        <v>43130</v>
      </c>
      <c r="U27" s="34">
        <v>43133</v>
      </c>
      <c r="V27" s="34"/>
      <c r="AG27" s="1">
        <v>16</v>
      </c>
      <c r="AH27" s="30" t="s">
        <v>41</v>
      </c>
      <c r="AI27" s="30"/>
      <c r="AJ27" s="3"/>
    </row>
    <row r="28" spans="1:36" x14ac:dyDescent="0.3">
      <c r="A28" s="11">
        <v>49</v>
      </c>
      <c r="B28" s="32" t="s">
        <v>71</v>
      </c>
      <c r="C28" s="32" t="s">
        <v>48</v>
      </c>
      <c r="D28" s="32" t="s">
        <v>137</v>
      </c>
      <c r="E28" s="32">
        <v>2360081849</v>
      </c>
      <c r="F28" s="32"/>
      <c r="G28" s="32">
        <f>0.214*3</f>
        <v>0.64200000000000002</v>
      </c>
      <c r="H28" s="32">
        <v>3</v>
      </c>
      <c r="I28" s="32">
        <v>6.7000000000000004E-2</v>
      </c>
      <c r="J28" s="32">
        <f>I28</f>
        <v>6.7000000000000004E-2</v>
      </c>
      <c r="K28" s="32"/>
      <c r="L28" s="32" t="s">
        <v>68</v>
      </c>
      <c r="M28" s="23">
        <f t="shared" ref="M28" si="8">(J28/G28)*1000</f>
        <v>104.3613707165109</v>
      </c>
      <c r="N28" s="23">
        <f t="shared" ref="N28" si="9">I28/G28*1000</f>
        <v>104.3613707165109</v>
      </c>
      <c r="O28" s="32" t="s">
        <v>49</v>
      </c>
      <c r="P28" s="32" t="s">
        <v>49</v>
      </c>
      <c r="Q28" s="32" t="s">
        <v>66</v>
      </c>
      <c r="R28" s="29">
        <v>11</v>
      </c>
      <c r="S28" s="34">
        <v>43123</v>
      </c>
      <c r="T28" s="34">
        <v>43130</v>
      </c>
      <c r="U28" s="34">
        <v>43133</v>
      </c>
      <c r="V28" s="34"/>
      <c r="AG28" s="1">
        <v>17</v>
      </c>
      <c r="AH28" s="30" t="s">
        <v>42</v>
      </c>
      <c r="AI28" s="30"/>
      <c r="AJ28" s="3"/>
    </row>
    <row r="29" spans="1:36" x14ac:dyDescent="0.3">
      <c r="A29" s="11">
        <v>50</v>
      </c>
      <c r="B29" s="10" t="s">
        <v>67</v>
      </c>
      <c r="C29" s="10" t="s">
        <v>48</v>
      </c>
      <c r="D29" s="10" t="s">
        <v>138</v>
      </c>
      <c r="E29" s="10">
        <v>2360081810</v>
      </c>
      <c r="F29" s="10"/>
      <c r="G29" s="10">
        <v>32.909999999999997</v>
      </c>
      <c r="H29" s="32">
        <v>66</v>
      </c>
      <c r="I29" s="10">
        <v>2.68</v>
      </c>
      <c r="J29" s="32">
        <f>I29</f>
        <v>2.68</v>
      </c>
      <c r="K29" s="10"/>
      <c r="L29" s="10" t="s">
        <v>68</v>
      </c>
      <c r="M29" s="23">
        <f t="shared" ref="M29:M30" si="10">(J29/G29)*1000</f>
        <v>81.434214524460657</v>
      </c>
      <c r="N29" s="23">
        <f t="shared" ref="N29:N30" si="11">I29/G29*1000</f>
        <v>81.434214524460657</v>
      </c>
      <c r="O29" s="10" t="s">
        <v>70</v>
      </c>
      <c r="P29" s="10" t="s">
        <v>70</v>
      </c>
      <c r="Q29" s="10" t="s">
        <v>66</v>
      </c>
      <c r="R29">
        <v>11</v>
      </c>
      <c r="S29" s="19">
        <v>43124</v>
      </c>
      <c r="T29" s="19">
        <v>43129</v>
      </c>
      <c r="U29" s="19">
        <v>43133</v>
      </c>
      <c r="V29" s="34"/>
      <c r="AG29" s="1">
        <v>18</v>
      </c>
      <c r="AH29" s="30" t="s">
        <v>43</v>
      </c>
      <c r="AI29" s="30"/>
      <c r="AJ29" s="3"/>
    </row>
    <row r="30" spans="1:36" x14ac:dyDescent="0.3">
      <c r="A30" s="11">
        <v>51</v>
      </c>
      <c r="B30" s="10" t="s">
        <v>72</v>
      </c>
      <c r="C30" s="10" t="s">
        <v>48</v>
      </c>
      <c r="D30" s="32" t="s">
        <v>139</v>
      </c>
      <c r="E30" s="10">
        <v>4201620871</v>
      </c>
      <c r="F30" s="10">
        <v>11</v>
      </c>
      <c r="G30" s="10">
        <v>6</v>
      </c>
      <c r="H30" s="32">
        <v>24</v>
      </c>
      <c r="I30" s="10">
        <v>0.7</v>
      </c>
      <c r="J30" s="32">
        <v>0.4</v>
      </c>
      <c r="K30" s="10"/>
      <c r="L30" s="10" t="s">
        <v>75</v>
      </c>
      <c r="M30" s="23">
        <f t="shared" si="10"/>
        <v>66.666666666666671</v>
      </c>
      <c r="N30" s="23">
        <f t="shared" si="11"/>
        <v>116.66666666666666</v>
      </c>
      <c r="O30" s="10" t="s">
        <v>69</v>
      </c>
      <c r="P30" s="10" t="s">
        <v>70</v>
      </c>
      <c r="Q30" s="10" t="s">
        <v>76</v>
      </c>
      <c r="R30">
        <v>1</v>
      </c>
      <c r="S30" s="19">
        <v>43125</v>
      </c>
      <c r="T30" s="19">
        <v>43131</v>
      </c>
      <c r="U30" s="19">
        <v>43133</v>
      </c>
      <c r="V30" s="34"/>
      <c r="AG30" s="1">
        <v>19</v>
      </c>
      <c r="AH30" s="30" t="s">
        <v>44</v>
      </c>
      <c r="AI30" s="30"/>
      <c r="AJ30" s="3"/>
    </row>
    <row r="31" spans="1:36" x14ac:dyDescent="0.3">
      <c r="A31" s="11">
        <v>54</v>
      </c>
      <c r="B31" s="32" t="s">
        <v>47</v>
      </c>
      <c r="C31" s="32" t="s">
        <v>48</v>
      </c>
      <c r="D31" s="32" t="s">
        <v>140</v>
      </c>
      <c r="E31" s="32">
        <v>5000055003</v>
      </c>
      <c r="F31" s="32"/>
      <c r="G31" s="32"/>
      <c r="H31" s="32">
        <v>24</v>
      </c>
      <c r="I31" s="32">
        <v>0.628</v>
      </c>
      <c r="J31" s="32">
        <f>I31</f>
        <v>0.628</v>
      </c>
      <c r="K31" s="32"/>
      <c r="L31" s="32" t="s">
        <v>65</v>
      </c>
      <c r="M31" s="23"/>
      <c r="N31" s="23"/>
      <c r="O31" s="32" t="s">
        <v>52</v>
      </c>
      <c r="P31" s="32" t="s">
        <v>49</v>
      </c>
      <c r="Q31" s="32" t="s">
        <v>141</v>
      </c>
      <c r="R31" s="29">
        <v>12</v>
      </c>
      <c r="S31" s="34">
        <v>43129</v>
      </c>
      <c r="T31" s="34">
        <v>43131</v>
      </c>
      <c r="U31" s="34">
        <v>43133</v>
      </c>
      <c r="V31" s="34"/>
      <c r="AG31" s="1">
        <v>20</v>
      </c>
      <c r="AH31" s="30" t="s">
        <v>45</v>
      </c>
      <c r="AI31" s="30"/>
      <c r="AJ31" s="3"/>
    </row>
    <row r="32" spans="1:36" x14ac:dyDescent="0.3">
      <c r="A32" s="11">
        <v>55</v>
      </c>
      <c r="B32" s="32" t="s">
        <v>47</v>
      </c>
      <c r="C32" s="32" t="s">
        <v>48</v>
      </c>
      <c r="D32" s="32" t="s">
        <v>64</v>
      </c>
      <c r="E32" s="32">
        <v>5000054940</v>
      </c>
      <c r="F32" s="32"/>
      <c r="G32" s="32"/>
      <c r="H32" s="32">
        <v>44</v>
      </c>
      <c r="I32" s="32">
        <v>0.84899999999999998</v>
      </c>
      <c r="J32" s="32">
        <f>I32</f>
        <v>0.84899999999999998</v>
      </c>
      <c r="K32" s="32"/>
      <c r="L32" s="32" t="s">
        <v>65</v>
      </c>
      <c r="M32" s="23"/>
      <c r="N32" s="23"/>
      <c r="O32" s="32" t="s">
        <v>52</v>
      </c>
      <c r="P32" s="32" t="s">
        <v>49</v>
      </c>
      <c r="Q32" s="32" t="s">
        <v>100</v>
      </c>
      <c r="R32" s="29">
        <v>12</v>
      </c>
      <c r="S32" s="34">
        <v>43129</v>
      </c>
      <c r="T32" s="34">
        <v>43131</v>
      </c>
      <c r="U32" s="34">
        <v>43133</v>
      </c>
      <c r="V32" s="34"/>
      <c r="AG32" s="1">
        <v>21</v>
      </c>
      <c r="AH32" s="30" t="s">
        <v>46</v>
      </c>
      <c r="AI32" s="30"/>
      <c r="AJ32" s="3"/>
    </row>
    <row r="33" spans="1:36" x14ac:dyDescent="0.3">
      <c r="A33" s="11">
        <v>62</v>
      </c>
      <c r="B33" s="10" t="s">
        <v>71</v>
      </c>
      <c r="C33" s="10" t="s">
        <v>48</v>
      </c>
      <c r="D33" s="10" t="s">
        <v>143</v>
      </c>
      <c r="E33" s="10">
        <v>2360081808</v>
      </c>
      <c r="F33" s="10"/>
      <c r="G33" s="10">
        <f>0.459*15+0.494*35+0.376*10+0.413*10</f>
        <v>32.065000000000005</v>
      </c>
      <c r="H33" s="32">
        <v>70</v>
      </c>
      <c r="I33" s="10">
        <v>2.5</v>
      </c>
      <c r="J33" s="10">
        <f>I33</f>
        <v>2.5</v>
      </c>
      <c r="K33" s="10"/>
      <c r="L33" s="10" t="s">
        <v>68</v>
      </c>
      <c r="M33" s="23">
        <f t="shared" ref="M33" si="12">(J33/G33)*1000</f>
        <v>77.96663028223918</v>
      </c>
      <c r="N33" s="23">
        <f t="shared" ref="N33" si="13">I33/G33*1000</f>
        <v>77.96663028223918</v>
      </c>
      <c r="O33" s="10" t="s">
        <v>49</v>
      </c>
      <c r="P33" s="10" t="s">
        <v>49</v>
      </c>
      <c r="Q33" s="10" t="s">
        <v>66</v>
      </c>
      <c r="R33">
        <v>11</v>
      </c>
      <c r="S33" s="19">
        <v>43123</v>
      </c>
      <c r="T33" s="19">
        <v>43129</v>
      </c>
      <c r="U33" s="19">
        <v>43133</v>
      </c>
      <c r="V33" s="34"/>
      <c r="AG33" s="1">
        <v>22</v>
      </c>
      <c r="AH33" s="30" t="s">
        <v>92</v>
      </c>
      <c r="AI33" s="30"/>
      <c r="AJ33" s="3"/>
    </row>
    <row r="34" spans="1:36" x14ac:dyDescent="0.3">
      <c r="A34" s="11">
        <v>63</v>
      </c>
      <c r="B34" s="32" t="s">
        <v>81</v>
      </c>
      <c r="C34" s="32" t="s">
        <v>82</v>
      </c>
      <c r="D34" s="32" t="s">
        <v>145</v>
      </c>
      <c r="E34" s="32">
        <v>4201599688</v>
      </c>
      <c r="F34" s="32">
        <v>33</v>
      </c>
      <c r="G34" s="32">
        <v>36.799999999999997</v>
      </c>
      <c r="H34" s="32">
        <v>76</v>
      </c>
      <c r="I34" s="32">
        <v>9.5</v>
      </c>
      <c r="J34" s="32">
        <v>2.6</v>
      </c>
      <c r="K34" s="32">
        <f>I34-J34</f>
        <v>6.9</v>
      </c>
      <c r="L34" s="32" t="s">
        <v>126</v>
      </c>
      <c r="M34" s="23">
        <f t="shared" ref="M34" si="14">(J34/G34)*1000</f>
        <v>70.652173913043484</v>
      </c>
      <c r="N34" s="23">
        <f t="shared" ref="N34" si="15">I34/G34*1000</f>
        <v>258.1521739130435</v>
      </c>
      <c r="O34" s="32" t="s">
        <v>144</v>
      </c>
      <c r="P34" s="32" t="s">
        <v>49</v>
      </c>
      <c r="Q34" s="32" t="s">
        <v>127</v>
      </c>
      <c r="R34" s="29">
        <v>6</v>
      </c>
      <c r="S34" s="34">
        <v>43137</v>
      </c>
      <c r="T34" s="34">
        <v>43140</v>
      </c>
      <c r="U34" s="34">
        <v>43140</v>
      </c>
      <c r="V34" s="34"/>
      <c r="AG34" s="2"/>
      <c r="AH34" s="2"/>
      <c r="AI34" s="2"/>
      <c r="AJ34" s="3"/>
    </row>
    <row r="35" spans="1:36" x14ac:dyDescent="0.3">
      <c r="A35" s="11">
        <v>78</v>
      </c>
      <c r="B35" s="10" t="s">
        <v>71</v>
      </c>
      <c r="C35" s="10" t="s">
        <v>82</v>
      </c>
      <c r="D35" s="35" t="s">
        <v>146</v>
      </c>
      <c r="E35" s="10">
        <v>4201637068</v>
      </c>
      <c r="F35" s="10">
        <v>11</v>
      </c>
      <c r="G35" s="10">
        <v>0.73</v>
      </c>
      <c r="H35" s="32">
        <v>6</v>
      </c>
      <c r="I35" s="35">
        <v>0.51600000000000001</v>
      </c>
      <c r="J35" s="10">
        <f t="shared" ref="J35:J45" si="16">I35</f>
        <v>0.51600000000000001</v>
      </c>
      <c r="K35" s="10"/>
      <c r="L35" s="10" t="s">
        <v>68</v>
      </c>
      <c r="M35" s="23">
        <f t="shared" ref="M35" si="17">(J35/G35)*1000</f>
        <v>706.84931506849318</v>
      </c>
      <c r="N35" s="23">
        <f t="shared" ref="N35" si="18">I35/G35*1000</f>
        <v>706.84931506849318</v>
      </c>
      <c r="O35" s="10" t="s">
        <v>74</v>
      </c>
      <c r="P35" s="10" t="s">
        <v>49</v>
      </c>
      <c r="Q35" s="10" t="s">
        <v>55</v>
      </c>
      <c r="R35">
        <v>2</v>
      </c>
      <c r="S35" s="19">
        <v>43144</v>
      </c>
      <c r="T35" s="19">
        <v>43140</v>
      </c>
      <c r="U35" s="19">
        <v>43140</v>
      </c>
      <c r="V35" s="34"/>
      <c r="AG35" s="2"/>
      <c r="AH35" s="2"/>
      <c r="AI35" s="2"/>
      <c r="AJ35" s="3"/>
    </row>
    <row r="36" spans="1:36" s="29" customFormat="1" x14ac:dyDescent="0.3">
      <c r="A36" s="33"/>
      <c r="B36" s="32" t="s">
        <v>71</v>
      </c>
      <c r="C36" s="32" t="s">
        <v>82</v>
      </c>
      <c r="D36" s="35" t="s">
        <v>146</v>
      </c>
      <c r="E36" s="32">
        <v>4201637088</v>
      </c>
      <c r="F36" s="32">
        <v>11</v>
      </c>
      <c r="G36" s="32">
        <v>5.09</v>
      </c>
      <c r="H36" s="32">
        <v>27</v>
      </c>
      <c r="I36" s="35">
        <v>2.9</v>
      </c>
      <c r="J36" s="32">
        <f t="shared" ref="J36:J37" si="19">I36</f>
        <v>2.9</v>
      </c>
      <c r="K36" s="32"/>
      <c r="L36" s="32" t="s">
        <v>68</v>
      </c>
      <c r="M36" s="23">
        <f t="shared" ref="M36:M37" si="20">(J36/G36)*1000</f>
        <v>569.74459724950884</v>
      </c>
      <c r="N36" s="23">
        <f t="shared" ref="N36:N37" si="21">I36/G36*1000</f>
        <v>569.74459724950884</v>
      </c>
      <c r="O36" s="32" t="s">
        <v>74</v>
      </c>
      <c r="P36" s="32" t="s">
        <v>49</v>
      </c>
      <c r="Q36" s="32" t="s">
        <v>55</v>
      </c>
      <c r="R36" s="29">
        <v>2</v>
      </c>
      <c r="S36" s="34">
        <v>43144</v>
      </c>
      <c r="T36" s="34">
        <v>43140</v>
      </c>
      <c r="U36" s="34">
        <v>43140</v>
      </c>
      <c r="V36" s="34"/>
      <c r="AG36" s="30"/>
      <c r="AH36" s="30"/>
      <c r="AI36" s="30"/>
      <c r="AJ36" s="31"/>
    </row>
    <row r="37" spans="1:36" s="29" customFormat="1" x14ac:dyDescent="0.3">
      <c r="A37" s="33"/>
      <c r="B37" s="32" t="s">
        <v>71</v>
      </c>
      <c r="C37" s="32" t="s">
        <v>82</v>
      </c>
      <c r="D37" s="35" t="s">
        <v>146</v>
      </c>
      <c r="E37" s="32">
        <v>4201640992</v>
      </c>
      <c r="F37" s="32">
        <v>11</v>
      </c>
      <c r="G37" s="32">
        <v>4.8</v>
      </c>
      <c r="H37" s="32">
        <v>24</v>
      </c>
      <c r="I37" s="35">
        <v>1.075</v>
      </c>
      <c r="J37" s="32">
        <f t="shared" si="19"/>
        <v>1.075</v>
      </c>
      <c r="K37" s="32"/>
      <c r="L37" s="32" t="s">
        <v>68</v>
      </c>
      <c r="M37" s="23">
        <f t="shared" si="20"/>
        <v>223.95833333333334</v>
      </c>
      <c r="N37" s="23">
        <f t="shared" si="21"/>
        <v>223.95833333333334</v>
      </c>
      <c r="O37" s="32" t="s">
        <v>74</v>
      </c>
      <c r="P37" s="32" t="s">
        <v>49</v>
      </c>
      <c r="Q37" s="32" t="s">
        <v>55</v>
      </c>
      <c r="R37" s="29">
        <v>2</v>
      </c>
      <c r="S37" s="34">
        <v>43144</v>
      </c>
      <c r="T37" s="34">
        <v>43140</v>
      </c>
      <c r="U37" s="34">
        <v>43140</v>
      </c>
      <c r="V37" s="34"/>
      <c r="AG37" s="30"/>
      <c r="AH37" s="30"/>
      <c r="AI37" s="30"/>
      <c r="AJ37" s="31"/>
    </row>
    <row r="38" spans="1:36" ht="15.75" customHeight="1" x14ac:dyDescent="0.3">
      <c r="A38" s="11">
        <v>95</v>
      </c>
      <c r="B38" s="32" t="s">
        <v>71</v>
      </c>
      <c r="C38" s="32" t="s">
        <v>82</v>
      </c>
      <c r="D38" s="35" t="s">
        <v>147</v>
      </c>
      <c r="E38" s="32">
        <v>4201629728</v>
      </c>
      <c r="F38" s="32">
        <v>11</v>
      </c>
      <c r="G38" s="32">
        <v>1.34</v>
      </c>
      <c r="H38" s="32">
        <v>15</v>
      </c>
      <c r="I38" s="32">
        <v>0.83699999999999997</v>
      </c>
      <c r="J38" s="32">
        <f t="shared" si="16"/>
        <v>0.83699999999999997</v>
      </c>
      <c r="K38" s="32"/>
      <c r="L38" s="32" t="s">
        <v>75</v>
      </c>
      <c r="M38" s="23">
        <f t="shared" ref="M38" si="22">(J38/G38)*1000</f>
        <v>624.62686567164167</v>
      </c>
      <c r="N38" s="23">
        <f t="shared" ref="N38" si="23">I38/G38*1000</f>
        <v>624.62686567164167</v>
      </c>
      <c r="O38" s="32" t="s">
        <v>49</v>
      </c>
      <c r="P38" s="32" t="s">
        <v>49</v>
      </c>
      <c r="Q38" s="32" t="s">
        <v>55</v>
      </c>
      <c r="R38" s="29">
        <v>2</v>
      </c>
      <c r="S38" s="34">
        <v>43129</v>
      </c>
      <c r="T38" s="34">
        <v>43145</v>
      </c>
      <c r="U38" s="34">
        <v>43146</v>
      </c>
      <c r="V38" s="34"/>
      <c r="AG38" s="2"/>
      <c r="AH38" s="2"/>
      <c r="AI38" s="2"/>
      <c r="AJ38" s="3"/>
    </row>
    <row r="39" spans="1:36" x14ac:dyDescent="0.3">
      <c r="A39" s="11">
        <v>98</v>
      </c>
      <c r="B39" s="10" t="s">
        <v>47</v>
      </c>
      <c r="C39" s="10" t="s">
        <v>82</v>
      </c>
      <c r="D39" s="10" t="s">
        <v>142</v>
      </c>
      <c r="E39" s="10">
        <v>5000055205</v>
      </c>
      <c r="F39" s="10">
        <v>33</v>
      </c>
      <c r="G39" s="10"/>
      <c r="H39" s="32"/>
      <c r="I39" s="10">
        <f>0.62</f>
        <v>0.62</v>
      </c>
      <c r="J39" s="10">
        <f t="shared" si="16"/>
        <v>0.62</v>
      </c>
      <c r="K39" s="10"/>
      <c r="L39" s="10" t="s">
        <v>65</v>
      </c>
      <c r="M39" s="23"/>
      <c r="N39" s="23"/>
      <c r="O39" s="10" t="s">
        <v>52</v>
      </c>
      <c r="P39" s="10" t="s">
        <v>49</v>
      </c>
      <c r="Q39" s="10" t="s">
        <v>46</v>
      </c>
      <c r="R39">
        <v>21</v>
      </c>
      <c r="S39" s="19">
        <v>43143</v>
      </c>
      <c r="T39" s="19">
        <v>43143</v>
      </c>
      <c r="U39" s="19">
        <v>43146</v>
      </c>
      <c r="V39" s="34"/>
      <c r="AG39" s="2"/>
      <c r="AH39" s="2"/>
      <c r="AI39" s="2"/>
      <c r="AJ39" s="3"/>
    </row>
    <row r="40" spans="1:36" x14ac:dyDescent="0.3">
      <c r="A40" s="11">
        <v>99</v>
      </c>
      <c r="B40" s="10" t="s">
        <v>47</v>
      </c>
      <c r="C40" s="10" t="s">
        <v>82</v>
      </c>
      <c r="D40" s="10" t="s">
        <v>140</v>
      </c>
      <c r="E40" s="10">
        <v>5000055153</v>
      </c>
      <c r="F40" s="10"/>
      <c r="G40" s="10"/>
      <c r="H40" s="32">
        <v>24</v>
      </c>
      <c r="I40" s="10">
        <v>0.89200000000000002</v>
      </c>
      <c r="J40" s="10">
        <f t="shared" si="16"/>
        <v>0.89200000000000002</v>
      </c>
      <c r="K40" s="10"/>
      <c r="L40" s="10" t="s">
        <v>65</v>
      </c>
      <c r="M40" s="23"/>
      <c r="N40" s="23"/>
      <c r="O40" s="10" t="s">
        <v>52</v>
      </c>
      <c r="P40" s="10" t="s">
        <v>49</v>
      </c>
      <c r="Q40" s="10" t="s">
        <v>141</v>
      </c>
      <c r="R40">
        <v>12</v>
      </c>
      <c r="S40" s="19">
        <v>43131</v>
      </c>
      <c r="T40" s="19">
        <v>43139</v>
      </c>
      <c r="U40" s="19">
        <v>43146</v>
      </c>
      <c r="V40" s="34"/>
      <c r="AG40" s="2"/>
      <c r="AH40" s="2"/>
      <c r="AI40" s="2"/>
      <c r="AJ40" s="3"/>
    </row>
    <row r="41" spans="1:36" x14ac:dyDescent="0.3">
      <c r="A41" s="11">
        <v>100</v>
      </c>
      <c r="B41" s="32" t="s">
        <v>47</v>
      </c>
      <c r="C41" s="32" t="s">
        <v>82</v>
      </c>
      <c r="D41" s="32" t="s">
        <v>148</v>
      </c>
      <c r="E41" s="32">
        <v>5000055145</v>
      </c>
      <c r="F41" s="32"/>
      <c r="G41" s="32">
        <f>0.405*2</f>
        <v>0.81</v>
      </c>
      <c r="H41" s="32">
        <v>2</v>
      </c>
      <c r="I41" s="32">
        <v>0.114</v>
      </c>
      <c r="J41" s="32">
        <f t="shared" si="16"/>
        <v>0.114</v>
      </c>
      <c r="K41" s="32"/>
      <c r="L41" s="32" t="s">
        <v>65</v>
      </c>
      <c r="M41" s="23">
        <f t="shared" ref="M41" si="24">(J41/G41)*1000</f>
        <v>140.74074074074076</v>
      </c>
      <c r="N41" s="23">
        <f t="shared" ref="N41" si="25">I41/G41*1000</f>
        <v>140.74074074074076</v>
      </c>
      <c r="O41" s="32" t="s">
        <v>52</v>
      </c>
      <c r="P41" s="32" t="s">
        <v>49</v>
      </c>
      <c r="Q41" s="32" t="s">
        <v>91</v>
      </c>
      <c r="R41" s="29">
        <v>12</v>
      </c>
      <c r="S41" s="34">
        <v>43116</v>
      </c>
      <c r="T41" s="34">
        <v>43139</v>
      </c>
      <c r="U41" s="34">
        <v>43146</v>
      </c>
      <c r="V41" s="34"/>
      <c r="AG41" s="2"/>
      <c r="AH41" s="2"/>
      <c r="AI41" s="2"/>
      <c r="AJ41" s="3"/>
    </row>
    <row r="42" spans="1:36" s="29" customFormat="1" x14ac:dyDescent="0.3">
      <c r="A42" s="33">
        <v>101</v>
      </c>
      <c r="B42" s="32" t="s">
        <v>47</v>
      </c>
      <c r="C42" s="32" t="s">
        <v>82</v>
      </c>
      <c r="D42" s="32" t="s">
        <v>64</v>
      </c>
      <c r="E42" s="32">
        <v>5000055151</v>
      </c>
      <c r="F42" s="32"/>
      <c r="G42" s="32"/>
      <c r="H42" s="32">
        <v>15</v>
      </c>
      <c r="I42" s="32">
        <v>0.32</v>
      </c>
      <c r="J42" s="32">
        <f t="shared" si="16"/>
        <v>0.32</v>
      </c>
      <c r="K42" s="32"/>
      <c r="L42" s="32" t="s">
        <v>65</v>
      </c>
      <c r="M42" s="23"/>
      <c r="N42" s="23"/>
      <c r="O42" s="32" t="s">
        <v>52</v>
      </c>
      <c r="P42" s="32" t="s">
        <v>49</v>
      </c>
      <c r="Q42" s="32" t="s">
        <v>100</v>
      </c>
      <c r="R42" s="29">
        <v>12</v>
      </c>
      <c r="S42" s="34">
        <v>43136</v>
      </c>
      <c r="T42" s="34">
        <v>43139</v>
      </c>
      <c r="U42" s="34">
        <v>43146</v>
      </c>
      <c r="V42" s="34"/>
      <c r="AG42" s="30"/>
      <c r="AH42" s="30"/>
      <c r="AI42" s="30"/>
      <c r="AJ42" s="31"/>
    </row>
    <row r="43" spans="1:36" x14ac:dyDescent="0.3">
      <c r="A43" s="33">
        <v>102</v>
      </c>
      <c r="B43" s="10" t="s">
        <v>71</v>
      </c>
      <c r="C43" s="10" t="s">
        <v>82</v>
      </c>
      <c r="D43" s="20" t="s">
        <v>117</v>
      </c>
      <c r="E43" s="10">
        <v>2360082040</v>
      </c>
      <c r="F43" s="10"/>
      <c r="G43" s="10">
        <f>0.312*7</f>
        <v>2.1840000000000002</v>
      </c>
      <c r="H43" s="32">
        <v>7</v>
      </c>
      <c r="I43" s="10">
        <v>0.154</v>
      </c>
      <c r="J43" s="10">
        <f t="shared" si="16"/>
        <v>0.154</v>
      </c>
      <c r="K43" s="10"/>
      <c r="L43" s="10" t="s">
        <v>68</v>
      </c>
      <c r="M43" s="23">
        <f t="shared" ref="M43" si="26">(J43/G43)*1000</f>
        <v>70.512820512820511</v>
      </c>
      <c r="N43" s="23">
        <f t="shared" ref="N43" si="27">I43/G43*1000</f>
        <v>70.512820512820511</v>
      </c>
      <c r="O43" s="10" t="s">
        <v>74</v>
      </c>
      <c r="P43" s="10" t="s">
        <v>49</v>
      </c>
      <c r="Q43" s="10" t="s">
        <v>66</v>
      </c>
      <c r="R43">
        <v>11</v>
      </c>
      <c r="S43" s="19">
        <v>43133</v>
      </c>
      <c r="T43" s="19">
        <v>43139</v>
      </c>
      <c r="U43" s="19">
        <v>43146</v>
      </c>
      <c r="V43" s="34"/>
      <c r="AG43" s="2"/>
      <c r="AH43" s="2"/>
      <c r="AI43" s="2"/>
      <c r="AJ43" s="3"/>
    </row>
    <row r="44" spans="1:36" x14ac:dyDescent="0.3">
      <c r="A44" s="33">
        <v>103</v>
      </c>
      <c r="B44" s="32" t="s">
        <v>73</v>
      </c>
      <c r="C44" s="32" t="s">
        <v>82</v>
      </c>
      <c r="D44" s="35" t="s">
        <v>149</v>
      </c>
      <c r="E44" s="32">
        <v>2360082019</v>
      </c>
      <c r="F44" s="32"/>
      <c r="G44" s="32">
        <f>0.133*6</f>
        <v>0.79800000000000004</v>
      </c>
      <c r="H44" s="32">
        <v>6</v>
      </c>
      <c r="I44" s="32">
        <v>8.5000000000000006E-2</v>
      </c>
      <c r="J44" s="32">
        <f t="shared" si="16"/>
        <v>8.5000000000000006E-2</v>
      </c>
      <c r="K44" s="32"/>
      <c r="L44" s="32" t="s">
        <v>68</v>
      </c>
      <c r="M44" s="23">
        <f t="shared" ref="M44" si="28">(J44/G44)*1000</f>
        <v>106.51629072681705</v>
      </c>
      <c r="N44" s="23">
        <f t="shared" ref="N44" si="29">I44/G44*1000</f>
        <v>106.51629072681705</v>
      </c>
      <c r="O44" s="32" t="s">
        <v>49</v>
      </c>
      <c r="P44" s="32" t="s">
        <v>49</v>
      </c>
      <c r="Q44" s="32" t="s">
        <v>89</v>
      </c>
      <c r="R44" s="29">
        <v>11</v>
      </c>
      <c r="S44" s="34">
        <v>43138</v>
      </c>
      <c r="T44" s="34">
        <v>43139</v>
      </c>
      <c r="U44" s="34">
        <v>43146</v>
      </c>
      <c r="V44" s="34"/>
      <c r="AG44" s="2"/>
      <c r="AH44" s="2"/>
      <c r="AI44" s="2"/>
      <c r="AJ44" s="3"/>
    </row>
    <row r="45" spans="1:36" x14ac:dyDescent="0.3">
      <c r="A45" s="33">
        <v>104</v>
      </c>
      <c r="B45" s="32" t="s">
        <v>53</v>
      </c>
      <c r="C45" s="32" t="s">
        <v>82</v>
      </c>
      <c r="D45" s="32" t="s">
        <v>150</v>
      </c>
      <c r="E45" s="32">
        <v>2360082063</v>
      </c>
      <c r="F45" s="32"/>
      <c r="G45" s="32">
        <f>0.302</f>
        <v>0.30199999999999999</v>
      </c>
      <c r="H45" s="32">
        <v>7</v>
      </c>
      <c r="I45" s="32">
        <f>0.171</f>
        <v>0.17100000000000001</v>
      </c>
      <c r="J45" s="32">
        <f t="shared" si="16"/>
        <v>0.17100000000000001</v>
      </c>
      <c r="K45" s="32"/>
      <c r="L45" s="32" t="s">
        <v>68</v>
      </c>
      <c r="M45" s="23">
        <f t="shared" ref="M45" si="30">(J45/G45)*1000</f>
        <v>566.22516556291407</v>
      </c>
      <c r="N45" s="23">
        <f t="shared" ref="N45" si="31">I45/G45*1000</f>
        <v>566.22516556291407</v>
      </c>
      <c r="O45" s="32" t="s">
        <v>49</v>
      </c>
      <c r="P45" s="32" t="s">
        <v>49</v>
      </c>
      <c r="Q45" s="32" t="s">
        <v>66</v>
      </c>
      <c r="R45" s="29">
        <v>11</v>
      </c>
      <c r="S45" s="34">
        <v>43141</v>
      </c>
      <c r="T45" s="34">
        <v>43143</v>
      </c>
      <c r="U45" s="34">
        <v>43146</v>
      </c>
      <c r="V45" s="34"/>
      <c r="AG45" s="2"/>
      <c r="AH45" s="2"/>
      <c r="AI45" s="2"/>
      <c r="AJ45" s="3"/>
    </row>
    <row r="46" spans="1:36" x14ac:dyDescent="0.3">
      <c r="A46" s="11">
        <v>104</v>
      </c>
      <c r="B46" s="32" t="s">
        <v>72</v>
      </c>
      <c r="C46" s="32" t="s">
        <v>82</v>
      </c>
      <c r="D46" s="32" t="s">
        <v>151</v>
      </c>
      <c r="E46" s="32">
        <v>2360082146</v>
      </c>
      <c r="F46" s="32"/>
      <c r="G46" s="32">
        <f>0.15*30</f>
        <v>4.5</v>
      </c>
      <c r="H46" s="32">
        <v>30</v>
      </c>
      <c r="I46" s="32">
        <v>0.45</v>
      </c>
      <c r="J46" s="32">
        <f t="shared" ref="J46:J64" si="32">I46</f>
        <v>0.45</v>
      </c>
      <c r="K46" s="32"/>
      <c r="L46" s="32" t="s">
        <v>68</v>
      </c>
      <c r="M46" s="23">
        <f t="shared" ref="M46:M47" si="33">(J46/G46)*1000</f>
        <v>100</v>
      </c>
      <c r="N46" s="23">
        <f t="shared" ref="N46:N47" si="34">I46/G46*1000</f>
        <v>100</v>
      </c>
      <c r="O46" s="32" t="s">
        <v>74</v>
      </c>
      <c r="P46" s="32" t="s">
        <v>49</v>
      </c>
      <c r="Q46" s="32" t="s">
        <v>66</v>
      </c>
      <c r="R46" s="29">
        <v>11</v>
      </c>
      <c r="S46" s="34">
        <v>43143</v>
      </c>
      <c r="T46" s="34">
        <v>43147</v>
      </c>
      <c r="U46" s="34">
        <v>43150</v>
      </c>
      <c r="V46" s="34"/>
      <c r="AG46" s="2"/>
      <c r="AH46" s="2"/>
      <c r="AI46" s="2"/>
      <c r="AJ46" s="3"/>
    </row>
    <row r="47" spans="1:36" x14ac:dyDescent="0.3">
      <c r="A47" s="11">
        <v>105</v>
      </c>
      <c r="B47" s="32" t="s">
        <v>67</v>
      </c>
      <c r="C47" s="32" t="s">
        <v>82</v>
      </c>
      <c r="D47" s="35" t="s">
        <v>104</v>
      </c>
      <c r="E47" s="44" t="s">
        <v>152</v>
      </c>
      <c r="F47" s="32"/>
      <c r="G47" s="32">
        <f>0.416*3</f>
        <v>1.248</v>
      </c>
      <c r="H47" s="32">
        <v>3</v>
      </c>
      <c r="I47" s="32">
        <v>0.15</v>
      </c>
      <c r="J47" s="32">
        <f t="shared" si="32"/>
        <v>0.15</v>
      </c>
      <c r="K47" s="32"/>
      <c r="L47" s="32" t="s">
        <v>68</v>
      </c>
      <c r="M47" s="32">
        <f t="shared" si="33"/>
        <v>120.19230769230768</v>
      </c>
      <c r="N47" s="32">
        <f t="shared" si="34"/>
        <v>120.19230769230768</v>
      </c>
      <c r="O47" s="32" t="s">
        <v>69</v>
      </c>
      <c r="P47" s="32" t="s">
        <v>70</v>
      </c>
      <c r="Q47" s="32" t="s">
        <v>66</v>
      </c>
      <c r="R47" s="29">
        <v>11</v>
      </c>
      <c r="S47" s="34">
        <v>43137</v>
      </c>
      <c r="T47" s="34">
        <v>43147</v>
      </c>
      <c r="U47" s="34">
        <v>43150</v>
      </c>
      <c r="V47" s="34"/>
      <c r="AG47" s="2"/>
      <c r="AH47" s="2"/>
      <c r="AI47" s="2"/>
      <c r="AJ47" s="3"/>
    </row>
    <row r="48" spans="1:36" x14ac:dyDescent="0.3">
      <c r="A48" s="11">
        <v>106</v>
      </c>
      <c r="B48" s="32" t="s">
        <v>71</v>
      </c>
      <c r="C48" s="32" t="s">
        <v>82</v>
      </c>
      <c r="D48" s="32" t="s">
        <v>88</v>
      </c>
      <c r="E48" s="32">
        <v>2360082078</v>
      </c>
      <c r="F48" s="32"/>
      <c r="G48" s="32">
        <v>19.14</v>
      </c>
      <c r="H48" s="32">
        <v>78</v>
      </c>
      <c r="I48" s="32">
        <v>1.4</v>
      </c>
      <c r="J48" s="32">
        <f t="shared" si="32"/>
        <v>1.4</v>
      </c>
      <c r="K48" s="32"/>
      <c r="L48" s="32" t="s">
        <v>68</v>
      </c>
      <c r="M48" s="32">
        <f t="shared" ref="M48:M49" si="35">(J48/G48)*1000</f>
        <v>73.145245559038656</v>
      </c>
      <c r="N48" s="32">
        <f t="shared" ref="N48:N49" si="36">I48/G48*1000</f>
        <v>73.145245559038656</v>
      </c>
      <c r="O48" s="32" t="s">
        <v>74</v>
      </c>
      <c r="P48" s="32" t="s">
        <v>49</v>
      </c>
      <c r="Q48" s="32" t="s">
        <v>66</v>
      </c>
      <c r="R48" s="29">
        <v>11</v>
      </c>
      <c r="S48" s="34">
        <v>43143</v>
      </c>
      <c r="T48" s="34">
        <v>43147</v>
      </c>
      <c r="U48" s="34">
        <v>43150</v>
      </c>
      <c r="V48" s="34"/>
      <c r="AG48" s="2"/>
      <c r="AH48" s="2"/>
      <c r="AI48" s="2"/>
      <c r="AJ48" s="3"/>
    </row>
    <row r="49" spans="1:36" x14ac:dyDescent="0.3">
      <c r="A49" s="11">
        <v>107</v>
      </c>
      <c r="B49" s="10" t="s">
        <v>71</v>
      </c>
      <c r="C49" s="10" t="s">
        <v>82</v>
      </c>
      <c r="D49" s="32" t="s">
        <v>153</v>
      </c>
      <c r="E49" s="32">
        <v>4201620926</v>
      </c>
      <c r="F49" s="32">
        <v>33</v>
      </c>
      <c r="G49" s="32">
        <v>14.8</v>
      </c>
      <c r="H49" s="32">
        <v>72</v>
      </c>
      <c r="I49" s="32">
        <v>11.5</v>
      </c>
      <c r="J49" s="32">
        <f t="shared" si="32"/>
        <v>11.5</v>
      </c>
      <c r="K49" s="32"/>
      <c r="L49" s="32" t="s">
        <v>126</v>
      </c>
      <c r="M49" s="32">
        <f t="shared" si="35"/>
        <v>777.02702702702697</v>
      </c>
      <c r="N49" s="32">
        <f t="shared" si="36"/>
        <v>777.02702702702697</v>
      </c>
      <c r="O49" s="32" t="s">
        <v>49</v>
      </c>
      <c r="P49" s="32" t="s">
        <v>49</v>
      </c>
      <c r="Q49" s="32" t="s">
        <v>127</v>
      </c>
      <c r="R49" s="29">
        <v>6</v>
      </c>
      <c r="S49" s="34">
        <v>43130</v>
      </c>
      <c r="T49" s="34">
        <v>43131</v>
      </c>
      <c r="U49" s="34">
        <v>43150</v>
      </c>
      <c r="V49" s="34"/>
      <c r="AG49" s="2"/>
      <c r="AH49" s="2"/>
      <c r="AI49" s="2"/>
      <c r="AJ49" s="3"/>
    </row>
    <row r="50" spans="1:36" x14ac:dyDescent="0.3">
      <c r="A50" s="11">
        <v>108</v>
      </c>
      <c r="B50" s="10" t="s">
        <v>67</v>
      </c>
      <c r="C50" s="10" t="s">
        <v>82</v>
      </c>
      <c r="D50" s="10" t="s">
        <v>154</v>
      </c>
      <c r="E50" s="10">
        <v>2360082215</v>
      </c>
      <c r="F50" s="10"/>
      <c r="G50" s="10">
        <f>0.4*6+0.2*5</f>
        <v>3.4000000000000004</v>
      </c>
      <c r="H50" s="32">
        <v>11</v>
      </c>
      <c r="I50" s="10">
        <v>0.246</v>
      </c>
      <c r="J50" s="10">
        <f t="shared" si="32"/>
        <v>0.246</v>
      </c>
      <c r="K50" s="10"/>
      <c r="L50" s="10" t="s">
        <v>68</v>
      </c>
      <c r="M50" s="32">
        <f t="shared" ref="M50" si="37">(J50/G50)*1000</f>
        <v>72.35294117647058</v>
      </c>
      <c r="N50" s="32">
        <f t="shared" ref="N50" si="38">I50/G50*1000</f>
        <v>72.35294117647058</v>
      </c>
      <c r="O50" s="10" t="s">
        <v>69</v>
      </c>
      <c r="P50" s="10" t="s">
        <v>70</v>
      </c>
      <c r="Q50" s="10" t="s">
        <v>89</v>
      </c>
      <c r="R50">
        <v>11</v>
      </c>
      <c r="S50" s="19">
        <v>43138</v>
      </c>
      <c r="T50" s="19">
        <v>43151</v>
      </c>
      <c r="U50" s="19">
        <v>43151</v>
      </c>
      <c r="V50" s="34"/>
      <c r="AG50" s="2"/>
      <c r="AH50" s="2"/>
      <c r="AI50" s="2"/>
      <c r="AJ50" s="3"/>
    </row>
    <row r="51" spans="1:36" x14ac:dyDescent="0.3">
      <c r="A51" s="11">
        <v>109</v>
      </c>
      <c r="B51" s="10" t="s">
        <v>53</v>
      </c>
      <c r="C51" s="10" t="s">
        <v>82</v>
      </c>
      <c r="D51" s="10" t="s">
        <v>147</v>
      </c>
      <c r="E51" s="10">
        <v>2360082144</v>
      </c>
      <c r="F51" s="10"/>
      <c r="G51" s="10"/>
      <c r="H51" s="32"/>
      <c r="I51" s="10">
        <f>0.052</f>
        <v>5.1999999999999998E-2</v>
      </c>
      <c r="J51" s="10">
        <f t="shared" si="32"/>
        <v>5.1999999999999998E-2</v>
      </c>
      <c r="K51" s="10"/>
      <c r="L51" s="10" t="s">
        <v>68</v>
      </c>
      <c r="M51" s="32"/>
      <c r="N51" s="32"/>
      <c r="O51" s="10" t="s">
        <v>49</v>
      </c>
      <c r="P51" s="10" t="s">
        <v>49</v>
      </c>
      <c r="Q51" s="10" t="s">
        <v>94</v>
      </c>
      <c r="R51">
        <v>15</v>
      </c>
      <c r="S51" s="19">
        <v>43143</v>
      </c>
      <c r="T51" s="19">
        <v>43151</v>
      </c>
      <c r="U51" s="19">
        <v>43151</v>
      </c>
      <c r="V51" s="34"/>
      <c r="AG51" s="2"/>
      <c r="AH51" s="2"/>
      <c r="AI51" s="2"/>
      <c r="AJ51" s="3"/>
    </row>
    <row r="52" spans="1:36" x14ac:dyDescent="0.3">
      <c r="A52" s="11">
        <v>110</v>
      </c>
      <c r="B52" s="32" t="s">
        <v>53</v>
      </c>
      <c r="C52" s="32" t="s">
        <v>82</v>
      </c>
      <c r="D52" s="32" t="s">
        <v>155</v>
      </c>
      <c r="E52" s="32">
        <v>2360082213</v>
      </c>
      <c r="F52" s="32"/>
      <c r="G52" s="32">
        <v>5</v>
      </c>
      <c r="H52" s="32">
        <v>17</v>
      </c>
      <c r="I52" s="32">
        <v>0.61799999999999999</v>
      </c>
      <c r="J52" s="32">
        <f t="shared" si="32"/>
        <v>0.61799999999999999</v>
      </c>
      <c r="K52" s="32"/>
      <c r="L52" s="32" t="s">
        <v>68</v>
      </c>
      <c r="M52" s="32">
        <f t="shared" ref="M52" si="39">(J52/G52)*1000</f>
        <v>123.60000000000001</v>
      </c>
      <c r="N52" s="32">
        <f t="shared" ref="N52" si="40">I52/G52*1000</f>
        <v>123.60000000000001</v>
      </c>
      <c r="O52" s="32" t="s">
        <v>69</v>
      </c>
      <c r="P52" s="32" t="s">
        <v>70</v>
      </c>
      <c r="Q52" s="32" t="s">
        <v>89</v>
      </c>
      <c r="R52" s="29">
        <v>11</v>
      </c>
      <c r="S52" s="34">
        <v>43144</v>
      </c>
      <c r="T52" s="34">
        <v>43151</v>
      </c>
      <c r="U52" s="34">
        <v>43151</v>
      </c>
      <c r="V52" s="34"/>
      <c r="AG52" s="2"/>
      <c r="AH52" s="2"/>
      <c r="AI52" s="2"/>
      <c r="AJ52" s="3"/>
    </row>
    <row r="53" spans="1:36" x14ac:dyDescent="0.3">
      <c r="A53" s="11">
        <v>111</v>
      </c>
      <c r="B53" s="32" t="s">
        <v>47</v>
      </c>
      <c r="C53" s="32" t="s">
        <v>82</v>
      </c>
      <c r="D53" s="32" t="s">
        <v>85</v>
      </c>
      <c r="E53" s="32">
        <v>5000055428</v>
      </c>
      <c r="F53" s="32"/>
      <c r="G53" s="32">
        <f>0.1*2</f>
        <v>0.2</v>
      </c>
      <c r="H53" s="32">
        <v>2</v>
      </c>
      <c r="I53" s="32">
        <v>0.1</v>
      </c>
      <c r="J53" s="32">
        <f t="shared" si="32"/>
        <v>0.1</v>
      </c>
      <c r="K53" s="32"/>
      <c r="L53" s="32" t="s">
        <v>65</v>
      </c>
      <c r="M53" s="32">
        <f t="shared" ref="M53:M55" si="41">(J53/G53)*1000</f>
        <v>500</v>
      </c>
      <c r="N53" s="32">
        <f t="shared" ref="N53:N55" si="42">I53/G53*1000</f>
        <v>500</v>
      </c>
      <c r="O53" s="32" t="s">
        <v>52</v>
      </c>
      <c r="P53" s="32" t="s">
        <v>49</v>
      </c>
      <c r="Q53" s="32" t="s">
        <v>156</v>
      </c>
      <c r="R53" s="29">
        <v>12</v>
      </c>
      <c r="S53" s="34">
        <v>43151</v>
      </c>
      <c r="T53" s="34">
        <v>43151</v>
      </c>
      <c r="U53" s="34">
        <v>43155</v>
      </c>
      <c r="V53" s="34"/>
      <c r="AG53" s="2"/>
      <c r="AH53" s="2"/>
      <c r="AI53" s="2"/>
      <c r="AJ53" s="3"/>
    </row>
    <row r="54" spans="1:36" x14ac:dyDescent="0.3">
      <c r="A54" s="11">
        <v>112</v>
      </c>
      <c r="B54" s="32" t="s">
        <v>72</v>
      </c>
      <c r="C54" s="32" t="s">
        <v>82</v>
      </c>
      <c r="D54" s="32" t="s">
        <v>157</v>
      </c>
      <c r="E54" s="32">
        <v>2360082235</v>
      </c>
      <c r="F54" s="32"/>
      <c r="G54" s="32">
        <f>0.56*3</f>
        <v>1.6800000000000002</v>
      </c>
      <c r="H54" s="32">
        <v>3</v>
      </c>
      <c r="I54" s="32">
        <v>0.14899999999999999</v>
      </c>
      <c r="J54" s="32">
        <f t="shared" si="32"/>
        <v>0.14899999999999999</v>
      </c>
      <c r="K54" s="32"/>
      <c r="L54" s="32" t="s">
        <v>68</v>
      </c>
      <c r="M54" s="23">
        <f t="shared" si="41"/>
        <v>88.690476190476176</v>
      </c>
      <c r="N54" s="23">
        <f t="shared" si="42"/>
        <v>88.690476190476176</v>
      </c>
      <c r="O54" s="32" t="s">
        <v>49</v>
      </c>
      <c r="P54" s="32" t="s">
        <v>49</v>
      </c>
      <c r="Q54" s="32" t="s">
        <v>89</v>
      </c>
      <c r="R54" s="29">
        <v>11</v>
      </c>
      <c r="S54" s="34">
        <v>43144</v>
      </c>
      <c r="T54" s="34">
        <v>43152</v>
      </c>
      <c r="U54" s="34">
        <v>43155</v>
      </c>
      <c r="V54" s="34"/>
      <c r="AG54" s="2"/>
      <c r="AH54" s="2"/>
      <c r="AI54" s="2"/>
      <c r="AJ54" s="3"/>
    </row>
    <row r="55" spans="1:36" x14ac:dyDescent="0.3">
      <c r="A55" s="11">
        <v>113</v>
      </c>
      <c r="B55" s="32" t="s">
        <v>71</v>
      </c>
      <c r="C55" s="32" t="s">
        <v>82</v>
      </c>
      <c r="D55" s="32" t="s">
        <v>158</v>
      </c>
      <c r="E55" s="32">
        <v>2360082234</v>
      </c>
      <c r="F55" s="32"/>
      <c r="G55" s="32">
        <f>0.056*45+0.28*75</f>
        <v>23.520000000000003</v>
      </c>
      <c r="H55" s="32">
        <f>75+45</f>
        <v>120</v>
      </c>
      <c r="I55" s="32">
        <v>1.99</v>
      </c>
      <c r="J55" s="32">
        <f t="shared" si="32"/>
        <v>1.99</v>
      </c>
      <c r="K55" s="32"/>
      <c r="L55" s="32" t="s">
        <v>68</v>
      </c>
      <c r="M55" s="23">
        <f t="shared" si="41"/>
        <v>84.608843537414955</v>
      </c>
      <c r="N55" s="23">
        <f t="shared" si="42"/>
        <v>84.608843537414955</v>
      </c>
      <c r="O55" s="32" t="s">
        <v>74</v>
      </c>
      <c r="P55" s="32" t="s">
        <v>49</v>
      </c>
      <c r="Q55" s="32" t="s">
        <v>89</v>
      </c>
      <c r="R55" s="29">
        <v>11</v>
      </c>
      <c r="S55" s="34">
        <v>43147</v>
      </c>
      <c r="T55" s="34">
        <v>43152</v>
      </c>
      <c r="U55" s="34">
        <v>43155</v>
      </c>
      <c r="V55" s="34"/>
      <c r="AG55" s="2"/>
      <c r="AH55" s="2"/>
      <c r="AI55" s="2"/>
      <c r="AJ55" s="3"/>
    </row>
    <row r="56" spans="1:36" x14ac:dyDescent="0.3">
      <c r="A56" s="11">
        <v>114</v>
      </c>
      <c r="B56" s="10" t="s">
        <v>47</v>
      </c>
      <c r="C56" s="10" t="s">
        <v>82</v>
      </c>
      <c r="D56" s="35" t="s">
        <v>77</v>
      </c>
      <c r="E56" s="10">
        <v>5000055436</v>
      </c>
      <c r="F56" s="10">
        <v>33</v>
      </c>
      <c r="G56" s="10">
        <v>24.44</v>
      </c>
      <c r="H56" s="32">
        <v>55</v>
      </c>
      <c r="I56" s="10">
        <v>4.7</v>
      </c>
      <c r="J56" s="10">
        <f t="shared" si="32"/>
        <v>4.7</v>
      </c>
      <c r="K56" s="10"/>
      <c r="L56" s="10" t="s">
        <v>65</v>
      </c>
      <c r="M56" s="23">
        <f t="shared" ref="M56:M57" si="43">(J56/G56)*1000</f>
        <v>192.30769230769232</v>
      </c>
      <c r="N56" s="23">
        <f t="shared" ref="N56:N57" si="44">I56/G56*1000</f>
        <v>192.30769230769232</v>
      </c>
      <c r="O56" s="10" t="s">
        <v>52</v>
      </c>
      <c r="P56" s="10" t="s">
        <v>49</v>
      </c>
      <c r="Q56" s="10" t="s">
        <v>127</v>
      </c>
      <c r="R56">
        <v>6</v>
      </c>
      <c r="S56" s="19">
        <v>43150</v>
      </c>
      <c r="T56" s="19">
        <v>43152</v>
      </c>
      <c r="U56" s="19">
        <v>43158</v>
      </c>
      <c r="V56" s="34"/>
      <c r="AG56" s="2"/>
      <c r="AH56" s="2"/>
      <c r="AI56" s="2"/>
      <c r="AJ56" s="3"/>
    </row>
    <row r="57" spans="1:36" x14ac:dyDescent="0.3">
      <c r="A57" s="11">
        <v>115</v>
      </c>
      <c r="B57" s="10" t="s">
        <v>71</v>
      </c>
      <c r="C57" s="10" t="s">
        <v>82</v>
      </c>
      <c r="D57" s="10" t="s">
        <v>159</v>
      </c>
      <c r="E57" s="10">
        <v>2360082309</v>
      </c>
      <c r="F57" s="10"/>
      <c r="G57" s="10">
        <v>0.61</v>
      </c>
      <c r="H57" s="32">
        <v>4</v>
      </c>
      <c r="I57" s="10">
        <v>0.498</v>
      </c>
      <c r="J57" s="10">
        <f t="shared" si="32"/>
        <v>0.498</v>
      </c>
      <c r="K57" s="10"/>
      <c r="L57" s="10" t="s">
        <v>68</v>
      </c>
      <c r="M57" s="23">
        <f t="shared" si="43"/>
        <v>816.39344262295083</v>
      </c>
      <c r="N57" s="23">
        <f t="shared" si="44"/>
        <v>816.39344262295083</v>
      </c>
      <c r="O57" s="10" t="s">
        <v>49</v>
      </c>
      <c r="P57" s="10" t="s">
        <v>49</v>
      </c>
      <c r="Q57" s="10" t="s">
        <v>160</v>
      </c>
      <c r="R57">
        <v>11</v>
      </c>
      <c r="S57" s="19">
        <v>43145</v>
      </c>
      <c r="T57" s="19">
        <v>43155</v>
      </c>
      <c r="U57" s="19">
        <v>43159</v>
      </c>
      <c r="V57" s="34"/>
      <c r="AG57" s="2"/>
      <c r="AH57" s="2"/>
      <c r="AI57" s="2"/>
      <c r="AJ57" s="3"/>
    </row>
    <row r="58" spans="1:36" x14ac:dyDescent="0.3">
      <c r="A58" s="11">
        <v>116</v>
      </c>
      <c r="B58" s="10" t="s">
        <v>47</v>
      </c>
      <c r="C58" s="10" t="s">
        <v>82</v>
      </c>
      <c r="D58" s="10" t="s">
        <v>64</v>
      </c>
      <c r="E58" s="10">
        <v>5000055497</v>
      </c>
      <c r="F58" s="10"/>
      <c r="G58" s="10"/>
      <c r="H58" s="32">
        <v>7</v>
      </c>
      <c r="I58" s="10">
        <v>0.20599999999999999</v>
      </c>
      <c r="J58" s="10">
        <f t="shared" si="32"/>
        <v>0.20599999999999999</v>
      </c>
      <c r="K58" s="10"/>
      <c r="L58" s="10" t="s">
        <v>65</v>
      </c>
      <c r="M58" s="10"/>
      <c r="N58" s="10"/>
      <c r="O58" s="10" t="s">
        <v>52</v>
      </c>
      <c r="P58" s="10" t="s">
        <v>49</v>
      </c>
      <c r="Q58" s="10" t="s">
        <v>161</v>
      </c>
      <c r="R58">
        <v>12</v>
      </c>
      <c r="S58" s="19">
        <v>43146</v>
      </c>
      <c r="T58" s="19">
        <v>43155</v>
      </c>
      <c r="U58" s="19">
        <v>43159</v>
      </c>
      <c r="V58" s="34"/>
      <c r="AG58" s="2"/>
      <c r="AH58" s="2"/>
      <c r="AI58" s="2"/>
      <c r="AJ58" s="3"/>
    </row>
    <row r="59" spans="1:36" x14ac:dyDescent="0.3">
      <c r="A59" s="11">
        <v>117</v>
      </c>
      <c r="B59" s="10" t="s">
        <v>67</v>
      </c>
      <c r="C59" s="10" t="s">
        <v>82</v>
      </c>
      <c r="D59" s="20" t="s">
        <v>114</v>
      </c>
      <c r="E59" s="10">
        <v>2360082276</v>
      </c>
      <c r="F59" s="10"/>
      <c r="G59" s="10"/>
      <c r="H59" s="32">
        <v>3</v>
      </c>
      <c r="I59" s="10">
        <v>0.11899999999999999</v>
      </c>
      <c r="J59" s="10">
        <f t="shared" si="32"/>
        <v>0.11899999999999999</v>
      </c>
      <c r="K59" s="10"/>
      <c r="L59" s="10" t="s">
        <v>68</v>
      </c>
      <c r="M59" s="10"/>
      <c r="N59" s="10"/>
      <c r="O59" s="10" t="s">
        <v>74</v>
      </c>
      <c r="P59" s="10" t="s">
        <v>49</v>
      </c>
      <c r="Q59" s="10" t="s">
        <v>161</v>
      </c>
      <c r="R59">
        <v>12</v>
      </c>
      <c r="S59" s="19">
        <v>43139</v>
      </c>
      <c r="T59" s="19">
        <v>43155</v>
      </c>
      <c r="U59" s="19">
        <v>43159</v>
      </c>
      <c r="V59" s="34"/>
      <c r="AG59" s="2"/>
      <c r="AH59" s="2"/>
      <c r="AI59" s="2"/>
      <c r="AJ59" s="3"/>
    </row>
    <row r="60" spans="1:36" x14ac:dyDescent="0.3">
      <c r="A60" s="11">
        <v>118</v>
      </c>
      <c r="B60" s="10" t="s">
        <v>53</v>
      </c>
      <c r="C60" s="10" t="s">
        <v>82</v>
      </c>
      <c r="D60" s="37" t="s">
        <v>162</v>
      </c>
      <c r="E60" s="44" t="s">
        <v>163</v>
      </c>
      <c r="F60" s="10"/>
      <c r="G60" s="10">
        <f>(0.182+0.242)*3</f>
        <v>1.272</v>
      </c>
      <c r="H60" s="32">
        <v>6</v>
      </c>
      <c r="I60" s="10">
        <v>0.13700000000000001</v>
      </c>
      <c r="J60" s="10">
        <f t="shared" si="32"/>
        <v>0.13700000000000001</v>
      </c>
      <c r="K60" s="10"/>
      <c r="L60" s="10" t="s">
        <v>68</v>
      </c>
      <c r="M60" s="23">
        <f t="shared" ref="M60" si="45">(J60/G60)*1000</f>
        <v>107.70440251572327</v>
      </c>
      <c r="N60" s="23">
        <f t="shared" ref="N60" si="46">I60/G60*1000</f>
        <v>107.70440251572327</v>
      </c>
      <c r="O60" s="10" t="s">
        <v>49</v>
      </c>
      <c r="P60" s="10" t="s">
        <v>49</v>
      </c>
      <c r="Q60" s="10" t="s">
        <v>66</v>
      </c>
      <c r="R60">
        <v>11</v>
      </c>
      <c r="S60" s="19">
        <v>43147</v>
      </c>
      <c r="T60" s="19">
        <v>43155</v>
      </c>
      <c r="U60" s="19">
        <v>43159</v>
      </c>
      <c r="V60" s="34"/>
      <c r="AG60" s="2"/>
      <c r="AH60" s="2"/>
      <c r="AI60" s="2"/>
      <c r="AJ60" s="3"/>
    </row>
    <row r="61" spans="1:36" x14ac:dyDescent="0.3">
      <c r="A61" s="11">
        <v>119</v>
      </c>
      <c r="B61" s="10" t="s">
        <v>71</v>
      </c>
      <c r="C61" s="10" t="s">
        <v>82</v>
      </c>
      <c r="D61" s="20" t="s">
        <v>164</v>
      </c>
      <c r="E61" s="10">
        <v>2360082349</v>
      </c>
      <c r="F61" s="10"/>
      <c r="G61" s="10"/>
      <c r="H61" s="32"/>
      <c r="I61" s="10">
        <v>0.27300000000000002</v>
      </c>
      <c r="J61" s="10">
        <f t="shared" si="32"/>
        <v>0.27300000000000002</v>
      </c>
      <c r="K61" s="10"/>
      <c r="L61" s="10" t="s">
        <v>68</v>
      </c>
      <c r="M61" s="32"/>
      <c r="N61" s="32"/>
      <c r="O61" s="10" t="s">
        <v>74</v>
      </c>
      <c r="P61" s="10" t="s">
        <v>49</v>
      </c>
      <c r="Q61" s="10" t="s">
        <v>94</v>
      </c>
      <c r="R61">
        <v>15</v>
      </c>
      <c r="S61" s="19">
        <v>43143</v>
      </c>
      <c r="T61" s="19">
        <v>43157</v>
      </c>
      <c r="U61" s="19">
        <v>43159</v>
      </c>
      <c r="V61" s="34"/>
      <c r="AG61" s="2"/>
      <c r="AH61" s="2"/>
      <c r="AI61" s="2"/>
      <c r="AJ61" s="3"/>
    </row>
    <row r="62" spans="1:36" x14ac:dyDescent="0.3">
      <c r="A62" s="11">
        <v>120</v>
      </c>
      <c r="B62" s="10" t="s">
        <v>47</v>
      </c>
      <c r="C62" s="10" t="s">
        <v>82</v>
      </c>
      <c r="D62" s="39" t="s">
        <v>165</v>
      </c>
      <c r="E62" s="39">
        <v>5000055457</v>
      </c>
      <c r="F62" s="32"/>
      <c r="G62" s="32">
        <f>0.3</f>
        <v>0.3</v>
      </c>
      <c r="H62" s="32">
        <v>1</v>
      </c>
      <c r="I62" s="39">
        <v>3.9E-2</v>
      </c>
      <c r="J62" s="24">
        <f t="shared" si="32"/>
        <v>3.9E-2</v>
      </c>
      <c r="K62" s="32"/>
      <c r="L62" s="32" t="s">
        <v>65</v>
      </c>
      <c r="M62" s="23">
        <f t="shared" ref="M62:M63" si="47">(J62/G62)*1000</f>
        <v>130</v>
      </c>
      <c r="N62" s="23">
        <f t="shared" ref="N62:N63" si="48">I62/G62*1000</f>
        <v>130</v>
      </c>
      <c r="O62" s="32" t="s">
        <v>52</v>
      </c>
      <c r="P62" s="32" t="s">
        <v>49</v>
      </c>
      <c r="Q62" s="32" t="s">
        <v>166</v>
      </c>
      <c r="R62" s="29">
        <v>12</v>
      </c>
      <c r="S62" s="34">
        <v>43143</v>
      </c>
      <c r="T62" s="34">
        <v>43155</v>
      </c>
      <c r="U62" s="34">
        <v>43159</v>
      </c>
      <c r="V62" s="34"/>
      <c r="AG62" s="2"/>
      <c r="AH62" s="2"/>
      <c r="AI62" s="2"/>
      <c r="AJ62" s="3"/>
    </row>
    <row r="63" spans="1:36" x14ac:dyDescent="0.3">
      <c r="A63" s="11">
        <v>121</v>
      </c>
      <c r="B63" s="32" t="s">
        <v>71</v>
      </c>
      <c r="C63" s="32" t="s">
        <v>82</v>
      </c>
      <c r="D63" s="39" t="s">
        <v>167</v>
      </c>
      <c r="E63" s="39">
        <v>4201637562</v>
      </c>
      <c r="F63" s="32">
        <v>66</v>
      </c>
      <c r="G63" s="32">
        <v>171.6</v>
      </c>
      <c r="H63" s="32">
        <v>858</v>
      </c>
      <c r="I63" s="39">
        <v>11.17</v>
      </c>
      <c r="J63" s="24">
        <f t="shared" si="32"/>
        <v>11.17</v>
      </c>
      <c r="K63" s="32"/>
      <c r="L63" s="32" t="s">
        <v>68</v>
      </c>
      <c r="M63" s="23">
        <f t="shared" si="47"/>
        <v>65.093240093240098</v>
      </c>
      <c r="N63" s="23">
        <f t="shared" si="48"/>
        <v>65.093240093240098</v>
      </c>
      <c r="O63" s="32" t="s">
        <v>70</v>
      </c>
      <c r="P63" s="32" t="s">
        <v>70</v>
      </c>
      <c r="Q63" s="32" t="s">
        <v>168</v>
      </c>
      <c r="R63" s="29">
        <v>4</v>
      </c>
      <c r="S63" s="34">
        <v>43146</v>
      </c>
      <c r="T63" s="34">
        <v>43159</v>
      </c>
      <c r="U63" s="34">
        <v>43160</v>
      </c>
      <c r="V63" s="34"/>
      <c r="AG63" s="2"/>
      <c r="AH63" s="2"/>
      <c r="AI63" s="2"/>
      <c r="AJ63" s="3"/>
    </row>
    <row r="64" spans="1:36" x14ac:dyDescent="0.3">
      <c r="A64" s="11">
        <v>122</v>
      </c>
      <c r="B64" s="32" t="s">
        <v>72</v>
      </c>
      <c r="C64" s="32" t="s">
        <v>82</v>
      </c>
      <c r="D64" s="39" t="s">
        <v>169</v>
      </c>
      <c r="E64" s="39">
        <v>2360082450</v>
      </c>
      <c r="F64" s="32"/>
      <c r="G64" s="32">
        <f>0.1*20</f>
        <v>2</v>
      </c>
      <c r="H64" s="32">
        <v>20</v>
      </c>
      <c r="I64" s="39">
        <v>0.22</v>
      </c>
      <c r="J64" s="24">
        <f t="shared" si="32"/>
        <v>0.22</v>
      </c>
      <c r="K64" s="32"/>
      <c r="L64" s="32" t="s">
        <v>68</v>
      </c>
      <c r="M64" s="23">
        <f t="shared" ref="M64:M71" si="49">(J64/G64)*1000</f>
        <v>110</v>
      </c>
      <c r="N64" s="23">
        <f t="shared" ref="N64:N71" si="50">I64/G64*1000</f>
        <v>110</v>
      </c>
      <c r="O64" s="32" t="s">
        <v>74</v>
      </c>
      <c r="P64" s="32" t="s">
        <v>49</v>
      </c>
      <c r="Q64" s="32" t="s">
        <v>66</v>
      </c>
      <c r="R64" s="29">
        <v>11</v>
      </c>
      <c r="S64" s="34">
        <v>43159</v>
      </c>
      <c r="T64" s="34">
        <v>43160</v>
      </c>
      <c r="U64" s="34">
        <v>43160</v>
      </c>
      <c r="V64" s="34"/>
      <c r="AG64" s="2"/>
      <c r="AH64" s="2"/>
      <c r="AI64" s="2"/>
      <c r="AJ64" s="3"/>
    </row>
    <row r="65" spans="1:36" x14ac:dyDescent="0.3">
      <c r="A65" s="33">
        <v>123</v>
      </c>
      <c r="B65" s="32" t="s">
        <v>72</v>
      </c>
      <c r="C65" s="32" t="s">
        <v>82</v>
      </c>
      <c r="D65" s="37" t="s">
        <v>170</v>
      </c>
      <c r="E65" s="39">
        <v>4201641231</v>
      </c>
      <c r="F65" s="32">
        <v>11</v>
      </c>
      <c r="G65" s="32">
        <v>9.6</v>
      </c>
      <c r="H65" s="32">
        <v>48</v>
      </c>
      <c r="I65" s="39">
        <v>3.28</v>
      </c>
      <c r="J65" s="24">
        <v>0.45600000000000002</v>
      </c>
      <c r="K65" s="24">
        <f>I65-J65</f>
        <v>2.8239999999999998</v>
      </c>
      <c r="L65" s="32" t="s">
        <v>68</v>
      </c>
      <c r="M65" s="59">
        <f>(J65/G65)*1000</f>
        <v>47.5</v>
      </c>
      <c r="N65" s="23">
        <f>(I65/G65)*1000</f>
        <v>341.66666666666669</v>
      </c>
      <c r="O65" s="32" t="s">
        <v>69</v>
      </c>
      <c r="P65" s="32" t="s">
        <v>70</v>
      </c>
      <c r="Q65" s="32" t="s">
        <v>171</v>
      </c>
      <c r="R65" s="29">
        <v>18</v>
      </c>
      <c r="S65" s="60">
        <v>43158</v>
      </c>
      <c r="T65" s="34">
        <v>43159</v>
      </c>
      <c r="U65" s="34">
        <v>43160</v>
      </c>
      <c r="V65" s="34"/>
      <c r="AG65" s="2"/>
      <c r="AH65" s="2"/>
      <c r="AI65" s="2"/>
      <c r="AJ65" s="3"/>
    </row>
    <row r="66" spans="1:36" x14ac:dyDescent="0.3">
      <c r="A66" s="33">
        <v>124</v>
      </c>
      <c r="B66" s="32" t="s">
        <v>72</v>
      </c>
      <c r="C66" s="32" t="s">
        <v>82</v>
      </c>
      <c r="D66" s="37" t="s">
        <v>170</v>
      </c>
      <c r="E66" s="39">
        <v>4201641295</v>
      </c>
      <c r="F66" s="32">
        <v>11</v>
      </c>
      <c r="G66" s="32">
        <v>7.2</v>
      </c>
      <c r="H66" s="32">
        <v>36</v>
      </c>
      <c r="I66" s="39">
        <v>2.4500000000000002</v>
      </c>
      <c r="J66" s="24">
        <v>0.34200000000000003</v>
      </c>
      <c r="K66" s="24">
        <f>I66-J66</f>
        <v>2.1080000000000001</v>
      </c>
      <c r="L66" s="32" t="s">
        <v>68</v>
      </c>
      <c r="M66" s="59">
        <f>(J66/G66)*1000</f>
        <v>47.5</v>
      </c>
      <c r="N66" s="23">
        <f>(I66/G66)*1000</f>
        <v>340.27777777777777</v>
      </c>
      <c r="O66" s="32" t="s">
        <v>69</v>
      </c>
      <c r="P66" s="32" t="s">
        <v>70</v>
      </c>
      <c r="Q66" s="32" t="s">
        <v>171</v>
      </c>
      <c r="R66" s="29">
        <v>18</v>
      </c>
      <c r="S66" s="60">
        <v>43158</v>
      </c>
      <c r="T66" s="34">
        <v>43159</v>
      </c>
      <c r="U66" s="34">
        <v>43160</v>
      </c>
      <c r="V66" s="34"/>
      <c r="AG66" s="2"/>
      <c r="AH66" s="2"/>
      <c r="AI66" s="2"/>
      <c r="AJ66" s="3"/>
    </row>
    <row r="67" spans="1:36" x14ac:dyDescent="0.3">
      <c r="A67" s="33">
        <v>125</v>
      </c>
      <c r="B67" s="32" t="s">
        <v>72</v>
      </c>
      <c r="C67" s="32" t="s">
        <v>82</v>
      </c>
      <c r="D67" s="37" t="s">
        <v>170</v>
      </c>
      <c r="E67" s="39">
        <v>4201641322</v>
      </c>
      <c r="F67" s="32">
        <v>11</v>
      </c>
      <c r="G67" s="32">
        <v>6</v>
      </c>
      <c r="H67" s="32">
        <v>30</v>
      </c>
      <c r="I67" s="39">
        <v>2.04</v>
      </c>
      <c r="J67" s="24">
        <v>0.28499999999999998</v>
      </c>
      <c r="K67" s="24">
        <f>I67-J67</f>
        <v>1.7550000000000001</v>
      </c>
      <c r="L67" s="32" t="s">
        <v>68</v>
      </c>
      <c r="M67" s="59">
        <f>(J67/G67)*1000</f>
        <v>47.499999999999993</v>
      </c>
      <c r="N67" s="23">
        <f>(I67/G67)*1000</f>
        <v>340</v>
      </c>
      <c r="O67" s="32" t="s">
        <v>69</v>
      </c>
      <c r="P67" s="32" t="s">
        <v>70</v>
      </c>
      <c r="Q67" s="32" t="s">
        <v>171</v>
      </c>
      <c r="R67" s="29">
        <v>18</v>
      </c>
      <c r="S67" s="60">
        <v>43158</v>
      </c>
      <c r="T67" s="34">
        <v>43159</v>
      </c>
      <c r="U67" s="34">
        <v>43160</v>
      </c>
      <c r="V67" s="34"/>
      <c r="AG67" s="2"/>
      <c r="AH67" s="2"/>
      <c r="AI67" s="2"/>
      <c r="AJ67" s="3"/>
    </row>
    <row r="68" spans="1:36" x14ac:dyDescent="0.3">
      <c r="A68" s="33">
        <v>126</v>
      </c>
      <c r="B68" s="32" t="s">
        <v>71</v>
      </c>
      <c r="C68" s="32" t="s">
        <v>82</v>
      </c>
      <c r="D68" s="39" t="s">
        <v>172</v>
      </c>
      <c r="E68" s="39">
        <v>2360082448</v>
      </c>
      <c r="F68" s="32"/>
      <c r="G68" s="32">
        <v>8.1</v>
      </c>
      <c r="H68" s="32">
        <v>36</v>
      </c>
      <c r="I68" s="39">
        <v>0.93600000000000005</v>
      </c>
      <c r="J68" s="24">
        <f t="shared" ref="J68:J73" si="51">I68</f>
        <v>0.93600000000000005</v>
      </c>
      <c r="K68" s="32"/>
      <c r="L68" s="32" t="s">
        <v>75</v>
      </c>
      <c r="M68" s="23">
        <f t="shared" si="49"/>
        <v>115.55555555555556</v>
      </c>
      <c r="N68" s="23">
        <f t="shared" si="50"/>
        <v>115.55555555555556</v>
      </c>
      <c r="O68" s="32" t="s">
        <v>49</v>
      </c>
      <c r="P68" s="32" t="s">
        <v>49</v>
      </c>
      <c r="Q68" s="32" t="s">
        <v>66</v>
      </c>
      <c r="R68" s="29">
        <v>11</v>
      </c>
      <c r="S68" s="34">
        <v>43153</v>
      </c>
      <c r="T68" s="34">
        <v>43159</v>
      </c>
      <c r="U68" s="34">
        <v>43160</v>
      </c>
      <c r="V68" s="34"/>
      <c r="AG68" s="2"/>
      <c r="AH68" s="2"/>
      <c r="AI68" s="2"/>
      <c r="AJ68" s="3"/>
    </row>
    <row r="69" spans="1:36" x14ac:dyDescent="0.3">
      <c r="A69" s="33">
        <v>127</v>
      </c>
      <c r="B69" s="32" t="s">
        <v>67</v>
      </c>
      <c r="C69" s="32" t="s">
        <v>82</v>
      </c>
      <c r="D69" s="39" t="s">
        <v>173</v>
      </c>
      <c r="E69" s="39">
        <v>2360082412</v>
      </c>
      <c r="F69" s="32"/>
      <c r="G69" s="32">
        <v>0.34</v>
      </c>
      <c r="H69" s="32">
        <v>2</v>
      </c>
      <c r="I69" s="39">
        <v>4.2999999999999997E-2</v>
      </c>
      <c r="J69" s="24">
        <f t="shared" si="51"/>
        <v>4.2999999999999997E-2</v>
      </c>
      <c r="K69" s="32"/>
      <c r="L69" s="32" t="s">
        <v>68</v>
      </c>
      <c r="M69" s="23">
        <f t="shared" si="49"/>
        <v>126.47058823529409</v>
      </c>
      <c r="N69" s="23">
        <f t="shared" si="50"/>
        <v>126.47058823529409</v>
      </c>
      <c r="O69" s="32" t="s">
        <v>74</v>
      </c>
      <c r="P69" s="32" t="s">
        <v>49</v>
      </c>
      <c r="Q69" s="32" t="s">
        <v>66</v>
      </c>
      <c r="R69" s="29">
        <v>11</v>
      </c>
      <c r="S69" s="34">
        <v>43159</v>
      </c>
      <c r="T69" s="34">
        <v>43159</v>
      </c>
      <c r="U69" s="34">
        <v>43160</v>
      </c>
      <c r="V69" s="34"/>
      <c r="AG69" s="2"/>
      <c r="AH69" s="2"/>
      <c r="AI69" s="2"/>
      <c r="AJ69" s="3"/>
    </row>
    <row r="70" spans="1:36" x14ac:dyDescent="0.3">
      <c r="A70" s="33">
        <v>128</v>
      </c>
      <c r="B70" s="32" t="s">
        <v>71</v>
      </c>
      <c r="C70" s="32" t="s">
        <v>82</v>
      </c>
      <c r="D70" s="39" t="s">
        <v>174</v>
      </c>
      <c r="E70" s="39">
        <v>4201639754</v>
      </c>
      <c r="F70" s="32">
        <v>6.6</v>
      </c>
      <c r="G70" s="32">
        <v>2.42</v>
      </c>
      <c r="H70" s="32">
        <v>15</v>
      </c>
      <c r="I70" s="39">
        <v>0.72199999999999998</v>
      </c>
      <c r="J70" s="24">
        <f t="shared" si="51"/>
        <v>0.72199999999999998</v>
      </c>
      <c r="K70" s="32"/>
      <c r="L70" s="32" t="s">
        <v>75</v>
      </c>
      <c r="M70" s="23">
        <f t="shared" si="49"/>
        <v>298.34710743801651</v>
      </c>
      <c r="N70" s="23">
        <f t="shared" si="50"/>
        <v>298.34710743801651</v>
      </c>
      <c r="O70" s="32" t="s">
        <v>49</v>
      </c>
      <c r="P70" s="32" t="s">
        <v>49</v>
      </c>
      <c r="Q70" s="32" t="s">
        <v>55</v>
      </c>
      <c r="R70" s="29">
        <v>2</v>
      </c>
      <c r="S70" s="34">
        <v>43157</v>
      </c>
      <c r="T70" s="34">
        <v>43159</v>
      </c>
      <c r="U70" s="34">
        <v>43160</v>
      </c>
      <c r="V70" s="34"/>
      <c r="AG70" s="2"/>
      <c r="AH70" s="2"/>
      <c r="AI70" s="2"/>
      <c r="AJ70" s="3"/>
    </row>
    <row r="71" spans="1:36" s="29" customFormat="1" x14ac:dyDescent="0.3">
      <c r="A71" s="33">
        <v>129</v>
      </c>
      <c r="B71" s="32" t="s">
        <v>67</v>
      </c>
      <c r="C71" s="32" t="s">
        <v>82</v>
      </c>
      <c r="D71" s="39" t="s">
        <v>175</v>
      </c>
      <c r="E71" s="39">
        <v>2360082397</v>
      </c>
      <c r="F71" s="32"/>
      <c r="G71" s="32">
        <v>0.3</v>
      </c>
      <c r="H71" s="32">
        <v>1</v>
      </c>
      <c r="I71" s="39">
        <f>0.031</f>
        <v>3.1E-2</v>
      </c>
      <c r="J71" s="24">
        <f t="shared" si="51"/>
        <v>3.1E-2</v>
      </c>
      <c r="K71" s="32"/>
      <c r="L71" s="32" t="s">
        <v>68</v>
      </c>
      <c r="M71" s="23">
        <f t="shared" si="49"/>
        <v>103.33333333333333</v>
      </c>
      <c r="N71" s="23">
        <f t="shared" si="50"/>
        <v>103.33333333333333</v>
      </c>
      <c r="O71" s="32" t="s">
        <v>49</v>
      </c>
      <c r="P71" s="32" t="s">
        <v>49</v>
      </c>
      <c r="Q71" s="32" t="s">
        <v>66</v>
      </c>
      <c r="R71" s="29">
        <v>11</v>
      </c>
      <c r="S71" s="34">
        <v>43153</v>
      </c>
      <c r="T71" s="34">
        <v>43159</v>
      </c>
      <c r="U71" s="34">
        <v>43160</v>
      </c>
      <c r="V71" s="34"/>
      <c r="AG71" s="30"/>
      <c r="AH71" s="30"/>
      <c r="AI71" s="30"/>
      <c r="AJ71" s="31"/>
    </row>
    <row r="72" spans="1:36" x14ac:dyDescent="0.3">
      <c r="A72" s="28">
        <v>129</v>
      </c>
      <c r="B72" s="32" t="s">
        <v>47</v>
      </c>
      <c r="C72" s="32" t="s">
        <v>82</v>
      </c>
      <c r="D72" s="39" t="s">
        <v>140</v>
      </c>
      <c r="E72" s="39">
        <v>5000055602</v>
      </c>
      <c r="F72" s="32"/>
      <c r="G72" s="32"/>
      <c r="H72" s="32">
        <v>120</v>
      </c>
      <c r="I72" s="39">
        <v>2.86</v>
      </c>
      <c r="J72" s="24">
        <f t="shared" si="51"/>
        <v>2.86</v>
      </c>
      <c r="K72" s="32"/>
      <c r="L72" s="32" t="s">
        <v>65</v>
      </c>
      <c r="M72" s="23"/>
      <c r="N72" s="23"/>
      <c r="O72" s="32" t="s">
        <v>52</v>
      </c>
      <c r="P72" s="32" t="s">
        <v>49</v>
      </c>
      <c r="Q72" s="32" t="s">
        <v>100</v>
      </c>
      <c r="R72" s="29">
        <v>12</v>
      </c>
      <c r="S72" s="34">
        <v>43156</v>
      </c>
      <c r="T72" s="34">
        <v>43159</v>
      </c>
      <c r="U72" s="34">
        <v>43162</v>
      </c>
      <c r="V72" s="34"/>
      <c r="AG72" s="2"/>
      <c r="AH72" s="2"/>
      <c r="AI72" s="2"/>
      <c r="AJ72" s="3"/>
    </row>
    <row r="73" spans="1:36" x14ac:dyDescent="0.3">
      <c r="A73" s="28">
        <v>130</v>
      </c>
      <c r="B73" s="32" t="s">
        <v>73</v>
      </c>
      <c r="C73" s="32" t="s">
        <v>82</v>
      </c>
      <c r="D73" s="39" t="s">
        <v>177</v>
      </c>
      <c r="E73" s="39">
        <v>4201641070</v>
      </c>
      <c r="F73" s="32">
        <v>6.6</v>
      </c>
      <c r="G73" s="32">
        <v>0.85</v>
      </c>
      <c r="H73" s="32">
        <v>7</v>
      </c>
      <c r="I73" s="39">
        <v>1.25</v>
      </c>
      <c r="J73" s="24">
        <f t="shared" si="51"/>
        <v>1.25</v>
      </c>
      <c r="K73" s="32"/>
      <c r="L73" s="32" t="s">
        <v>65</v>
      </c>
      <c r="M73" s="23">
        <f t="shared" ref="M73:M77" si="52">(J73/G73)*1000</f>
        <v>1470.5882352941178</v>
      </c>
      <c r="N73" s="23">
        <f t="shared" ref="N73:N77" si="53">I73/G73*1000</f>
        <v>1470.5882352941178</v>
      </c>
      <c r="O73" s="32" t="s">
        <v>74</v>
      </c>
      <c r="P73" s="32" t="s">
        <v>49</v>
      </c>
      <c r="Q73" s="32" t="s">
        <v>55</v>
      </c>
      <c r="R73" s="29">
        <v>2</v>
      </c>
      <c r="S73" s="34">
        <v>43157</v>
      </c>
      <c r="T73" s="34">
        <v>43159</v>
      </c>
      <c r="U73" s="34">
        <v>43162</v>
      </c>
      <c r="V73" s="34"/>
      <c r="AG73" s="2"/>
      <c r="AH73" s="2"/>
      <c r="AI73" s="2"/>
      <c r="AJ73" s="3"/>
    </row>
    <row r="74" spans="1:36" x14ac:dyDescent="0.3">
      <c r="A74" s="28">
        <v>131</v>
      </c>
      <c r="B74" s="32" t="s">
        <v>71</v>
      </c>
      <c r="C74" s="32" t="s">
        <v>82</v>
      </c>
      <c r="D74" s="39" t="s">
        <v>178</v>
      </c>
      <c r="E74" s="39">
        <v>4201639889</v>
      </c>
      <c r="F74" s="32">
        <v>33</v>
      </c>
      <c r="G74" s="32">
        <v>65</v>
      </c>
      <c r="H74" s="32">
        <v>390</v>
      </c>
      <c r="I74" s="39">
        <v>5.0999999999999996</v>
      </c>
      <c r="J74" s="24">
        <v>4.8</v>
      </c>
      <c r="K74" s="24">
        <f>I74-J74</f>
        <v>0.29999999999999982</v>
      </c>
      <c r="L74" s="32" t="s">
        <v>68</v>
      </c>
      <c r="M74" s="23">
        <f t="shared" si="52"/>
        <v>73.84615384615384</v>
      </c>
      <c r="N74" s="23">
        <f t="shared" si="53"/>
        <v>78.461538461538453</v>
      </c>
      <c r="O74" s="32" t="s">
        <v>69</v>
      </c>
      <c r="P74" s="32" t="s">
        <v>70</v>
      </c>
      <c r="Q74" s="32" t="s">
        <v>76</v>
      </c>
      <c r="R74" s="29">
        <v>1</v>
      </c>
      <c r="S74" s="34">
        <v>43146</v>
      </c>
      <c r="T74" s="34">
        <v>43159</v>
      </c>
      <c r="U74" s="34">
        <v>43162</v>
      </c>
      <c r="V74" s="34"/>
      <c r="AG74" s="2"/>
      <c r="AH74" s="2"/>
      <c r="AI74" s="2"/>
      <c r="AJ74" s="3"/>
    </row>
    <row r="75" spans="1:36" x14ac:dyDescent="0.3">
      <c r="A75" s="28">
        <v>132</v>
      </c>
      <c r="B75" s="32" t="s">
        <v>67</v>
      </c>
      <c r="C75" s="32" t="s">
        <v>82</v>
      </c>
      <c r="D75" s="39" t="s">
        <v>179</v>
      </c>
      <c r="E75" s="39">
        <v>4201639683</v>
      </c>
      <c r="F75" s="32">
        <v>33</v>
      </c>
      <c r="G75" s="32">
        <v>14.4</v>
      </c>
      <c r="H75" s="32">
        <v>36</v>
      </c>
      <c r="I75" s="42">
        <v>1.35</v>
      </c>
      <c r="J75" s="24">
        <f>1.045</f>
        <v>1.0449999999999999</v>
      </c>
      <c r="K75" s="24">
        <f>I75-J75</f>
        <v>0.30500000000000016</v>
      </c>
      <c r="L75" s="32" t="s">
        <v>68</v>
      </c>
      <c r="M75" s="23">
        <f t="shared" si="52"/>
        <v>72.569444444444443</v>
      </c>
      <c r="N75" s="23">
        <f t="shared" si="53"/>
        <v>93.75</v>
      </c>
      <c r="O75" s="32" t="s">
        <v>69</v>
      </c>
      <c r="P75" s="32" t="s">
        <v>70</v>
      </c>
      <c r="Q75" s="32" t="s">
        <v>76</v>
      </c>
      <c r="R75" s="29">
        <v>1</v>
      </c>
      <c r="S75" s="34">
        <v>43154</v>
      </c>
      <c r="T75" s="34">
        <v>43159</v>
      </c>
      <c r="U75" s="34">
        <v>43162</v>
      </c>
      <c r="V75" s="34"/>
      <c r="AG75" s="2"/>
      <c r="AH75" s="2"/>
      <c r="AI75" s="2"/>
      <c r="AJ75" s="3"/>
    </row>
    <row r="76" spans="1:36" x14ac:dyDescent="0.3">
      <c r="A76" s="28">
        <v>133</v>
      </c>
      <c r="B76" s="32" t="s">
        <v>71</v>
      </c>
      <c r="C76" s="32" t="s">
        <v>82</v>
      </c>
      <c r="D76" s="39" t="s">
        <v>117</v>
      </c>
      <c r="E76" s="39">
        <v>2360082334</v>
      </c>
      <c r="F76" s="32"/>
      <c r="G76" s="32">
        <v>3.94</v>
      </c>
      <c r="H76" s="32">
        <v>12</v>
      </c>
      <c r="I76" s="39">
        <v>0.311</v>
      </c>
      <c r="J76" s="24">
        <f t="shared" ref="J76:J84" si="54">I76</f>
        <v>0.311</v>
      </c>
      <c r="K76" s="32"/>
      <c r="L76" s="32" t="s">
        <v>68</v>
      </c>
      <c r="M76" s="23">
        <f t="shared" si="52"/>
        <v>78.934010152284273</v>
      </c>
      <c r="N76" s="23">
        <f t="shared" si="53"/>
        <v>78.934010152284273</v>
      </c>
      <c r="O76" s="32" t="s">
        <v>74</v>
      </c>
      <c r="P76" s="32" t="s">
        <v>49</v>
      </c>
      <c r="Q76" s="32" t="s">
        <v>89</v>
      </c>
      <c r="R76" s="29">
        <v>11</v>
      </c>
      <c r="S76" s="34"/>
      <c r="T76" s="34">
        <v>43159</v>
      </c>
      <c r="U76" s="34">
        <v>43162</v>
      </c>
      <c r="V76" s="34"/>
      <c r="AG76" s="2"/>
      <c r="AH76" s="2"/>
      <c r="AI76" s="2"/>
      <c r="AJ76" s="3"/>
    </row>
    <row r="77" spans="1:36" x14ac:dyDescent="0.3">
      <c r="A77" s="11">
        <v>134</v>
      </c>
      <c r="B77" s="32" t="s">
        <v>67</v>
      </c>
      <c r="C77" s="32" t="s">
        <v>82</v>
      </c>
      <c r="D77" s="39" t="s">
        <v>180</v>
      </c>
      <c r="E77" s="39">
        <v>2360082041</v>
      </c>
      <c r="F77" s="32"/>
      <c r="G77" s="32">
        <v>2.44</v>
      </c>
      <c r="H77" s="32">
        <v>6</v>
      </c>
      <c r="I77" s="39">
        <v>0.20399999999999999</v>
      </c>
      <c r="J77" s="24">
        <f t="shared" si="54"/>
        <v>0.20399999999999999</v>
      </c>
      <c r="K77" s="32"/>
      <c r="L77" s="32" t="s">
        <v>75</v>
      </c>
      <c r="M77" s="23">
        <f t="shared" si="52"/>
        <v>83.606557377049185</v>
      </c>
      <c r="N77" s="23">
        <f t="shared" si="53"/>
        <v>83.606557377049185</v>
      </c>
      <c r="O77" s="32" t="s">
        <v>74</v>
      </c>
      <c r="P77" s="32" t="s">
        <v>49</v>
      </c>
      <c r="Q77" s="32" t="s">
        <v>89</v>
      </c>
      <c r="R77" s="29">
        <v>11</v>
      </c>
      <c r="S77" s="34">
        <v>43154</v>
      </c>
      <c r="T77" s="34">
        <v>43159</v>
      </c>
      <c r="U77" s="34">
        <v>43162</v>
      </c>
      <c r="V77" s="34"/>
      <c r="AG77" s="2"/>
      <c r="AH77" s="2"/>
      <c r="AI77" s="2"/>
      <c r="AJ77" s="3"/>
    </row>
    <row r="78" spans="1:36" x14ac:dyDescent="0.3">
      <c r="A78" s="11">
        <v>135</v>
      </c>
      <c r="B78" s="32" t="s">
        <v>67</v>
      </c>
      <c r="C78" s="32" t="s">
        <v>82</v>
      </c>
      <c r="D78" s="39" t="s">
        <v>104</v>
      </c>
      <c r="E78" s="39">
        <v>2360082428</v>
      </c>
      <c r="F78" s="32"/>
      <c r="G78" s="32">
        <v>0.48</v>
      </c>
      <c r="H78" s="32">
        <v>1</v>
      </c>
      <c r="I78" s="39">
        <v>4.7E-2</v>
      </c>
      <c r="J78" s="24">
        <f t="shared" si="54"/>
        <v>4.7E-2</v>
      </c>
      <c r="K78" s="32"/>
      <c r="L78" s="32" t="s">
        <v>68</v>
      </c>
      <c r="M78" s="23">
        <f t="shared" ref="M78:M84" si="55">(J78/G78)*1000</f>
        <v>97.916666666666671</v>
      </c>
      <c r="N78" s="23">
        <f t="shared" ref="N78:N84" si="56">I78/G78*1000</f>
        <v>97.916666666666671</v>
      </c>
      <c r="O78" s="32" t="s">
        <v>69</v>
      </c>
      <c r="P78" s="32" t="s">
        <v>70</v>
      </c>
      <c r="Q78" s="32" t="s">
        <v>89</v>
      </c>
      <c r="R78" s="29">
        <v>11</v>
      </c>
      <c r="S78" s="34">
        <v>43157</v>
      </c>
      <c r="T78" s="34">
        <v>43159</v>
      </c>
      <c r="U78" s="34">
        <v>43162</v>
      </c>
      <c r="V78" s="34"/>
      <c r="AG78" s="2"/>
      <c r="AH78" s="2"/>
      <c r="AI78" s="2"/>
      <c r="AJ78" s="3"/>
    </row>
    <row r="79" spans="1:36" x14ac:dyDescent="0.3">
      <c r="A79" s="11">
        <v>136</v>
      </c>
      <c r="B79" s="32" t="s">
        <v>71</v>
      </c>
      <c r="C79" s="32" t="s">
        <v>82</v>
      </c>
      <c r="D79" s="39" t="s">
        <v>87</v>
      </c>
      <c r="E79" s="39">
        <v>2360082436</v>
      </c>
      <c r="F79" s="32"/>
      <c r="G79" s="32">
        <v>1.76</v>
      </c>
      <c r="H79" s="32">
        <v>10</v>
      </c>
      <c r="I79" s="39">
        <v>0.156</v>
      </c>
      <c r="J79" s="24">
        <f t="shared" si="54"/>
        <v>0.156</v>
      </c>
      <c r="K79" s="32"/>
      <c r="L79" s="32" t="s">
        <v>75</v>
      </c>
      <c r="M79" s="23">
        <f t="shared" si="55"/>
        <v>88.63636363636364</v>
      </c>
      <c r="N79" s="23">
        <f t="shared" si="56"/>
        <v>88.63636363636364</v>
      </c>
      <c r="O79" s="32" t="s">
        <v>74</v>
      </c>
      <c r="P79" s="32" t="s">
        <v>49</v>
      </c>
      <c r="Q79" s="32" t="s">
        <v>89</v>
      </c>
      <c r="R79" s="29">
        <v>11</v>
      </c>
      <c r="S79" s="34">
        <v>43157</v>
      </c>
      <c r="T79" s="34">
        <v>43159</v>
      </c>
      <c r="U79" s="34">
        <v>43162</v>
      </c>
      <c r="V79" s="34"/>
      <c r="AG79" s="2"/>
      <c r="AH79" s="2"/>
      <c r="AI79" s="2"/>
      <c r="AJ79" s="3"/>
    </row>
    <row r="80" spans="1:36" s="29" customFormat="1" x14ac:dyDescent="0.3">
      <c r="A80" s="33">
        <v>137</v>
      </c>
      <c r="B80" s="35" t="s">
        <v>47</v>
      </c>
      <c r="C80" s="35" t="s">
        <v>82</v>
      </c>
      <c r="D80" s="35" t="s">
        <v>142</v>
      </c>
      <c r="E80" s="35">
        <v>5000055637</v>
      </c>
      <c r="F80" s="32"/>
      <c r="G80" s="32"/>
      <c r="H80" s="32">
        <v>20</v>
      </c>
      <c r="I80" s="32">
        <v>0.42299999999999999</v>
      </c>
      <c r="J80" s="32">
        <f t="shared" si="54"/>
        <v>0.42299999999999999</v>
      </c>
      <c r="K80" s="32"/>
      <c r="L80" s="32" t="s">
        <v>65</v>
      </c>
      <c r="M80" s="23"/>
      <c r="N80" s="23"/>
      <c r="O80" s="32" t="s">
        <v>52</v>
      </c>
      <c r="P80" s="32" t="s">
        <v>49</v>
      </c>
      <c r="Q80" s="32" t="s">
        <v>46</v>
      </c>
      <c r="R80" s="29">
        <v>21</v>
      </c>
      <c r="S80" s="34">
        <v>43157</v>
      </c>
      <c r="T80" s="34">
        <v>43160</v>
      </c>
      <c r="U80" s="34">
        <v>43162</v>
      </c>
      <c r="V80" s="34"/>
      <c r="AG80" s="30"/>
      <c r="AH80" s="30"/>
      <c r="AI80" s="30"/>
      <c r="AJ80" s="31"/>
    </row>
    <row r="81" spans="1:36" s="29" customFormat="1" x14ac:dyDescent="0.3">
      <c r="A81" s="33">
        <v>138</v>
      </c>
      <c r="B81" s="35" t="s">
        <v>67</v>
      </c>
      <c r="C81" s="35" t="s">
        <v>82</v>
      </c>
      <c r="D81" s="35" t="s">
        <v>181</v>
      </c>
      <c r="E81" s="35">
        <v>2360082447</v>
      </c>
      <c r="F81" s="32"/>
      <c r="G81" s="32">
        <f>0.2*2</f>
        <v>0.4</v>
      </c>
      <c r="H81" s="32">
        <v>2</v>
      </c>
      <c r="I81" s="32">
        <v>3.7999999999999999E-2</v>
      </c>
      <c r="J81" s="32">
        <f t="shared" si="54"/>
        <v>3.7999999999999999E-2</v>
      </c>
      <c r="K81" s="32"/>
      <c r="L81" s="32" t="s">
        <v>75</v>
      </c>
      <c r="M81" s="23">
        <f t="shared" si="55"/>
        <v>94.999999999999986</v>
      </c>
      <c r="N81" s="23">
        <f t="shared" si="56"/>
        <v>94.999999999999986</v>
      </c>
      <c r="O81" s="32" t="s">
        <v>49</v>
      </c>
      <c r="P81" s="32" t="s">
        <v>49</v>
      </c>
      <c r="Q81" s="32" t="s">
        <v>89</v>
      </c>
      <c r="R81" s="29">
        <v>11</v>
      </c>
      <c r="S81" s="34">
        <v>43159</v>
      </c>
      <c r="T81" s="34">
        <v>43159</v>
      </c>
      <c r="U81" s="34">
        <v>43162</v>
      </c>
      <c r="V81" s="34"/>
      <c r="AG81" s="30"/>
      <c r="AH81" s="30"/>
      <c r="AI81" s="30"/>
      <c r="AJ81" s="31"/>
    </row>
    <row r="82" spans="1:36" s="29" customFormat="1" x14ac:dyDescent="0.3">
      <c r="A82" s="33">
        <v>139</v>
      </c>
      <c r="B82" s="32" t="s">
        <v>47</v>
      </c>
      <c r="C82" s="32" t="s">
        <v>82</v>
      </c>
      <c r="D82" s="39" t="s">
        <v>142</v>
      </c>
      <c r="E82" s="39">
        <v>5000055606</v>
      </c>
      <c r="F82" s="32">
        <v>6.6</v>
      </c>
      <c r="G82" s="32">
        <v>7.56</v>
      </c>
      <c r="H82" s="32">
        <v>27</v>
      </c>
      <c r="I82" s="39">
        <f>7.5</f>
        <v>7.5</v>
      </c>
      <c r="J82" s="24">
        <f t="shared" si="54"/>
        <v>7.5</v>
      </c>
      <c r="K82" s="32"/>
      <c r="L82" s="32" t="s">
        <v>75</v>
      </c>
      <c r="M82" s="23">
        <f t="shared" si="55"/>
        <v>992.06349206349205</v>
      </c>
      <c r="N82" s="23">
        <f t="shared" si="56"/>
        <v>992.06349206349205</v>
      </c>
      <c r="O82" s="32" t="s">
        <v>52</v>
      </c>
      <c r="P82" s="32" t="s">
        <v>49</v>
      </c>
      <c r="Q82" s="32" t="s">
        <v>55</v>
      </c>
      <c r="R82" s="29">
        <v>2</v>
      </c>
      <c r="S82" s="34">
        <v>43158</v>
      </c>
      <c r="T82" s="34">
        <v>43159</v>
      </c>
      <c r="U82" s="34">
        <v>43162</v>
      </c>
      <c r="V82" s="34"/>
      <c r="AG82" s="30"/>
      <c r="AH82" s="30"/>
      <c r="AI82" s="30"/>
      <c r="AJ82" s="31"/>
    </row>
    <row r="83" spans="1:36" s="29" customFormat="1" x14ac:dyDescent="0.3">
      <c r="A83" s="33">
        <v>140</v>
      </c>
      <c r="B83" s="32" t="s">
        <v>67</v>
      </c>
      <c r="C83" s="32" t="s">
        <v>182</v>
      </c>
      <c r="D83" s="39" t="s">
        <v>85</v>
      </c>
      <c r="E83" s="39">
        <v>5000055428</v>
      </c>
      <c r="F83" s="32"/>
      <c r="G83" s="32">
        <f>0.1*2</f>
        <v>0.2</v>
      </c>
      <c r="H83" s="32">
        <v>2</v>
      </c>
      <c r="I83" s="39">
        <f>0.1</f>
        <v>0.1</v>
      </c>
      <c r="J83" s="24">
        <f t="shared" si="54"/>
        <v>0.1</v>
      </c>
      <c r="K83" s="32"/>
      <c r="L83" s="32" t="s">
        <v>65</v>
      </c>
      <c r="M83" s="23">
        <f t="shared" si="55"/>
        <v>500</v>
      </c>
      <c r="N83" s="23">
        <f t="shared" si="56"/>
        <v>500</v>
      </c>
      <c r="O83" s="32" t="s">
        <v>52</v>
      </c>
      <c r="P83" s="32" t="s">
        <v>49</v>
      </c>
      <c r="Q83" s="32" t="s">
        <v>91</v>
      </c>
      <c r="R83" s="29">
        <v>12</v>
      </c>
      <c r="S83" s="34">
        <v>43164</v>
      </c>
      <c r="T83" s="34">
        <v>43151</v>
      </c>
      <c r="U83" s="34">
        <v>43168</v>
      </c>
      <c r="V83" s="34"/>
      <c r="AG83" s="30"/>
      <c r="AH83" s="30"/>
      <c r="AI83" s="30"/>
      <c r="AJ83" s="31"/>
    </row>
    <row r="84" spans="1:36" s="29" customFormat="1" x14ac:dyDescent="0.3">
      <c r="A84" s="33">
        <v>141</v>
      </c>
      <c r="B84" s="32" t="s">
        <v>47</v>
      </c>
      <c r="C84" s="32" t="s">
        <v>182</v>
      </c>
      <c r="D84" s="39" t="s">
        <v>142</v>
      </c>
      <c r="E84" s="39">
        <v>5000055654</v>
      </c>
      <c r="F84" s="32"/>
      <c r="G84" s="32">
        <f>0.605*4</f>
        <v>2.42</v>
      </c>
      <c r="H84" s="32">
        <v>4</v>
      </c>
      <c r="I84" s="39">
        <f>0.264</f>
        <v>0.26400000000000001</v>
      </c>
      <c r="J84" s="24">
        <f t="shared" si="54"/>
        <v>0.26400000000000001</v>
      </c>
      <c r="K84" s="32"/>
      <c r="L84" s="32" t="s">
        <v>65</v>
      </c>
      <c r="M84" s="23">
        <f t="shared" si="55"/>
        <v>109.09090909090909</v>
      </c>
      <c r="N84" s="23">
        <f t="shared" si="56"/>
        <v>109.09090909090909</v>
      </c>
      <c r="O84" s="32" t="s">
        <v>52</v>
      </c>
      <c r="P84" s="32" t="s">
        <v>49</v>
      </c>
      <c r="Q84" s="32" t="s">
        <v>91</v>
      </c>
      <c r="R84" s="29">
        <v>12</v>
      </c>
      <c r="S84" s="34">
        <v>43158</v>
      </c>
      <c r="T84" s="34">
        <v>43161</v>
      </c>
      <c r="U84" s="34">
        <v>43168</v>
      </c>
      <c r="V84" s="34"/>
      <c r="AG84" s="30"/>
      <c r="AH84" s="30"/>
      <c r="AI84" s="30"/>
      <c r="AJ84" s="31"/>
    </row>
    <row r="85" spans="1:36" s="29" customFormat="1" x14ac:dyDescent="0.3">
      <c r="A85" s="33">
        <v>142</v>
      </c>
      <c r="B85" s="32" t="s">
        <v>71</v>
      </c>
      <c r="C85" s="32" t="s">
        <v>182</v>
      </c>
      <c r="D85" s="39" t="s">
        <v>184</v>
      </c>
      <c r="E85" s="39">
        <v>2360082575</v>
      </c>
      <c r="F85" s="32"/>
      <c r="G85" s="32">
        <f>0.148*3</f>
        <v>0.44399999999999995</v>
      </c>
      <c r="H85" s="32">
        <v>3</v>
      </c>
      <c r="I85" s="39">
        <f>0.057</f>
        <v>5.7000000000000002E-2</v>
      </c>
      <c r="J85" s="24">
        <f t="shared" ref="J85:J93" si="57">I85</f>
        <v>5.7000000000000002E-2</v>
      </c>
      <c r="K85" s="32"/>
      <c r="L85" s="32" t="s">
        <v>75</v>
      </c>
      <c r="M85" s="23">
        <f t="shared" ref="M85" si="58">(J85/G85)*1000</f>
        <v>128.37837837837839</v>
      </c>
      <c r="N85" s="23">
        <f t="shared" ref="N85" si="59">I85/G85*1000</f>
        <v>128.37837837837839</v>
      </c>
      <c r="O85" s="32" t="s">
        <v>49</v>
      </c>
      <c r="P85" s="32" t="s">
        <v>49</v>
      </c>
      <c r="Q85" s="32" t="s">
        <v>89</v>
      </c>
      <c r="R85" s="29">
        <v>11</v>
      </c>
      <c r="S85" s="34">
        <v>43166</v>
      </c>
      <c r="T85" s="34">
        <v>43168</v>
      </c>
      <c r="U85" s="34">
        <v>43168</v>
      </c>
      <c r="V85" s="34"/>
      <c r="AG85" s="30"/>
      <c r="AH85" s="30"/>
      <c r="AI85" s="30"/>
      <c r="AJ85" s="31"/>
    </row>
    <row r="86" spans="1:36" s="29" customFormat="1" x14ac:dyDescent="0.3">
      <c r="A86" s="33">
        <v>143</v>
      </c>
      <c r="B86" s="32" t="s">
        <v>73</v>
      </c>
      <c r="C86" s="32" t="s">
        <v>182</v>
      </c>
      <c r="D86" s="39" t="s">
        <v>185</v>
      </c>
      <c r="E86" s="39">
        <v>2360082564</v>
      </c>
      <c r="F86" s="32"/>
      <c r="G86" s="32"/>
      <c r="H86" s="32"/>
      <c r="I86" s="39">
        <v>0.64800000000000002</v>
      </c>
      <c r="J86" s="24">
        <f t="shared" si="57"/>
        <v>0.64800000000000002</v>
      </c>
      <c r="K86" s="32"/>
      <c r="L86" s="32" t="s">
        <v>75</v>
      </c>
      <c r="M86" s="23"/>
      <c r="N86" s="23"/>
      <c r="O86" s="32" t="s">
        <v>69</v>
      </c>
      <c r="P86" s="32" t="s">
        <v>70</v>
      </c>
      <c r="Q86" s="32" t="s">
        <v>186</v>
      </c>
      <c r="R86" s="29">
        <v>13</v>
      </c>
      <c r="S86" s="34">
        <v>43162</v>
      </c>
      <c r="T86" s="34">
        <v>43168</v>
      </c>
      <c r="U86" s="34">
        <v>43168</v>
      </c>
      <c r="V86" s="34"/>
      <c r="AG86" s="30"/>
      <c r="AH86" s="30"/>
      <c r="AI86" s="30"/>
      <c r="AJ86" s="31"/>
    </row>
    <row r="87" spans="1:36" s="29" customFormat="1" x14ac:dyDescent="0.3">
      <c r="A87" s="33">
        <v>144</v>
      </c>
      <c r="B87" s="32" t="s">
        <v>73</v>
      </c>
      <c r="C87" s="32" t="s">
        <v>182</v>
      </c>
      <c r="D87" s="39" t="s">
        <v>185</v>
      </c>
      <c r="E87" s="39">
        <v>2360082565</v>
      </c>
      <c r="F87" s="32"/>
      <c r="G87" s="32"/>
      <c r="H87" s="32"/>
      <c r="I87" s="39">
        <v>0.64800000000000002</v>
      </c>
      <c r="J87" s="24">
        <f t="shared" si="57"/>
        <v>0.64800000000000002</v>
      </c>
      <c r="K87" s="32"/>
      <c r="L87" s="32" t="s">
        <v>75</v>
      </c>
      <c r="M87" s="23"/>
      <c r="N87" s="23"/>
      <c r="O87" s="32" t="s">
        <v>69</v>
      </c>
      <c r="P87" s="32" t="s">
        <v>70</v>
      </c>
      <c r="Q87" s="32" t="s">
        <v>186</v>
      </c>
      <c r="R87" s="29">
        <v>13</v>
      </c>
      <c r="S87" s="34">
        <v>43162</v>
      </c>
      <c r="T87" s="34">
        <v>43168</v>
      </c>
      <c r="U87" s="34">
        <v>43168</v>
      </c>
      <c r="V87" s="34"/>
      <c r="AG87" s="30"/>
      <c r="AH87" s="30"/>
      <c r="AI87" s="30"/>
      <c r="AJ87" s="31"/>
    </row>
    <row r="88" spans="1:36" s="29" customFormat="1" x14ac:dyDescent="0.3">
      <c r="A88" s="33">
        <v>145</v>
      </c>
      <c r="B88" s="32" t="s">
        <v>73</v>
      </c>
      <c r="C88" s="32" t="s">
        <v>182</v>
      </c>
      <c r="D88" s="39" t="s">
        <v>185</v>
      </c>
      <c r="E88" s="39">
        <v>2360082566</v>
      </c>
      <c r="F88" s="32"/>
      <c r="G88" s="32"/>
      <c r="H88" s="32"/>
      <c r="I88" s="39">
        <v>0.64800000000000002</v>
      </c>
      <c r="J88" s="24">
        <f t="shared" si="57"/>
        <v>0.64800000000000002</v>
      </c>
      <c r="K88" s="32"/>
      <c r="L88" s="32" t="s">
        <v>75</v>
      </c>
      <c r="M88" s="23"/>
      <c r="N88" s="23"/>
      <c r="O88" s="32" t="s">
        <v>69</v>
      </c>
      <c r="P88" s="32" t="s">
        <v>70</v>
      </c>
      <c r="Q88" s="32" t="s">
        <v>186</v>
      </c>
      <c r="R88" s="29">
        <v>13</v>
      </c>
      <c r="S88" s="34">
        <v>43162</v>
      </c>
      <c r="T88" s="34">
        <v>43168</v>
      </c>
      <c r="U88" s="34">
        <v>43168</v>
      </c>
      <c r="V88" s="34"/>
      <c r="AG88" s="30"/>
      <c r="AH88" s="30"/>
      <c r="AI88" s="30"/>
      <c r="AJ88" s="31"/>
    </row>
    <row r="89" spans="1:36" s="29" customFormat="1" x14ac:dyDescent="0.3">
      <c r="A89" s="33">
        <v>146</v>
      </c>
      <c r="B89" s="35" t="s">
        <v>67</v>
      </c>
      <c r="C89" s="35" t="s">
        <v>182</v>
      </c>
      <c r="D89" s="35" t="s">
        <v>187</v>
      </c>
      <c r="E89" s="35">
        <v>2360082452</v>
      </c>
      <c r="F89" s="32"/>
      <c r="G89" s="32">
        <f>0.11*4</f>
        <v>0.44</v>
      </c>
      <c r="H89" s="32">
        <v>4</v>
      </c>
      <c r="I89" s="24">
        <f>0.0556</f>
        <v>5.5599999999999997E-2</v>
      </c>
      <c r="J89" s="24">
        <f t="shared" si="57"/>
        <v>5.5599999999999997E-2</v>
      </c>
      <c r="K89" s="32"/>
      <c r="L89" s="32" t="s">
        <v>75</v>
      </c>
      <c r="M89" s="23"/>
      <c r="N89" s="32"/>
      <c r="O89" s="32" t="s">
        <v>49</v>
      </c>
      <c r="P89" s="32" t="s">
        <v>49</v>
      </c>
      <c r="Q89" s="32" t="s">
        <v>89</v>
      </c>
      <c r="R89" s="29">
        <v>11</v>
      </c>
      <c r="S89" s="34">
        <v>43159</v>
      </c>
      <c r="T89" s="34">
        <v>43165</v>
      </c>
      <c r="U89" s="34">
        <v>43168</v>
      </c>
      <c r="V89" s="34"/>
      <c r="AG89" s="30"/>
      <c r="AH89" s="30"/>
      <c r="AI89" s="30"/>
      <c r="AJ89" s="31"/>
    </row>
    <row r="90" spans="1:36" s="29" customFormat="1" x14ac:dyDescent="0.3">
      <c r="A90" s="33">
        <v>147</v>
      </c>
      <c r="B90" s="35" t="s">
        <v>73</v>
      </c>
      <c r="C90" s="35" t="s">
        <v>182</v>
      </c>
      <c r="D90" s="35" t="s">
        <v>188</v>
      </c>
      <c r="E90" s="35">
        <v>4201646895</v>
      </c>
      <c r="F90" s="32">
        <v>6.6</v>
      </c>
      <c r="G90" s="32">
        <v>1.07</v>
      </c>
      <c r="H90" s="32">
        <v>4</v>
      </c>
      <c r="I90" s="32">
        <v>0.7</v>
      </c>
      <c r="J90" s="32">
        <f t="shared" si="57"/>
        <v>0.7</v>
      </c>
      <c r="K90" s="32"/>
      <c r="L90" s="32" t="s">
        <v>65</v>
      </c>
      <c r="M90" s="23">
        <f t="shared" ref="M90" si="60">(J90/G90)*1000</f>
        <v>654.20560747663546</v>
      </c>
      <c r="N90" s="23">
        <f t="shared" ref="N90" si="61">I90/G90*1000</f>
        <v>654.20560747663546</v>
      </c>
      <c r="O90" s="32" t="s">
        <v>74</v>
      </c>
      <c r="P90" s="32" t="s">
        <v>49</v>
      </c>
      <c r="Q90" s="32" t="s">
        <v>55</v>
      </c>
      <c r="R90" s="29">
        <v>2</v>
      </c>
      <c r="S90" s="34">
        <v>43159</v>
      </c>
      <c r="T90" s="34">
        <v>43171</v>
      </c>
      <c r="U90" s="34">
        <v>43171</v>
      </c>
      <c r="V90" s="34"/>
      <c r="AG90" s="30"/>
      <c r="AH90" s="30"/>
      <c r="AI90" s="30"/>
      <c r="AJ90" s="31"/>
    </row>
    <row r="91" spans="1:36" x14ac:dyDescent="0.3">
      <c r="A91" s="11">
        <v>148</v>
      </c>
      <c r="B91" s="35" t="s">
        <v>47</v>
      </c>
      <c r="C91" s="35" t="s">
        <v>182</v>
      </c>
      <c r="D91" s="35" t="s">
        <v>83</v>
      </c>
      <c r="E91" s="35">
        <v>5000055812</v>
      </c>
      <c r="F91" s="32"/>
      <c r="G91" s="32">
        <f>0.108*2</f>
        <v>0.216</v>
      </c>
      <c r="H91" s="32">
        <v>2</v>
      </c>
      <c r="I91" s="32">
        <f>0.112</f>
        <v>0.112</v>
      </c>
      <c r="J91" s="32">
        <f t="shared" si="57"/>
        <v>0.112</v>
      </c>
      <c r="K91" s="32"/>
      <c r="L91" s="32" t="s">
        <v>65</v>
      </c>
      <c r="M91" s="23">
        <f t="shared" ref="M91" si="62">(J91/G91)*1000</f>
        <v>518.51851851851848</v>
      </c>
      <c r="N91" s="23">
        <f t="shared" ref="N91" si="63">I91/G91*1000</f>
        <v>518.51851851851848</v>
      </c>
      <c r="O91" s="32" t="s">
        <v>52</v>
      </c>
      <c r="P91" s="32" t="s">
        <v>49</v>
      </c>
      <c r="Q91" s="32" t="s">
        <v>189</v>
      </c>
      <c r="R91" s="29">
        <v>12</v>
      </c>
      <c r="S91" s="34">
        <v>43161</v>
      </c>
      <c r="T91" s="34">
        <v>43171</v>
      </c>
      <c r="U91" s="34">
        <v>43171</v>
      </c>
      <c r="V91" s="34"/>
      <c r="AG91" s="2"/>
      <c r="AH91" s="2"/>
      <c r="AI91" s="2"/>
      <c r="AJ91" s="3"/>
    </row>
    <row r="92" spans="1:36" s="29" customFormat="1" x14ac:dyDescent="0.3">
      <c r="A92" s="33">
        <v>149</v>
      </c>
      <c r="B92" s="38" t="s">
        <v>67</v>
      </c>
      <c r="C92" s="35" t="s">
        <v>182</v>
      </c>
      <c r="D92" s="37" t="s">
        <v>190</v>
      </c>
      <c r="E92" s="37">
        <v>4201647446</v>
      </c>
      <c r="F92" s="32">
        <v>11</v>
      </c>
      <c r="G92" s="32">
        <v>5.8</v>
      </c>
      <c r="H92" s="32">
        <v>24</v>
      </c>
      <c r="I92" s="39">
        <v>0.7</v>
      </c>
      <c r="J92" s="32">
        <f t="shared" si="57"/>
        <v>0.7</v>
      </c>
      <c r="K92" s="32"/>
      <c r="L92" s="45" t="s">
        <v>75</v>
      </c>
      <c r="M92" s="23">
        <f t="shared" ref="M92" si="64">(J92/G92)*1000</f>
        <v>120.68965517241378</v>
      </c>
      <c r="N92" s="23">
        <f t="shared" ref="N92" si="65">I92/G92*1000</f>
        <v>120.68965517241378</v>
      </c>
      <c r="O92" s="32" t="s">
        <v>69</v>
      </c>
      <c r="P92" s="32" t="s">
        <v>70</v>
      </c>
      <c r="Q92" s="22" t="s">
        <v>76</v>
      </c>
      <c r="R92" s="29">
        <v>1</v>
      </c>
      <c r="S92" s="34">
        <v>43162</v>
      </c>
      <c r="T92" s="34">
        <v>43171</v>
      </c>
      <c r="U92" s="34">
        <v>43171</v>
      </c>
      <c r="V92" s="34"/>
      <c r="AG92" s="30"/>
      <c r="AH92" s="30"/>
      <c r="AI92" s="30"/>
      <c r="AJ92" s="31"/>
    </row>
    <row r="93" spans="1:36" s="29" customFormat="1" x14ac:dyDescent="0.3">
      <c r="A93" s="33">
        <v>150</v>
      </c>
      <c r="B93" s="38" t="s">
        <v>47</v>
      </c>
      <c r="C93" s="35" t="s">
        <v>182</v>
      </c>
      <c r="D93" s="37" t="s">
        <v>140</v>
      </c>
      <c r="E93" s="37">
        <v>5000055811</v>
      </c>
      <c r="F93" s="32"/>
      <c r="G93" s="32"/>
      <c r="H93" s="32">
        <v>24</v>
      </c>
      <c r="I93" s="39">
        <v>0.64</v>
      </c>
      <c r="J93" s="32">
        <f t="shared" si="57"/>
        <v>0.64</v>
      </c>
      <c r="K93" s="32"/>
      <c r="L93" s="45" t="s">
        <v>65</v>
      </c>
      <c r="M93" s="23"/>
      <c r="N93" s="32"/>
      <c r="O93" s="32" t="s">
        <v>52</v>
      </c>
      <c r="P93" s="32" t="s">
        <v>49</v>
      </c>
      <c r="Q93" s="22" t="s">
        <v>141</v>
      </c>
      <c r="R93" s="29">
        <v>12</v>
      </c>
      <c r="S93" s="34">
        <v>43165</v>
      </c>
      <c r="T93" s="34">
        <v>43171</v>
      </c>
      <c r="U93" s="34">
        <v>43171</v>
      </c>
      <c r="V93" s="34"/>
      <c r="AG93" s="30"/>
      <c r="AH93" s="30"/>
      <c r="AI93" s="30"/>
      <c r="AJ93" s="31"/>
    </row>
    <row r="94" spans="1:36" s="29" customFormat="1" x14ac:dyDescent="0.3">
      <c r="A94" s="33">
        <v>151</v>
      </c>
      <c r="B94" s="38" t="s">
        <v>67</v>
      </c>
      <c r="C94" s="35" t="s">
        <v>182</v>
      </c>
      <c r="D94" s="37" t="s">
        <v>191</v>
      </c>
      <c r="E94" s="37">
        <v>2360082691</v>
      </c>
      <c r="F94" s="32"/>
      <c r="G94" s="32">
        <f>0.452</f>
        <v>0.45200000000000001</v>
      </c>
      <c r="H94" s="32">
        <v>1</v>
      </c>
      <c r="I94" s="39">
        <f>0.53</f>
        <v>0.53</v>
      </c>
      <c r="J94" s="32">
        <f>I94</f>
        <v>0.53</v>
      </c>
      <c r="K94" s="32"/>
      <c r="L94" s="45" t="s">
        <v>75</v>
      </c>
      <c r="M94" s="23">
        <f t="shared" ref="M94" si="66">(J94/G94)*1000</f>
        <v>1172.5663716814158</v>
      </c>
      <c r="N94" s="23">
        <f t="shared" ref="N94" si="67">I94/G94*1000</f>
        <v>1172.5663716814158</v>
      </c>
      <c r="O94" s="32" t="s">
        <v>74</v>
      </c>
      <c r="P94" s="32" t="s">
        <v>49</v>
      </c>
      <c r="Q94" s="22" t="s">
        <v>66</v>
      </c>
      <c r="R94" s="29">
        <v>11</v>
      </c>
      <c r="S94" s="34">
        <v>43162</v>
      </c>
      <c r="T94" s="34">
        <v>43175</v>
      </c>
      <c r="U94" s="34">
        <v>43175</v>
      </c>
      <c r="V94" s="34"/>
      <c r="AG94" s="30"/>
      <c r="AH94" s="30"/>
      <c r="AI94" s="30"/>
      <c r="AJ94" s="31"/>
    </row>
    <row r="95" spans="1:36" s="29" customFormat="1" x14ac:dyDescent="0.3">
      <c r="A95" s="33">
        <v>152</v>
      </c>
      <c r="B95" s="38" t="s">
        <v>73</v>
      </c>
      <c r="C95" s="35" t="s">
        <v>182</v>
      </c>
      <c r="D95" s="39" t="s">
        <v>192</v>
      </c>
      <c r="E95" s="39">
        <v>4201650450</v>
      </c>
      <c r="F95" s="32">
        <v>6.6</v>
      </c>
      <c r="G95" s="32">
        <v>1.67</v>
      </c>
      <c r="H95" s="32">
        <v>6</v>
      </c>
      <c r="I95" s="39">
        <f>0.895</f>
        <v>0.89500000000000002</v>
      </c>
      <c r="J95" s="32">
        <f>I95</f>
        <v>0.89500000000000002</v>
      </c>
      <c r="K95" s="32"/>
      <c r="L95" s="45" t="s">
        <v>75</v>
      </c>
      <c r="M95" s="23">
        <f t="shared" ref="M95" si="68">(J95/G95)*1000</f>
        <v>535.92814371257487</v>
      </c>
      <c r="N95" s="23">
        <f t="shared" ref="N95" si="69">I95/G95*1000</f>
        <v>535.92814371257487</v>
      </c>
      <c r="O95" s="32" t="s">
        <v>49</v>
      </c>
      <c r="P95" s="32" t="s">
        <v>49</v>
      </c>
      <c r="Q95" s="39" t="s">
        <v>55</v>
      </c>
      <c r="R95" s="29">
        <v>2</v>
      </c>
      <c r="S95" s="34">
        <v>43167</v>
      </c>
      <c r="T95" s="34">
        <v>43175</v>
      </c>
      <c r="U95" s="34">
        <v>43175</v>
      </c>
      <c r="V95" s="34"/>
      <c r="AG95" s="30"/>
      <c r="AH95" s="30"/>
      <c r="AI95" s="30"/>
      <c r="AJ95" s="31"/>
    </row>
    <row r="96" spans="1:36" s="29" customFormat="1" x14ac:dyDescent="0.3">
      <c r="A96" s="33">
        <v>153</v>
      </c>
      <c r="B96" s="38" t="s">
        <v>71</v>
      </c>
      <c r="C96" s="35" t="s">
        <v>182</v>
      </c>
      <c r="D96" s="37" t="s">
        <v>193</v>
      </c>
      <c r="E96" s="61">
        <v>4201659469</v>
      </c>
      <c r="F96" s="32">
        <v>6.6</v>
      </c>
      <c r="G96" s="32">
        <v>1.62</v>
      </c>
      <c r="H96" s="32">
        <v>8</v>
      </c>
      <c r="I96" s="39">
        <v>3</v>
      </c>
      <c r="J96" s="32">
        <v>0.1</v>
      </c>
      <c r="K96" s="32">
        <f>I96-J96</f>
        <v>2.9</v>
      </c>
      <c r="L96" s="45" t="s">
        <v>126</v>
      </c>
      <c r="M96" s="23">
        <f t="shared" ref="M96:M97" si="70">(J96/G96)*1000</f>
        <v>61.728395061728392</v>
      </c>
      <c r="N96" s="23">
        <f t="shared" ref="N96:N97" si="71">I96/G96*1000</f>
        <v>1851.8518518518517</v>
      </c>
      <c r="O96" s="32" t="s">
        <v>49</v>
      </c>
      <c r="P96" s="32" t="s">
        <v>49</v>
      </c>
      <c r="Q96" s="22" t="s">
        <v>54</v>
      </c>
      <c r="R96" s="29">
        <v>18</v>
      </c>
      <c r="S96" s="34">
        <v>43166</v>
      </c>
      <c r="T96" s="34">
        <v>43179</v>
      </c>
      <c r="U96" s="34">
        <v>43180</v>
      </c>
      <c r="V96" s="34"/>
      <c r="AG96" s="30"/>
      <c r="AH96" s="30"/>
      <c r="AI96" s="30"/>
      <c r="AJ96" s="31"/>
    </row>
    <row r="97" spans="1:36" s="29" customFormat="1" x14ac:dyDescent="0.3">
      <c r="A97" s="33">
        <v>154</v>
      </c>
      <c r="B97" s="38" t="s">
        <v>53</v>
      </c>
      <c r="C97" s="35" t="s">
        <v>182</v>
      </c>
      <c r="D97" s="37" t="s">
        <v>195</v>
      </c>
      <c r="E97" s="62" t="s">
        <v>220</v>
      </c>
      <c r="F97" s="32">
        <v>33</v>
      </c>
      <c r="G97" s="32">
        <v>9.9600000000000009</v>
      </c>
      <c r="H97" s="32">
        <v>24</v>
      </c>
      <c r="I97" s="39">
        <v>1.7</v>
      </c>
      <c r="J97" s="32">
        <v>0.68899999999999995</v>
      </c>
      <c r="K97" s="32">
        <f>I97-J97</f>
        <v>1.0110000000000001</v>
      </c>
      <c r="L97" s="45" t="s">
        <v>75</v>
      </c>
      <c r="M97" s="23">
        <f t="shared" si="70"/>
        <v>69.176706827309232</v>
      </c>
      <c r="N97" s="32">
        <f t="shared" si="71"/>
        <v>170.68273092369478</v>
      </c>
      <c r="O97" s="32" t="s">
        <v>49</v>
      </c>
      <c r="P97" s="32" t="s">
        <v>49</v>
      </c>
      <c r="Q97" s="22" t="s">
        <v>127</v>
      </c>
      <c r="R97" s="29">
        <v>6</v>
      </c>
      <c r="S97" s="34"/>
      <c r="T97" s="34"/>
      <c r="U97" s="34"/>
      <c r="V97" s="34"/>
      <c r="AG97" s="30"/>
      <c r="AH97" s="30"/>
      <c r="AI97" s="30"/>
      <c r="AJ97" s="31"/>
    </row>
    <row r="98" spans="1:36" s="29" customFormat="1" x14ac:dyDescent="0.3">
      <c r="A98" s="33">
        <v>155</v>
      </c>
      <c r="B98" s="38" t="s">
        <v>47</v>
      </c>
      <c r="C98" s="35" t="s">
        <v>182</v>
      </c>
      <c r="D98" s="37" t="s">
        <v>77</v>
      </c>
      <c r="E98" s="37">
        <v>5000056043</v>
      </c>
      <c r="F98" s="32"/>
      <c r="G98" s="32">
        <f>0.3*45</f>
        <v>13.5</v>
      </c>
      <c r="H98" s="32">
        <v>45</v>
      </c>
      <c r="I98" s="39">
        <v>1.19</v>
      </c>
      <c r="J98" s="32">
        <f t="shared" ref="J98:J105" si="72">I98</f>
        <v>1.19</v>
      </c>
      <c r="K98" s="32"/>
      <c r="L98" s="45" t="s">
        <v>65</v>
      </c>
      <c r="M98" s="23">
        <f t="shared" ref="M98" si="73">(J98/G98)*1000</f>
        <v>88.148148148148138</v>
      </c>
      <c r="N98" s="32">
        <f t="shared" ref="N98" si="74">I98/G98*1000</f>
        <v>88.148148148148138</v>
      </c>
      <c r="O98" s="32" t="s">
        <v>52</v>
      </c>
      <c r="P98" s="32" t="s">
        <v>49</v>
      </c>
      <c r="Q98" s="22" t="s">
        <v>89</v>
      </c>
      <c r="R98" s="29">
        <v>11</v>
      </c>
      <c r="S98" s="34">
        <v>43175</v>
      </c>
      <c r="T98" s="34">
        <v>43181</v>
      </c>
      <c r="U98" s="34">
        <v>43183</v>
      </c>
      <c r="V98" s="34"/>
      <c r="AG98" s="30"/>
      <c r="AH98" s="30"/>
      <c r="AI98" s="30"/>
      <c r="AJ98" s="31"/>
    </row>
    <row r="99" spans="1:36" s="29" customFormat="1" x14ac:dyDescent="0.3">
      <c r="A99" s="33">
        <v>156</v>
      </c>
      <c r="B99" s="38" t="s">
        <v>47</v>
      </c>
      <c r="C99" s="35" t="s">
        <v>182</v>
      </c>
      <c r="D99" s="37" t="s">
        <v>64</v>
      </c>
      <c r="E99" s="37">
        <v>5000056042</v>
      </c>
      <c r="F99" s="32"/>
      <c r="G99" s="32"/>
      <c r="H99" s="32">
        <v>18</v>
      </c>
      <c r="I99" s="39">
        <v>0.42699999999999999</v>
      </c>
      <c r="J99" s="32">
        <f t="shared" si="72"/>
        <v>0.42699999999999999</v>
      </c>
      <c r="K99" s="32"/>
      <c r="L99" s="45" t="s">
        <v>65</v>
      </c>
      <c r="M99" s="23"/>
      <c r="N99" s="32"/>
      <c r="O99" s="32" t="s">
        <v>52</v>
      </c>
      <c r="P99" s="32" t="s">
        <v>49</v>
      </c>
      <c r="Q99" s="22" t="s">
        <v>100</v>
      </c>
      <c r="R99" s="29">
        <v>12</v>
      </c>
      <c r="S99" s="34">
        <v>43172</v>
      </c>
      <c r="T99" s="34">
        <v>43181</v>
      </c>
      <c r="U99" s="34">
        <v>43183</v>
      </c>
      <c r="V99" s="34"/>
      <c r="AG99" s="30"/>
      <c r="AH99" s="30"/>
      <c r="AI99" s="30"/>
      <c r="AJ99" s="31"/>
    </row>
    <row r="100" spans="1:36" s="29" customFormat="1" x14ac:dyDescent="0.3">
      <c r="A100" s="33">
        <v>157</v>
      </c>
      <c r="B100" s="38" t="s">
        <v>47</v>
      </c>
      <c r="C100" s="35" t="s">
        <v>182</v>
      </c>
      <c r="D100" s="37" t="s">
        <v>77</v>
      </c>
      <c r="E100" s="37">
        <v>5000056097</v>
      </c>
      <c r="F100" s="32"/>
      <c r="G100" s="32">
        <f>0.5*2</f>
        <v>1</v>
      </c>
      <c r="H100" s="32">
        <v>2</v>
      </c>
      <c r="I100" s="39">
        <v>8.1000000000000003E-2</v>
      </c>
      <c r="J100" s="32">
        <f t="shared" si="72"/>
        <v>8.1000000000000003E-2</v>
      </c>
      <c r="K100" s="32"/>
      <c r="L100" s="45" t="s">
        <v>65</v>
      </c>
      <c r="M100" s="23">
        <f t="shared" ref="M100" si="75">(J100/G100)*1000</f>
        <v>81</v>
      </c>
      <c r="N100" s="32">
        <f t="shared" ref="N100" si="76">I100/G100*1000</f>
        <v>81</v>
      </c>
      <c r="O100" s="32" t="s">
        <v>52</v>
      </c>
      <c r="P100" s="32" t="s">
        <v>49</v>
      </c>
      <c r="Q100" s="22" t="s">
        <v>91</v>
      </c>
      <c r="R100" s="29">
        <v>12</v>
      </c>
      <c r="S100" s="34">
        <v>43166</v>
      </c>
      <c r="T100" s="34">
        <v>43181</v>
      </c>
      <c r="U100" s="34">
        <v>43183</v>
      </c>
      <c r="V100" s="34"/>
      <c r="AG100" s="30"/>
      <c r="AH100" s="30"/>
      <c r="AI100" s="30"/>
      <c r="AJ100" s="31"/>
    </row>
    <row r="101" spans="1:36" s="29" customFormat="1" x14ac:dyDescent="0.3">
      <c r="A101" s="33">
        <v>158</v>
      </c>
      <c r="B101" s="38" t="s">
        <v>67</v>
      </c>
      <c r="C101" s="35" t="s">
        <v>182</v>
      </c>
      <c r="D101" s="37" t="s">
        <v>196</v>
      </c>
      <c r="E101" s="37">
        <v>2360082817</v>
      </c>
      <c r="F101" s="32"/>
      <c r="G101" s="32">
        <f>0.595*5</f>
        <v>2.9749999999999996</v>
      </c>
      <c r="H101" s="32">
        <v>5</v>
      </c>
      <c r="I101" s="39">
        <v>0.27700000000000002</v>
      </c>
      <c r="J101" s="32">
        <f t="shared" si="72"/>
        <v>0.27700000000000002</v>
      </c>
      <c r="K101" s="32"/>
      <c r="L101" s="45" t="s">
        <v>68</v>
      </c>
      <c r="M101" s="23">
        <f t="shared" ref="M101" si="77">(J101/G101)*1000</f>
        <v>93.109243697479016</v>
      </c>
      <c r="N101" s="32">
        <f t="shared" ref="N101" si="78">I101/G101*1000</f>
        <v>93.109243697479016</v>
      </c>
      <c r="O101" s="32" t="s">
        <v>70</v>
      </c>
      <c r="P101" s="32" t="s">
        <v>70</v>
      </c>
      <c r="Q101" s="22" t="s">
        <v>89</v>
      </c>
      <c r="R101" s="29">
        <v>11</v>
      </c>
      <c r="S101" s="34">
        <v>43167</v>
      </c>
      <c r="T101" s="34">
        <v>43181</v>
      </c>
      <c r="U101" s="34">
        <v>43183</v>
      </c>
      <c r="V101" s="34"/>
      <c r="AG101" s="30"/>
      <c r="AH101" s="30"/>
      <c r="AI101" s="30"/>
      <c r="AJ101" s="31"/>
    </row>
    <row r="102" spans="1:36" s="29" customFormat="1" x14ac:dyDescent="0.3">
      <c r="A102" s="33">
        <v>159</v>
      </c>
      <c r="B102" s="35" t="s">
        <v>67</v>
      </c>
      <c r="C102" s="35" t="s">
        <v>182</v>
      </c>
      <c r="D102" s="35" t="s">
        <v>197</v>
      </c>
      <c r="E102" s="46">
        <v>2360082833</v>
      </c>
      <c r="F102" s="32"/>
      <c r="G102" s="32"/>
      <c r="H102" s="32">
        <v>1</v>
      </c>
      <c r="I102" s="32">
        <v>2.5999999999999999E-2</v>
      </c>
      <c r="J102" s="32">
        <f t="shared" si="72"/>
        <v>2.5999999999999999E-2</v>
      </c>
      <c r="K102" s="32"/>
      <c r="L102" s="32" t="s">
        <v>75</v>
      </c>
      <c r="M102" s="23"/>
      <c r="N102" s="32"/>
      <c r="O102" s="32" t="s">
        <v>49</v>
      </c>
      <c r="P102" s="32" t="s">
        <v>49</v>
      </c>
      <c r="Q102" s="32" t="s">
        <v>100</v>
      </c>
      <c r="R102" s="29">
        <v>12</v>
      </c>
      <c r="S102" s="34">
        <v>43167</v>
      </c>
      <c r="T102" s="34">
        <v>43181</v>
      </c>
      <c r="U102" s="34">
        <v>43183</v>
      </c>
      <c r="V102" s="34"/>
      <c r="AG102" s="30"/>
      <c r="AH102" s="30"/>
      <c r="AI102" s="30"/>
      <c r="AJ102" s="31"/>
    </row>
    <row r="103" spans="1:36" s="29" customFormat="1" x14ac:dyDescent="0.3">
      <c r="A103" s="33">
        <v>160</v>
      </c>
      <c r="B103" s="35" t="s">
        <v>67</v>
      </c>
      <c r="C103" s="35" t="s">
        <v>182</v>
      </c>
      <c r="D103" s="37" t="s">
        <v>198</v>
      </c>
      <c r="E103" s="46">
        <v>4201653389</v>
      </c>
      <c r="F103" s="32">
        <v>6.6</v>
      </c>
      <c r="G103" s="32">
        <v>17.899999999999999</v>
      </c>
      <c r="H103" s="32">
        <v>60</v>
      </c>
      <c r="I103" s="32">
        <v>20</v>
      </c>
      <c r="J103" s="32">
        <f t="shared" si="72"/>
        <v>20</v>
      </c>
      <c r="K103" s="32"/>
      <c r="L103" s="32" t="s">
        <v>126</v>
      </c>
      <c r="M103" s="23">
        <f t="shared" ref="M103" si="79">(J103/G103)*1000</f>
        <v>1117.3184357541902</v>
      </c>
      <c r="N103" s="32">
        <f t="shared" ref="N103" si="80">I103/G103*1000</f>
        <v>1117.3184357541902</v>
      </c>
      <c r="O103" s="32" t="s">
        <v>49</v>
      </c>
      <c r="P103" s="32" t="s">
        <v>49</v>
      </c>
      <c r="Q103" s="32" t="s">
        <v>54</v>
      </c>
      <c r="R103" s="29">
        <v>18</v>
      </c>
      <c r="S103" s="34">
        <v>43175</v>
      </c>
      <c r="T103" s="34">
        <v>43180</v>
      </c>
      <c r="U103" s="34">
        <v>43183</v>
      </c>
      <c r="V103" s="34"/>
      <c r="AG103" s="30"/>
      <c r="AH103" s="30"/>
      <c r="AI103" s="30"/>
      <c r="AJ103" s="31"/>
    </row>
    <row r="104" spans="1:36" s="29" customFormat="1" x14ac:dyDescent="0.3">
      <c r="A104" s="33">
        <v>161</v>
      </c>
      <c r="B104" s="35" t="s">
        <v>47</v>
      </c>
      <c r="C104" s="35" t="s">
        <v>182</v>
      </c>
      <c r="D104" s="35" t="s">
        <v>203</v>
      </c>
      <c r="E104" s="61">
        <v>5000056294</v>
      </c>
      <c r="F104" s="32">
        <v>6.6</v>
      </c>
      <c r="G104" s="32"/>
      <c r="H104" s="32"/>
      <c r="I104" s="32">
        <v>6.63</v>
      </c>
      <c r="J104" s="32">
        <f t="shared" si="72"/>
        <v>6.63</v>
      </c>
      <c r="K104" s="32"/>
      <c r="L104" s="32" t="s">
        <v>65</v>
      </c>
      <c r="M104" s="32"/>
      <c r="N104" s="32"/>
      <c r="O104" s="32" t="s">
        <v>52</v>
      </c>
      <c r="P104" s="32" t="s">
        <v>49</v>
      </c>
      <c r="Q104" s="32" t="s">
        <v>54</v>
      </c>
      <c r="R104" s="29">
        <v>18</v>
      </c>
      <c r="S104" s="34"/>
      <c r="T104" s="34">
        <v>43185</v>
      </c>
      <c r="U104" s="34">
        <v>43185</v>
      </c>
      <c r="V104" s="34"/>
      <c r="AG104" s="30"/>
      <c r="AH104" s="30"/>
      <c r="AI104" s="30"/>
      <c r="AJ104" s="31"/>
    </row>
    <row r="105" spans="1:36" s="29" customFormat="1" x14ac:dyDescent="0.3">
      <c r="A105" s="33">
        <v>162</v>
      </c>
      <c r="B105" s="35" t="s">
        <v>72</v>
      </c>
      <c r="C105" s="35" t="s">
        <v>182</v>
      </c>
      <c r="D105" s="37" t="s">
        <v>204</v>
      </c>
      <c r="E105" s="61">
        <v>4201661216</v>
      </c>
      <c r="F105" s="32">
        <v>66</v>
      </c>
      <c r="G105" s="32">
        <v>1027</v>
      </c>
      <c r="H105" s="32">
        <v>1320</v>
      </c>
      <c r="I105" s="32">
        <v>73.5</v>
      </c>
      <c r="J105" s="32">
        <f t="shared" si="72"/>
        <v>73.5</v>
      </c>
      <c r="K105" s="32"/>
      <c r="L105" s="32" t="s">
        <v>75</v>
      </c>
      <c r="M105" s="23">
        <f t="shared" ref="M105" si="81">(J105/G105)*1000</f>
        <v>71.567672833495621</v>
      </c>
      <c r="N105" s="32">
        <f t="shared" ref="N105" si="82">I105/G105*1000</f>
        <v>71.567672833495621</v>
      </c>
      <c r="O105" s="32" t="s">
        <v>69</v>
      </c>
      <c r="P105" s="32" t="s">
        <v>70</v>
      </c>
      <c r="Q105" s="32" t="s">
        <v>205</v>
      </c>
      <c r="R105" s="29">
        <v>10</v>
      </c>
      <c r="S105" s="34"/>
      <c r="T105" s="34">
        <v>43185</v>
      </c>
      <c r="U105" s="34">
        <v>43185</v>
      </c>
      <c r="V105" s="34"/>
      <c r="AG105" s="30"/>
      <c r="AH105" s="30"/>
      <c r="AI105" s="30"/>
      <c r="AJ105" s="31"/>
    </row>
    <row r="106" spans="1:36" s="29" customFormat="1" x14ac:dyDescent="0.3">
      <c r="A106" s="33">
        <v>163</v>
      </c>
      <c r="B106" s="35" t="s">
        <v>67</v>
      </c>
      <c r="C106" s="35" t="s">
        <v>182</v>
      </c>
      <c r="D106" s="37" t="s">
        <v>114</v>
      </c>
      <c r="E106" s="35">
        <v>2360082872</v>
      </c>
      <c r="F106" s="32"/>
      <c r="G106" s="32"/>
      <c r="H106" s="32">
        <v>3</v>
      </c>
      <c r="I106" s="32">
        <f>0.045</f>
        <v>4.4999999999999998E-2</v>
      </c>
      <c r="J106" s="32">
        <f t="shared" ref="J106:J119" si="83">I106</f>
        <v>4.4999999999999998E-2</v>
      </c>
      <c r="K106" s="32"/>
      <c r="L106" s="32" t="s">
        <v>68</v>
      </c>
      <c r="M106" s="23"/>
      <c r="N106" s="32"/>
      <c r="O106" s="32" t="s">
        <v>74</v>
      </c>
      <c r="P106" s="32" t="s">
        <v>49</v>
      </c>
      <c r="Q106" s="32" t="s">
        <v>100</v>
      </c>
      <c r="R106" s="29">
        <v>12</v>
      </c>
      <c r="S106" s="34">
        <v>43182</v>
      </c>
      <c r="T106" s="34">
        <v>43186</v>
      </c>
      <c r="U106" s="34">
        <v>43186</v>
      </c>
      <c r="V106" s="34"/>
      <c r="AG106" s="30"/>
      <c r="AH106" s="30"/>
      <c r="AI106" s="30"/>
      <c r="AJ106" s="31"/>
    </row>
    <row r="107" spans="1:36" s="29" customFormat="1" x14ac:dyDescent="0.3">
      <c r="A107" s="33">
        <v>164</v>
      </c>
      <c r="B107" s="35" t="s">
        <v>81</v>
      </c>
      <c r="C107" s="35" t="s">
        <v>182</v>
      </c>
      <c r="D107" s="37" t="s">
        <v>206</v>
      </c>
      <c r="E107" s="61">
        <v>4201661858</v>
      </c>
      <c r="F107" s="32">
        <v>220</v>
      </c>
      <c r="G107" s="32">
        <v>46.57</v>
      </c>
      <c r="H107" s="32">
        <v>88</v>
      </c>
      <c r="I107" s="32">
        <v>4.8559999999999999</v>
      </c>
      <c r="J107" s="32">
        <f t="shared" si="83"/>
        <v>4.8559999999999999</v>
      </c>
      <c r="K107" s="32"/>
      <c r="L107" s="32" t="s">
        <v>75</v>
      </c>
      <c r="M107" s="23">
        <f t="shared" ref="M107" si="84">(J107/G107)*1000</f>
        <v>104.27313721279793</v>
      </c>
      <c r="N107" s="32">
        <f t="shared" ref="N107" si="85">I107/G107*1000</f>
        <v>104.27313721279793</v>
      </c>
      <c r="O107" s="32" t="s">
        <v>207</v>
      </c>
      <c r="P107" s="32" t="s">
        <v>70</v>
      </c>
      <c r="Q107" s="32" t="s">
        <v>219</v>
      </c>
      <c r="R107" s="29">
        <v>10</v>
      </c>
      <c r="S107" s="34"/>
      <c r="T107" s="34">
        <v>43186</v>
      </c>
      <c r="U107" s="34">
        <v>43186</v>
      </c>
      <c r="V107" s="34"/>
      <c r="AG107" s="30"/>
      <c r="AH107" s="30"/>
      <c r="AI107" s="30"/>
      <c r="AJ107" s="31"/>
    </row>
    <row r="108" spans="1:36" s="29" customFormat="1" x14ac:dyDescent="0.3">
      <c r="A108" s="33">
        <v>165</v>
      </c>
      <c r="B108" s="35" t="s">
        <v>67</v>
      </c>
      <c r="C108" s="35" t="s">
        <v>182</v>
      </c>
      <c r="D108" s="37" t="s">
        <v>208</v>
      </c>
      <c r="E108" s="35">
        <v>4201658868</v>
      </c>
      <c r="F108" s="32">
        <v>11</v>
      </c>
      <c r="G108" s="32">
        <v>28.8</v>
      </c>
      <c r="H108" s="32">
        <v>144</v>
      </c>
      <c r="I108" s="32">
        <v>9.7200000000000006</v>
      </c>
      <c r="J108" s="32">
        <f t="shared" si="83"/>
        <v>9.7200000000000006</v>
      </c>
      <c r="K108" s="32"/>
      <c r="L108" s="32" t="s">
        <v>68</v>
      </c>
      <c r="M108" s="23">
        <f t="shared" ref="M108" si="86">(J108/G108)*1000</f>
        <v>337.5</v>
      </c>
      <c r="N108" s="32">
        <f t="shared" ref="N108" si="87">I108/G108*1000</f>
        <v>337.5</v>
      </c>
      <c r="O108" s="32" t="s">
        <v>69</v>
      </c>
      <c r="P108" s="32" t="s">
        <v>70</v>
      </c>
      <c r="Q108" s="32" t="s">
        <v>54</v>
      </c>
      <c r="R108" s="29">
        <v>18</v>
      </c>
      <c r="S108" s="34">
        <v>43181</v>
      </c>
      <c r="T108" s="34">
        <v>43186</v>
      </c>
      <c r="U108" s="34">
        <v>43189</v>
      </c>
      <c r="V108" s="34"/>
      <c r="AG108" s="30"/>
      <c r="AH108" s="30"/>
      <c r="AI108" s="30"/>
      <c r="AJ108" s="31"/>
    </row>
    <row r="109" spans="1:36" s="29" customFormat="1" x14ac:dyDescent="0.3">
      <c r="A109" s="33">
        <v>166</v>
      </c>
      <c r="B109" s="35" t="s">
        <v>47</v>
      </c>
      <c r="C109" s="35" t="s">
        <v>182</v>
      </c>
      <c r="D109" s="37" t="s">
        <v>140</v>
      </c>
      <c r="E109" s="35">
        <v>5000056164</v>
      </c>
      <c r="F109" s="32"/>
      <c r="G109" s="32"/>
      <c r="H109" s="32">
        <f>24+24+24</f>
        <v>72</v>
      </c>
      <c r="I109" s="32">
        <v>2.2799999999999998</v>
      </c>
      <c r="J109" s="32">
        <f t="shared" si="83"/>
        <v>2.2799999999999998</v>
      </c>
      <c r="K109" s="32"/>
      <c r="L109" s="32" t="s">
        <v>65</v>
      </c>
      <c r="M109" s="32"/>
      <c r="N109" s="32"/>
      <c r="O109" s="32" t="s">
        <v>52</v>
      </c>
      <c r="P109" s="32" t="s">
        <v>49</v>
      </c>
      <c r="Q109" s="32" t="s">
        <v>100</v>
      </c>
      <c r="R109" s="29">
        <v>12</v>
      </c>
      <c r="S109" s="34">
        <v>43182</v>
      </c>
      <c r="T109" s="34">
        <v>43187</v>
      </c>
      <c r="U109" s="34">
        <v>43189</v>
      </c>
      <c r="V109" s="34"/>
      <c r="AG109" s="30"/>
      <c r="AH109" s="30"/>
      <c r="AI109" s="30"/>
      <c r="AJ109" s="31"/>
    </row>
    <row r="110" spans="1:36" s="29" customFormat="1" x14ac:dyDescent="0.3">
      <c r="A110" s="33">
        <v>167</v>
      </c>
      <c r="B110" s="35" t="s">
        <v>71</v>
      </c>
      <c r="C110" s="35" t="s">
        <v>182</v>
      </c>
      <c r="D110" s="37" t="s">
        <v>117</v>
      </c>
      <c r="E110" s="35">
        <v>2360082916</v>
      </c>
      <c r="F110" s="32"/>
      <c r="G110" s="32">
        <f>0.127*6+0.254*9</f>
        <v>3.048</v>
      </c>
      <c r="H110" s="32">
        <f>6+9</f>
        <v>15</v>
      </c>
      <c r="I110" s="32">
        <v>0.26400000000000001</v>
      </c>
      <c r="J110" s="32">
        <f t="shared" si="83"/>
        <v>0.26400000000000001</v>
      </c>
      <c r="K110" s="32"/>
      <c r="L110" s="32" t="s">
        <v>68</v>
      </c>
      <c r="M110" s="23">
        <f t="shared" ref="M110:M112" si="88">(J110/G110)*1000</f>
        <v>86.614173228346459</v>
      </c>
      <c r="N110" s="23">
        <f t="shared" ref="N110:N112" si="89">I110/G110*1000</f>
        <v>86.614173228346459</v>
      </c>
      <c r="O110" s="32" t="s">
        <v>74</v>
      </c>
      <c r="P110" s="32" t="s">
        <v>49</v>
      </c>
      <c r="Q110" s="32" t="s">
        <v>89</v>
      </c>
      <c r="R110" s="29">
        <v>11</v>
      </c>
      <c r="S110" s="34">
        <v>43179</v>
      </c>
      <c r="T110" s="34">
        <v>43187</v>
      </c>
      <c r="U110" s="34">
        <v>43189</v>
      </c>
      <c r="V110" s="34"/>
      <c r="AG110" s="30"/>
      <c r="AH110" s="30"/>
      <c r="AI110" s="30"/>
      <c r="AJ110" s="31"/>
    </row>
    <row r="111" spans="1:36" s="29" customFormat="1" x14ac:dyDescent="0.3">
      <c r="A111" s="33">
        <v>168</v>
      </c>
      <c r="B111" s="35" t="s">
        <v>47</v>
      </c>
      <c r="C111" s="35" t="s">
        <v>182</v>
      </c>
      <c r="D111" s="37" t="s">
        <v>64</v>
      </c>
      <c r="E111" s="35">
        <v>5000056192</v>
      </c>
      <c r="F111" s="32"/>
      <c r="G111" s="32"/>
      <c r="H111" s="32"/>
      <c r="I111" s="32">
        <v>0.247</v>
      </c>
      <c r="J111" s="32">
        <f t="shared" si="83"/>
        <v>0.247</v>
      </c>
      <c r="K111" s="32"/>
      <c r="L111" s="32" t="s">
        <v>65</v>
      </c>
      <c r="M111" s="23"/>
      <c r="N111" s="23"/>
      <c r="O111" s="32" t="s">
        <v>52</v>
      </c>
      <c r="P111" s="32" t="s">
        <v>49</v>
      </c>
      <c r="Q111" s="32" t="s">
        <v>100</v>
      </c>
      <c r="R111" s="29">
        <v>12</v>
      </c>
      <c r="S111" s="34">
        <v>43181</v>
      </c>
      <c r="T111" s="34">
        <v>43187</v>
      </c>
      <c r="U111" s="34">
        <v>43189</v>
      </c>
      <c r="V111" s="34"/>
      <c r="AG111" s="30"/>
      <c r="AH111" s="30"/>
      <c r="AI111" s="30"/>
      <c r="AJ111" s="31"/>
    </row>
    <row r="112" spans="1:36" s="29" customFormat="1" x14ac:dyDescent="0.3">
      <c r="A112" s="33">
        <v>169</v>
      </c>
      <c r="B112" s="35" t="s">
        <v>67</v>
      </c>
      <c r="C112" s="35" t="s">
        <v>182</v>
      </c>
      <c r="D112" s="37" t="s">
        <v>213</v>
      </c>
      <c r="E112" s="35">
        <v>4201658796</v>
      </c>
      <c r="F112" s="32">
        <v>11</v>
      </c>
      <c r="G112" s="32">
        <v>2.9</v>
      </c>
      <c r="H112" s="32">
        <v>12</v>
      </c>
      <c r="I112" s="32">
        <v>0.37</v>
      </c>
      <c r="J112" s="32">
        <f t="shared" si="83"/>
        <v>0.37</v>
      </c>
      <c r="K112" s="32"/>
      <c r="L112" s="32" t="s">
        <v>75</v>
      </c>
      <c r="M112" s="23">
        <f t="shared" si="88"/>
        <v>127.58620689655173</v>
      </c>
      <c r="N112" s="23">
        <f t="shared" si="89"/>
        <v>127.58620689655173</v>
      </c>
      <c r="O112" s="32" t="s">
        <v>69</v>
      </c>
      <c r="P112" s="32" t="s">
        <v>70</v>
      </c>
      <c r="Q112" s="32" t="s">
        <v>76</v>
      </c>
      <c r="R112" s="29">
        <v>1</v>
      </c>
      <c r="S112" s="34">
        <v>43182</v>
      </c>
      <c r="T112" s="34">
        <v>43187</v>
      </c>
      <c r="U112" s="34">
        <v>43189</v>
      </c>
      <c r="V112" s="34"/>
      <c r="AG112" s="30"/>
      <c r="AH112" s="30"/>
      <c r="AI112" s="30"/>
      <c r="AJ112" s="31"/>
    </row>
    <row r="113" spans="1:36" s="29" customFormat="1" x14ac:dyDescent="0.3">
      <c r="A113" s="33">
        <v>170</v>
      </c>
      <c r="B113" s="35" t="s">
        <v>73</v>
      </c>
      <c r="C113" s="35" t="s">
        <v>182</v>
      </c>
      <c r="D113" s="37" t="s">
        <v>209</v>
      </c>
      <c r="E113" s="35">
        <v>4201660008</v>
      </c>
      <c r="F113" s="32">
        <v>6.6</v>
      </c>
      <c r="G113" s="32">
        <v>0.8</v>
      </c>
      <c r="H113" s="32">
        <v>3</v>
      </c>
      <c r="I113" s="32">
        <f>0.41</f>
        <v>0.41</v>
      </c>
      <c r="J113" s="32">
        <f t="shared" si="83"/>
        <v>0.41</v>
      </c>
      <c r="K113" s="32"/>
      <c r="L113" s="32" t="s">
        <v>65</v>
      </c>
      <c r="M113" s="23">
        <f t="shared" ref="M113" si="90">(J113/G113)*1000</f>
        <v>512.5</v>
      </c>
      <c r="N113" s="23">
        <f t="shared" ref="N113" si="91">I113/G113*1000</f>
        <v>512.5</v>
      </c>
      <c r="O113" s="32" t="s">
        <v>74</v>
      </c>
      <c r="P113" s="32" t="s">
        <v>49</v>
      </c>
      <c r="Q113" s="32" t="s">
        <v>55</v>
      </c>
      <c r="R113" s="29">
        <v>2</v>
      </c>
      <c r="S113" s="34">
        <v>43181</v>
      </c>
      <c r="T113" s="34">
        <v>43187</v>
      </c>
      <c r="U113" s="34">
        <v>43189</v>
      </c>
      <c r="V113" s="34"/>
      <c r="AG113" s="30"/>
      <c r="AH113" s="30"/>
      <c r="AI113" s="30"/>
      <c r="AJ113" s="31"/>
    </row>
    <row r="114" spans="1:36" s="29" customFormat="1" x14ac:dyDescent="0.3">
      <c r="A114" s="33">
        <v>171</v>
      </c>
      <c r="B114" s="35" t="s">
        <v>73</v>
      </c>
      <c r="C114" s="35" t="s">
        <v>182</v>
      </c>
      <c r="D114" s="37" t="s">
        <v>210</v>
      </c>
      <c r="E114" s="35">
        <v>4201659853</v>
      </c>
      <c r="F114" s="32">
        <v>3.3</v>
      </c>
      <c r="G114" s="32">
        <v>0.97</v>
      </c>
      <c r="H114" s="32">
        <v>4</v>
      </c>
      <c r="I114" s="32">
        <v>0.67900000000000005</v>
      </c>
      <c r="J114" s="32">
        <f t="shared" si="83"/>
        <v>0.67900000000000005</v>
      </c>
      <c r="K114" s="32"/>
      <c r="L114" s="32" t="s">
        <v>75</v>
      </c>
      <c r="M114" s="23">
        <f t="shared" ref="M114" si="92">(J114/G114)*1000</f>
        <v>700.00000000000011</v>
      </c>
      <c r="N114" s="23">
        <f t="shared" ref="N114" si="93">I114/G114*1000</f>
        <v>700.00000000000011</v>
      </c>
      <c r="O114" s="32" t="s">
        <v>74</v>
      </c>
      <c r="P114" s="32" t="s">
        <v>49</v>
      </c>
      <c r="Q114" s="32" t="s">
        <v>55</v>
      </c>
      <c r="R114" s="29">
        <v>2</v>
      </c>
      <c r="S114" s="34">
        <v>43179</v>
      </c>
      <c r="T114" s="34">
        <v>43187</v>
      </c>
      <c r="U114" s="34">
        <v>43189</v>
      </c>
      <c r="V114" s="34"/>
      <c r="AG114" s="30"/>
      <c r="AH114" s="30"/>
      <c r="AI114" s="30"/>
      <c r="AJ114" s="31"/>
    </row>
    <row r="115" spans="1:36" s="29" customFormat="1" x14ac:dyDescent="0.3">
      <c r="A115" s="33">
        <v>172</v>
      </c>
      <c r="B115" s="35" t="s">
        <v>67</v>
      </c>
      <c r="C115" s="35" t="s">
        <v>182</v>
      </c>
      <c r="D115" s="37" t="s">
        <v>211</v>
      </c>
      <c r="E115" s="35">
        <v>2360082925</v>
      </c>
      <c r="F115" s="32"/>
      <c r="G115" s="32"/>
      <c r="H115" s="32">
        <v>3</v>
      </c>
      <c r="I115" s="32">
        <v>0.08</v>
      </c>
      <c r="J115" s="32">
        <f t="shared" si="83"/>
        <v>0.08</v>
      </c>
      <c r="K115" s="32"/>
      <c r="L115" s="32" t="s">
        <v>68</v>
      </c>
      <c r="M115" s="23"/>
      <c r="N115" s="23"/>
      <c r="O115" s="32" t="s">
        <v>74</v>
      </c>
      <c r="P115" s="32" t="s">
        <v>49</v>
      </c>
      <c r="Q115" s="32" t="s">
        <v>100</v>
      </c>
      <c r="R115" s="29">
        <v>12</v>
      </c>
      <c r="S115" s="34">
        <v>43181</v>
      </c>
      <c r="T115" s="34">
        <v>43187</v>
      </c>
      <c r="U115" s="34">
        <v>43189</v>
      </c>
      <c r="V115" s="34"/>
      <c r="AG115" s="30"/>
      <c r="AH115" s="30"/>
      <c r="AI115" s="30"/>
      <c r="AJ115" s="31"/>
    </row>
    <row r="116" spans="1:36" s="29" customFormat="1" x14ac:dyDescent="0.3">
      <c r="A116" s="33">
        <v>173</v>
      </c>
      <c r="B116" s="35" t="s">
        <v>67</v>
      </c>
      <c r="C116" s="35" t="s">
        <v>182</v>
      </c>
      <c r="D116" s="35" t="s">
        <v>212</v>
      </c>
      <c r="E116" s="35">
        <v>4201659567</v>
      </c>
      <c r="F116" s="32">
        <v>11</v>
      </c>
      <c r="G116" s="32">
        <v>5.81</v>
      </c>
      <c r="H116" s="32">
        <v>24</v>
      </c>
      <c r="I116" s="32">
        <v>0.74</v>
      </c>
      <c r="J116" s="32">
        <f t="shared" si="83"/>
        <v>0.74</v>
      </c>
      <c r="K116" s="32"/>
      <c r="L116" s="32" t="s">
        <v>75</v>
      </c>
      <c r="M116" s="23">
        <f t="shared" ref="M116:M117" si="94">(J116/G116)*1000</f>
        <v>127.36660929432014</v>
      </c>
      <c r="N116" s="23">
        <f t="shared" ref="N116:N117" si="95">I116/G116*1000</f>
        <v>127.36660929432014</v>
      </c>
      <c r="O116" s="32" t="s">
        <v>69</v>
      </c>
      <c r="P116" s="32" t="s">
        <v>70</v>
      </c>
      <c r="Q116" s="32" t="s">
        <v>76</v>
      </c>
      <c r="R116" s="29">
        <v>1</v>
      </c>
      <c r="S116" s="34">
        <v>43185</v>
      </c>
      <c r="T116" s="34">
        <v>43187</v>
      </c>
      <c r="U116" s="34">
        <v>43189</v>
      </c>
      <c r="V116" s="34"/>
      <c r="AG116" s="30"/>
      <c r="AH116" s="30"/>
      <c r="AI116" s="30"/>
      <c r="AJ116" s="31"/>
    </row>
    <row r="117" spans="1:36" s="29" customFormat="1" x14ac:dyDescent="0.3">
      <c r="A117" s="33">
        <v>174</v>
      </c>
      <c r="B117" s="35" t="s">
        <v>67</v>
      </c>
      <c r="C117" s="35" t="s">
        <v>182</v>
      </c>
      <c r="D117" s="37" t="s">
        <v>214</v>
      </c>
      <c r="E117" s="37">
        <v>2360082958</v>
      </c>
      <c r="F117" s="32"/>
      <c r="G117" s="32">
        <v>2.42</v>
      </c>
      <c r="H117" s="32">
        <v>8</v>
      </c>
      <c r="I117" s="39">
        <v>0.26</v>
      </c>
      <c r="J117" s="32">
        <f t="shared" si="83"/>
        <v>0.26</v>
      </c>
      <c r="K117" s="32"/>
      <c r="L117" s="45" t="s">
        <v>68</v>
      </c>
      <c r="M117" s="23">
        <f t="shared" si="94"/>
        <v>107.43801652892563</v>
      </c>
      <c r="N117" s="23">
        <f t="shared" si="95"/>
        <v>107.43801652892563</v>
      </c>
      <c r="O117" s="32" t="s">
        <v>69</v>
      </c>
      <c r="P117" s="32" t="s">
        <v>70</v>
      </c>
      <c r="Q117" s="22" t="s">
        <v>66</v>
      </c>
      <c r="R117" s="29">
        <v>11</v>
      </c>
      <c r="S117" s="34">
        <v>43185</v>
      </c>
      <c r="T117" s="34">
        <v>43187</v>
      </c>
      <c r="U117" s="34">
        <v>43189</v>
      </c>
      <c r="V117" s="34"/>
      <c r="AG117" s="30"/>
      <c r="AH117" s="30"/>
      <c r="AI117" s="30"/>
      <c r="AJ117" s="31"/>
    </row>
    <row r="118" spans="1:36" s="29" customFormat="1" x14ac:dyDescent="0.3">
      <c r="A118" s="33">
        <v>175</v>
      </c>
      <c r="B118" s="35" t="s">
        <v>67</v>
      </c>
      <c r="C118" s="35" t="s">
        <v>182</v>
      </c>
      <c r="D118" s="37" t="s">
        <v>214</v>
      </c>
      <c r="E118" s="37">
        <v>2360082959</v>
      </c>
      <c r="F118" s="32"/>
      <c r="G118" s="32">
        <f>0.242*4</f>
        <v>0.96799999999999997</v>
      </c>
      <c r="H118" s="32">
        <v>4</v>
      </c>
      <c r="I118" s="39">
        <v>0.11</v>
      </c>
      <c r="J118" s="32">
        <f t="shared" si="83"/>
        <v>0.11</v>
      </c>
      <c r="K118" s="32"/>
      <c r="L118" s="45" t="s">
        <v>68</v>
      </c>
      <c r="M118" s="23">
        <f t="shared" ref="M118" si="96">(J118/G118)*1000</f>
        <v>113.63636363636364</v>
      </c>
      <c r="N118" s="23">
        <f t="shared" ref="N118" si="97">I118/G118*1000</f>
        <v>113.63636363636364</v>
      </c>
      <c r="O118" s="32" t="s">
        <v>69</v>
      </c>
      <c r="P118" s="32" t="s">
        <v>70</v>
      </c>
      <c r="Q118" s="22" t="s">
        <v>66</v>
      </c>
      <c r="R118" s="29">
        <v>11</v>
      </c>
      <c r="S118" s="34">
        <v>43186</v>
      </c>
      <c r="T118" s="34">
        <v>43187</v>
      </c>
      <c r="U118" s="34">
        <v>43189</v>
      </c>
      <c r="V118" s="34"/>
      <c r="AG118" s="30"/>
      <c r="AH118" s="30"/>
      <c r="AI118" s="30"/>
      <c r="AJ118" s="31"/>
    </row>
    <row r="119" spans="1:36" s="29" customFormat="1" x14ac:dyDescent="0.3">
      <c r="A119" s="33">
        <v>176</v>
      </c>
      <c r="B119" s="35" t="s">
        <v>71</v>
      </c>
      <c r="C119" s="35" t="s">
        <v>182</v>
      </c>
      <c r="D119" s="37" t="s">
        <v>231</v>
      </c>
      <c r="E119" s="35">
        <v>4201660974</v>
      </c>
      <c r="F119" s="32">
        <v>11</v>
      </c>
      <c r="G119" s="32">
        <v>19.8</v>
      </c>
      <c r="H119" s="32">
        <v>72</v>
      </c>
      <c r="I119" s="32">
        <v>5.6</v>
      </c>
      <c r="J119" s="32">
        <f t="shared" si="83"/>
        <v>5.6</v>
      </c>
      <c r="K119" s="32"/>
      <c r="L119" s="32" t="s">
        <v>65</v>
      </c>
      <c r="M119" s="23">
        <f t="shared" ref="M119:M120" si="98">(J119/G119)*1000</f>
        <v>282.82828282828279</v>
      </c>
      <c r="N119" s="23">
        <f t="shared" ref="N119:N120" si="99">I119/G119*1000</f>
        <v>282.82828282828279</v>
      </c>
      <c r="O119" s="32" t="s">
        <v>74</v>
      </c>
      <c r="P119" s="32" t="s">
        <v>49</v>
      </c>
      <c r="Q119" s="32" t="s">
        <v>54</v>
      </c>
      <c r="R119" s="29">
        <v>18</v>
      </c>
      <c r="S119" s="34">
        <v>43185</v>
      </c>
      <c r="T119" s="34">
        <v>43187</v>
      </c>
      <c r="U119" s="34">
        <v>43189</v>
      </c>
      <c r="V119" s="34"/>
      <c r="AG119" s="30"/>
      <c r="AH119" s="30"/>
      <c r="AI119" s="30"/>
      <c r="AJ119" s="31"/>
    </row>
    <row r="120" spans="1:36" s="29" customFormat="1" x14ac:dyDescent="0.3">
      <c r="A120" s="33">
        <v>177</v>
      </c>
      <c r="B120" s="35" t="s">
        <v>81</v>
      </c>
      <c r="C120" s="35" t="s">
        <v>182</v>
      </c>
      <c r="D120" s="37" t="s">
        <v>215</v>
      </c>
      <c r="E120" s="35">
        <v>4201663335</v>
      </c>
      <c r="F120" s="32">
        <v>11</v>
      </c>
      <c r="G120" s="32">
        <v>4.12</v>
      </c>
      <c r="H120" s="32">
        <v>8</v>
      </c>
      <c r="I120" s="32">
        <v>1.6</v>
      </c>
      <c r="J120" s="32">
        <v>0.3</v>
      </c>
      <c r="K120" s="32">
        <f>I120-J120</f>
        <v>1.3</v>
      </c>
      <c r="L120" s="32" t="s">
        <v>75</v>
      </c>
      <c r="M120" s="23">
        <f t="shared" si="98"/>
        <v>72.815533980582515</v>
      </c>
      <c r="N120" s="23">
        <f t="shared" si="99"/>
        <v>388.34951456310677</v>
      </c>
      <c r="O120" s="32" t="s">
        <v>144</v>
      </c>
      <c r="P120" s="32" t="s">
        <v>49</v>
      </c>
      <c r="Q120" s="32" t="s">
        <v>127</v>
      </c>
      <c r="R120" s="29">
        <v>6</v>
      </c>
      <c r="S120" s="34">
        <v>43188</v>
      </c>
      <c r="T120" s="34">
        <v>43189</v>
      </c>
      <c r="U120" s="34">
        <v>43189</v>
      </c>
      <c r="V120" s="34"/>
      <c r="AG120" s="30"/>
      <c r="AH120" s="30"/>
      <c r="AI120" s="30"/>
      <c r="AJ120" s="31"/>
    </row>
    <row r="121" spans="1:36" s="29" customFormat="1" x14ac:dyDescent="0.3">
      <c r="A121" s="33">
        <v>178</v>
      </c>
      <c r="B121" s="35" t="s">
        <v>73</v>
      </c>
      <c r="C121" s="35" t="s">
        <v>182</v>
      </c>
      <c r="D121" s="37" t="s">
        <v>216</v>
      </c>
      <c r="E121" s="35">
        <v>2360082926</v>
      </c>
      <c r="F121" s="32"/>
      <c r="G121" s="32">
        <v>0.46</v>
      </c>
      <c r="H121" s="32">
        <v>3</v>
      </c>
      <c r="I121" s="32">
        <v>0.13500000000000001</v>
      </c>
      <c r="J121" s="32">
        <f>0.054</f>
        <v>5.3999999999999999E-2</v>
      </c>
      <c r="K121" s="32">
        <f>I121-J121</f>
        <v>8.1000000000000016E-2</v>
      </c>
      <c r="L121" s="32" t="s">
        <v>68</v>
      </c>
      <c r="M121" s="23">
        <f t="shared" ref="M121:M122" si="100">(J121/G121)*1000</f>
        <v>117.39130434782608</v>
      </c>
      <c r="N121" s="23">
        <f t="shared" ref="N121:N122" si="101">I121/G121*1000</f>
        <v>293.47826086956525</v>
      </c>
      <c r="O121" s="32" t="s">
        <v>49</v>
      </c>
      <c r="P121" s="32" t="s">
        <v>49</v>
      </c>
      <c r="Q121" s="32" t="s">
        <v>217</v>
      </c>
      <c r="R121" s="29">
        <v>11</v>
      </c>
      <c r="S121" s="34">
        <v>43185</v>
      </c>
      <c r="T121" s="34">
        <v>43187</v>
      </c>
      <c r="U121" s="34">
        <v>43189</v>
      </c>
      <c r="V121" s="34"/>
      <c r="AG121" s="30"/>
      <c r="AH121" s="30"/>
      <c r="AI121" s="30"/>
      <c r="AJ121" s="31"/>
    </row>
    <row r="122" spans="1:36" s="29" customFormat="1" x14ac:dyDescent="0.3">
      <c r="A122" s="33">
        <v>179</v>
      </c>
      <c r="B122" s="35" t="s">
        <v>81</v>
      </c>
      <c r="C122" s="35" t="s">
        <v>182</v>
      </c>
      <c r="D122" s="37" t="s">
        <v>218</v>
      </c>
      <c r="E122" s="35">
        <v>2360082943</v>
      </c>
      <c r="F122" s="32"/>
      <c r="G122" s="32">
        <v>18</v>
      </c>
      <c r="H122" s="32">
        <v>45</v>
      </c>
      <c r="I122" s="32">
        <v>1.5649999999999999</v>
      </c>
      <c r="J122" s="32">
        <f>I122</f>
        <v>1.5649999999999999</v>
      </c>
      <c r="K122" s="32"/>
      <c r="L122" s="32" t="s">
        <v>75</v>
      </c>
      <c r="M122" s="23">
        <f t="shared" si="100"/>
        <v>86.944444444444429</v>
      </c>
      <c r="N122" s="23">
        <f t="shared" si="101"/>
        <v>86.944444444444429</v>
      </c>
      <c r="O122" s="32" t="s">
        <v>207</v>
      </c>
      <c r="P122" s="32" t="s">
        <v>70</v>
      </c>
      <c r="Q122" s="32" t="s">
        <v>217</v>
      </c>
      <c r="R122" s="29">
        <v>11</v>
      </c>
      <c r="S122" s="34">
        <v>43187</v>
      </c>
      <c r="T122" s="34">
        <v>43188</v>
      </c>
      <c r="U122" s="34">
        <v>43189</v>
      </c>
      <c r="V122" s="34"/>
      <c r="AG122" s="30"/>
      <c r="AH122" s="30"/>
      <c r="AI122" s="30"/>
      <c r="AJ122" s="31"/>
    </row>
    <row r="123" spans="1:36" s="29" customFormat="1" x14ac:dyDescent="0.3">
      <c r="A123" s="33">
        <v>180</v>
      </c>
      <c r="B123" s="35" t="s">
        <v>53</v>
      </c>
      <c r="C123" s="35" t="s">
        <v>182</v>
      </c>
      <c r="D123" s="37" t="s">
        <v>223</v>
      </c>
      <c r="E123" s="35">
        <v>4201663212</v>
      </c>
      <c r="F123" s="32">
        <v>11</v>
      </c>
      <c r="G123" s="32">
        <v>5.32</v>
      </c>
      <c r="H123" s="32">
        <v>10</v>
      </c>
      <c r="I123" s="32">
        <v>5.7</v>
      </c>
      <c r="J123" s="32">
        <f>0.34</f>
        <v>0.34</v>
      </c>
      <c r="K123" s="32">
        <f>I123-J123</f>
        <v>5.36</v>
      </c>
      <c r="L123" s="32" t="s">
        <v>65</v>
      </c>
      <c r="M123" s="23">
        <f t="shared" ref="M123" si="102">(J123/G123)*1000</f>
        <v>63.909774436090224</v>
      </c>
      <c r="N123" s="23">
        <f t="shared" ref="N123" si="103">I123/G123*1000</f>
        <v>1071.4285714285713</v>
      </c>
      <c r="O123" s="32" t="s">
        <v>74</v>
      </c>
      <c r="P123" s="32" t="s">
        <v>49</v>
      </c>
      <c r="Q123" s="32" t="s">
        <v>54</v>
      </c>
      <c r="R123" s="29">
        <v>18</v>
      </c>
      <c r="S123" s="34">
        <v>43188</v>
      </c>
      <c r="T123" s="34">
        <v>43189</v>
      </c>
      <c r="U123" s="34">
        <v>43195</v>
      </c>
      <c r="V123" s="34"/>
      <c r="AG123" s="30"/>
      <c r="AH123" s="30"/>
      <c r="AI123" s="30"/>
      <c r="AJ123" s="31"/>
    </row>
    <row r="124" spans="1:36" s="29" customFormat="1" x14ac:dyDescent="0.3">
      <c r="A124" s="33">
        <v>181</v>
      </c>
      <c r="B124" s="35" t="s">
        <v>81</v>
      </c>
      <c r="C124" s="35" t="s">
        <v>182</v>
      </c>
      <c r="D124" s="35" t="s">
        <v>224</v>
      </c>
      <c r="E124" s="35">
        <v>4201663455</v>
      </c>
      <c r="F124" s="32">
        <v>33</v>
      </c>
      <c r="G124" s="32">
        <v>33.21</v>
      </c>
      <c r="H124" s="32">
        <v>52</v>
      </c>
      <c r="I124" s="32">
        <v>2.7</v>
      </c>
      <c r="J124" s="32">
        <f>I124</f>
        <v>2.7</v>
      </c>
      <c r="K124" s="32"/>
      <c r="L124" s="32" t="s">
        <v>75</v>
      </c>
      <c r="M124" s="23">
        <f t="shared" ref="M124" si="104">(J124/G124)*1000</f>
        <v>81.300813008130078</v>
      </c>
      <c r="N124" s="23">
        <f t="shared" ref="N124" si="105">I124/G124*1000</f>
        <v>81.300813008130078</v>
      </c>
      <c r="O124" s="32" t="s">
        <v>74</v>
      </c>
      <c r="P124" s="32" t="s">
        <v>49</v>
      </c>
      <c r="Q124" s="32" t="s">
        <v>127</v>
      </c>
      <c r="R124" s="29">
        <v>6</v>
      </c>
      <c r="S124" s="34">
        <v>43187</v>
      </c>
      <c r="T124" s="34">
        <v>43190</v>
      </c>
      <c r="U124" s="34">
        <v>43195</v>
      </c>
      <c r="V124" s="34"/>
      <c r="W124" s="34"/>
      <c r="AG124" s="30"/>
      <c r="AH124" s="30"/>
      <c r="AI124" s="30"/>
      <c r="AJ124" s="31"/>
    </row>
    <row r="125" spans="1:36" s="29" customFormat="1" x14ac:dyDescent="0.3">
      <c r="A125" s="33">
        <v>182</v>
      </c>
      <c r="B125" s="35" t="s">
        <v>47</v>
      </c>
      <c r="C125" s="35" t="s">
        <v>182</v>
      </c>
      <c r="D125" s="37" t="s">
        <v>225</v>
      </c>
      <c r="E125" s="35">
        <v>5000056337</v>
      </c>
      <c r="F125" s="32"/>
      <c r="G125" s="32"/>
      <c r="H125" s="32">
        <v>2</v>
      </c>
      <c r="I125" s="32">
        <v>3.5999999999999997E-2</v>
      </c>
      <c r="J125" s="32">
        <f>I125</f>
        <v>3.5999999999999997E-2</v>
      </c>
      <c r="K125" s="32"/>
      <c r="L125" s="32" t="s">
        <v>65</v>
      </c>
      <c r="M125" s="23"/>
      <c r="N125" s="23"/>
      <c r="O125" s="32" t="s">
        <v>52</v>
      </c>
      <c r="P125" s="32" t="s">
        <v>49</v>
      </c>
      <c r="Q125" s="32" t="s">
        <v>161</v>
      </c>
      <c r="R125" s="29">
        <v>12</v>
      </c>
      <c r="S125" s="34">
        <v>43185</v>
      </c>
      <c r="T125" s="34">
        <v>43190</v>
      </c>
      <c r="U125" s="34">
        <v>43195</v>
      </c>
      <c r="V125" s="34"/>
      <c r="AG125" s="30"/>
      <c r="AH125" s="30"/>
      <c r="AI125" s="30"/>
      <c r="AJ125" s="31"/>
    </row>
    <row r="126" spans="1:36" s="29" customFormat="1" x14ac:dyDescent="0.3">
      <c r="A126" s="33">
        <v>183</v>
      </c>
      <c r="B126" s="35" t="s">
        <v>47</v>
      </c>
      <c r="C126" s="35" t="s">
        <v>182</v>
      </c>
      <c r="D126" s="37" t="s">
        <v>226</v>
      </c>
      <c r="E126" s="35">
        <v>5000056322</v>
      </c>
      <c r="F126" s="32"/>
      <c r="G126" s="32">
        <f>0.343*3</f>
        <v>1.0290000000000001</v>
      </c>
      <c r="H126" s="32">
        <v>3</v>
      </c>
      <c r="I126" s="32">
        <v>9.0999999999999998E-2</v>
      </c>
      <c r="J126" s="32">
        <f>I126</f>
        <v>9.0999999999999998E-2</v>
      </c>
      <c r="K126" s="32"/>
      <c r="L126" s="32" t="s">
        <v>65</v>
      </c>
      <c r="M126" s="23">
        <f t="shared" ref="M126" si="106">(J126/G126)*1000</f>
        <v>88.43537414965985</v>
      </c>
      <c r="N126" s="23">
        <f t="shared" ref="N126" si="107">I126/G126*1000</f>
        <v>88.43537414965985</v>
      </c>
      <c r="O126" s="32" t="s">
        <v>52</v>
      </c>
      <c r="P126" s="32" t="s">
        <v>49</v>
      </c>
      <c r="Q126" s="32" t="s">
        <v>156</v>
      </c>
      <c r="R126" s="29">
        <v>12</v>
      </c>
      <c r="S126" s="34">
        <v>43187</v>
      </c>
      <c r="T126" s="34">
        <v>43190</v>
      </c>
      <c r="U126" s="34">
        <v>43195</v>
      </c>
      <c r="V126" s="34"/>
      <c r="AG126" s="30"/>
      <c r="AH126" s="30"/>
      <c r="AI126" s="30"/>
      <c r="AJ126" s="31"/>
    </row>
    <row r="127" spans="1:36" s="29" customFormat="1" x14ac:dyDescent="0.3">
      <c r="A127" s="33">
        <v>184</v>
      </c>
      <c r="B127" s="35" t="s">
        <v>47</v>
      </c>
      <c r="C127" s="35" t="s">
        <v>182</v>
      </c>
      <c r="D127" s="37" t="s">
        <v>226</v>
      </c>
      <c r="E127" s="35">
        <v>5000056320</v>
      </c>
      <c r="F127" s="32"/>
      <c r="G127" s="32">
        <f>0.5*10</f>
        <v>5</v>
      </c>
      <c r="H127" s="32">
        <v>10</v>
      </c>
      <c r="I127" s="32">
        <v>0.47499999999999998</v>
      </c>
      <c r="J127" s="32">
        <f>I127</f>
        <v>0.47499999999999998</v>
      </c>
      <c r="K127" s="32"/>
      <c r="L127" s="32" t="s">
        <v>65</v>
      </c>
      <c r="M127" s="32">
        <f t="shared" ref="M127" si="108">(J127/G127)*1000</f>
        <v>95</v>
      </c>
      <c r="N127" s="32">
        <f t="shared" ref="N127" si="109">I127/G127*1000</f>
        <v>95</v>
      </c>
      <c r="O127" s="32" t="s">
        <v>52</v>
      </c>
      <c r="P127" s="32" t="s">
        <v>49</v>
      </c>
      <c r="Q127" s="32" t="s">
        <v>156</v>
      </c>
      <c r="R127" s="29">
        <v>12</v>
      </c>
      <c r="S127" s="34">
        <v>43188</v>
      </c>
      <c r="T127" s="34">
        <v>43190</v>
      </c>
      <c r="U127" s="34">
        <v>43195</v>
      </c>
      <c r="V127" s="34"/>
      <c r="AG127" s="30"/>
      <c r="AH127" s="30"/>
      <c r="AI127" s="30"/>
      <c r="AJ127" s="31"/>
    </row>
    <row r="128" spans="1:36" s="29" customFormat="1" x14ac:dyDescent="0.3">
      <c r="A128" s="33">
        <v>185</v>
      </c>
      <c r="B128" s="35" t="s">
        <v>47</v>
      </c>
      <c r="C128" s="35" t="s">
        <v>182</v>
      </c>
      <c r="D128" s="37" t="s">
        <v>64</v>
      </c>
      <c r="E128" s="35">
        <v>5000056313</v>
      </c>
      <c r="F128" s="32"/>
      <c r="G128" s="32"/>
      <c r="H128" s="32">
        <v>2</v>
      </c>
      <c r="I128" s="32">
        <v>7.3999999999999996E-2</v>
      </c>
      <c r="J128" s="32">
        <f t="shared" ref="J128" si="110">I128</f>
        <v>7.3999999999999996E-2</v>
      </c>
      <c r="K128" s="32"/>
      <c r="L128" s="32" t="s">
        <v>65</v>
      </c>
      <c r="M128" s="23"/>
      <c r="N128" s="23"/>
      <c r="O128" s="32" t="s">
        <v>52</v>
      </c>
      <c r="P128" s="32" t="s">
        <v>49</v>
      </c>
      <c r="Q128" s="32" t="s">
        <v>100</v>
      </c>
      <c r="R128" s="29">
        <v>12</v>
      </c>
      <c r="S128" s="34">
        <v>43181</v>
      </c>
      <c r="T128" s="34">
        <v>43187</v>
      </c>
      <c r="U128" s="34">
        <v>43189</v>
      </c>
      <c r="V128" s="34"/>
      <c r="AG128" s="30"/>
      <c r="AH128" s="30"/>
      <c r="AI128" s="30"/>
      <c r="AJ128" s="31"/>
    </row>
    <row r="129" spans="1:36" s="29" customFormat="1" x14ac:dyDescent="0.3">
      <c r="A129" s="33">
        <v>186</v>
      </c>
      <c r="B129" s="35" t="s">
        <v>67</v>
      </c>
      <c r="C129" s="35" t="s">
        <v>182</v>
      </c>
      <c r="D129" s="37" t="s">
        <v>227</v>
      </c>
      <c r="E129" s="35">
        <v>4201663687</v>
      </c>
      <c r="F129" s="32">
        <v>11</v>
      </c>
      <c r="G129" s="32">
        <v>14.52</v>
      </c>
      <c r="H129" s="32">
        <v>60</v>
      </c>
      <c r="I129" s="32">
        <v>1.7</v>
      </c>
      <c r="J129" s="32">
        <f>0.935</f>
        <v>0.93500000000000005</v>
      </c>
      <c r="K129" s="32">
        <f t="shared" ref="K129:K134" si="111">I129-J129</f>
        <v>0.7649999999999999</v>
      </c>
      <c r="L129" s="32" t="s">
        <v>75</v>
      </c>
      <c r="M129" s="23">
        <f t="shared" ref="M129" si="112">(J129/G129)*1000</f>
        <v>64.393939393939405</v>
      </c>
      <c r="N129" s="23">
        <f t="shared" ref="N129" si="113">I129/G129*1000</f>
        <v>117.07988980716254</v>
      </c>
      <c r="O129" s="32" t="s">
        <v>69</v>
      </c>
      <c r="P129" s="32" t="s">
        <v>70</v>
      </c>
      <c r="Q129" s="32" t="s">
        <v>76</v>
      </c>
      <c r="R129" s="29">
        <v>1</v>
      </c>
      <c r="S129" s="34">
        <v>43189</v>
      </c>
      <c r="T129" s="34">
        <v>43194</v>
      </c>
      <c r="U129" s="34">
        <v>43195</v>
      </c>
      <c r="V129" s="34"/>
      <c r="AG129" s="30"/>
      <c r="AH129" s="30"/>
      <c r="AI129" s="30"/>
      <c r="AJ129" s="31"/>
    </row>
    <row r="130" spans="1:36" s="29" customFormat="1" x14ac:dyDescent="0.3">
      <c r="A130" s="33">
        <v>187</v>
      </c>
      <c r="B130" s="35" t="s">
        <v>67</v>
      </c>
      <c r="C130" s="35" t="s">
        <v>182</v>
      </c>
      <c r="D130" s="37" t="s">
        <v>228</v>
      </c>
      <c r="E130" s="35">
        <v>4201663661</v>
      </c>
      <c r="F130" s="32">
        <v>11</v>
      </c>
      <c r="G130" s="32">
        <v>14.52</v>
      </c>
      <c r="H130" s="32">
        <v>60</v>
      </c>
      <c r="I130" s="32">
        <v>1.8</v>
      </c>
      <c r="J130" s="32">
        <v>1.05</v>
      </c>
      <c r="K130" s="32">
        <f t="shared" si="111"/>
        <v>0.75</v>
      </c>
      <c r="L130" s="32" t="s">
        <v>75</v>
      </c>
      <c r="M130" s="23">
        <f t="shared" ref="M130:M132" si="114">(J130/G130)*1000</f>
        <v>72.314049586776875</v>
      </c>
      <c r="N130" s="23">
        <f t="shared" ref="N130:N132" si="115">I130/G130*1000</f>
        <v>123.96694214876034</v>
      </c>
      <c r="O130" s="32" t="s">
        <v>69</v>
      </c>
      <c r="P130" s="32" t="s">
        <v>70</v>
      </c>
      <c r="Q130" s="32" t="s">
        <v>76</v>
      </c>
      <c r="R130" s="29">
        <v>1</v>
      </c>
      <c r="S130" s="34">
        <v>43189</v>
      </c>
      <c r="T130" s="34">
        <v>43194</v>
      </c>
      <c r="U130" s="34">
        <v>43195</v>
      </c>
      <c r="V130" s="34"/>
      <c r="AG130" s="30"/>
      <c r="AH130" s="30"/>
      <c r="AI130" s="30"/>
      <c r="AJ130" s="31"/>
    </row>
    <row r="131" spans="1:36" s="29" customFormat="1" x14ac:dyDescent="0.3">
      <c r="A131" s="33">
        <v>188</v>
      </c>
      <c r="B131" s="35" t="s">
        <v>67</v>
      </c>
      <c r="C131" s="35" t="s">
        <v>182</v>
      </c>
      <c r="D131" s="37" t="s">
        <v>229</v>
      </c>
      <c r="E131" s="35">
        <v>4201663602</v>
      </c>
      <c r="F131" s="32">
        <v>11</v>
      </c>
      <c r="G131" s="32">
        <v>2.9</v>
      </c>
      <c r="H131" s="32">
        <v>12</v>
      </c>
      <c r="I131" s="32">
        <v>0.34</v>
      </c>
      <c r="J131" s="32">
        <v>0.19</v>
      </c>
      <c r="K131" s="32">
        <f t="shared" si="111"/>
        <v>0.15000000000000002</v>
      </c>
      <c r="L131" s="32" t="s">
        <v>75</v>
      </c>
      <c r="M131" s="23">
        <f t="shared" si="114"/>
        <v>65.517241379310349</v>
      </c>
      <c r="N131" s="23">
        <f t="shared" si="115"/>
        <v>117.24137931034484</v>
      </c>
      <c r="O131" s="32" t="s">
        <v>69</v>
      </c>
      <c r="P131" s="32" t="s">
        <v>70</v>
      </c>
      <c r="Q131" s="32" t="s">
        <v>76</v>
      </c>
      <c r="R131" s="29">
        <v>1</v>
      </c>
      <c r="S131" s="34">
        <v>43188</v>
      </c>
      <c r="T131" s="34">
        <v>43194</v>
      </c>
      <c r="U131" s="34">
        <v>43195</v>
      </c>
      <c r="V131" s="34"/>
      <c r="AG131" s="30"/>
      <c r="AH131" s="30"/>
      <c r="AI131" s="30"/>
      <c r="AJ131" s="31"/>
    </row>
    <row r="132" spans="1:36" s="29" customFormat="1" x14ac:dyDescent="0.3">
      <c r="A132" s="33">
        <v>189</v>
      </c>
      <c r="B132" s="35" t="s">
        <v>67</v>
      </c>
      <c r="C132" s="35" t="s">
        <v>182</v>
      </c>
      <c r="D132" s="37" t="s">
        <v>230</v>
      </c>
      <c r="E132" s="35">
        <v>4201663649</v>
      </c>
      <c r="F132" s="32">
        <v>11</v>
      </c>
      <c r="G132" s="32">
        <v>2.9</v>
      </c>
      <c r="H132" s="32">
        <v>12</v>
      </c>
      <c r="I132" s="32">
        <v>0.34</v>
      </c>
      <c r="J132" s="32">
        <v>0.19</v>
      </c>
      <c r="K132" s="32">
        <f t="shared" si="111"/>
        <v>0.15000000000000002</v>
      </c>
      <c r="L132" s="32" t="s">
        <v>75</v>
      </c>
      <c r="M132" s="23">
        <f t="shared" si="114"/>
        <v>65.517241379310349</v>
      </c>
      <c r="N132" s="23">
        <f t="shared" si="115"/>
        <v>117.24137931034484</v>
      </c>
      <c r="O132" s="32" t="s">
        <v>69</v>
      </c>
      <c r="P132" s="32" t="s">
        <v>70</v>
      </c>
      <c r="Q132" s="32" t="s">
        <v>76</v>
      </c>
      <c r="R132" s="29">
        <v>1</v>
      </c>
      <c r="S132" s="34">
        <v>43189</v>
      </c>
      <c r="T132" s="34">
        <v>43194</v>
      </c>
      <c r="U132" s="34">
        <v>43195</v>
      </c>
      <c r="V132" s="34"/>
      <c r="AG132" s="30"/>
      <c r="AH132" s="30"/>
      <c r="AI132" s="30"/>
      <c r="AJ132" s="31"/>
    </row>
    <row r="133" spans="1:36" s="29" customFormat="1" x14ac:dyDescent="0.3">
      <c r="A133" s="33">
        <v>190</v>
      </c>
      <c r="B133" s="35" t="s">
        <v>67</v>
      </c>
      <c r="C133" s="35" t="s">
        <v>182</v>
      </c>
      <c r="D133" s="37" t="s">
        <v>230</v>
      </c>
      <c r="E133" s="35">
        <v>4201663636</v>
      </c>
      <c r="F133" s="32">
        <v>11</v>
      </c>
      <c r="G133" s="32">
        <v>2.9</v>
      </c>
      <c r="H133" s="32">
        <v>12</v>
      </c>
      <c r="I133" s="32">
        <v>0.34</v>
      </c>
      <c r="J133" s="32">
        <v>0.19</v>
      </c>
      <c r="K133" s="32">
        <f t="shared" si="111"/>
        <v>0.15000000000000002</v>
      </c>
      <c r="L133" s="32" t="s">
        <v>75</v>
      </c>
      <c r="M133" s="23">
        <f t="shared" ref="M133:M134" si="116">(J133/G133)*1000</f>
        <v>65.517241379310349</v>
      </c>
      <c r="N133" s="23">
        <f t="shared" ref="N133:N134" si="117">I133/G133*1000</f>
        <v>117.24137931034484</v>
      </c>
      <c r="O133" s="32" t="s">
        <v>69</v>
      </c>
      <c r="P133" s="32" t="s">
        <v>70</v>
      </c>
      <c r="Q133" s="32" t="s">
        <v>76</v>
      </c>
      <c r="R133" s="29">
        <v>1</v>
      </c>
      <c r="S133" s="34">
        <v>43189</v>
      </c>
      <c r="T133" s="34">
        <v>43194</v>
      </c>
      <c r="U133" s="34">
        <v>43195</v>
      </c>
      <c r="V133" s="34"/>
      <c r="AG133" s="30"/>
      <c r="AH133" s="30"/>
      <c r="AI133" s="30"/>
      <c r="AJ133" s="31"/>
    </row>
    <row r="134" spans="1:36" s="29" customFormat="1" x14ac:dyDescent="0.3">
      <c r="A134" s="33">
        <v>191</v>
      </c>
      <c r="B134" s="35" t="s">
        <v>71</v>
      </c>
      <c r="C134" s="35" t="s">
        <v>182</v>
      </c>
      <c r="D134" s="37" t="s">
        <v>232</v>
      </c>
      <c r="E134" s="35">
        <v>4201661086</v>
      </c>
      <c r="F134" s="32">
        <v>33</v>
      </c>
      <c r="G134" s="32">
        <v>353</v>
      </c>
      <c r="H134" s="32">
        <v>662</v>
      </c>
      <c r="I134" s="32">
        <v>160</v>
      </c>
      <c r="J134" s="32">
        <v>18</v>
      </c>
      <c r="K134" s="32">
        <f t="shared" si="111"/>
        <v>142</v>
      </c>
      <c r="L134" s="32" t="s">
        <v>126</v>
      </c>
      <c r="M134" s="23">
        <f t="shared" si="116"/>
        <v>50.991501416430594</v>
      </c>
      <c r="N134" s="23">
        <f t="shared" si="117"/>
        <v>453.25779036827197</v>
      </c>
      <c r="O134" s="32" t="s">
        <v>74</v>
      </c>
      <c r="P134" s="32" t="s">
        <v>49</v>
      </c>
      <c r="Q134" s="32" t="s">
        <v>54</v>
      </c>
      <c r="R134" s="29">
        <v>18</v>
      </c>
      <c r="S134" s="34">
        <v>43186</v>
      </c>
      <c r="T134" s="34">
        <v>43187</v>
      </c>
      <c r="U134" s="34">
        <v>43195</v>
      </c>
      <c r="V134" s="34"/>
      <c r="AG134" s="30"/>
      <c r="AH134" s="30"/>
      <c r="AI134" s="30"/>
      <c r="AJ134" s="31"/>
    </row>
    <row r="135" spans="1:36" s="29" customFormat="1" x14ac:dyDescent="0.3">
      <c r="A135" s="33">
        <v>192</v>
      </c>
      <c r="B135" s="35" t="s">
        <v>81</v>
      </c>
      <c r="C135" s="35" t="s">
        <v>234</v>
      </c>
      <c r="D135" s="37" t="s">
        <v>233</v>
      </c>
      <c r="E135" s="35">
        <v>4201667794</v>
      </c>
      <c r="F135" s="32">
        <v>11</v>
      </c>
      <c r="G135" s="32">
        <v>10.88</v>
      </c>
      <c r="H135" s="32">
        <v>28</v>
      </c>
      <c r="I135" s="32">
        <v>10.6</v>
      </c>
      <c r="J135" s="32">
        <f>0.988</f>
        <v>0.98799999999999999</v>
      </c>
      <c r="K135" s="32">
        <f>I135-J135</f>
        <v>9.6120000000000001</v>
      </c>
      <c r="L135" s="32" t="s">
        <v>65</v>
      </c>
      <c r="M135" s="23">
        <f t="shared" ref="M135" si="118">(J135/G135)*1000</f>
        <v>90.808823529411768</v>
      </c>
      <c r="N135" s="23">
        <f t="shared" ref="N135" si="119">I135/G135*1000</f>
        <v>974.26470588235281</v>
      </c>
      <c r="O135" s="32" t="s">
        <v>144</v>
      </c>
      <c r="P135" s="32" t="s">
        <v>49</v>
      </c>
      <c r="Q135" s="32" t="s">
        <v>127</v>
      </c>
      <c r="R135" s="29">
        <v>6</v>
      </c>
      <c r="S135" s="34">
        <v>43196</v>
      </c>
      <c r="T135" s="34">
        <v>43196</v>
      </c>
      <c r="U135" s="34">
        <v>43199</v>
      </c>
      <c r="V135" s="34"/>
      <c r="AG135" s="30"/>
      <c r="AH135" s="30"/>
      <c r="AI135" s="30"/>
      <c r="AJ135" s="31"/>
    </row>
    <row r="136" spans="1:36" s="29" customFormat="1" x14ac:dyDescent="0.3">
      <c r="A136" s="33">
        <v>193</v>
      </c>
      <c r="B136" s="35" t="s">
        <v>53</v>
      </c>
      <c r="C136" s="35" t="s">
        <v>234</v>
      </c>
      <c r="D136" s="37" t="s">
        <v>235</v>
      </c>
      <c r="E136" s="35">
        <v>2360083140</v>
      </c>
      <c r="F136" s="32"/>
      <c r="G136" s="32"/>
      <c r="H136" s="32"/>
      <c r="I136" s="32">
        <v>0.28599999999999998</v>
      </c>
      <c r="J136" s="32">
        <f>I136</f>
        <v>0.28599999999999998</v>
      </c>
      <c r="K136" s="32">
        <f>I136-J136</f>
        <v>0</v>
      </c>
      <c r="L136" s="32" t="s">
        <v>68</v>
      </c>
      <c r="M136" s="23"/>
      <c r="N136" s="23"/>
      <c r="O136" s="32" t="s">
        <v>74</v>
      </c>
      <c r="P136" s="32" t="s">
        <v>49</v>
      </c>
      <c r="Q136" s="32" t="s">
        <v>217</v>
      </c>
      <c r="R136" s="29">
        <v>15</v>
      </c>
      <c r="S136" s="34">
        <v>43190</v>
      </c>
      <c r="T136" s="34">
        <v>43196</v>
      </c>
      <c r="U136" s="34">
        <v>43200</v>
      </c>
      <c r="V136" s="34"/>
      <c r="AG136" s="30"/>
      <c r="AH136" s="30"/>
      <c r="AI136" s="30"/>
      <c r="AJ136" s="31"/>
    </row>
    <row r="137" spans="1:36" s="29" customFormat="1" x14ac:dyDescent="0.3">
      <c r="A137" s="33">
        <v>195</v>
      </c>
      <c r="B137" s="35" t="s">
        <v>71</v>
      </c>
      <c r="C137" s="35" t="s">
        <v>234</v>
      </c>
      <c r="D137" s="35" t="s">
        <v>200</v>
      </c>
      <c r="E137" s="32">
        <v>4201661306</v>
      </c>
      <c r="F137" s="32">
        <v>11</v>
      </c>
      <c r="G137" s="32">
        <v>19.690000000000001</v>
      </c>
      <c r="H137" s="32">
        <v>60</v>
      </c>
      <c r="I137" s="32">
        <v>2.44</v>
      </c>
      <c r="J137" s="32">
        <v>1.1100000000000001</v>
      </c>
      <c r="K137" s="32">
        <f>I137-J137</f>
        <v>1.3299999999999998</v>
      </c>
      <c r="L137" s="32" t="s">
        <v>96</v>
      </c>
      <c r="M137" s="23">
        <f t="shared" ref="M137:M146" si="120">(J137/G137)*1000</f>
        <v>56.373793803961405</v>
      </c>
      <c r="N137" s="23">
        <f t="shared" ref="N137:N146" si="121">I137/G137*1000</f>
        <v>123.9207719654647</v>
      </c>
      <c r="O137" s="32" t="s">
        <v>49</v>
      </c>
      <c r="P137" s="32" t="s">
        <v>49</v>
      </c>
      <c r="Q137" s="32" t="s">
        <v>55</v>
      </c>
      <c r="R137" s="29">
        <v>2</v>
      </c>
      <c r="S137" s="34">
        <v>43185</v>
      </c>
      <c r="T137" s="34">
        <v>43187</v>
      </c>
      <c r="U137" s="34">
        <v>43200</v>
      </c>
      <c r="V137" s="34"/>
      <c r="AG137" s="30"/>
      <c r="AH137" s="30"/>
      <c r="AI137" s="30"/>
      <c r="AJ137" s="31"/>
    </row>
    <row r="138" spans="1:36" s="29" customFormat="1" x14ac:dyDescent="0.3">
      <c r="A138" s="33">
        <v>196</v>
      </c>
      <c r="B138" s="35" t="s">
        <v>72</v>
      </c>
      <c r="C138" s="35" t="s">
        <v>234</v>
      </c>
      <c r="D138" s="35" t="s">
        <v>236</v>
      </c>
      <c r="E138" s="32">
        <v>2360083205</v>
      </c>
      <c r="F138" s="32"/>
      <c r="G138" s="32">
        <f>0.2*6</f>
        <v>1.2000000000000002</v>
      </c>
      <c r="H138" s="32">
        <v>6</v>
      </c>
      <c r="I138" s="32">
        <v>0.13500000000000001</v>
      </c>
      <c r="J138" s="32">
        <f>I138</f>
        <v>0.13500000000000001</v>
      </c>
      <c r="K138" s="32"/>
      <c r="L138" s="32" t="s">
        <v>68</v>
      </c>
      <c r="M138" s="23">
        <f t="shared" si="120"/>
        <v>112.49999999999999</v>
      </c>
      <c r="N138" s="23">
        <f t="shared" si="121"/>
        <v>112.49999999999999</v>
      </c>
      <c r="O138" s="32" t="s">
        <v>74</v>
      </c>
      <c r="P138" s="32" t="s">
        <v>49</v>
      </c>
      <c r="Q138" s="32" t="s">
        <v>66</v>
      </c>
      <c r="R138" s="29">
        <v>11</v>
      </c>
      <c r="S138" s="34">
        <v>43199</v>
      </c>
      <c r="T138" s="34">
        <v>43201</v>
      </c>
      <c r="U138" s="34">
        <v>43203</v>
      </c>
      <c r="V138" s="34"/>
      <c r="AG138" s="30"/>
      <c r="AH138" s="30"/>
      <c r="AI138" s="30"/>
      <c r="AJ138" s="31"/>
    </row>
    <row r="139" spans="1:36" s="29" customFormat="1" x14ac:dyDescent="0.3">
      <c r="A139" s="33">
        <v>197</v>
      </c>
      <c r="B139" s="35" t="s">
        <v>47</v>
      </c>
      <c r="C139" s="35" t="s">
        <v>234</v>
      </c>
      <c r="D139" s="35" t="s">
        <v>165</v>
      </c>
      <c r="E139" s="32">
        <v>5000056483</v>
      </c>
      <c r="F139" s="32"/>
      <c r="G139" s="32"/>
      <c r="H139" s="32">
        <v>2</v>
      </c>
      <c r="I139" s="32">
        <v>4.4999999999999998E-2</v>
      </c>
      <c r="J139" s="32">
        <f>I139</f>
        <v>4.4999999999999998E-2</v>
      </c>
      <c r="K139" s="32"/>
      <c r="L139" s="32" t="s">
        <v>65</v>
      </c>
      <c r="M139" s="23"/>
      <c r="N139" s="23"/>
      <c r="O139" s="32" t="s">
        <v>52</v>
      </c>
      <c r="P139" s="32" t="s">
        <v>49</v>
      </c>
      <c r="Q139" s="32" t="s">
        <v>161</v>
      </c>
      <c r="R139" s="29">
        <v>12</v>
      </c>
      <c r="S139" s="34">
        <v>43192</v>
      </c>
      <c r="T139" s="34">
        <v>43199</v>
      </c>
      <c r="U139" s="34">
        <v>43203</v>
      </c>
      <c r="V139" s="34"/>
      <c r="AG139" s="30"/>
      <c r="AH139" s="30"/>
      <c r="AI139" s="30"/>
      <c r="AJ139" s="31"/>
    </row>
    <row r="140" spans="1:36" s="29" customFormat="1" x14ac:dyDescent="0.3">
      <c r="A140" s="33">
        <v>198</v>
      </c>
      <c r="B140" s="35" t="s">
        <v>47</v>
      </c>
      <c r="C140" s="35" t="s">
        <v>234</v>
      </c>
      <c r="D140" s="35" t="s">
        <v>85</v>
      </c>
      <c r="E140" s="32">
        <v>5000056586</v>
      </c>
      <c r="F140" s="32"/>
      <c r="G140" s="32">
        <f>0.1</f>
        <v>0.1</v>
      </c>
      <c r="H140" s="32">
        <v>1</v>
      </c>
      <c r="I140" s="32">
        <v>0.05</v>
      </c>
      <c r="J140" s="32">
        <f>I140</f>
        <v>0.05</v>
      </c>
      <c r="K140" s="32"/>
      <c r="L140" s="32" t="s">
        <v>65</v>
      </c>
      <c r="M140" s="23">
        <f t="shared" si="120"/>
        <v>500</v>
      </c>
      <c r="N140" s="23">
        <f t="shared" si="121"/>
        <v>500</v>
      </c>
      <c r="O140" s="32" t="s">
        <v>52</v>
      </c>
      <c r="P140" s="32" t="s">
        <v>49</v>
      </c>
      <c r="Q140" s="32" t="s">
        <v>156</v>
      </c>
      <c r="R140" s="29">
        <v>12</v>
      </c>
      <c r="S140" s="34">
        <v>43202</v>
      </c>
      <c r="T140" s="34">
        <v>43202</v>
      </c>
      <c r="U140" s="34">
        <v>43203</v>
      </c>
      <c r="V140" s="34"/>
      <c r="AG140" s="30"/>
      <c r="AH140" s="30"/>
      <c r="AI140" s="30"/>
      <c r="AJ140" s="31"/>
    </row>
    <row r="141" spans="1:36" s="29" customFormat="1" x14ac:dyDescent="0.3">
      <c r="A141" s="33">
        <v>196</v>
      </c>
      <c r="B141" s="35" t="s">
        <v>72</v>
      </c>
      <c r="C141" s="35" t="s">
        <v>234</v>
      </c>
      <c r="D141" s="37" t="s">
        <v>237</v>
      </c>
      <c r="E141" s="35">
        <v>4201588132</v>
      </c>
      <c r="F141" s="32">
        <v>11</v>
      </c>
      <c r="G141" s="32">
        <v>24</v>
      </c>
      <c r="H141" s="32">
        <v>120</v>
      </c>
      <c r="I141" s="32">
        <v>7.9</v>
      </c>
      <c r="J141" s="32">
        <v>1.18</v>
      </c>
      <c r="K141" s="32">
        <f>I141-J141</f>
        <v>6.7200000000000006</v>
      </c>
      <c r="L141" s="32" t="s">
        <v>68</v>
      </c>
      <c r="M141" s="23">
        <f t="shared" si="120"/>
        <v>49.166666666666664</v>
      </c>
      <c r="N141" s="23">
        <f t="shared" si="121"/>
        <v>329.16666666666669</v>
      </c>
      <c r="O141" s="32" t="s">
        <v>69</v>
      </c>
      <c r="P141" s="32" t="s">
        <v>70</v>
      </c>
      <c r="Q141" s="32" t="s">
        <v>54</v>
      </c>
      <c r="R141" s="29">
        <v>18</v>
      </c>
      <c r="S141" s="34">
        <v>43182</v>
      </c>
      <c r="T141" s="34">
        <v>43203</v>
      </c>
      <c r="U141" s="34">
        <v>43203</v>
      </c>
      <c r="V141" s="34"/>
      <c r="AG141" s="30"/>
      <c r="AH141" s="30"/>
      <c r="AI141" s="30"/>
      <c r="AJ141" s="31"/>
    </row>
    <row r="142" spans="1:36" s="29" customFormat="1" x14ac:dyDescent="0.3">
      <c r="A142" s="33">
        <v>197</v>
      </c>
      <c r="B142" s="35" t="s">
        <v>67</v>
      </c>
      <c r="C142" s="35" t="s">
        <v>234</v>
      </c>
      <c r="D142" s="37" t="s">
        <v>242</v>
      </c>
      <c r="E142" s="35">
        <v>4201672086</v>
      </c>
      <c r="F142" s="32">
        <v>33</v>
      </c>
      <c r="G142" s="32">
        <v>16.3</v>
      </c>
      <c r="H142" s="32">
        <v>26</v>
      </c>
      <c r="I142" s="32">
        <v>4</v>
      </c>
      <c r="J142" s="32">
        <v>1.6</v>
      </c>
      <c r="K142" s="32">
        <f>I142-J142</f>
        <v>2.4</v>
      </c>
      <c r="L142" s="32" t="s">
        <v>75</v>
      </c>
      <c r="M142" s="23">
        <f t="shared" ref="M142" si="122">(J142/G142)*1000</f>
        <v>98.159509202453989</v>
      </c>
      <c r="N142" s="23">
        <f t="shared" ref="N142" si="123">I142/G142*1000</f>
        <v>245.39877300613497</v>
      </c>
      <c r="O142" s="32" t="s">
        <v>74</v>
      </c>
      <c r="P142" s="32" t="s">
        <v>49</v>
      </c>
      <c r="Q142" s="32" t="s">
        <v>127</v>
      </c>
      <c r="R142" s="29">
        <v>6</v>
      </c>
      <c r="S142" s="34">
        <v>43200</v>
      </c>
      <c r="T142" s="34">
        <v>43202</v>
      </c>
      <c r="U142" s="34">
        <v>43203</v>
      </c>
      <c r="V142" s="34"/>
      <c r="AG142" s="30"/>
      <c r="AH142" s="30"/>
      <c r="AI142" s="30"/>
      <c r="AJ142" s="31"/>
    </row>
    <row r="143" spans="1:36" s="29" customFormat="1" x14ac:dyDescent="0.3">
      <c r="A143" s="33">
        <v>198</v>
      </c>
      <c r="B143" s="35" t="s">
        <v>71</v>
      </c>
      <c r="C143" s="35" t="s">
        <v>234</v>
      </c>
      <c r="D143" s="37" t="s">
        <v>243</v>
      </c>
      <c r="E143" s="65" t="s">
        <v>246</v>
      </c>
      <c r="F143" s="32"/>
      <c r="G143" s="32"/>
      <c r="H143" s="32"/>
      <c r="I143" s="32">
        <v>1.5</v>
      </c>
      <c r="J143" s="32"/>
      <c r="K143" s="32"/>
      <c r="L143" s="32" t="s">
        <v>75</v>
      </c>
      <c r="M143" s="23"/>
      <c r="N143" s="23"/>
      <c r="O143" s="32" t="s">
        <v>49</v>
      </c>
      <c r="P143" s="32" t="s">
        <v>49</v>
      </c>
      <c r="Q143" s="32" t="s">
        <v>217</v>
      </c>
      <c r="R143" s="29">
        <v>15</v>
      </c>
      <c r="S143" s="34">
        <v>43193</v>
      </c>
      <c r="T143" s="34">
        <v>43202</v>
      </c>
      <c r="U143" s="34">
        <v>43203</v>
      </c>
      <c r="V143" s="34"/>
      <c r="AG143" s="30"/>
      <c r="AH143" s="30"/>
      <c r="AI143" s="30"/>
      <c r="AJ143" s="31"/>
    </row>
    <row r="144" spans="1:36" s="29" customFormat="1" x14ac:dyDescent="0.3">
      <c r="A144" s="33">
        <v>199</v>
      </c>
      <c r="B144" s="35" t="s">
        <v>72</v>
      </c>
      <c r="C144" s="35" t="s">
        <v>234</v>
      </c>
      <c r="D144" s="37" t="s">
        <v>244</v>
      </c>
      <c r="E144" s="35">
        <v>4201668949</v>
      </c>
      <c r="F144" s="32">
        <v>3.3</v>
      </c>
      <c r="G144" s="32">
        <v>1.19</v>
      </c>
      <c r="H144" s="32">
        <v>6</v>
      </c>
      <c r="I144" s="32">
        <v>0.65900000000000003</v>
      </c>
      <c r="J144" s="32">
        <f>I144</f>
        <v>0.65900000000000003</v>
      </c>
      <c r="K144" s="32"/>
      <c r="L144" s="32" t="s">
        <v>68</v>
      </c>
      <c r="M144" s="23">
        <f t="shared" si="120"/>
        <v>553.78151260504205</v>
      </c>
      <c r="N144" s="23">
        <f t="shared" si="121"/>
        <v>553.78151260504205</v>
      </c>
      <c r="O144" s="32" t="s">
        <v>74</v>
      </c>
      <c r="P144" s="32" t="s">
        <v>49</v>
      </c>
      <c r="Q144" s="32" t="s">
        <v>55</v>
      </c>
      <c r="R144" s="29">
        <v>2</v>
      </c>
      <c r="S144" s="34">
        <v>43189</v>
      </c>
      <c r="T144" s="34">
        <v>43199</v>
      </c>
      <c r="U144" s="34">
        <v>43206</v>
      </c>
      <c r="V144" s="34"/>
      <c r="AG144" s="30"/>
      <c r="AH144" s="30"/>
      <c r="AI144" s="30"/>
      <c r="AJ144" s="31"/>
    </row>
    <row r="145" spans="1:36" s="29" customFormat="1" x14ac:dyDescent="0.3">
      <c r="A145" s="33">
        <v>200</v>
      </c>
      <c r="B145" s="35" t="s">
        <v>53</v>
      </c>
      <c r="C145" s="35" t="s">
        <v>234</v>
      </c>
      <c r="D145" s="37" t="s">
        <v>245</v>
      </c>
      <c r="E145" s="35">
        <v>2360083282</v>
      </c>
      <c r="F145" s="32"/>
      <c r="G145" s="32">
        <f>0.44*20</f>
        <v>8.8000000000000007</v>
      </c>
      <c r="H145" s="32">
        <v>20</v>
      </c>
      <c r="I145" s="32">
        <v>0.64300000000000002</v>
      </c>
      <c r="J145" s="32">
        <f>I145</f>
        <v>0.64300000000000002</v>
      </c>
      <c r="K145" s="32"/>
      <c r="L145" s="32" t="s">
        <v>68</v>
      </c>
      <c r="M145" s="23">
        <f t="shared" si="120"/>
        <v>73.068181818181813</v>
      </c>
      <c r="N145" s="23">
        <f t="shared" si="121"/>
        <v>73.068181818181813</v>
      </c>
      <c r="O145" s="32" t="s">
        <v>74</v>
      </c>
      <c r="P145" s="32" t="s">
        <v>49</v>
      </c>
      <c r="Q145" s="32" t="s">
        <v>66</v>
      </c>
      <c r="R145" s="29">
        <v>11</v>
      </c>
      <c r="S145" s="34">
        <v>43203</v>
      </c>
      <c r="T145" s="34">
        <v>43206</v>
      </c>
      <c r="U145" s="34">
        <v>43206</v>
      </c>
      <c r="V145" s="34"/>
      <c r="AG145" s="30"/>
      <c r="AH145" s="30"/>
      <c r="AI145" s="30"/>
      <c r="AJ145" s="31"/>
    </row>
    <row r="146" spans="1:36" s="29" customFormat="1" x14ac:dyDescent="0.3">
      <c r="A146" s="33">
        <v>201</v>
      </c>
      <c r="B146" s="35" t="s">
        <v>73</v>
      </c>
      <c r="C146" s="35" t="s">
        <v>234</v>
      </c>
      <c r="D146" s="37" t="s">
        <v>248</v>
      </c>
      <c r="E146" s="64" t="s">
        <v>247</v>
      </c>
      <c r="F146" s="32">
        <v>6.6</v>
      </c>
      <c r="G146" s="32">
        <v>1.67</v>
      </c>
      <c r="H146" s="32">
        <v>12</v>
      </c>
      <c r="I146" s="32">
        <v>1.6</v>
      </c>
      <c r="J146" s="32">
        <f>0.08</f>
        <v>0.08</v>
      </c>
      <c r="K146" s="32">
        <f>I146-J146</f>
        <v>1.52</v>
      </c>
      <c r="L146" s="32" t="s">
        <v>75</v>
      </c>
      <c r="M146" s="23">
        <f t="shared" si="120"/>
        <v>47.904191616766468</v>
      </c>
      <c r="N146" s="23">
        <f t="shared" si="121"/>
        <v>958.08383233532948</v>
      </c>
      <c r="O146" s="32" t="s">
        <v>74</v>
      </c>
      <c r="P146" s="32" t="s">
        <v>49</v>
      </c>
      <c r="Q146" s="32" t="s">
        <v>55</v>
      </c>
      <c r="R146" s="29">
        <v>2</v>
      </c>
      <c r="S146" s="34">
        <v>43201</v>
      </c>
      <c r="T146" s="34">
        <v>43207</v>
      </c>
      <c r="U146" s="34">
        <v>43209</v>
      </c>
      <c r="V146" s="34"/>
      <c r="AG146" s="30"/>
      <c r="AH146" s="30"/>
      <c r="AI146" s="30"/>
      <c r="AJ146" s="31"/>
    </row>
    <row r="147" spans="1:36" s="29" customFormat="1" x14ac:dyDescent="0.3">
      <c r="A147" s="33">
        <v>202</v>
      </c>
      <c r="B147" s="35" t="s">
        <v>71</v>
      </c>
      <c r="C147" s="35" t="s">
        <v>234</v>
      </c>
      <c r="D147" s="37" t="s">
        <v>87</v>
      </c>
      <c r="E147" s="35">
        <v>4201674410</v>
      </c>
      <c r="F147" s="32"/>
      <c r="G147" s="32">
        <v>30.5</v>
      </c>
      <c r="H147" s="32">
        <v>31</v>
      </c>
      <c r="I147" s="32">
        <v>2.1</v>
      </c>
      <c r="J147" s="32">
        <f t="shared" ref="J147:J154" si="124">I147</f>
        <v>2.1</v>
      </c>
      <c r="K147" s="32"/>
      <c r="L147" s="32" t="s">
        <v>75</v>
      </c>
      <c r="M147" s="23">
        <f t="shared" ref="M147" si="125">(J147/G147)*1000</f>
        <v>68.852459016393453</v>
      </c>
      <c r="N147" s="23">
        <f t="shared" ref="N147" si="126">I147/G147*1000</f>
        <v>68.852459016393453</v>
      </c>
      <c r="O147" s="32" t="s">
        <v>74</v>
      </c>
      <c r="P147" s="32" t="s">
        <v>49</v>
      </c>
      <c r="Q147" s="32" t="s">
        <v>66</v>
      </c>
      <c r="R147" s="29">
        <v>11</v>
      </c>
      <c r="S147" s="34">
        <v>43201</v>
      </c>
      <c r="T147" s="34">
        <v>43207</v>
      </c>
      <c r="U147" s="34">
        <v>43209</v>
      </c>
      <c r="V147" s="34"/>
      <c r="AG147" s="30"/>
      <c r="AH147" s="30"/>
      <c r="AI147" s="30"/>
      <c r="AJ147" s="31"/>
    </row>
    <row r="148" spans="1:36" s="29" customFormat="1" x14ac:dyDescent="0.3">
      <c r="A148" s="33">
        <v>203</v>
      </c>
      <c r="B148" s="32" t="s">
        <v>47</v>
      </c>
      <c r="C148" s="32" t="s">
        <v>234</v>
      </c>
      <c r="D148" s="32" t="s">
        <v>142</v>
      </c>
      <c r="E148" s="32">
        <v>5000056814</v>
      </c>
      <c r="F148" s="32"/>
      <c r="G148" s="32"/>
      <c r="H148" s="32">
        <v>15</v>
      </c>
      <c r="I148" s="32">
        <v>0.32</v>
      </c>
      <c r="J148" s="32">
        <f t="shared" si="124"/>
        <v>0.32</v>
      </c>
      <c r="K148" s="32"/>
      <c r="L148" s="32" t="s">
        <v>65</v>
      </c>
      <c r="M148" s="32"/>
      <c r="N148" s="32"/>
      <c r="O148" s="32" t="s">
        <v>52</v>
      </c>
      <c r="P148" s="32" t="s">
        <v>49</v>
      </c>
      <c r="Q148" s="32" t="s">
        <v>46</v>
      </c>
      <c r="R148" s="29">
        <v>21</v>
      </c>
      <c r="S148" s="34">
        <v>43209</v>
      </c>
      <c r="T148" s="34">
        <v>43210</v>
      </c>
      <c r="U148" s="34">
        <v>43212</v>
      </c>
      <c r="V148" s="34"/>
      <c r="AG148" s="30"/>
      <c r="AH148" s="30"/>
      <c r="AI148" s="30"/>
      <c r="AJ148" s="31"/>
    </row>
    <row r="149" spans="1:36" s="29" customFormat="1" x14ac:dyDescent="0.3">
      <c r="A149" s="33">
        <v>204</v>
      </c>
      <c r="B149" s="35" t="s">
        <v>72</v>
      </c>
      <c r="C149" s="35" t="s">
        <v>234</v>
      </c>
      <c r="D149" s="63" t="s">
        <v>250</v>
      </c>
      <c r="E149" s="35"/>
      <c r="F149" s="32"/>
      <c r="G149" s="32">
        <f>0.3*15</f>
        <v>4.5</v>
      </c>
      <c r="H149" s="32">
        <v>15</v>
      </c>
      <c r="I149" s="32">
        <v>0.41199999999999998</v>
      </c>
      <c r="J149" s="32">
        <f t="shared" si="124"/>
        <v>0.41199999999999998</v>
      </c>
      <c r="K149" s="32"/>
      <c r="L149" s="32" t="s">
        <v>68</v>
      </c>
      <c r="M149" s="23">
        <f t="shared" ref="M149:M152" si="127">(J149/G149)*1000</f>
        <v>91.555555555555557</v>
      </c>
      <c r="N149" s="23">
        <f t="shared" ref="N149:N152" si="128">I149/G149*1000</f>
        <v>91.555555555555557</v>
      </c>
      <c r="O149" s="32" t="s">
        <v>74</v>
      </c>
      <c r="P149" s="32" t="s">
        <v>49</v>
      </c>
      <c r="Q149" s="32" t="s">
        <v>89</v>
      </c>
      <c r="R149" s="29">
        <v>11</v>
      </c>
      <c r="S149" s="34">
        <v>43201</v>
      </c>
      <c r="T149" s="34">
        <v>43210</v>
      </c>
      <c r="U149" s="34">
        <v>43212</v>
      </c>
      <c r="V149" s="34"/>
      <c r="AG149" s="30"/>
      <c r="AH149" s="30"/>
      <c r="AI149" s="30"/>
      <c r="AJ149" s="31"/>
    </row>
    <row r="150" spans="1:36" s="29" customFormat="1" x14ac:dyDescent="0.3">
      <c r="A150" s="33">
        <v>205</v>
      </c>
      <c r="B150" s="35" t="s">
        <v>73</v>
      </c>
      <c r="C150" s="35" t="s">
        <v>234</v>
      </c>
      <c r="D150" s="63" t="s">
        <v>251</v>
      </c>
      <c r="E150" s="35"/>
      <c r="F150" s="32"/>
      <c r="G150" s="32">
        <f>0.1667*3</f>
        <v>0.50009999999999999</v>
      </c>
      <c r="H150" s="32">
        <v>3</v>
      </c>
      <c r="I150" s="32">
        <v>6.6000000000000003E-2</v>
      </c>
      <c r="J150" s="32">
        <f t="shared" si="124"/>
        <v>6.6000000000000003E-2</v>
      </c>
      <c r="K150" s="32"/>
      <c r="L150" s="32" t="s">
        <v>68</v>
      </c>
      <c r="M150" s="23">
        <f t="shared" si="127"/>
        <v>131.97360527894423</v>
      </c>
      <c r="N150" s="23">
        <f t="shared" si="128"/>
        <v>131.97360527894423</v>
      </c>
      <c r="O150" s="32" t="s">
        <v>49</v>
      </c>
      <c r="P150" s="32" t="s">
        <v>49</v>
      </c>
      <c r="Q150" s="32" t="s">
        <v>89</v>
      </c>
      <c r="R150" s="29">
        <v>11</v>
      </c>
      <c r="S150" s="34">
        <v>43203</v>
      </c>
      <c r="T150" s="34">
        <v>43210</v>
      </c>
      <c r="U150" s="34">
        <v>43212</v>
      </c>
      <c r="V150" s="34"/>
      <c r="AG150" s="30"/>
      <c r="AH150" s="30"/>
      <c r="AI150" s="30"/>
      <c r="AJ150" s="31"/>
    </row>
    <row r="151" spans="1:36" s="29" customFormat="1" x14ac:dyDescent="0.3">
      <c r="A151" s="28">
        <v>252</v>
      </c>
      <c r="B151" s="32" t="s">
        <v>53</v>
      </c>
      <c r="C151" s="32" t="s">
        <v>234</v>
      </c>
      <c r="D151" s="32" t="s">
        <v>252</v>
      </c>
      <c r="E151" s="32">
        <v>2360083376</v>
      </c>
      <c r="F151" s="32"/>
      <c r="G151" s="32"/>
      <c r="H151" s="32"/>
      <c r="I151" s="32">
        <v>0.21299999999999999</v>
      </c>
      <c r="J151" s="32">
        <f t="shared" si="124"/>
        <v>0.21299999999999999</v>
      </c>
      <c r="K151" s="32"/>
      <c r="L151" s="32" t="s">
        <v>126</v>
      </c>
      <c r="M151" s="23"/>
      <c r="N151" s="23"/>
      <c r="O151" s="32" t="s">
        <v>69</v>
      </c>
      <c r="P151" s="32" t="s">
        <v>70</v>
      </c>
      <c r="Q151" s="32" t="s">
        <v>253</v>
      </c>
      <c r="R151" s="29">
        <v>15</v>
      </c>
      <c r="S151" s="34">
        <v>43201</v>
      </c>
      <c r="T151" s="34">
        <v>43210</v>
      </c>
      <c r="U151" s="34">
        <v>43212</v>
      </c>
      <c r="V151" s="34"/>
      <c r="AG151" s="30"/>
      <c r="AH151" s="30"/>
      <c r="AI151" s="30"/>
      <c r="AJ151" s="31"/>
    </row>
    <row r="152" spans="1:36" s="29" customFormat="1" x14ac:dyDescent="0.3">
      <c r="A152" s="28">
        <v>253</v>
      </c>
      <c r="B152" s="32" t="s">
        <v>47</v>
      </c>
      <c r="C152" s="32" t="s">
        <v>234</v>
      </c>
      <c r="D152" s="32" t="s">
        <v>142</v>
      </c>
      <c r="E152" s="32">
        <v>5000056697</v>
      </c>
      <c r="F152" s="32"/>
      <c r="G152" s="32">
        <f>0.15*2</f>
        <v>0.3</v>
      </c>
      <c r="H152" s="32">
        <v>2</v>
      </c>
      <c r="I152" s="32">
        <f>0.059</f>
        <v>5.8999999999999997E-2</v>
      </c>
      <c r="J152" s="32">
        <f t="shared" si="124"/>
        <v>5.8999999999999997E-2</v>
      </c>
      <c r="K152" s="32"/>
      <c r="L152" s="32" t="s">
        <v>65</v>
      </c>
      <c r="M152" s="23">
        <f t="shared" si="127"/>
        <v>196.66666666666666</v>
      </c>
      <c r="N152" s="23">
        <f t="shared" si="128"/>
        <v>196.66666666666666</v>
      </c>
      <c r="O152" s="32" t="s">
        <v>52</v>
      </c>
      <c r="P152" s="32" t="s">
        <v>49</v>
      </c>
      <c r="Q152" s="32" t="s">
        <v>89</v>
      </c>
      <c r="R152" s="29">
        <v>11</v>
      </c>
      <c r="S152" s="34">
        <v>43203</v>
      </c>
      <c r="T152" s="34">
        <v>43210</v>
      </c>
      <c r="U152" s="34">
        <v>43212</v>
      </c>
      <c r="V152" s="34"/>
      <c r="AG152" s="30"/>
      <c r="AH152" s="30"/>
      <c r="AI152" s="30"/>
      <c r="AJ152" s="31"/>
    </row>
    <row r="153" spans="1:36" s="29" customFormat="1" x14ac:dyDescent="0.3">
      <c r="A153" s="28">
        <v>254</v>
      </c>
      <c r="B153" s="32" t="s">
        <v>67</v>
      </c>
      <c r="C153" s="32" t="s">
        <v>234</v>
      </c>
      <c r="D153" s="32" t="s">
        <v>180</v>
      </c>
      <c r="E153" s="32">
        <v>2360083323</v>
      </c>
      <c r="F153" s="32"/>
      <c r="G153" s="32">
        <f>0.25*6</f>
        <v>1.5</v>
      </c>
      <c r="H153" s="32">
        <v>6</v>
      </c>
      <c r="I153" s="32">
        <v>0.13500000000000001</v>
      </c>
      <c r="J153" s="32">
        <f t="shared" si="124"/>
        <v>0.13500000000000001</v>
      </c>
      <c r="K153" s="32"/>
      <c r="L153" s="32" t="s">
        <v>68</v>
      </c>
      <c r="M153" s="23">
        <f t="shared" ref="M153" si="129">(J153/G153)*1000</f>
        <v>90.000000000000014</v>
      </c>
      <c r="N153" s="23">
        <f t="shared" ref="N153" si="130">I153/G153*1000</f>
        <v>90.000000000000014</v>
      </c>
      <c r="O153" s="32" t="s">
        <v>69</v>
      </c>
      <c r="P153" s="32" t="s">
        <v>70</v>
      </c>
      <c r="Q153" s="32" t="s">
        <v>89</v>
      </c>
      <c r="R153" s="29">
        <v>11</v>
      </c>
      <c r="S153" s="34">
        <v>43196</v>
      </c>
      <c r="T153" s="34">
        <v>43209</v>
      </c>
      <c r="U153" s="34">
        <v>43212</v>
      </c>
      <c r="V153" s="34"/>
      <c r="AG153" s="30"/>
      <c r="AH153" s="30"/>
      <c r="AI153" s="30"/>
      <c r="AJ153" s="31"/>
    </row>
    <row r="154" spans="1:36" s="29" customFormat="1" x14ac:dyDescent="0.3">
      <c r="A154" s="28">
        <v>255</v>
      </c>
      <c r="B154" s="32" t="s">
        <v>72</v>
      </c>
      <c r="C154" s="32" t="s">
        <v>234</v>
      </c>
      <c r="D154" s="32" t="s">
        <v>254</v>
      </c>
      <c r="E154" s="32">
        <v>2360083350</v>
      </c>
      <c r="F154" s="32"/>
      <c r="G154" s="32"/>
      <c r="H154" s="32"/>
      <c r="I154" s="32">
        <v>0.625</v>
      </c>
      <c r="J154" s="32">
        <f t="shared" si="124"/>
        <v>0.625</v>
      </c>
      <c r="K154" s="32"/>
      <c r="L154" s="32" t="s">
        <v>75</v>
      </c>
      <c r="M154" s="23"/>
      <c r="N154" s="23"/>
      <c r="O154" s="32" t="s">
        <v>69</v>
      </c>
      <c r="P154" s="32" t="s">
        <v>70</v>
      </c>
      <c r="Q154" s="32" t="s">
        <v>186</v>
      </c>
      <c r="R154" s="29">
        <v>13</v>
      </c>
      <c r="S154" s="34">
        <v>43187</v>
      </c>
      <c r="T154" s="34">
        <v>43209</v>
      </c>
      <c r="U154" s="34">
        <v>43212</v>
      </c>
      <c r="V154" s="34"/>
      <c r="AG154" s="30"/>
      <c r="AH154" s="30"/>
      <c r="AI154" s="30"/>
      <c r="AJ154" s="31"/>
    </row>
    <row r="155" spans="1:36" s="29" customFormat="1" x14ac:dyDescent="0.3">
      <c r="A155" s="28">
        <v>256</v>
      </c>
      <c r="B155" s="32" t="s">
        <v>47</v>
      </c>
      <c r="C155" s="32" t="s">
        <v>234</v>
      </c>
      <c r="D155" s="32" t="s">
        <v>77</v>
      </c>
      <c r="E155" s="32">
        <v>5000056742</v>
      </c>
      <c r="F155" s="32">
        <v>6.6</v>
      </c>
      <c r="G155" s="32">
        <v>7.77</v>
      </c>
      <c r="H155" s="32">
        <v>24</v>
      </c>
      <c r="I155" s="32">
        <v>2.38</v>
      </c>
      <c r="J155" s="32">
        <v>0.90400000000000003</v>
      </c>
      <c r="K155" s="32">
        <f>I155-J155</f>
        <v>1.476</v>
      </c>
      <c r="L155" s="32" t="s">
        <v>65</v>
      </c>
      <c r="M155" s="23">
        <f t="shared" ref="M155" si="131">(J155/G155)*1000</f>
        <v>116.34491634491636</v>
      </c>
      <c r="N155" s="23">
        <f t="shared" ref="N155" si="132">I155/G155*1000</f>
        <v>306.30630630630628</v>
      </c>
      <c r="O155" s="32" t="s">
        <v>52</v>
      </c>
      <c r="P155" s="32" t="s">
        <v>49</v>
      </c>
      <c r="Q155" s="32" t="s">
        <v>255</v>
      </c>
      <c r="R155" s="29">
        <v>1</v>
      </c>
      <c r="S155" s="34">
        <v>43203</v>
      </c>
      <c r="T155" s="34">
        <v>43209</v>
      </c>
      <c r="U155" s="34">
        <v>43212</v>
      </c>
      <c r="V155" s="34"/>
      <c r="AG155" s="30"/>
      <c r="AH155" s="30"/>
      <c r="AI155" s="30"/>
      <c r="AJ155" s="31"/>
    </row>
    <row r="156" spans="1:36" s="29" customFormat="1" x14ac:dyDescent="0.3">
      <c r="A156" s="28">
        <v>257</v>
      </c>
      <c r="B156" s="32" t="s">
        <v>47</v>
      </c>
      <c r="C156" s="32" t="s">
        <v>234</v>
      </c>
      <c r="D156" s="32" t="s">
        <v>77</v>
      </c>
      <c r="E156" s="32">
        <v>5000056722</v>
      </c>
      <c r="F156" s="32"/>
      <c r="G156" s="32">
        <v>4.82</v>
      </c>
      <c r="H156" s="32">
        <v>17</v>
      </c>
      <c r="I156" s="32">
        <v>0.432</v>
      </c>
      <c r="J156" s="32">
        <f>I156</f>
        <v>0.432</v>
      </c>
      <c r="K156" s="32">
        <f>I156-J156</f>
        <v>0</v>
      </c>
      <c r="L156" s="32" t="s">
        <v>65</v>
      </c>
      <c r="M156" s="23">
        <f t="shared" ref="M156:M157" si="133">(J156/G156)*1000</f>
        <v>89.62655601659749</v>
      </c>
      <c r="N156" s="23">
        <f t="shared" ref="N156:N157" si="134">I156/G156*1000</f>
        <v>89.62655601659749</v>
      </c>
      <c r="O156" s="32" t="s">
        <v>52</v>
      </c>
      <c r="P156" s="32" t="s">
        <v>49</v>
      </c>
      <c r="Q156" s="32" t="s">
        <v>66</v>
      </c>
      <c r="R156" s="29">
        <v>11</v>
      </c>
      <c r="S156" s="34">
        <v>43207</v>
      </c>
      <c r="T156" s="34">
        <v>43209</v>
      </c>
      <c r="U156" s="34">
        <v>43212</v>
      </c>
      <c r="V156" s="34"/>
      <c r="AG156" s="30"/>
      <c r="AH156" s="30"/>
      <c r="AI156" s="30"/>
      <c r="AJ156" s="31"/>
    </row>
    <row r="157" spans="1:36" s="29" customFormat="1" x14ac:dyDescent="0.3">
      <c r="A157" s="28">
        <v>258</v>
      </c>
      <c r="B157" s="32" t="s">
        <v>67</v>
      </c>
      <c r="C157" s="32" t="s">
        <v>234</v>
      </c>
      <c r="D157" s="32" t="s">
        <v>256</v>
      </c>
      <c r="E157" s="32">
        <v>4201674388</v>
      </c>
      <c r="F157" s="32">
        <v>11</v>
      </c>
      <c r="G157" s="32">
        <v>5.81</v>
      </c>
      <c r="H157" s="32">
        <v>24</v>
      </c>
      <c r="I157" s="32">
        <v>0.76</v>
      </c>
      <c r="J157" s="32">
        <v>0.46</v>
      </c>
      <c r="K157" s="32">
        <f>I157-J157</f>
        <v>0.3</v>
      </c>
      <c r="L157" s="32" t="s">
        <v>75</v>
      </c>
      <c r="M157" s="23">
        <f t="shared" si="133"/>
        <v>79.17383820998279</v>
      </c>
      <c r="N157" s="23">
        <f t="shared" si="134"/>
        <v>130.80895008605853</v>
      </c>
      <c r="O157" s="32" t="s">
        <v>69</v>
      </c>
      <c r="P157" s="32" t="s">
        <v>70</v>
      </c>
      <c r="Q157" s="32" t="s">
        <v>76</v>
      </c>
      <c r="R157" s="29">
        <v>11</v>
      </c>
      <c r="S157" s="34">
        <v>43199</v>
      </c>
      <c r="T157" s="34">
        <v>43209</v>
      </c>
      <c r="U157" s="34">
        <v>43212</v>
      </c>
      <c r="V157" s="34"/>
      <c r="AG157" s="30"/>
      <c r="AH157" s="30"/>
      <c r="AI157" s="30"/>
      <c r="AJ157" s="31"/>
    </row>
    <row r="158" spans="1:36" s="29" customFormat="1" x14ac:dyDescent="0.3">
      <c r="A158" s="28">
        <v>259</v>
      </c>
      <c r="B158" s="32" t="s">
        <v>47</v>
      </c>
      <c r="C158" s="32" t="s">
        <v>234</v>
      </c>
      <c r="D158" s="32" t="s">
        <v>64</v>
      </c>
      <c r="E158" s="32">
        <v>5000056763</v>
      </c>
      <c r="F158" s="32"/>
      <c r="G158" s="32"/>
      <c r="H158" s="32"/>
      <c r="I158" s="32">
        <f>0.023</f>
        <v>2.3E-2</v>
      </c>
      <c r="J158" s="32">
        <f>I158</f>
        <v>2.3E-2</v>
      </c>
      <c r="K158" s="32"/>
      <c r="L158" s="32" t="s">
        <v>65</v>
      </c>
      <c r="M158" s="23"/>
      <c r="N158" s="23"/>
      <c r="O158" s="32" t="s">
        <v>52</v>
      </c>
      <c r="P158" s="32" t="s">
        <v>49</v>
      </c>
      <c r="Q158" s="32" t="s">
        <v>161</v>
      </c>
      <c r="R158" s="29">
        <v>12</v>
      </c>
      <c r="S158" s="34">
        <v>43203</v>
      </c>
      <c r="T158" s="34">
        <v>43209</v>
      </c>
      <c r="U158" s="34">
        <v>43212</v>
      </c>
      <c r="V158" s="34"/>
      <c r="AG158" s="30"/>
      <c r="AH158" s="30"/>
      <c r="AI158" s="30"/>
      <c r="AJ158" s="31"/>
    </row>
    <row r="159" spans="1:36" s="29" customFormat="1" x14ac:dyDescent="0.3">
      <c r="A159" s="28">
        <v>260</v>
      </c>
      <c r="B159" s="32" t="s">
        <v>71</v>
      </c>
      <c r="C159" s="32" t="s">
        <v>234</v>
      </c>
      <c r="D159" s="32" t="s">
        <v>117</v>
      </c>
      <c r="E159" s="32">
        <v>2360083360</v>
      </c>
      <c r="F159" s="32"/>
      <c r="G159" s="32">
        <f>0.258*3</f>
        <v>0.77400000000000002</v>
      </c>
      <c r="H159" s="32">
        <v>3</v>
      </c>
      <c r="I159" s="32">
        <v>6.9000000000000006E-2</v>
      </c>
      <c r="J159" s="32">
        <f>I159</f>
        <v>6.9000000000000006E-2</v>
      </c>
      <c r="K159" s="32"/>
      <c r="L159" s="32" t="s">
        <v>68</v>
      </c>
      <c r="M159" s="23">
        <f t="shared" ref="M159" si="135">(J159/G159)*1000</f>
        <v>89.147286821705436</v>
      </c>
      <c r="N159" s="23">
        <f t="shared" ref="N159" si="136">I159/G159*1000</f>
        <v>89.147286821705436</v>
      </c>
      <c r="O159" s="32" t="s">
        <v>74</v>
      </c>
      <c r="P159" s="32" t="s">
        <v>49</v>
      </c>
      <c r="Q159" s="32" t="s">
        <v>257</v>
      </c>
      <c r="R159" s="29">
        <v>11</v>
      </c>
      <c r="S159" s="34">
        <v>43196</v>
      </c>
      <c r="T159" s="34">
        <v>43209</v>
      </c>
      <c r="U159" s="34">
        <v>43212</v>
      </c>
      <c r="V159" s="34"/>
      <c r="AG159" s="30"/>
      <c r="AH159" s="30"/>
      <c r="AI159" s="30"/>
      <c r="AJ159" s="31"/>
    </row>
    <row r="160" spans="1:36" s="29" customFormat="1" x14ac:dyDescent="0.3">
      <c r="A160" s="28">
        <v>261</v>
      </c>
      <c r="B160" s="32" t="s">
        <v>67</v>
      </c>
      <c r="C160" s="32" t="s">
        <v>234</v>
      </c>
      <c r="D160" s="32" t="s">
        <v>258</v>
      </c>
      <c r="E160" s="32">
        <v>2360083363</v>
      </c>
      <c r="F160" s="32"/>
      <c r="G160" s="32">
        <v>0.6</v>
      </c>
      <c r="H160" s="32">
        <v>2</v>
      </c>
      <c r="I160" s="32">
        <v>0.13600000000000001</v>
      </c>
      <c r="J160" s="32">
        <f>0.058</f>
        <v>5.8000000000000003E-2</v>
      </c>
      <c r="K160" s="32">
        <f>I160-J160</f>
        <v>7.8000000000000014E-2</v>
      </c>
      <c r="L160" s="32" t="s">
        <v>68</v>
      </c>
      <c r="M160" s="23">
        <f t="shared" ref="M160" si="137">(J160/G160)*1000</f>
        <v>96.666666666666686</v>
      </c>
      <c r="N160" s="23">
        <f t="shared" ref="N160" si="138">I160/G160*1000</f>
        <v>226.66666666666669</v>
      </c>
      <c r="O160" s="32" t="s">
        <v>74</v>
      </c>
      <c r="P160" s="32" t="s">
        <v>49</v>
      </c>
      <c r="Q160" s="32" t="s">
        <v>257</v>
      </c>
      <c r="R160" s="29">
        <v>11</v>
      </c>
      <c r="S160" s="34">
        <v>43189</v>
      </c>
      <c r="T160" s="34">
        <v>43209</v>
      </c>
      <c r="U160" s="34">
        <v>43212</v>
      </c>
      <c r="V160" s="34"/>
      <c r="AG160" s="30"/>
      <c r="AH160" s="30"/>
      <c r="AI160" s="30"/>
      <c r="AJ160" s="31"/>
    </row>
    <row r="161" spans="1:36" s="29" customFormat="1" x14ac:dyDescent="0.3">
      <c r="A161" s="28">
        <v>262</v>
      </c>
      <c r="B161" s="32" t="s">
        <v>47</v>
      </c>
      <c r="C161" s="32" t="s">
        <v>234</v>
      </c>
      <c r="D161" s="32" t="s">
        <v>77</v>
      </c>
      <c r="E161" s="32">
        <v>5000056981</v>
      </c>
      <c r="F161" s="32">
        <v>6.6</v>
      </c>
      <c r="G161" s="32">
        <v>1.7</v>
      </c>
      <c r="H161" s="32">
        <v>6</v>
      </c>
      <c r="I161" s="32">
        <v>0.48699999999999999</v>
      </c>
      <c r="J161" s="32">
        <f>I161</f>
        <v>0.48699999999999999</v>
      </c>
      <c r="K161" s="32"/>
      <c r="L161" s="32" t="s">
        <v>65</v>
      </c>
      <c r="M161" s="23">
        <f t="shared" ref="M161" si="139">(J161/G161)*1000</f>
        <v>286.47058823529414</v>
      </c>
      <c r="N161" s="23">
        <f t="shared" ref="N161" si="140">I161/G161*1000</f>
        <v>286.47058823529414</v>
      </c>
      <c r="O161" s="32" t="s">
        <v>52</v>
      </c>
      <c r="P161" s="32" t="s">
        <v>49</v>
      </c>
      <c r="Q161" s="32" t="s">
        <v>55</v>
      </c>
      <c r="R161" s="29">
        <v>2</v>
      </c>
      <c r="S161" s="34">
        <v>43216</v>
      </c>
      <c r="T161" s="34">
        <v>43220</v>
      </c>
      <c r="U161" s="34">
        <v>43231</v>
      </c>
      <c r="V161" s="34"/>
      <c r="AG161" s="30"/>
      <c r="AH161" s="30"/>
      <c r="AI161" s="30"/>
      <c r="AJ161" s="31"/>
    </row>
    <row r="162" spans="1:36" s="29" customFormat="1" x14ac:dyDescent="0.3">
      <c r="A162" s="28">
        <v>263</v>
      </c>
      <c r="B162" s="32" t="s">
        <v>47</v>
      </c>
      <c r="C162" s="32" t="s">
        <v>234</v>
      </c>
      <c r="D162" s="32" t="s">
        <v>77</v>
      </c>
      <c r="E162" s="32">
        <v>5000056982</v>
      </c>
      <c r="F162" s="32"/>
      <c r="G162" s="32"/>
      <c r="H162" s="32">
        <v>2</v>
      </c>
      <c r="I162" s="32">
        <v>6.2E-2</v>
      </c>
      <c r="J162" s="32">
        <f>I162</f>
        <v>6.2E-2</v>
      </c>
      <c r="K162" s="32"/>
      <c r="L162" s="32" t="s">
        <v>65</v>
      </c>
      <c r="M162" s="23"/>
      <c r="N162" s="23"/>
      <c r="O162" s="32" t="s">
        <v>52</v>
      </c>
      <c r="P162" s="32" t="s">
        <v>49</v>
      </c>
      <c r="Q162" s="32" t="s">
        <v>100</v>
      </c>
      <c r="R162" s="29">
        <v>12</v>
      </c>
      <c r="S162" s="34">
        <v>43214</v>
      </c>
      <c r="T162" s="34">
        <v>43220</v>
      </c>
      <c r="U162" s="34">
        <v>43231</v>
      </c>
      <c r="V162" s="34"/>
      <c r="AG162" s="30"/>
      <c r="AH162" s="30"/>
      <c r="AI162" s="30"/>
      <c r="AJ162" s="31"/>
    </row>
    <row r="163" spans="1:36" s="29" customFormat="1" x14ac:dyDescent="0.3">
      <c r="A163" s="28">
        <v>264</v>
      </c>
      <c r="B163" s="32" t="s">
        <v>47</v>
      </c>
      <c r="C163" s="32" t="s">
        <v>234</v>
      </c>
      <c r="D163" s="32" t="s">
        <v>226</v>
      </c>
      <c r="E163" s="32">
        <v>5000056919</v>
      </c>
      <c r="F163" s="32"/>
      <c r="G163" s="32">
        <f>0.408*15</f>
        <v>6.1199999999999992</v>
      </c>
      <c r="H163" s="32">
        <v>15</v>
      </c>
      <c r="I163" s="32">
        <v>0.56299999999999994</v>
      </c>
      <c r="J163" s="32">
        <f>I163</f>
        <v>0.56299999999999994</v>
      </c>
      <c r="K163" s="32"/>
      <c r="L163" s="32" t="s">
        <v>65</v>
      </c>
      <c r="M163" s="23">
        <f t="shared" ref="M163" si="141">(J163/G163)*1000</f>
        <v>91.993464052287592</v>
      </c>
      <c r="N163" s="23">
        <f t="shared" ref="N163" si="142">I163/G163*1000</f>
        <v>91.993464052287592</v>
      </c>
      <c r="O163" s="32" t="s">
        <v>52</v>
      </c>
      <c r="P163" s="32" t="s">
        <v>49</v>
      </c>
      <c r="Q163" s="32" t="s">
        <v>259</v>
      </c>
      <c r="R163" s="29">
        <v>11</v>
      </c>
      <c r="S163" s="34">
        <v>43214</v>
      </c>
      <c r="T163" s="34">
        <v>43220</v>
      </c>
      <c r="U163" s="34">
        <v>43231</v>
      </c>
      <c r="V163" s="34"/>
      <c r="AG163" s="30"/>
      <c r="AH163" s="30"/>
      <c r="AI163" s="30"/>
      <c r="AJ163" s="31"/>
    </row>
    <row r="164" spans="1:36" s="29" customFormat="1" ht="15" thickBot="1" x14ac:dyDescent="0.35">
      <c r="A164" s="28">
        <v>265</v>
      </c>
      <c r="B164" s="32" t="s">
        <v>47</v>
      </c>
      <c r="C164" s="32" t="s">
        <v>234</v>
      </c>
      <c r="D164" s="32" t="s">
        <v>226</v>
      </c>
      <c r="E164" s="32">
        <v>5000057021</v>
      </c>
      <c r="F164" s="32"/>
      <c r="G164" s="32">
        <f>0.28*6</f>
        <v>1.6800000000000002</v>
      </c>
      <c r="H164" s="32">
        <v>6</v>
      </c>
      <c r="I164" s="32">
        <v>0.23300000000000001</v>
      </c>
      <c r="J164" s="32">
        <f>I164</f>
        <v>0.23300000000000001</v>
      </c>
      <c r="K164" s="32"/>
      <c r="L164" s="32" t="s">
        <v>65</v>
      </c>
      <c r="M164" s="23">
        <f t="shared" ref="M164" si="143">(J164/G164)*1000</f>
        <v>138.6904761904762</v>
      </c>
      <c r="N164" s="23">
        <f t="shared" ref="N164" si="144">I164/G164*1000</f>
        <v>138.6904761904762</v>
      </c>
      <c r="O164" s="32" t="s">
        <v>52</v>
      </c>
      <c r="P164" s="32" t="s">
        <v>49</v>
      </c>
      <c r="Q164" s="32" t="s">
        <v>259</v>
      </c>
      <c r="R164" s="29">
        <v>11</v>
      </c>
      <c r="S164" s="34">
        <v>43220</v>
      </c>
      <c r="T164" s="34">
        <v>43220</v>
      </c>
      <c r="U164" s="34">
        <v>43231</v>
      </c>
      <c r="V164" s="34"/>
      <c r="AG164" s="30"/>
      <c r="AH164" s="30"/>
      <c r="AI164" s="30"/>
      <c r="AJ164" s="31"/>
    </row>
    <row r="165" spans="1:36" s="29" customFormat="1" ht="15" thickBot="1" x14ac:dyDescent="0.35">
      <c r="A165" s="28">
        <v>266</v>
      </c>
      <c r="B165" s="32" t="s">
        <v>67</v>
      </c>
      <c r="C165" s="32" t="s">
        <v>234</v>
      </c>
      <c r="D165" s="35" t="s">
        <v>260</v>
      </c>
      <c r="E165" s="47">
        <v>4201682279</v>
      </c>
      <c r="F165" s="32">
        <v>11</v>
      </c>
      <c r="G165" s="32">
        <v>4.63</v>
      </c>
      <c r="H165" s="32">
        <v>21</v>
      </c>
      <c r="I165" s="32">
        <v>2.2999999999999998</v>
      </c>
      <c r="J165" s="32">
        <v>0.36</v>
      </c>
      <c r="K165" s="32">
        <f>I165-J165</f>
        <v>1.94</v>
      </c>
      <c r="L165" s="32" t="s">
        <v>68</v>
      </c>
      <c r="M165" s="23">
        <f t="shared" ref="M165" si="145">(J165/G165)*1000</f>
        <v>77.753779697624196</v>
      </c>
      <c r="N165" s="23">
        <f t="shared" ref="N165" si="146">I165/G165*1000</f>
        <v>496.76025917926563</v>
      </c>
      <c r="O165" s="32" t="s">
        <v>69</v>
      </c>
      <c r="P165" s="32" t="s">
        <v>70</v>
      </c>
      <c r="Q165" s="32" t="s">
        <v>171</v>
      </c>
      <c r="R165" s="29">
        <v>18</v>
      </c>
      <c r="S165" s="34">
        <v>43214</v>
      </c>
      <c r="T165" s="34">
        <v>43220</v>
      </c>
      <c r="U165" s="34">
        <v>43231</v>
      </c>
      <c r="V165" s="34"/>
      <c r="AG165" s="30"/>
      <c r="AH165" s="30"/>
      <c r="AI165" s="30"/>
      <c r="AJ165" s="31"/>
    </row>
    <row r="166" spans="1:36" s="29" customFormat="1" ht="15" thickBot="1" x14ac:dyDescent="0.35">
      <c r="A166" s="28">
        <v>267</v>
      </c>
      <c r="B166" s="32" t="s">
        <v>81</v>
      </c>
      <c r="C166" s="32" t="s">
        <v>234</v>
      </c>
      <c r="D166" s="35" t="s">
        <v>261</v>
      </c>
      <c r="E166" s="47">
        <v>2360083537</v>
      </c>
      <c r="F166" s="32"/>
      <c r="G166" s="32">
        <f>0.23*140</f>
        <v>32.200000000000003</v>
      </c>
      <c r="H166" s="32">
        <v>140</v>
      </c>
      <c r="I166" s="32">
        <v>3.6</v>
      </c>
      <c r="J166" s="32">
        <f t="shared" ref="J166:J174" si="147">I166</f>
        <v>3.6</v>
      </c>
      <c r="K166" s="32"/>
      <c r="L166" s="32" t="s">
        <v>75</v>
      </c>
      <c r="M166" s="23">
        <f t="shared" ref="M166:M167" si="148">(J166/G166)*1000</f>
        <v>111.80124223602483</v>
      </c>
      <c r="N166" s="23">
        <f t="shared" ref="N166:N167" si="149">I166/G166*1000</f>
        <v>111.80124223602483</v>
      </c>
      <c r="O166" s="32" t="s">
        <v>207</v>
      </c>
      <c r="P166" s="32" t="s">
        <v>70</v>
      </c>
      <c r="Q166" s="32" t="s">
        <v>66</v>
      </c>
      <c r="R166" s="29">
        <v>11</v>
      </c>
      <c r="S166" s="34">
        <v>43217</v>
      </c>
      <c r="T166" s="34">
        <v>43220</v>
      </c>
      <c r="U166" s="34">
        <v>43231</v>
      </c>
      <c r="V166" s="34"/>
      <c r="AG166" s="30"/>
      <c r="AH166" s="30"/>
      <c r="AI166" s="30"/>
      <c r="AJ166" s="31"/>
    </row>
    <row r="167" spans="1:36" s="29" customFormat="1" x14ac:dyDescent="0.3">
      <c r="A167" s="28">
        <v>268</v>
      </c>
      <c r="B167" s="32" t="s">
        <v>72</v>
      </c>
      <c r="C167" s="32" t="s">
        <v>234</v>
      </c>
      <c r="D167" s="32" t="s">
        <v>262</v>
      </c>
      <c r="E167" s="32">
        <v>2360083593</v>
      </c>
      <c r="F167" s="32"/>
      <c r="G167" s="32">
        <f>0.187*2</f>
        <v>0.374</v>
      </c>
      <c r="H167" s="32">
        <v>2</v>
      </c>
      <c r="I167" s="32">
        <v>4.2000000000000003E-2</v>
      </c>
      <c r="J167" s="32">
        <f t="shared" si="147"/>
        <v>4.2000000000000003E-2</v>
      </c>
      <c r="K167" s="32"/>
      <c r="L167" s="32" t="s">
        <v>68</v>
      </c>
      <c r="M167" s="23">
        <f t="shared" si="148"/>
        <v>112.29946524064172</v>
      </c>
      <c r="N167" s="23">
        <f t="shared" si="149"/>
        <v>112.29946524064172</v>
      </c>
      <c r="O167" s="32" t="s">
        <v>49</v>
      </c>
      <c r="P167" s="32" t="s">
        <v>49</v>
      </c>
      <c r="Q167" s="32" t="s">
        <v>66</v>
      </c>
      <c r="R167" s="29">
        <v>11</v>
      </c>
      <c r="S167" s="34">
        <v>43215</v>
      </c>
      <c r="T167" s="34">
        <v>43220</v>
      </c>
      <c r="U167" s="34">
        <v>43231</v>
      </c>
      <c r="V167" s="34"/>
      <c r="AG167" s="30"/>
      <c r="AH167" s="30"/>
      <c r="AI167" s="30"/>
      <c r="AJ167" s="31"/>
    </row>
    <row r="168" spans="1:36" s="29" customFormat="1" x14ac:dyDescent="0.3">
      <c r="A168" s="28">
        <v>269</v>
      </c>
      <c r="B168" s="32" t="s">
        <v>71</v>
      </c>
      <c r="C168" s="32" t="s">
        <v>90</v>
      </c>
      <c r="D168" s="32" t="s">
        <v>263</v>
      </c>
      <c r="E168" s="32">
        <v>4201684049</v>
      </c>
      <c r="F168" s="32">
        <v>3.3</v>
      </c>
      <c r="G168" s="32">
        <v>0.14000000000000001</v>
      </c>
      <c r="H168" s="32">
        <v>1</v>
      </c>
      <c r="I168" s="32">
        <v>0.20499999999999999</v>
      </c>
      <c r="J168" s="32">
        <f t="shared" si="147"/>
        <v>0.20499999999999999</v>
      </c>
      <c r="K168" s="32"/>
      <c r="L168" s="32" t="s">
        <v>65</v>
      </c>
      <c r="M168" s="23">
        <f t="shared" ref="M168:M171" si="150">(J168/G168)*1000</f>
        <v>1464.285714285714</v>
      </c>
      <c r="N168" s="23">
        <f t="shared" ref="N168:N171" si="151">I168/G168*1000</f>
        <v>1464.285714285714</v>
      </c>
      <c r="O168" s="32" t="s">
        <v>49</v>
      </c>
      <c r="P168" s="32" t="s">
        <v>49</v>
      </c>
      <c r="Q168" s="32" t="s">
        <v>55</v>
      </c>
      <c r="R168" s="29">
        <v>2</v>
      </c>
      <c r="S168" s="34">
        <v>43211</v>
      </c>
      <c r="T168" s="34">
        <v>43220</v>
      </c>
      <c r="U168" s="34">
        <v>43231</v>
      </c>
      <c r="V168" s="34"/>
      <c r="AG168" s="30"/>
      <c r="AH168" s="30"/>
      <c r="AI168" s="30"/>
      <c r="AJ168" s="31"/>
    </row>
    <row r="169" spans="1:36" s="29" customFormat="1" x14ac:dyDescent="0.3">
      <c r="A169" s="28">
        <v>270</v>
      </c>
      <c r="B169" s="32" t="s">
        <v>67</v>
      </c>
      <c r="C169" s="32" t="s">
        <v>90</v>
      </c>
      <c r="D169" s="32" t="s">
        <v>264</v>
      </c>
      <c r="E169" s="32">
        <v>4201683904</v>
      </c>
      <c r="F169" s="32">
        <v>11</v>
      </c>
      <c r="G169" s="32">
        <v>2.9</v>
      </c>
      <c r="H169" s="32">
        <v>12</v>
      </c>
      <c r="I169" s="32">
        <v>0.35</v>
      </c>
      <c r="J169" s="32">
        <f t="shared" si="147"/>
        <v>0.35</v>
      </c>
      <c r="K169" s="32"/>
      <c r="L169" s="32" t="s">
        <v>75</v>
      </c>
      <c r="M169" s="23">
        <f t="shared" si="150"/>
        <v>120.68965517241378</v>
      </c>
      <c r="N169" s="23">
        <f t="shared" si="151"/>
        <v>120.68965517241378</v>
      </c>
      <c r="O169" s="32" t="s">
        <v>69</v>
      </c>
      <c r="P169" s="32" t="s">
        <v>70</v>
      </c>
      <c r="Q169" s="32" t="s">
        <v>76</v>
      </c>
      <c r="R169" s="29">
        <v>1</v>
      </c>
      <c r="S169" s="34">
        <v>43217</v>
      </c>
      <c r="T169" s="34">
        <v>43220</v>
      </c>
      <c r="U169" s="34">
        <v>43231</v>
      </c>
      <c r="V169" s="34"/>
      <c r="AG169" s="30"/>
      <c r="AH169" s="30"/>
      <c r="AI169" s="30"/>
      <c r="AJ169" s="31"/>
    </row>
    <row r="170" spans="1:36" s="29" customFormat="1" x14ac:dyDescent="0.3">
      <c r="A170" s="28">
        <v>271</v>
      </c>
      <c r="B170" s="32" t="s">
        <v>47</v>
      </c>
      <c r="C170" s="32" t="s">
        <v>90</v>
      </c>
      <c r="D170" s="32" t="s">
        <v>265</v>
      </c>
      <c r="E170" s="32">
        <v>5000056957</v>
      </c>
      <c r="F170" s="32"/>
      <c r="G170" s="32">
        <f>0.363*2</f>
        <v>0.72599999999999998</v>
      </c>
      <c r="H170" s="32">
        <v>2</v>
      </c>
      <c r="I170" s="32">
        <f>0.082</f>
        <v>8.2000000000000003E-2</v>
      </c>
      <c r="J170" s="32">
        <f t="shared" si="147"/>
        <v>8.2000000000000003E-2</v>
      </c>
      <c r="K170" s="32"/>
      <c r="L170" s="32" t="s">
        <v>65</v>
      </c>
      <c r="M170" s="23">
        <f t="shared" si="150"/>
        <v>112.94765840220386</v>
      </c>
      <c r="N170" s="23">
        <f t="shared" si="151"/>
        <v>112.94765840220386</v>
      </c>
      <c r="O170" s="32" t="s">
        <v>52</v>
      </c>
      <c r="P170" s="32" t="s">
        <v>49</v>
      </c>
      <c r="Q170" s="32" t="s">
        <v>156</v>
      </c>
      <c r="R170" s="29">
        <v>12</v>
      </c>
      <c r="S170" s="34">
        <v>43208</v>
      </c>
      <c r="T170" s="34">
        <v>43220</v>
      </c>
      <c r="U170" s="34">
        <v>43231</v>
      </c>
      <c r="V170" s="34"/>
      <c r="AG170" s="30"/>
      <c r="AH170" s="30"/>
      <c r="AI170" s="30"/>
      <c r="AJ170" s="31"/>
    </row>
    <row r="171" spans="1:36" s="29" customFormat="1" x14ac:dyDescent="0.3">
      <c r="A171" s="28">
        <v>272</v>
      </c>
      <c r="B171" s="32" t="s">
        <v>71</v>
      </c>
      <c r="C171" s="32" t="s">
        <v>90</v>
      </c>
      <c r="D171" s="32" t="s">
        <v>88</v>
      </c>
      <c r="E171" s="32">
        <v>2360083508</v>
      </c>
      <c r="F171" s="32"/>
      <c r="G171" s="32">
        <f>0.4*12+0.23*2</f>
        <v>5.2600000000000007</v>
      </c>
      <c r="H171" s="32">
        <v>14</v>
      </c>
      <c r="I171" s="32">
        <f>0.374</f>
        <v>0.374</v>
      </c>
      <c r="J171" s="32">
        <f t="shared" si="147"/>
        <v>0.374</v>
      </c>
      <c r="K171" s="32"/>
      <c r="L171" s="32" t="s">
        <v>68</v>
      </c>
      <c r="M171" s="23">
        <f t="shared" si="150"/>
        <v>71.102661596958157</v>
      </c>
      <c r="N171" s="23">
        <f t="shared" si="151"/>
        <v>71.102661596958157</v>
      </c>
      <c r="O171" s="32" t="s">
        <v>74</v>
      </c>
      <c r="P171" s="32" t="s">
        <v>49</v>
      </c>
      <c r="Q171" s="32" t="s">
        <v>66</v>
      </c>
      <c r="R171" s="29">
        <v>11</v>
      </c>
      <c r="S171" s="34">
        <v>43215</v>
      </c>
      <c r="T171" s="34">
        <v>43220</v>
      </c>
      <c r="U171" s="34">
        <v>43231</v>
      </c>
      <c r="V171" s="34"/>
      <c r="AG171" s="30"/>
      <c r="AH171" s="30"/>
      <c r="AI171" s="30"/>
      <c r="AJ171" s="31"/>
    </row>
    <row r="172" spans="1:36" s="29" customFormat="1" x14ac:dyDescent="0.3">
      <c r="A172" s="28">
        <v>273</v>
      </c>
      <c r="B172" s="32" t="s">
        <v>47</v>
      </c>
      <c r="C172" s="32" t="s">
        <v>90</v>
      </c>
      <c r="D172" s="32" t="s">
        <v>151</v>
      </c>
      <c r="E172" s="32">
        <v>2360083572</v>
      </c>
      <c r="F172" s="32"/>
      <c r="G172" s="32">
        <v>3.9</v>
      </c>
      <c r="H172" s="32">
        <v>27</v>
      </c>
      <c r="I172" s="32">
        <v>0.39</v>
      </c>
      <c r="J172" s="32">
        <f t="shared" si="147"/>
        <v>0.39</v>
      </c>
      <c r="K172" s="32"/>
      <c r="L172" s="32" t="s">
        <v>68</v>
      </c>
      <c r="M172" s="23">
        <f t="shared" ref="M172" si="152">(J172/G172)*1000</f>
        <v>100</v>
      </c>
      <c r="N172" s="23">
        <f t="shared" ref="N172" si="153">I172/G172*1000</f>
        <v>100</v>
      </c>
      <c r="O172" s="32" t="s">
        <v>74</v>
      </c>
      <c r="P172" s="32" t="s">
        <v>49</v>
      </c>
      <c r="Q172" s="32" t="s">
        <v>66</v>
      </c>
      <c r="R172" s="29">
        <v>11</v>
      </c>
      <c r="S172" s="34">
        <v>43218</v>
      </c>
      <c r="T172" s="34">
        <v>43220</v>
      </c>
      <c r="U172" s="34">
        <v>43231</v>
      </c>
      <c r="V172" s="34"/>
      <c r="AG172" s="30"/>
      <c r="AH172" s="30"/>
      <c r="AI172" s="30"/>
      <c r="AJ172" s="31"/>
    </row>
    <row r="173" spans="1:36" s="29" customFormat="1" x14ac:dyDescent="0.3">
      <c r="A173" s="28">
        <v>274</v>
      </c>
      <c r="B173" s="32" t="s">
        <v>47</v>
      </c>
      <c r="C173" s="32" t="s">
        <v>90</v>
      </c>
      <c r="D173" s="32" t="s">
        <v>140</v>
      </c>
      <c r="E173" s="32">
        <v>5000056910</v>
      </c>
      <c r="F173" s="32"/>
      <c r="G173" s="32"/>
      <c r="H173" s="32">
        <v>120</v>
      </c>
      <c r="I173" s="32">
        <v>2.9</v>
      </c>
      <c r="J173" s="32">
        <f t="shared" si="147"/>
        <v>2.9</v>
      </c>
      <c r="K173" s="32"/>
      <c r="L173" s="32" t="s">
        <v>65</v>
      </c>
      <c r="M173" s="23"/>
      <c r="N173" s="23"/>
      <c r="O173" s="32" t="s">
        <v>52</v>
      </c>
      <c r="P173" s="32" t="s">
        <v>49</v>
      </c>
      <c r="Q173" s="32" t="s">
        <v>100</v>
      </c>
      <c r="R173" s="29">
        <v>12</v>
      </c>
      <c r="S173" s="34">
        <v>43215</v>
      </c>
      <c r="T173" s="34">
        <v>43220</v>
      </c>
      <c r="U173" s="34">
        <v>43231</v>
      </c>
      <c r="V173" s="34"/>
      <c r="AG173" s="30"/>
      <c r="AH173" s="30"/>
      <c r="AI173" s="30"/>
      <c r="AJ173" s="31"/>
    </row>
    <row r="174" spans="1:36" s="29" customFormat="1" x14ac:dyDescent="0.3">
      <c r="A174" s="28">
        <v>275</v>
      </c>
      <c r="B174" s="32" t="s">
        <v>72</v>
      </c>
      <c r="C174" s="32" t="s">
        <v>90</v>
      </c>
      <c r="D174" s="32" t="s">
        <v>268</v>
      </c>
      <c r="E174" s="32">
        <v>4201681218</v>
      </c>
      <c r="F174" s="32"/>
      <c r="G174" s="32"/>
      <c r="H174" s="32"/>
      <c r="I174" s="32">
        <v>1.27</v>
      </c>
      <c r="J174" s="32">
        <f t="shared" si="147"/>
        <v>1.27</v>
      </c>
      <c r="K174" s="32"/>
      <c r="L174" s="32" t="s">
        <v>75</v>
      </c>
      <c r="M174" s="23"/>
      <c r="N174" s="23"/>
      <c r="O174" s="32" t="s">
        <v>74</v>
      </c>
      <c r="P174" s="32" t="s">
        <v>49</v>
      </c>
      <c r="Q174" s="32" t="s">
        <v>186</v>
      </c>
      <c r="R174" s="29">
        <v>13</v>
      </c>
      <c r="S174" s="34">
        <v>43215</v>
      </c>
      <c r="T174" s="34">
        <v>43215</v>
      </c>
      <c r="U174" s="34">
        <v>43235</v>
      </c>
      <c r="V174" s="34"/>
      <c r="AG174" s="30"/>
      <c r="AH174" s="30"/>
      <c r="AI174" s="30"/>
      <c r="AJ174" s="31"/>
    </row>
    <row r="175" spans="1:36" s="29" customFormat="1" x14ac:dyDescent="0.3">
      <c r="A175" s="28">
        <v>276</v>
      </c>
      <c r="B175" s="32" t="s">
        <v>72</v>
      </c>
      <c r="C175" s="32" t="s">
        <v>90</v>
      </c>
      <c r="D175" s="35" t="s">
        <v>269</v>
      </c>
      <c r="E175" s="32">
        <v>2360083772</v>
      </c>
      <c r="F175" s="32"/>
      <c r="G175" s="32">
        <f>0.267*20</f>
        <v>5.34</v>
      </c>
      <c r="H175" s="32">
        <v>20</v>
      </c>
      <c r="I175" s="32">
        <f>0.558</f>
        <v>0.55800000000000005</v>
      </c>
      <c r="J175" s="32">
        <v>0.442</v>
      </c>
      <c r="K175" s="32">
        <f>I175-J175</f>
        <v>0.11600000000000005</v>
      </c>
      <c r="L175" s="32" t="s">
        <v>68</v>
      </c>
      <c r="M175" s="23">
        <f t="shared" ref="M175:M177" si="154">(J175/G175)*1000</f>
        <v>82.771535580524343</v>
      </c>
      <c r="N175" s="23">
        <f t="shared" ref="N175:N177" si="155">I175/G175*1000</f>
        <v>104.49438202247192</v>
      </c>
      <c r="O175" s="32" t="s">
        <v>70</v>
      </c>
      <c r="P175" s="32" t="s">
        <v>70</v>
      </c>
      <c r="Q175" s="32" t="s">
        <v>66</v>
      </c>
      <c r="R175" s="29">
        <v>11</v>
      </c>
      <c r="S175" s="34">
        <v>43216</v>
      </c>
      <c r="T175" s="34">
        <v>43234</v>
      </c>
      <c r="U175" s="34">
        <v>43238</v>
      </c>
      <c r="V175" s="34"/>
      <c r="AG175" s="30"/>
      <c r="AH175" s="30"/>
      <c r="AI175" s="30"/>
      <c r="AJ175" s="31"/>
    </row>
    <row r="176" spans="1:36" s="29" customFormat="1" x14ac:dyDescent="0.3">
      <c r="A176" s="28">
        <v>277</v>
      </c>
      <c r="B176" s="32" t="s">
        <v>72</v>
      </c>
      <c r="C176" s="32" t="s">
        <v>90</v>
      </c>
      <c r="D176" s="32" t="s">
        <v>269</v>
      </c>
      <c r="E176" s="32">
        <v>2360083769</v>
      </c>
      <c r="F176" s="32"/>
      <c r="G176" s="32">
        <f>0.267*10</f>
        <v>2.67</v>
      </c>
      <c r="H176" s="32">
        <v>10</v>
      </c>
      <c r="I176" s="32">
        <v>0.2</v>
      </c>
      <c r="J176" s="32">
        <f>I176</f>
        <v>0.2</v>
      </c>
      <c r="K176" s="32"/>
      <c r="L176" s="32" t="s">
        <v>68</v>
      </c>
      <c r="M176" s="23">
        <f t="shared" si="154"/>
        <v>74.906367041198507</v>
      </c>
      <c r="N176" s="23">
        <f t="shared" si="155"/>
        <v>74.906367041198507</v>
      </c>
      <c r="O176" s="32" t="s">
        <v>70</v>
      </c>
      <c r="P176" s="32" t="s">
        <v>70</v>
      </c>
      <c r="Q176" s="32" t="s">
        <v>270</v>
      </c>
      <c r="R176" s="29">
        <v>11</v>
      </c>
      <c r="S176" s="34">
        <v>43216</v>
      </c>
      <c r="T176" s="34">
        <v>43234</v>
      </c>
      <c r="U176" s="34">
        <v>43238</v>
      </c>
      <c r="V176" s="34"/>
      <c r="AG176" s="30"/>
      <c r="AH176" s="30"/>
      <c r="AI176" s="30"/>
      <c r="AJ176" s="31"/>
    </row>
    <row r="177" spans="1:36" s="29" customFormat="1" x14ac:dyDescent="0.3">
      <c r="A177" s="28">
        <v>278</v>
      </c>
      <c r="B177" s="32" t="s">
        <v>67</v>
      </c>
      <c r="C177" s="32" t="s">
        <v>90</v>
      </c>
      <c r="D177" s="32" t="s">
        <v>271</v>
      </c>
      <c r="E177" s="32">
        <v>2360083706</v>
      </c>
      <c r="F177" s="32"/>
      <c r="G177" s="32">
        <f>0.101*6+0.202*12</f>
        <v>3.0300000000000002</v>
      </c>
      <c r="H177" s="32">
        <f>12+6</f>
        <v>18</v>
      </c>
      <c r="I177" s="32">
        <v>1.45</v>
      </c>
      <c r="J177" s="32">
        <v>0.23699999999999999</v>
      </c>
      <c r="K177" s="32">
        <f>I177-J177</f>
        <v>1.2130000000000001</v>
      </c>
      <c r="L177" s="32" t="s">
        <v>68</v>
      </c>
      <c r="M177" s="23">
        <f t="shared" si="154"/>
        <v>78.217821782178206</v>
      </c>
      <c r="N177" s="23">
        <f t="shared" si="155"/>
        <v>478.54785478547853</v>
      </c>
      <c r="O177" s="32" t="s">
        <v>74</v>
      </c>
      <c r="P177" s="32" t="s">
        <v>49</v>
      </c>
      <c r="Q177" s="32" t="s">
        <v>270</v>
      </c>
      <c r="R177" s="29">
        <v>11</v>
      </c>
      <c r="S177" s="34">
        <v>43225</v>
      </c>
      <c r="T177" s="34">
        <v>43237</v>
      </c>
      <c r="U177" s="34">
        <v>43238</v>
      </c>
      <c r="V177" s="34"/>
      <c r="AG177" s="30"/>
      <c r="AH177" s="30"/>
      <c r="AI177" s="30"/>
      <c r="AJ177" s="31"/>
    </row>
    <row r="178" spans="1:36" s="29" customFormat="1" x14ac:dyDescent="0.3">
      <c r="A178" s="28">
        <v>279</v>
      </c>
      <c r="B178" s="32" t="s">
        <v>72</v>
      </c>
      <c r="C178" s="32" t="s">
        <v>90</v>
      </c>
      <c r="D178" s="32" t="s">
        <v>272</v>
      </c>
      <c r="E178" s="32">
        <v>2360083771</v>
      </c>
      <c r="F178" s="32"/>
      <c r="G178" s="32"/>
      <c r="H178" s="32">
        <v>1</v>
      </c>
      <c r="I178" s="32">
        <f>0.0295</f>
        <v>2.9499999999999998E-2</v>
      </c>
      <c r="J178" s="32">
        <f>I178</f>
        <v>2.9499999999999998E-2</v>
      </c>
      <c r="K178" s="32"/>
      <c r="L178" s="32" t="s">
        <v>68</v>
      </c>
      <c r="M178" s="23"/>
      <c r="N178" s="23"/>
      <c r="O178" s="32" t="s">
        <v>74</v>
      </c>
      <c r="P178" s="32" t="s">
        <v>49</v>
      </c>
      <c r="Q178" s="32" t="s">
        <v>100</v>
      </c>
      <c r="R178" s="29">
        <v>12</v>
      </c>
      <c r="S178" s="34">
        <v>43231</v>
      </c>
      <c r="T178" s="34">
        <v>43234</v>
      </c>
      <c r="U178" s="34">
        <v>43238</v>
      </c>
      <c r="V178" s="34"/>
      <c r="AG178" s="30"/>
      <c r="AH178" s="30"/>
      <c r="AI178" s="30"/>
      <c r="AJ178" s="31"/>
    </row>
    <row r="179" spans="1:36" s="29" customFormat="1" x14ac:dyDescent="0.3">
      <c r="A179" s="28">
        <v>280</v>
      </c>
      <c r="B179" s="32" t="s">
        <v>67</v>
      </c>
      <c r="C179" s="32" t="s">
        <v>90</v>
      </c>
      <c r="D179" s="32" t="s">
        <v>273</v>
      </c>
      <c r="E179" s="32">
        <v>2360083576</v>
      </c>
      <c r="F179" s="32"/>
      <c r="G179" s="32">
        <f>144*0.55</f>
        <v>79.2</v>
      </c>
      <c r="H179" s="32">
        <v>144</v>
      </c>
      <c r="I179" s="32">
        <v>4.8</v>
      </c>
      <c r="J179" s="32">
        <f>I179</f>
        <v>4.8</v>
      </c>
      <c r="K179" s="32"/>
      <c r="L179" s="32" t="s">
        <v>68</v>
      </c>
      <c r="M179" s="23">
        <f t="shared" ref="M179" si="156">(J179/G179)*1000</f>
        <v>60.606060606060602</v>
      </c>
      <c r="N179" s="23">
        <f t="shared" ref="N179" si="157">I179/G179*1000</f>
        <v>60.606060606060602</v>
      </c>
      <c r="O179" s="32" t="s">
        <v>69</v>
      </c>
      <c r="P179" s="32" t="s">
        <v>70</v>
      </c>
      <c r="Q179" s="32" t="s">
        <v>66</v>
      </c>
      <c r="R179" s="29">
        <v>11</v>
      </c>
      <c r="S179" s="34">
        <v>43141</v>
      </c>
      <c r="T179" s="34">
        <v>43220</v>
      </c>
      <c r="U179" s="34">
        <v>43238</v>
      </c>
      <c r="V179" s="34"/>
      <c r="AG179" s="30"/>
      <c r="AH179" s="30"/>
      <c r="AI179" s="30"/>
      <c r="AJ179" s="31"/>
    </row>
    <row r="180" spans="1:36" s="29" customFormat="1" x14ac:dyDescent="0.3">
      <c r="A180" s="28">
        <v>281</v>
      </c>
      <c r="B180" s="32" t="s">
        <v>71</v>
      </c>
      <c r="C180" s="32" t="s">
        <v>90</v>
      </c>
      <c r="D180" s="37" t="s">
        <v>274</v>
      </c>
      <c r="E180" s="35">
        <v>4201684295</v>
      </c>
      <c r="F180" s="32">
        <v>3.3</v>
      </c>
      <c r="G180" s="32">
        <v>0.34</v>
      </c>
      <c r="H180" s="32">
        <v>1</v>
      </c>
      <c r="I180" s="32">
        <f>0.163</f>
        <v>0.16300000000000001</v>
      </c>
      <c r="J180" s="32">
        <f>I180</f>
        <v>0.16300000000000001</v>
      </c>
      <c r="K180" s="32"/>
      <c r="L180" s="32" t="s">
        <v>75</v>
      </c>
      <c r="M180" s="23">
        <f t="shared" ref="M180" si="158">(J180/G180)*1000</f>
        <v>479.41176470588232</v>
      </c>
      <c r="N180" s="23">
        <f t="shared" ref="N180" si="159">I180/G180*1000</f>
        <v>479.41176470588232</v>
      </c>
      <c r="O180" s="32" t="s">
        <v>74</v>
      </c>
      <c r="P180" s="32" t="s">
        <v>49</v>
      </c>
      <c r="Q180" s="32" t="s">
        <v>55</v>
      </c>
      <c r="R180" s="29">
        <v>2</v>
      </c>
      <c r="S180" s="34">
        <v>43215</v>
      </c>
      <c r="T180" s="34">
        <v>43220</v>
      </c>
      <c r="U180" s="34">
        <v>43238</v>
      </c>
      <c r="V180" s="34"/>
      <c r="AG180" s="30"/>
      <c r="AH180" s="30"/>
      <c r="AI180" s="30"/>
      <c r="AJ180" s="31"/>
    </row>
    <row r="181" spans="1:36" s="29" customFormat="1" x14ac:dyDescent="0.3">
      <c r="A181" s="28">
        <v>282</v>
      </c>
      <c r="B181" s="32" t="s">
        <v>67</v>
      </c>
      <c r="C181" s="32" t="s">
        <v>90</v>
      </c>
      <c r="D181" s="37" t="s">
        <v>275</v>
      </c>
      <c r="E181" s="35">
        <v>2360083777</v>
      </c>
      <c r="F181" s="32"/>
      <c r="G181" s="32">
        <v>0.45</v>
      </c>
      <c r="H181" s="32">
        <v>1</v>
      </c>
      <c r="I181" s="32">
        <v>5.7000000000000002E-2</v>
      </c>
      <c r="J181" s="32">
        <f>I181</f>
        <v>5.7000000000000002E-2</v>
      </c>
      <c r="K181" s="32"/>
      <c r="L181" s="32" t="s">
        <v>68</v>
      </c>
      <c r="M181" s="23">
        <f t="shared" ref="M181:M183" si="160">(J181/G181)*1000</f>
        <v>126.66666666666667</v>
      </c>
      <c r="N181" s="23">
        <f t="shared" ref="N181:N183" si="161">I181/G181*1000</f>
        <v>126.66666666666667</v>
      </c>
      <c r="O181" s="32" t="s">
        <v>49</v>
      </c>
      <c r="P181" s="32" t="s">
        <v>49</v>
      </c>
      <c r="Q181" s="32" t="s">
        <v>66</v>
      </c>
      <c r="R181" s="29">
        <v>11</v>
      </c>
      <c r="S181" s="34">
        <v>43169</v>
      </c>
      <c r="T181" s="34">
        <v>43235</v>
      </c>
      <c r="U181" s="34">
        <v>43238</v>
      </c>
      <c r="V181" s="34"/>
      <c r="AG181" s="30"/>
      <c r="AH181" s="30"/>
      <c r="AI181" s="30"/>
      <c r="AJ181" s="31"/>
    </row>
    <row r="182" spans="1:36" s="29" customFormat="1" x14ac:dyDescent="0.3">
      <c r="A182" s="28">
        <v>283</v>
      </c>
      <c r="B182" s="32" t="s">
        <v>72</v>
      </c>
      <c r="C182" s="32" t="s">
        <v>90</v>
      </c>
      <c r="D182" s="37" t="s">
        <v>276</v>
      </c>
      <c r="E182" s="35">
        <v>4201693891</v>
      </c>
      <c r="F182" s="32">
        <v>11</v>
      </c>
      <c r="G182" s="32">
        <v>11.36</v>
      </c>
      <c r="H182" s="32">
        <v>42</v>
      </c>
      <c r="I182" s="32">
        <v>3.6</v>
      </c>
      <c r="J182" s="32">
        <f>I182</f>
        <v>3.6</v>
      </c>
      <c r="K182" s="32"/>
      <c r="L182" s="32" t="s">
        <v>65</v>
      </c>
      <c r="M182" s="23">
        <f t="shared" si="160"/>
        <v>316.90140845070425</v>
      </c>
      <c r="N182" s="23">
        <f t="shared" si="161"/>
        <v>316.90140845070425</v>
      </c>
      <c r="O182" s="32" t="s">
        <v>74</v>
      </c>
      <c r="P182" s="32" t="s">
        <v>49</v>
      </c>
      <c r="Q182" s="32" t="s">
        <v>54</v>
      </c>
      <c r="R182" s="29">
        <v>18</v>
      </c>
      <c r="S182" s="34">
        <v>43231</v>
      </c>
      <c r="T182" s="34">
        <v>43236</v>
      </c>
      <c r="U182" s="34">
        <v>43238</v>
      </c>
      <c r="V182" s="34"/>
      <c r="AG182" s="30"/>
      <c r="AH182" s="30"/>
      <c r="AI182" s="30"/>
      <c r="AJ182" s="31"/>
    </row>
    <row r="183" spans="1:36" s="29" customFormat="1" x14ac:dyDescent="0.3">
      <c r="A183" s="28">
        <v>284</v>
      </c>
      <c r="B183" s="32" t="s">
        <v>71</v>
      </c>
      <c r="C183" s="32" t="s">
        <v>90</v>
      </c>
      <c r="D183" s="32" t="s">
        <v>277</v>
      </c>
      <c r="E183" s="32">
        <v>4201686768</v>
      </c>
      <c r="F183" s="32">
        <v>11</v>
      </c>
      <c r="G183" s="32">
        <v>3.64</v>
      </c>
      <c r="H183" s="32">
        <v>6</v>
      </c>
      <c r="I183" s="32">
        <f>0.47</f>
        <v>0.47</v>
      </c>
      <c r="J183" s="32">
        <f>0.297</f>
        <v>0.29699999999999999</v>
      </c>
      <c r="K183" s="32">
        <f>I183-J183</f>
        <v>0.17299999999999999</v>
      </c>
      <c r="L183" s="32" t="s">
        <v>75</v>
      </c>
      <c r="M183" s="23">
        <f t="shared" si="160"/>
        <v>81.593406593406584</v>
      </c>
      <c r="N183" s="23">
        <f t="shared" si="161"/>
        <v>129.1208791208791</v>
      </c>
      <c r="O183" s="32" t="s">
        <v>74</v>
      </c>
      <c r="P183" s="32" t="s">
        <v>49</v>
      </c>
      <c r="Q183" s="32" t="s">
        <v>76</v>
      </c>
      <c r="R183" s="29">
        <v>1</v>
      </c>
      <c r="S183" s="34">
        <v>43224</v>
      </c>
      <c r="T183" s="34">
        <v>43224</v>
      </c>
      <c r="U183" s="34">
        <v>43238</v>
      </c>
      <c r="V183" s="34"/>
      <c r="AG183" s="30"/>
      <c r="AH183" s="30"/>
      <c r="AI183" s="30"/>
      <c r="AJ183" s="31"/>
    </row>
    <row r="184" spans="1:36" s="29" customFormat="1" x14ac:dyDescent="0.3">
      <c r="A184" s="28">
        <v>285</v>
      </c>
      <c r="B184" s="32" t="s">
        <v>53</v>
      </c>
      <c r="C184" s="32" t="s">
        <v>90</v>
      </c>
      <c r="D184" s="32" t="s">
        <v>278</v>
      </c>
      <c r="E184" s="32">
        <v>4201683587</v>
      </c>
      <c r="F184" s="32">
        <v>11</v>
      </c>
      <c r="G184" s="32">
        <v>16.8</v>
      </c>
      <c r="H184" s="32">
        <v>84</v>
      </c>
      <c r="I184" s="32">
        <v>5.6</v>
      </c>
      <c r="J184" s="32">
        <v>1.18</v>
      </c>
      <c r="K184" s="32">
        <f>I184-J184</f>
        <v>4.42</v>
      </c>
      <c r="L184" s="32" t="s">
        <v>68</v>
      </c>
      <c r="M184" s="23">
        <f t="shared" ref="M184" si="162">(J184/G184)*1000</f>
        <v>70.238095238095241</v>
      </c>
      <c r="N184" s="23">
        <f t="shared" ref="N184" si="163">I184/G184*1000</f>
        <v>333.33333333333331</v>
      </c>
      <c r="O184" s="32" t="s">
        <v>69</v>
      </c>
      <c r="P184" s="32" t="s">
        <v>70</v>
      </c>
      <c r="Q184" s="32" t="s">
        <v>171</v>
      </c>
      <c r="R184" s="29">
        <v>18</v>
      </c>
      <c r="S184" s="34">
        <v>43218</v>
      </c>
      <c r="T184" s="34">
        <v>43220</v>
      </c>
      <c r="U184" s="34">
        <v>43238</v>
      </c>
      <c r="V184" s="34"/>
      <c r="AG184" s="30"/>
      <c r="AH184" s="30"/>
      <c r="AI184" s="30"/>
      <c r="AJ184" s="31"/>
    </row>
    <row r="185" spans="1:36" s="29" customFormat="1" x14ac:dyDescent="0.3">
      <c r="A185" s="28">
        <v>286</v>
      </c>
      <c r="B185" s="32" t="s">
        <v>53</v>
      </c>
      <c r="C185" s="32" t="s">
        <v>90</v>
      </c>
      <c r="D185" s="32" t="s">
        <v>278</v>
      </c>
      <c r="E185" s="32">
        <v>4201683611</v>
      </c>
      <c r="F185" s="32">
        <v>11</v>
      </c>
      <c r="G185" s="32">
        <v>7.2</v>
      </c>
      <c r="H185" s="32">
        <v>36</v>
      </c>
      <c r="I185" s="32">
        <v>2.4</v>
      </c>
      <c r="J185" s="32">
        <v>0.50800000000000001</v>
      </c>
      <c r="K185" s="32">
        <f>I185-J185</f>
        <v>1.8919999999999999</v>
      </c>
      <c r="L185" s="32" t="s">
        <v>68</v>
      </c>
      <c r="M185" s="23">
        <f t="shared" ref="M185" si="164">(J185/G185)*1000</f>
        <v>70.555555555555557</v>
      </c>
      <c r="N185" s="23">
        <f t="shared" ref="N185" si="165">I185/G185*1000</f>
        <v>333.33333333333331</v>
      </c>
      <c r="O185" s="32" t="s">
        <v>69</v>
      </c>
      <c r="P185" s="32" t="s">
        <v>70</v>
      </c>
      <c r="Q185" s="32" t="s">
        <v>171</v>
      </c>
      <c r="R185" s="29">
        <v>18</v>
      </c>
      <c r="S185" s="34">
        <v>43218</v>
      </c>
      <c r="T185" s="34">
        <v>43220</v>
      </c>
      <c r="U185" s="34">
        <v>43238</v>
      </c>
      <c r="V185" s="34"/>
      <c r="AG185" s="30"/>
      <c r="AH185" s="30"/>
      <c r="AI185" s="30"/>
      <c r="AJ185" s="31"/>
    </row>
    <row r="186" spans="1:36" s="29" customFormat="1" x14ac:dyDescent="0.3">
      <c r="A186" s="28">
        <v>287</v>
      </c>
      <c r="B186" s="32" t="s">
        <v>72</v>
      </c>
      <c r="C186" s="32" t="s">
        <v>90</v>
      </c>
      <c r="D186" s="32" t="s">
        <v>250</v>
      </c>
      <c r="E186" s="32">
        <v>2360083408</v>
      </c>
      <c r="F186" s="32"/>
      <c r="G186" s="32">
        <v>4.5</v>
      </c>
      <c r="H186" s="32">
        <v>15</v>
      </c>
      <c r="I186" s="32">
        <v>0.41199999999999998</v>
      </c>
      <c r="J186" s="32">
        <f>I186</f>
        <v>0.41199999999999998</v>
      </c>
      <c r="K186" s="32"/>
      <c r="L186" s="32" t="s">
        <v>75</v>
      </c>
      <c r="M186" s="23">
        <f t="shared" ref="M186" si="166">(J186/G186)*1000</f>
        <v>91.555555555555557</v>
      </c>
      <c r="N186" s="23">
        <f t="shared" ref="N186" si="167">I186/G186*1000</f>
        <v>91.555555555555557</v>
      </c>
      <c r="O186" s="32" t="s">
        <v>74</v>
      </c>
      <c r="P186" s="32" t="s">
        <v>49</v>
      </c>
      <c r="Q186" s="32" t="s">
        <v>89</v>
      </c>
      <c r="R186" s="29">
        <v>11</v>
      </c>
      <c r="S186" s="34">
        <v>43201</v>
      </c>
      <c r="T186" s="34">
        <v>43237</v>
      </c>
      <c r="U186" s="34">
        <v>43238</v>
      </c>
      <c r="V186" s="34"/>
      <c r="AG186" s="30"/>
      <c r="AH186" s="30"/>
      <c r="AI186" s="30"/>
      <c r="AJ186" s="31"/>
    </row>
    <row r="187" spans="1:36" s="29" customFormat="1" x14ac:dyDescent="0.3">
      <c r="A187" s="28">
        <v>288</v>
      </c>
      <c r="B187" s="32" t="s">
        <v>71</v>
      </c>
      <c r="C187" s="32" t="s">
        <v>90</v>
      </c>
      <c r="D187" s="37" t="s">
        <v>279</v>
      </c>
      <c r="E187" s="35">
        <v>4201683155</v>
      </c>
      <c r="F187" s="32">
        <v>11</v>
      </c>
      <c r="G187" s="32">
        <v>5.33</v>
      </c>
      <c r="H187" s="32">
        <v>24</v>
      </c>
      <c r="I187" s="32">
        <v>1.6379999999999999</v>
      </c>
      <c r="J187" s="32">
        <f>0.268</f>
        <v>0.26800000000000002</v>
      </c>
      <c r="K187" s="32">
        <f>I187-J187</f>
        <v>1.3699999999999999</v>
      </c>
      <c r="L187" s="32" t="s">
        <v>65</v>
      </c>
      <c r="M187" s="23">
        <f t="shared" ref="M187" si="168">(J187/G187)*1000</f>
        <v>50.281425891181996</v>
      </c>
      <c r="N187" s="23">
        <f t="shared" ref="N187" si="169">I187/G187*1000</f>
        <v>307.3170731707317</v>
      </c>
      <c r="O187" s="32" t="s">
        <v>70</v>
      </c>
      <c r="P187" s="32" t="s">
        <v>70</v>
      </c>
      <c r="Q187" s="32" t="s">
        <v>55</v>
      </c>
      <c r="R187" s="29">
        <v>2</v>
      </c>
      <c r="S187" s="34">
        <v>43209</v>
      </c>
      <c r="T187" s="34">
        <v>43237</v>
      </c>
      <c r="U187" s="34">
        <v>43238</v>
      </c>
      <c r="V187" s="34"/>
      <c r="AG187" s="30"/>
      <c r="AH187" s="30"/>
      <c r="AI187" s="30"/>
      <c r="AJ187" s="31"/>
    </row>
    <row r="188" spans="1:36" s="29" customFormat="1" x14ac:dyDescent="0.3">
      <c r="A188" s="28">
        <v>289</v>
      </c>
      <c r="B188" s="32" t="s">
        <v>53</v>
      </c>
      <c r="C188" s="32" t="s">
        <v>90</v>
      </c>
      <c r="D188" s="37" t="s">
        <v>280</v>
      </c>
      <c r="E188" s="68" t="s">
        <v>282</v>
      </c>
      <c r="F188" s="32"/>
      <c r="G188" s="32">
        <v>1.83</v>
      </c>
      <c r="H188" s="32">
        <v>6</v>
      </c>
      <c r="I188" s="32">
        <v>0.44700000000000001</v>
      </c>
      <c r="J188" s="32">
        <v>0.14399999999999999</v>
      </c>
      <c r="K188" s="32">
        <f>I188-J188</f>
        <v>0.30300000000000005</v>
      </c>
      <c r="L188" s="32" t="s">
        <v>68</v>
      </c>
      <c r="M188" s="23">
        <f t="shared" ref="M188" si="170">(J188/G188)*1000</f>
        <v>78.688524590163922</v>
      </c>
      <c r="N188" s="23">
        <f t="shared" ref="N188" si="171">I188/G188*1000</f>
        <v>244.26229508196721</v>
      </c>
      <c r="O188" s="32" t="s">
        <v>74</v>
      </c>
      <c r="P188" s="32" t="s">
        <v>49</v>
      </c>
      <c r="Q188" s="32" t="s">
        <v>217</v>
      </c>
      <c r="R188" s="29">
        <v>11</v>
      </c>
      <c r="S188" s="34">
        <v>43214</v>
      </c>
      <c r="T188" s="34">
        <v>43237</v>
      </c>
      <c r="U188" s="34">
        <v>43238</v>
      </c>
      <c r="V188" s="34"/>
      <c r="AG188" s="30"/>
      <c r="AH188" s="30"/>
      <c r="AI188" s="30"/>
      <c r="AJ188" s="31"/>
    </row>
    <row r="189" spans="1:36" s="29" customFormat="1" x14ac:dyDescent="0.3">
      <c r="A189" s="28">
        <v>290</v>
      </c>
      <c r="B189" s="32" t="s">
        <v>73</v>
      </c>
      <c r="C189" s="32" t="s">
        <v>90</v>
      </c>
      <c r="D189" s="37" t="s">
        <v>251</v>
      </c>
      <c r="E189" s="35">
        <v>2360083450</v>
      </c>
      <c r="F189" s="32"/>
      <c r="G189" s="32">
        <v>0.5</v>
      </c>
      <c r="H189" s="32">
        <v>3</v>
      </c>
      <c r="I189" s="32">
        <v>6.6000000000000003E-2</v>
      </c>
      <c r="J189" s="32">
        <f t="shared" ref="J189:J212" si="172">I189</f>
        <v>6.6000000000000003E-2</v>
      </c>
      <c r="K189" s="32"/>
      <c r="L189" s="32" t="s">
        <v>75</v>
      </c>
      <c r="M189" s="23">
        <f t="shared" ref="M189" si="173">(J189/G189)*1000</f>
        <v>132</v>
      </c>
      <c r="N189" s="23">
        <f t="shared" ref="N189" si="174">I189/G189*1000</f>
        <v>132</v>
      </c>
      <c r="O189" s="32" t="s">
        <v>49</v>
      </c>
      <c r="P189" s="32" t="s">
        <v>49</v>
      </c>
      <c r="Q189" s="32" t="s">
        <v>217</v>
      </c>
      <c r="R189" s="29">
        <v>11</v>
      </c>
      <c r="S189" s="34">
        <v>43203</v>
      </c>
      <c r="T189" s="34">
        <v>43237</v>
      </c>
      <c r="U189" s="34">
        <v>43238</v>
      </c>
      <c r="V189" s="34"/>
      <c r="AG189" s="30"/>
      <c r="AH189" s="30"/>
      <c r="AI189" s="30"/>
      <c r="AJ189" s="31"/>
    </row>
    <row r="190" spans="1:36" s="29" customFormat="1" x14ac:dyDescent="0.3">
      <c r="A190" s="28">
        <v>291</v>
      </c>
      <c r="B190" s="32" t="s">
        <v>47</v>
      </c>
      <c r="C190" s="32" t="s">
        <v>90</v>
      </c>
      <c r="D190" s="37" t="s">
        <v>77</v>
      </c>
      <c r="E190" s="35">
        <v>5000057236</v>
      </c>
      <c r="F190" s="32"/>
      <c r="G190" s="32">
        <v>20.82</v>
      </c>
      <c r="H190" s="32">
        <v>60</v>
      </c>
      <c r="I190" s="32">
        <v>1.835</v>
      </c>
      <c r="J190" s="32">
        <f t="shared" si="172"/>
        <v>1.835</v>
      </c>
      <c r="K190" s="32"/>
      <c r="L190" s="32" t="s">
        <v>65</v>
      </c>
      <c r="M190" s="23">
        <f t="shared" ref="M190" si="175">(J190/G190)*1000</f>
        <v>88.136407300672431</v>
      </c>
      <c r="N190" s="23">
        <f t="shared" ref="N190" si="176">I190/G190*1000</f>
        <v>88.136407300672431</v>
      </c>
      <c r="O190" s="32" t="s">
        <v>52</v>
      </c>
      <c r="P190" s="32" t="s">
        <v>49</v>
      </c>
      <c r="Q190" s="32" t="s">
        <v>66</v>
      </c>
      <c r="R190" s="29">
        <v>11</v>
      </c>
      <c r="S190" s="34">
        <v>43229</v>
      </c>
      <c r="T190" s="34">
        <v>43241</v>
      </c>
      <c r="U190" s="34">
        <v>43245</v>
      </c>
      <c r="V190" s="34"/>
      <c r="AG190" s="30"/>
      <c r="AH190" s="30"/>
      <c r="AI190" s="30"/>
      <c r="AJ190" s="31"/>
    </row>
    <row r="191" spans="1:36" s="29" customFormat="1" x14ac:dyDescent="0.3">
      <c r="A191" s="28">
        <v>292</v>
      </c>
      <c r="B191" s="32" t="s">
        <v>47</v>
      </c>
      <c r="C191" s="32" t="s">
        <v>90</v>
      </c>
      <c r="D191" s="37" t="s">
        <v>77</v>
      </c>
      <c r="E191" s="35">
        <v>5000057258</v>
      </c>
      <c r="F191" s="32"/>
      <c r="G191" s="32">
        <f>0.085*2</f>
        <v>0.17</v>
      </c>
      <c r="H191" s="32">
        <v>2</v>
      </c>
      <c r="I191" s="32">
        <v>2.9000000000000001E-2</v>
      </c>
      <c r="J191" s="32">
        <f t="shared" si="172"/>
        <v>2.9000000000000001E-2</v>
      </c>
      <c r="K191" s="32"/>
      <c r="L191" s="32" t="s">
        <v>65</v>
      </c>
      <c r="M191" s="23">
        <f t="shared" ref="M191" si="177">(J191/G191)*1000</f>
        <v>170.58823529411765</v>
      </c>
      <c r="N191" s="23">
        <f t="shared" ref="N191" si="178">I191/G191*1000</f>
        <v>170.58823529411765</v>
      </c>
      <c r="O191" s="32" t="s">
        <v>52</v>
      </c>
      <c r="P191" s="32" t="s">
        <v>49</v>
      </c>
      <c r="Q191" s="32" t="s">
        <v>66</v>
      </c>
      <c r="R191" s="29">
        <v>11</v>
      </c>
      <c r="S191" s="34">
        <v>43220</v>
      </c>
      <c r="T191" s="34">
        <v>43241</v>
      </c>
      <c r="U191" s="34">
        <v>43245</v>
      </c>
      <c r="V191" s="34"/>
      <c r="AG191" s="30"/>
      <c r="AH191" s="30"/>
      <c r="AI191" s="30"/>
      <c r="AJ191" s="31"/>
    </row>
    <row r="192" spans="1:36" s="29" customFormat="1" x14ac:dyDescent="0.3">
      <c r="A192" s="28">
        <v>293</v>
      </c>
      <c r="B192" s="32" t="s">
        <v>71</v>
      </c>
      <c r="C192" s="32" t="s">
        <v>90</v>
      </c>
      <c r="D192" s="37" t="s">
        <v>87</v>
      </c>
      <c r="E192" s="35">
        <v>2360083716</v>
      </c>
      <c r="F192" s="32"/>
      <c r="G192" s="32">
        <v>8.82</v>
      </c>
      <c r="H192" s="32">
        <v>38</v>
      </c>
      <c r="I192" s="32">
        <v>0.749</v>
      </c>
      <c r="J192" s="32">
        <f t="shared" si="172"/>
        <v>0.749</v>
      </c>
      <c r="K192" s="32"/>
      <c r="L192" s="32" t="s">
        <v>75</v>
      </c>
      <c r="M192" s="23">
        <f t="shared" ref="M192:M193" si="179">(J192/G192)*1000</f>
        <v>84.920634920634924</v>
      </c>
      <c r="N192" s="23">
        <f t="shared" ref="N192:N193" si="180">I192/G192*1000</f>
        <v>84.920634920634924</v>
      </c>
      <c r="O192" s="32" t="s">
        <v>74</v>
      </c>
      <c r="P192" s="32" t="s">
        <v>49</v>
      </c>
      <c r="Q192" s="32" t="s">
        <v>66</v>
      </c>
      <c r="R192" s="29">
        <v>11</v>
      </c>
      <c r="S192" s="34">
        <v>43222</v>
      </c>
      <c r="T192" s="34">
        <v>43241</v>
      </c>
      <c r="U192" s="34">
        <v>43245</v>
      </c>
      <c r="V192" s="34"/>
      <c r="AG192" s="30"/>
      <c r="AH192" s="30"/>
      <c r="AI192" s="30"/>
      <c r="AJ192" s="31"/>
    </row>
    <row r="193" spans="1:36" s="29" customFormat="1" x14ac:dyDescent="0.3">
      <c r="A193" s="28">
        <v>294</v>
      </c>
      <c r="B193" s="32" t="s">
        <v>71</v>
      </c>
      <c r="C193" s="32" t="s">
        <v>90</v>
      </c>
      <c r="D193" s="37" t="s">
        <v>281</v>
      </c>
      <c r="E193" s="35">
        <v>4201692659</v>
      </c>
      <c r="F193" s="32">
        <v>33</v>
      </c>
      <c r="G193" s="32">
        <v>14.4</v>
      </c>
      <c r="H193" s="32">
        <v>72</v>
      </c>
      <c r="I193" s="32">
        <v>1.7</v>
      </c>
      <c r="J193" s="32">
        <f t="shared" si="172"/>
        <v>1.7</v>
      </c>
      <c r="K193" s="32"/>
      <c r="L193" s="32" t="s">
        <v>68</v>
      </c>
      <c r="M193" s="23">
        <f t="shared" si="179"/>
        <v>118.05555555555556</v>
      </c>
      <c r="N193" s="23">
        <f t="shared" si="180"/>
        <v>118.05555555555556</v>
      </c>
      <c r="O193" s="32" t="s">
        <v>69</v>
      </c>
      <c r="P193" s="32" t="s">
        <v>70</v>
      </c>
      <c r="Q193" s="32" t="s">
        <v>76</v>
      </c>
      <c r="R193" s="29">
        <v>1</v>
      </c>
      <c r="S193" s="34">
        <v>43228</v>
      </c>
      <c r="T193" s="34">
        <v>43241</v>
      </c>
      <c r="U193" s="34">
        <v>43245</v>
      </c>
      <c r="V193" s="34"/>
      <c r="AG193" s="30"/>
      <c r="AH193" s="30"/>
      <c r="AI193" s="30"/>
      <c r="AJ193" s="31"/>
    </row>
    <row r="194" spans="1:36" s="29" customFormat="1" x14ac:dyDescent="0.3">
      <c r="A194" s="28">
        <v>295</v>
      </c>
      <c r="B194" s="32" t="s">
        <v>71</v>
      </c>
      <c r="C194" s="32" t="s">
        <v>90</v>
      </c>
      <c r="D194" s="37" t="s">
        <v>88</v>
      </c>
      <c r="E194" s="35">
        <v>2360083758</v>
      </c>
      <c r="F194" s="32"/>
      <c r="G194" s="32">
        <f>0.38</f>
        <v>0.38</v>
      </c>
      <c r="H194" s="32">
        <v>1</v>
      </c>
      <c r="I194" s="32">
        <v>2.7E-2</v>
      </c>
      <c r="J194" s="32">
        <f t="shared" si="172"/>
        <v>2.7E-2</v>
      </c>
      <c r="K194" s="32"/>
      <c r="L194" s="32" t="s">
        <v>68</v>
      </c>
      <c r="M194" s="23">
        <f t="shared" ref="M194" si="181">(J194/G194)*1000</f>
        <v>71.05263157894737</v>
      </c>
      <c r="N194" s="23">
        <f t="shared" ref="N194" si="182">I194/G194*1000</f>
        <v>71.05263157894737</v>
      </c>
      <c r="O194" s="32" t="s">
        <v>74</v>
      </c>
      <c r="P194" s="32" t="s">
        <v>49</v>
      </c>
      <c r="Q194" s="32" t="s">
        <v>89</v>
      </c>
      <c r="R194" s="29">
        <v>11</v>
      </c>
      <c r="S194" s="34">
        <v>43242</v>
      </c>
      <c r="T194" s="34">
        <v>43242</v>
      </c>
      <c r="U194" s="34">
        <v>43245</v>
      </c>
      <c r="V194" s="34"/>
      <c r="AG194" s="30"/>
      <c r="AH194" s="30"/>
      <c r="AI194" s="30"/>
      <c r="AJ194" s="31"/>
    </row>
    <row r="195" spans="1:36" s="29" customFormat="1" x14ac:dyDescent="0.3">
      <c r="A195" s="28">
        <v>296</v>
      </c>
      <c r="B195" s="32" t="s">
        <v>67</v>
      </c>
      <c r="C195" s="32" t="s">
        <v>90</v>
      </c>
      <c r="D195" s="37" t="s">
        <v>214</v>
      </c>
      <c r="E195" s="35">
        <v>2360083761</v>
      </c>
      <c r="F195" s="32"/>
      <c r="G195" s="32">
        <v>1.21</v>
      </c>
      <c r="H195" s="32">
        <v>5</v>
      </c>
      <c r="I195" s="32">
        <v>0.13700000000000001</v>
      </c>
      <c r="J195" s="32">
        <f t="shared" si="172"/>
        <v>0.13700000000000001</v>
      </c>
      <c r="K195" s="32"/>
      <c r="L195" s="32" t="s">
        <v>68</v>
      </c>
      <c r="M195" s="23">
        <f t="shared" ref="M195:M196" si="183">(J195/G195)*1000</f>
        <v>113.22314049586778</v>
      </c>
      <c r="N195" s="23">
        <f t="shared" ref="N195:N196" si="184">I195/G195*1000</f>
        <v>113.22314049586778</v>
      </c>
      <c r="O195" s="32" t="s">
        <v>69</v>
      </c>
      <c r="P195" s="32" t="s">
        <v>70</v>
      </c>
      <c r="Q195" s="32" t="s">
        <v>89</v>
      </c>
      <c r="R195" s="29">
        <v>11</v>
      </c>
      <c r="S195" s="34">
        <v>43194</v>
      </c>
      <c r="T195" s="34">
        <v>43242</v>
      </c>
      <c r="U195" s="34">
        <v>43245</v>
      </c>
      <c r="V195" s="34"/>
      <c r="AG195" s="30"/>
      <c r="AH195" s="30"/>
      <c r="AI195" s="30"/>
      <c r="AJ195" s="31"/>
    </row>
    <row r="196" spans="1:36" s="29" customFormat="1" x14ac:dyDescent="0.3">
      <c r="A196" s="28">
        <v>297</v>
      </c>
      <c r="B196" s="32" t="s">
        <v>67</v>
      </c>
      <c r="C196" s="32" t="s">
        <v>90</v>
      </c>
      <c r="D196" s="37" t="s">
        <v>154</v>
      </c>
      <c r="E196" s="35">
        <v>2360083776</v>
      </c>
      <c r="F196" s="32"/>
      <c r="G196" s="32">
        <v>5</v>
      </c>
      <c r="H196" s="32">
        <v>17</v>
      </c>
      <c r="I196" s="32">
        <f>0.394</f>
        <v>0.39400000000000002</v>
      </c>
      <c r="J196" s="32">
        <f t="shared" si="172"/>
        <v>0.39400000000000002</v>
      </c>
      <c r="K196" s="32"/>
      <c r="L196" s="32" t="s">
        <v>75</v>
      </c>
      <c r="M196" s="23">
        <f t="shared" si="183"/>
        <v>78.800000000000011</v>
      </c>
      <c r="N196" s="23">
        <f t="shared" si="184"/>
        <v>78.800000000000011</v>
      </c>
      <c r="O196" s="32" t="s">
        <v>69</v>
      </c>
      <c r="P196" s="32" t="s">
        <v>70</v>
      </c>
      <c r="Q196" s="32" t="s">
        <v>89</v>
      </c>
      <c r="R196" s="29">
        <v>11</v>
      </c>
      <c r="S196" s="34">
        <v>43227</v>
      </c>
      <c r="T196" s="34">
        <v>43242</v>
      </c>
      <c r="U196" s="34">
        <v>43245</v>
      </c>
      <c r="V196" s="34"/>
      <c r="AG196" s="30"/>
      <c r="AH196" s="30"/>
      <c r="AI196" s="30"/>
      <c r="AJ196" s="31"/>
    </row>
    <row r="197" spans="1:36" s="29" customFormat="1" x14ac:dyDescent="0.3">
      <c r="A197" s="28">
        <v>298</v>
      </c>
      <c r="B197" s="32" t="s">
        <v>67</v>
      </c>
      <c r="C197" s="32" t="s">
        <v>90</v>
      </c>
      <c r="D197" s="37" t="s">
        <v>154</v>
      </c>
      <c r="E197" s="35">
        <v>2360083775</v>
      </c>
      <c r="F197" s="32"/>
      <c r="G197" s="32">
        <v>5.4</v>
      </c>
      <c r="H197" s="32">
        <v>18</v>
      </c>
      <c r="I197" s="32">
        <v>0.42299999999999999</v>
      </c>
      <c r="J197" s="32">
        <f t="shared" si="172"/>
        <v>0.42299999999999999</v>
      </c>
      <c r="K197" s="32"/>
      <c r="L197" s="32" t="s">
        <v>75</v>
      </c>
      <c r="M197" s="23">
        <f t="shared" ref="M197:M199" si="185">(J197/G197)*1000</f>
        <v>78.333333333333329</v>
      </c>
      <c r="N197" s="23">
        <f t="shared" ref="N197:N199" si="186">I197/G197*1000</f>
        <v>78.333333333333329</v>
      </c>
      <c r="O197" s="32" t="s">
        <v>69</v>
      </c>
      <c r="P197" s="32" t="s">
        <v>70</v>
      </c>
      <c r="Q197" s="32" t="s">
        <v>89</v>
      </c>
      <c r="R197" s="29">
        <v>11</v>
      </c>
      <c r="S197" s="34">
        <v>43227</v>
      </c>
      <c r="T197" s="34">
        <v>43242</v>
      </c>
      <c r="U197" s="34">
        <v>43245</v>
      </c>
      <c r="V197" s="34"/>
      <c r="AG197" s="30"/>
      <c r="AH197" s="30"/>
      <c r="AI197" s="30"/>
      <c r="AJ197" s="31"/>
    </row>
    <row r="198" spans="1:36" s="29" customFormat="1" x14ac:dyDescent="0.3">
      <c r="A198" s="28">
        <v>299</v>
      </c>
      <c r="B198" s="32" t="s">
        <v>72</v>
      </c>
      <c r="C198" s="32" t="s">
        <v>90</v>
      </c>
      <c r="D198" s="37" t="s">
        <v>151</v>
      </c>
      <c r="E198" s="35">
        <v>2360083791</v>
      </c>
      <c r="F198" s="32"/>
      <c r="G198" s="32">
        <v>0.27</v>
      </c>
      <c r="H198" s="32">
        <v>5</v>
      </c>
      <c r="I198" s="32">
        <v>6.0999999999999999E-2</v>
      </c>
      <c r="J198" s="32">
        <f t="shared" si="172"/>
        <v>6.0999999999999999E-2</v>
      </c>
      <c r="K198" s="32"/>
      <c r="L198" s="32" t="s">
        <v>68</v>
      </c>
      <c r="M198" s="23">
        <f t="shared" si="185"/>
        <v>225.92592592592592</v>
      </c>
      <c r="N198" s="23">
        <f t="shared" si="186"/>
        <v>225.92592592592592</v>
      </c>
      <c r="O198" s="32" t="s">
        <v>74</v>
      </c>
      <c r="P198" s="32" t="s">
        <v>49</v>
      </c>
      <c r="Q198" s="32" t="s">
        <v>156</v>
      </c>
      <c r="R198" s="29">
        <v>12</v>
      </c>
      <c r="S198" s="34">
        <v>43228</v>
      </c>
      <c r="T198" s="34">
        <v>43242</v>
      </c>
      <c r="U198" s="34">
        <v>43245</v>
      </c>
      <c r="V198" s="34"/>
      <c r="AG198" s="30"/>
      <c r="AH198" s="30"/>
      <c r="AI198" s="30"/>
      <c r="AJ198" s="31"/>
    </row>
    <row r="199" spans="1:36" s="29" customFormat="1" x14ac:dyDescent="0.3">
      <c r="A199" s="28">
        <v>300</v>
      </c>
      <c r="B199" s="32" t="s">
        <v>67</v>
      </c>
      <c r="C199" s="32" t="s">
        <v>90</v>
      </c>
      <c r="D199" s="32" t="s">
        <v>273</v>
      </c>
      <c r="E199" s="32">
        <v>2360083913</v>
      </c>
      <c r="F199" s="32"/>
      <c r="G199" s="32">
        <f>0.242*7+0.192</f>
        <v>1.8859999999999999</v>
      </c>
      <c r="H199" s="32">
        <v>8</v>
      </c>
      <c r="I199" s="32">
        <v>0.20599999999999999</v>
      </c>
      <c r="J199" s="32">
        <f t="shared" si="172"/>
        <v>0.20599999999999999</v>
      </c>
      <c r="K199" s="32"/>
      <c r="L199" s="32" t="s">
        <v>68</v>
      </c>
      <c r="M199" s="23">
        <f t="shared" si="185"/>
        <v>109.22587486744432</v>
      </c>
      <c r="N199" s="23">
        <f t="shared" si="186"/>
        <v>109.22587486744432</v>
      </c>
      <c r="O199" s="32" t="s">
        <v>69</v>
      </c>
      <c r="P199" s="32" t="s">
        <v>70</v>
      </c>
      <c r="Q199" s="32" t="s">
        <v>66</v>
      </c>
      <c r="R199" s="29">
        <v>11</v>
      </c>
      <c r="S199" s="34">
        <v>43238</v>
      </c>
      <c r="T199" s="34">
        <v>43243</v>
      </c>
      <c r="U199" s="34">
        <v>43245</v>
      </c>
      <c r="V199" s="34"/>
      <c r="AG199" s="30"/>
      <c r="AH199" s="30"/>
      <c r="AI199" s="30"/>
      <c r="AJ199" s="31"/>
    </row>
    <row r="200" spans="1:36" s="29" customFormat="1" x14ac:dyDescent="0.3">
      <c r="A200" s="28">
        <v>301</v>
      </c>
      <c r="B200" s="32" t="s">
        <v>72</v>
      </c>
      <c r="C200" s="32" t="s">
        <v>90</v>
      </c>
      <c r="D200" s="37" t="s">
        <v>283</v>
      </c>
      <c r="E200" s="35">
        <v>2360083812</v>
      </c>
      <c r="F200" s="32"/>
      <c r="G200" s="32">
        <v>138</v>
      </c>
      <c r="H200" s="32">
        <v>208</v>
      </c>
      <c r="I200" s="32">
        <v>11.88</v>
      </c>
      <c r="J200" s="32">
        <f t="shared" si="172"/>
        <v>11.88</v>
      </c>
      <c r="K200" s="32"/>
      <c r="L200" s="32" t="s">
        <v>284</v>
      </c>
      <c r="M200" s="23">
        <f t="shared" ref="M200:M202" si="187">(J200/G200)*1000</f>
        <v>86.086956521739125</v>
      </c>
      <c r="N200" s="23">
        <f t="shared" ref="N200:N202" si="188">I200/G200*1000</f>
        <v>86.086956521739125</v>
      </c>
      <c r="O200" s="32" t="s">
        <v>69</v>
      </c>
      <c r="P200" s="32" t="s">
        <v>70</v>
      </c>
      <c r="Q200" s="32" t="s">
        <v>66</v>
      </c>
      <c r="R200" s="29">
        <v>11</v>
      </c>
      <c r="S200" s="34">
        <v>43234</v>
      </c>
      <c r="T200" s="34">
        <v>43236</v>
      </c>
      <c r="U200" s="34">
        <v>43245</v>
      </c>
      <c r="V200" s="34"/>
      <c r="AG200" s="30"/>
      <c r="AH200" s="30"/>
      <c r="AI200" s="30"/>
      <c r="AJ200" s="31"/>
    </row>
    <row r="201" spans="1:36" s="29" customFormat="1" x14ac:dyDescent="0.3">
      <c r="A201" s="28">
        <v>302</v>
      </c>
      <c r="B201" s="32" t="s">
        <v>53</v>
      </c>
      <c r="C201" s="32" t="s">
        <v>90</v>
      </c>
      <c r="D201" s="35" t="s">
        <v>285</v>
      </c>
      <c r="E201" s="32">
        <v>2360083949</v>
      </c>
      <c r="F201" s="32"/>
      <c r="G201" s="32">
        <v>3.22</v>
      </c>
      <c r="H201" s="32">
        <v>12</v>
      </c>
      <c r="I201" s="32">
        <v>0.3</v>
      </c>
      <c r="J201" s="32">
        <f t="shared" si="172"/>
        <v>0.3</v>
      </c>
      <c r="K201" s="32"/>
      <c r="L201" s="32" t="s">
        <v>75</v>
      </c>
      <c r="M201" s="23">
        <f t="shared" si="187"/>
        <v>93.167701863354026</v>
      </c>
      <c r="N201" s="23">
        <f t="shared" si="188"/>
        <v>93.167701863354026</v>
      </c>
      <c r="O201" s="32" t="s">
        <v>74</v>
      </c>
      <c r="P201" s="32" t="s">
        <v>49</v>
      </c>
      <c r="Q201" s="32" t="s">
        <v>66</v>
      </c>
      <c r="R201" s="29">
        <v>11</v>
      </c>
      <c r="S201" s="34">
        <v>43243</v>
      </c>
      <c r="T201" s="34">
        <v>43244</v>
      </c>
      <c r="U201" s="34">
        <v>43245</v>
      </c>
      <c r="V201" s="34"/>
      <c r="AG201" s="30"/>
      <c r="AH201" s="30"/>
      <c r="AI201" s="30"/>
      <c r="AJ201" s="31"/>
    </row>
    <row r="202" spans="1:36" s="29" customFormat="1" x14ac:dyDescent="0.3">
      <c r="A202" s="28">
        <v>303</v>
      </c>
      <c r="B202" s="32" t="s">
        <v>67</v>
      </c>
      <c r="C202" s="32" t="s">
        <v>90</v>
      </c>
      <c r="D202" s="43" t="s">
        <v>286</v>
      </c>
      <c r="E202" s="32"/>
      <c r="F202" s="32">
        <v>6.6</v>
      </c>
      <c r="G202" s="32">
        <v>0.61</v>
      </c>
      <c r="H202" s="32">
        <v>3</v>
      </c>
      <c r="I202" s="32">
        <v>0.55000000000000004</v>
      </c>
      <c r="J202" s="32">
        <f t="shared" si="172"/>
        <v>0.55000000000000004</v>
      </c>
      <c r="K202" s="32"/>
      <c r="L202" s="32" t="s">
        <v>75</v>
      </c>
      <c r="M202" s="23">
        <f t="shared" si="187"/>
        <v>901.63934426229514</v>
      </c>
      <c r="N202" s="23">
        <f t="shared" si="188"/>
        <v>901.63934426229514</v>
      </c>
      <c r="O202" s="32" t="s">
        <v>74</v>
      </c>
      <c r="P202" s="32" t="s">
        <v>49</v>
      </c>
      <c r="Q202" s="32" t="s">
        <v>55</v>
      </c>
      <c r="R202" s="29">
        <v>2</v>
      </c>
      <c r="S202" s="34">
        <v>43200</v>
      </c>
      <c r="T202" s="34">
        <v>43244</v>
      </c>
      <c r="U202" s="34">
        <v>43245</v>
      </c>
      <c r="V202" s="34"/>
      <c r="AG202" s="30"/>
      <c r="AH202" s="30"/>
      <c r="AI202" s="30"/>
      <c r="AJ202" s="31"/>
    </row>
    <row r="203" spans="1:36" s="29" customFormat="1" x14ac:dyDescent="0.3">
      <c r="A203" s="28">
        <v>304</v>
      </c>
      <c r="B203" s="32" t="s">
        <v>47</v>
      </c>
      <c r="C203" s="32" t="s">
        <v>90</v>
      </c>
      <c r="D203" s="37" t="s">
        <v>77</v>
      </c>
      <c r="E203" s="35">
        <v>5000057743</v>
      </c>
      <c r="F203" s="32"/>
      <c r="G203" s="32">
        <f>0.4*3</f>
        <v>1.2000000000000002</v>
      </c>
      <c r="H203" s="32">
        <v>3</v>
      </c>
      <c r="I203" s="32">
        <v>0.121</v>
      </c>
      <c r="J203" s="32">
        <f t="shared" si="172"/>
        <v>0.121</v>
      </c>
      <c r="K203" s="32"/>
      <c r="L203" s="32" t="s">
        <v>65</v>
      </c>
      <c r="M203" s="23">
        <f t="shared" ref="M203:M210" si="189">(J203/G203)*1000</f>
        <v>100.83333333333331</v>
      </c>
      <c r="N203" s="23">
        <f t="shared" ref="N203:N210" si="190">I203/G203*1000</f>
        <v>100.83333333333331</v>
      </c>
      <c r="O203" s="32" t="s">
        <v>52</v>
      </c>
      <c r="P203" s="32" t="s">
        <v>49</v>
      </c>
      <c r="Q203" s="32" t="s">
        <v>66</v>
      </c>
      <c r="R203" s="29">
        <v>11</v>
      </c>
      <c r="S203" s="34">
        <v>43248</v>
      </c>
      <c r="T203" s="34">
        <v>43251</v>
      </c>
      <c r="U203" s="34">
        <v>43255</v>
      </c>
      <c r="V203" s="34"/>
      <c r="AG203" s="30"/>
      <c r="AH203" s="30"/>
      <c r="AI203" s="30"/>
      <c r="AJ203" s="31"/>
    </row>
    <row r="204" spans="1:36" s="29" customFormat="1" x14ac:dyDescent="0.3">
      <c r="A204" s="28">
        <v>305</v>
      </c>
      <c r="B204" s="32" t="s">
        <v>47</v>
      </c>
      <c r="C204" s="32" t="s">
        <v>90</v>
      </c>
      <c r="D204" s="37" t="s">
        <v>77</v>
      </c>
      <c r="E204" s="35">
        <v>5000057748</v>
      </c>
      <c r="F204" s="32"/>
      <c r="G204" s="32">
        <v>0.4</v>
      </c>
      <c r="H204" s="32">
        <v>1</v>
      </c>
      <c r="I204" s="32">
        <v>4.2000000000000003E-2</v>
      </c>
      <c r="J204" s="32">
        <f t="shared" si="172"/>
        <v>4.2000000000000003E-2</v>
      </c>
      <c r="K204" s="32"/>
      <c r="L204" s="32" t="s">
        <v>65</v>
      </c>
      <c r="M204" s="23">
        <f t="shared" si="189"/>
        <v>105</v>
      </c>
      <c r="N204" s="23">
        <f t="shared" si="190"/>
        <v>105</v>
      </c>
      <c r="O204" s="32" t="s">
        <v>52</v>
      </c>
      <c r="P204" s="32" t="s">
        <v>49</v>
      </c>
      <c r="Q204" s="32" t="s">
        <v>66</v>
      </c>
      <c r="R204" s="29">
        <v>11</v>
      </c>
      <c r="S204" s="34">
        <v>43249</v>
      </c>
      <c r="T204" s="34">
        <v>43251</v>
      </c>
      <c r="U204" s="34">
        <v>43255</v>
      </c>
      <c r="V204" s="34"/>
      <c r="AG204" s="30"/>
      <c r="AH204" s="30"/>
      <c r="AI204" s="30"/>
      <c r="AJ204" s="31"/>
    </row>
    <row r="205" spans="1:36" s="29" customFormat="1" x14ac:dyDescent="0.3">
      <c r="A205" s="28">
        <v>306</v>
      </c>
      <c r="B205" s="32" t="s">
        <v>47</v>
      </c>
      <c r="C205" s="32" t="s">
        <v>90</v>
      </c>
      <c r="D205" s="39" t="s">
        <v>64</v>
      </c>
      <c r="E205" s="39">
        <v>5000057692</v>
      </c>
      <c r="F205" s="32"/>
      <c r="G205" s="32"/>
      <c r="H205" s="32">
        <v>2</v>
      </c>
      <c r="I205" s="32">
        <v>4.8000000000000001E-2</v>
      </c>
      <c r="J205" s="32">
        <f t="shared" si="172"/>
        <v>4.8000000000000001E-2</v>
      </c>
      <c r="K205" s="32"/>
      <c r="L205" s="32" t="s">
        <v>65</v>
      </c>
      <c r="M205" s="23"/>
      <c r="N205" s="23"/>
      <c r="O205" s="32" t="s">
        <v>52</v>
      </c>
      <c r="P205" s="32" t="s">
        <v>49</v>
      </c>
      <c r="Q205" s="32" t="s">
        <v>100</v>
      </c>
      <c r="R205" s="29">
        <v>12</v>
      </c>
      <c r="S205" s="34">
        <v>43238</v>
      </c>
      <c r="T205" s="34">
        <v>43251</v>
      </c>
      <c r="U205" s="34">
        <v>43255</v>
      </c>
      <c r="V205" s="34"/>
      <c r="AG205" s="30"/>
      <c r="AH205" s="30"/>
      <c r="AI205" s="30"/>
      <c r="AJ205" s="31"/>
    </row>
    <row r="206" spans="1:36" s="29" customFormat="1" x14ac:dyDescent="0.3">
      <c r="A206" s="28">
        <v>307</v>
      </c>
      <c r="B206" s="32" t="s">
        <v>47</v>
      </c>
      <c r="C206" s="32" t="s">
        <v>90</v>
      </c>
      <c r="D206" s="39" t="s">
        <v>64</v>
      </c>
      <c r="E206" s="39">
        <v>5000057739</v>
      </c>
      <c r="F206" s="32"/>
      <c r="G206" s="32"/>
      <c r="H206" s="32">
        <v>1</v>
      </c>
      <c r="I206" s="32">
        <v>2.1999999999999999E-2</v>
      </c>
      <c r="J206" s="32">
        <f t="shared" si="172"/>
        <v>2.1999999999999999E-2</v>
      </c>
      <c r="K206" s="32"/>
      <c r="L206" s="32" t="s">
        <v>65</v>
      </c>
      <c r="M206" s="23"/>
      <c r="N206" s="23"/>
      <c r="O206" s="32" t="s">
        <v>52</v>
      </c>
      <c r="P206" s="32" t="s">
        <v>49</v>
      </c>
      <c r="Q206" s="32" t="s">
        <v>100</v>
      </c>
      <c r="R206" s="29">
        <v>12</v>
      </c>
      <c r="S206" s="34">
        <v>43245</v>
      </c>
      <c r="T206" s="34">
        <v>43251</v>
      </c>
      <c r="U206" s="34">
        <v>43255</v>
      </c>
      <c r="V206" s="34"/>
      <c r="AG206" s="30"/>
      <c r="AH206" s="30"/>
      <c r="AI206" s="30"/>
      <c r="AJ206" s="31"/>
    </row>
    <row r="207" spans="1:36" s="29" customFormat="1" x14ac:dyDescent="0.3">
      <c r="A207" s="28"/>
      <c r="B207" s="32" t="s">
        <v>47</v>
      </c>
      <c r="C207" s="32" t="s">
        <v>90</v>
      </c>
      <c r="D207" s="39" t="s">
        <v>64</v>
      </c>
      <c r="E207" s="39">
        <v>5000057741</v>
      </c>
      <c r="F207" s="32"/>
      <c r="G207" s="32"/>
      <c r="H207" s="32">
        <v>1</v>
      </c>
      <c r="I207" s="32">
        <v>2.1999999999999999E-2</v>
      </c>
      <c r="J207" s="32">
        <f t="shared" si="172"/>
        <v>2.1999999999999999E-2</v>
      </c>
      <c r="K207" s="32"/>
      <c r="L207" s="32" t="s">
        <v>65</v>
      </c>
      <c r="M207" s="23"/>
      <c r="N207" s="23"/>
      <c r="O207" s="32" t="s">
        <v>52</v>
      </c>
      <c r="P207" s="32" t="s">
        <v>49</v>
      </c>
      <c r="Q207" s="32" t="s">
        <v>100</v>
      </c>
      <c r="R207" s="29">
        <v>12</v>
      </c>
      <c r="S207" s="34">
        <v>43245</v>
      </c>
      <c r="T207" s="34">
        <v>43251</v>
      </c>
      <c r="U207" s="34">
        <v>43255</v>
      </c>
      <c r="V207" s="34"/>
      <c r="AG207" s="30"/>
      <c r="AH207" s="30"/>
      <c r="AI207" s="30"/>
      <c r="AJ207" s="31"/>
    </row>
    <row r="208" spans="1:36" s="29" customFormat="1" x14ac:dyDescent="0.3">
      <c r="A208" s="28">
        <v>308</v>
      </c>
      <c r="B208" s="32" t="s">
        <v>47</v>
      </c>
      <c r="C208" s="32" t="s">
        <v>90</v>
      </c>
      <c r="D208" s="39" t="s">
        <v>287</v>
      </c>
      <c r="E208" s="39">
        <v>5000057745</v>
      </c>
      <c r="F208" s="32"/>
      <c r="G208" s="32">
        <f>1.104*46</f>
        <v>50.784000000000006</v>
      </c>
      <c r="H208" s="32">
        <v>46</v>
      </c>
      <c r="I208" s="32">
        <v>2.4500000000000002</v>
      </c>
      <c r="J208" s="32">
        <f t="shared" si="172"/>
        <v>2.4500000000000002</v>
      </c>
      <c r="K208" s="32"/>
      <c r="L208" s="32" t="s">
        <v>65</v>
      </c>
      <c r="M208" s="59">
        <f t="shared" ref="M208" si="191">(J208/G208)*1000</f>
        <v>48.243541272841838</v>
      </c>
      <c r="N208" s="59">
        <f t="shared" ref="N208" si="192">I208/G208*1000</f>
        <v>48.243541272841838</v>
      </c>
      <c r="O208" s="32" t="s">
        <v>52</v>
      </c>
      <c r="P208" s="32" t="s">
        <v>49</v>
      </c>
      <c r="Q208" s="32" t="s">
        <v>288</v>
      </c>
      <c r="R208" s="29">
        <v>11</v>
      </c>
      <c r="S208" s="34">
        <v>43250</v>
      </c>
      <c r="T208" s="34">
        <v>43251</v>
      </c>
      <c r="U208" s="34">
        <v>43255</v>
      </c>
      <c r="V208" s="34"/>
      <c r="AG208" s="30"/>
      <c r="AH208" s="30"/>
      <c r="AI208" s="30"/>
      <c r="AJ208" s="31"/>
    </row>
    <row r="209" spans="1:36" s="29" customFormat="1" x14ac:dyDescent="0.3">
      <c r="A209" s="28">
        <v>309</v>
      </c>
      <c r="B209" s="32" t="s">
        <v>47</v>
      </c>
      <c r="C209" s="32" t="s">
        <v>90</v>
      </c>
      <c r="D209" s="39" t="s">
        <v>140</v>
      </c>
      <c r="E209" s="39">
        <v>5000057644</v>
      </c>
      <c r="F209" s="32"/>
      <c r="G209" s="32"/>
      <c r="H209" s="32">
        <f>24+24</f>
        <v>48</v>
      </c>
      <c r="I209" s="32">
        <v>1.58</v>
      </c>
      <c r="J209" s="32">
        <f t="shared" si="172"/>
        <v>1.58</v>
      </c>
      <c r="K209" s="32"/>
      <c r="L209" s="32" t="s">
        <v>65</v>
      </c>
      <c r="M209" s="23"/>
      <c r="N209" s="23"/>
      <c r="O209" s="32" t="s">
        <v>52</v>
      </c>
      <c r="P209" s="32" t="s">
        <v>49</v>
      </c>
      <c r="Q209" s="32" t="s">
        <v>100</v>
      </c>
      <c r="R209" s="29">
        <v>12</v>
      </c>
      <c r="S209" s="34">
        <v>43249</v>
      </c>
      <c r="T209" s="34">
        <v>43251</v>
      </c>
      <c r="U209" s="34">
        <v>43255</v>
      </c>
      <c r="V209" s="34"/>
      <c r="AG209" s="30"/>
      <c r="AH209" s="30"/>
      <c r="AI209" s="30"/>
      <c r="AJ209" s="31"/>
    </row>
    <row r="210" spans="1:36" s="29" customFormat="1" x14ac:dyDescent="0.3">
      <c r="A210" s="28">
        <v>310</v>
      </c>
      <c r="B210" s="32" t="s">
        <v>71</v>
      </c>
      <c r="C210" s="32" t="s">
        <v>90</v>
      </c>
      <c r="D210" s="39" t="s">
        <v>87</v>
      </c>
      <c r="E210" s="39">
        <v>4201702141</v>
      </c>
      <c r="F210" s="32">
        <v>33</v>
      </c>
      <c r="G210" s="32">
        <v>9.75</v>
      </c>
      <c r="H210" s="32">
        <v>30</v>
      </c>
      <c r="I210" s="32">
        <v>0.84799999999999998</v>
      </c>
      <c r="J210" s="32">
        <f t="shared" si="172"/>
        <v>0.84799999999999998</v>
      </c>
      <c r="K210" s="32"/>
      <c r="L210" s="32" t="s">
        <v>75</v>
      </c>
      <c r="M210" s="23">
        <f t="shared" si="189"/>
        <v>86.974358974358964</v>
      </c>
      <c r="N210" s="23">
        <f t="shared" si="190"/>
        <v>86.974358974358964</v>
      </c>
      <c r="O210" s="32" t="s">
        <v>74</v>
      </c>
      <c r="P210" s="32" t="s">
        <v>49</v>
      </c>
      <c r="Q210" s="32" t="s">
        <v>127</v>
      </c>
      <c r="R210" s="29">
        <v>6</v>
      </c>
      <c r="S210" s="34">
        <v>43241</v>
      </c>
      <c r="T210" s="34">
        <v>43251</v>
      </c>
      <c r="U210" s="34">
        <v>43255</v>
      </c>
      <c r="V210" s="34"/>
      <c r="AG210" s="30"/>
      <c r="AH210" s="30"/>
      <c r="AI210" s="30"/>
      <c r="AJ210" s="31"/>
    </row>
    <row r="211" spans="1:36" s="29" customFormat="1" x14ac:dyDescent="0.3">
      <c r="A211" s="28">
        <v>311</v>
      </c>
      <c r="B211" s="32" t="s">
        <v>53</v>
      </c>
      <c r="C211" s="32" t="s">
        <v>90</v>
      </c>
      <c r="D211" s="39" t="s">
        <v>289</v>
      </c>
      <c r="E211" s="39">
        <v>2360083985</v>
      </c>
      <c r="F211" s="32"/>
      <c r="G211" s="32">
        <f>0.4*5</f>
        <v>2</v>
      </c>
      <c r="H211" s="32">
        <v>5</v>
      </c>
      <c r="I211" s="32">
        <v>0.17</v>
      </c>
      <c r="J211" s="32">
        <f t="shared" si="172"/>
        <v>0.17</v>
      </c>
      <c r="K211" s="32"/>
      <c r="L211" s="32" t="s">
        <v>68</v>
      </c>
      <c r="M211" s="23">
        <f t="shared" ref="M211:M217" si="193">(J211/G211)*1000</f>
        <v>85</v>
      </c>
      <c r="N211" s="23">
        <f t="shared" ref="N211:N217" si="194">I211/G211*1000</f>
        <v>85</v>
      </c>
      <c r="O211" s="32" t="s">
        <v>69</v>
      </c>
      <c r="P211" s="32" t="s">
        <v>70</v>
      </c>
      <c r="Q211" s="32" t="s">
        <v>66</v>
      </c>
      <c r="R211" s="29">
        <v>11</v>
      </c>
      <c r="S211" s="34">
        <v>43229</v>
      </c>
      <c r="T211" s="34">
        <v>43251</v>
      </c>
      <c r="U211" s="34">
        <v>43255</v>
      </c>
      <c r="V211" s="34"/>
      <c r="AG211" s="30"/>
      <c r="AH211" s="30"/>
      <c r="AI211" s="30"/>
      <c r="AJ211" s="31"/>
    </row>
    <row r="212" spans="1:36" s="29" customFormat="1" x14ac:dyDescent="0.3">
      <c r="A212" s="28">
        <v>312</v>
      </c>
      <c r="B212" s="32" t="s">
        <v>47</v>
      </c>
      <c r="C212" s="32" t="s">
        <v>90</v>
      </c>
      <c r="D212" s="39" t="s">
        <v>290</v>
      </c>
      <c r="E212" s="39">
        <v>5000057694</v>
      </c>
      <c r="F212" s="32">
        <v>6.6</v>
      </c>
      <c r="G212" s="32">
        <v>1.53</v>
      </c>
      <c r="H212" s="32">
        <v>6</v>
      </c>
      <c r="I212" s="32">
        <v>0.91600000000000004</v>
      </c>
      <c r="J212" s="32">
        <f t="shared" si="172"/>
        <v>0.91600000000000004</v>
      </c>
      <c r="K212" s="32"/>
      <c r="L212" s="32" t="s">
        <v>65</v>
      </c>
      <c r="M212" s="23">
        <f t="shared" si="193"/>
        <v>598.69281045751632</v>
      </c>
      <c r="N212" s="23">
        <f t="shared" si="194"/>
        <v>598.69281045751632</v>
      </c>
      <c r="O212" s="32" t="s">
        <v>52</v>
      </c>
      <c r="P212" s="32" t="s">
        <v>49</v>
      </c>
      <c r="Q212" s="32" t="s">
        <v>55</v>
      </c>
      <c r="R212" s="29">
        <v>2</v>
      </c>
      <c r="S212" s="34">
        <v>43248</v>
      </c>
      <c r="T212" s="34">
        <v>43251</v>
      </c>
      <c r="U212" s="34">
        <v>43255</v>
      </c>
      <c r="V212" s="34"/>
      <c r="AG212" s="30"/>
      <c r="AH212" s="30"/>
      <c r="AI212" s="30"/>
      <c r="AJ212" s="31"/>
    </row>
    <row r="213" spans="1:36" s="29" customFormat="1" x14ac:dyDescent="0.3">
      <c r="A213" s="28">
        <v>313</v>
      </c>
      <c r="B213" s="32" t="s">
        <v>72</v>
      </c>
      <c r="C213" s="32" t="s">
        <v>90</v>
      </c>
      <c r="D213" s="37" t="s">
        <v>291</v>
      </c>
      <c r="E213" s="35">
        <v>4201700796</v>
      </c>
      <c r="F213" s="32">
        <v>33</v>
      </c>
      <c r="G213" s="32">
        <v>26.52</v>
      </c>
      <c r="H213" s="32">
        <v>48</v>
      </c>
      <c r="I213" s="32">
        <v>2.42</v>
      </c>
      <c r="J213" s="32">
        <v>1.5</v>
      </c>
      <c r="K213" s="32">
        <f>I213-J213</f>
        <v>0.91999999999999993</v>
      </c>
      <c r="L213" s="32" t="s">
        <v>68</v>
      </c>
      <c r="M213" s="23">
        <f t="shared" si="193"/>
        <v>56.561085972850677</v>
      </c>
      <c r="N213" s="23">
        <f t="shared" si="194"/>
        <v>91.251885369532417</v>
      </c>
      <c r="O213" s="32" t="s">
        <v>69</v>
      </c>
      <c r="P213" s="32" t="s">
        <v>70</v>
      </c>
      <c r="Q213" s="32" t="s">
        <v>76</v>
      </c>
      <c r="R213" s="29">
        <v>1</v>
      </c>
      <c r="S213" s="34">
        <v>43231</v>
      </c>
      <c r="T213" s="34">
        <v>43251</v>
      </c>
      <c r="U213" s="34">
        <v>43255</v>
      </c>
      <c r="V213" s="34"/>
      <c r="AG213" s="30"/>
      <c r="AH213" s="30"/>
      <c r="AI213" s="30"/>
      <c r="AJ213" s="31"/>
    </row>
    <row r="214" spans="1:36" s="29" customFormat="1" x14ac:dyDescent="0.3">
      <c r="A214" s="28">
        <v>314</v>
      </c>
      <c r="B214" s="32" t="s">
        <v>47</v>
      </c>
      <c r="C214" s="32" t="s">
        <v>90</v>
      </c>
      <c r="D214" s="37" t="s">
        <v>84</v>
      </c>
      <c r="E214" s="35">
        <v>5000057693</v>
      </c>
      <c r="F214" s="32">
        <v>22</v>
      </c>
      <c r="G214" s="32">
        <v>16.239999999999998</v>
      </c>
      <c r="H214" s="32">
        <v>36</v>
      </c>
      <c r="I214" s="32">
        <v>6.5</v>
      </c>
      <c r="J214" s="32">
        <f>I214</f>
        <v>6.5</v>
      </c>
      <c r="K214" s="32"/>
      <c r="L214" s="32" t="s">
        <v>75</v>
      </c>
      <c r="M214" s="23">
        <f t="shared" si="193"/>
        <v>400.24630541871926</v>
      </c>
      <c r="N214" s="23">
        <f t="shared" si="194"/>
        <v>400.24630541871926</v>
      </c>
      <c r="O214" s="32" t="s">
        <v>52</v>
      </c>
      <c r="P214" s="32" t="s">
        <v>49</v>
      </c>
      <c r="Q214" s="32" t="s">
        <v>55</v>
      </c>
      <c r="R214" s="29">
        <v>2</v>
      </c>
      <c r="S214" s="34">
        <v>43250</v>
      </c>
      <c r="T214" s="34">
        <v>43251</v>
      </c>
      <c r="U214" s="34">
        <v>43255</v>
      </c>
      <c r="V214" s="34"/>
      <c r="AG214" s="30"/>
      <c r="AH214" s="30"/>
      <c r="AI214" s="30"/>
      <c r="AJ214" s="31"/>
    </row>
    <row r="215" spans="1:36" x14ac:dyDescent="0.3">
      <c r="A215" s="32">
        <v>315</v>
      </c>
      <c r="B215" s="32" t="s">
        <v>71</v>
      </c>
      <c r="C215" s="32" t="s">
        <v>90</v>
      </c>
      <c r="D215" s="37" t="s">
        <v>292</v>
      </c>
      <c r="E215" s="35">
        <v>4201702415</v>
      </c>
      <c r="F215" s="32">
        <v>11</v>
      </c>
      <c r="G215" s="32">
        <v>18.149999999999999</v>
      </c>
      <c r="H215" s="32">
        <v>75</v>
      </c>
      <c r="I215" s="32">
        <v>1.9</v>
      </c>
      <c r="J215" s="32">
        <v>1.38</v>
      </c>
      <c r="K215" s="32">
        <f>I215-J215</f>
        <v>0.52</v>
      </c>
      <c r="L215" s="32" t="s">
        <v>68</v>
      </c>
      <c r="M215" s="23">
        <f t="shared" si="193"/>
        <v>76.033057851239661</v>
      </c>
      <c r="N215" s="23">
        <f t="shared" si="194"/>
        <v>104.68319559228651</v>
      </c>
      <c r="O215" s="32" t="s">
        <v>69</v>
      </c>
      <c r="P215" s="32" t="s">
        <v>70</v>
      </c>
      <c r="Q215" s="32" t="s">
        <v>76</v>
      </c>
      <c r="R215" s="29">
        <v>1</v>
      </c>
      <c r="S215" s="34">
        <v>43244</v>
      </c>
      <c r="T215" s="34">
        <v>43251</v>
      </c>
      <c r="U215" s="34">
        <v>43255</v>
      </c>
      <c r="V215" s="34"/>
      <c r="AG215" s="2"/>
      <c r="AH215" s="2"/>
      <c r="AI215" s="2"/>
      <c r="AJ215" s="3"/>
    </row>
    <row r="216" spans="1:36" s="29" customFormat="1" x14ac:dyDescent="0.3">
      <c r="A216" s="32">
        <v>316</v>
      </c>
      <c r="B216" s="32" t="s">
        <v>72</v>
      </c>
      <c r="C216" s="32" t="s">
        <v>90</v>
      </c>
      <c r="D216" s="37" t="s">
        <v>293</v>
      </c>
      <c r="E216" s="35">
        <v>4201706115</v>
      </c>
      <c r="F216" s="32">
        <v>11</v>
      </c>
      <c r="G216" s="32">
        <v>3.86</v>
      </c>
      <c r="H216" s="32">
        <v>36</v>
      </c>
      <c r="I216" s="32">
        <v>5.5</v>
      </c>
      <c r="J216" s="32">
        <f>I216</f>
        <v>5.5</v>
      </c>
      <c r="K216" s="32"/>
      <c r="L216" s="32" t="s">
        <v>294</v>
      </c>
      <c r="M216" s="23">
        <f t="shared" si="193"/>
        <v>1424.8704663212434</v>
      </c>
      <c r="N216" s="23">
        <f t="shared" si="194"/>
        <v>1424.8704663212434</v>
      </c>
      <c r="O216" s="32" t="s">
        <v>74</v>
      </c>
      <c r="P216" s="32" t="s">
        <v>49</v>
      </c>
      <c r="Q216" s="32" t="s">
        <v>54</v>
      </c>
      <c r="R216" s="29">
        <v>18</v>
      </c>
      <c r="S216" s="34">
        <v>43250</v>
      </c>
      <c r="T216" s="34">
        <v>43251</v>
      </c>
      <c r="U216" s="34">
        <v>43256</v>
      </c>
      <c r="V216" s="34"/>
      <c r="AG216" s="30"/>
      <c r="AH216" s="30"/>
      <c r="AI216" s="30"/>
      <c r="AJ216" s="31"/>
    </row>
    <row r="217" spans="1:36" s="29" customFormat="1" x14ac:dyDescent="0.3">
      <c r="A217" s="32">
        <v>317</v>
      </c>
      <c r="B217" s="32" t="s">
        <v>47</v>
      </c>
      <c r="C217" s="32" t="s">
        <v>90</v>
      </c>
      <c r="D217" s="32" t="s">
        <v>142</v>
      </c>
      <c r="E217" s="32">
        <v>5000057729</v>
      </c>
      <c r="F217" s="32"/>
      <c r="G217" s="32">
        <v>0.9</v>
      </c>
      <c r="H217" s="32">
        <v>3</v>
      </c>
      <c r="I217" s="32">
        <v>0.126</v>
      </c>
      <c r="J217" s="32">
        <f>I217</f>
        <v>0.126</v>
      </c>
      <c r="K217" s="32"/>
      <c r="L217" s="32" t="s">
        <v>65</v>
      </c>
      <c r="M217" s="23">
        <f t="shared" si="193"/>
        <v>139.99999999999997</v>
      </c>
      <c r="N217" s="23">
        <f t="shared" si="194"/>
        <v>139.99999999999997</v>
      </c>
      <c r="O217" s="32" t="s">
        <v>52</v>
      </c>
      <c r="P217" s="32" t="s">
        <v>49</v>
      </c>
      <c r="Q217" s="32" t="s">
        <v>156</v>
      </c>
      <c r="R217" s="29">
        <v>12</v>
      </c>
      <c r="S217" s="34">
        <v>43243</v>
      </c>
      <c r="T217" s="34">
        <v>43251</v>
      </c>
      <c r="U217" s="34">
        <v>43256</v>
      </c>
      <c r="V217" s="34"/>
      <c r="AG217" s="30"/>
      <c r="AH217" s="30"/>
      <c r="AI217" s="30"/>
      <c r="AJ217" s="31"/>
    </row>
    <row r="218" spans="1:36" s="29" customFormat="1" x14ac:dyDescent="0.3">
      <c r="A218" s="32">
        <v>318</v>
      </c>
      <c r="B218" s="32" t="s">
        <v>47</v>
      </c>
      <c r="C218" s="32" t="s">
        <v>90</v>
      </c>
      <c r="D218" s="32" t="s">
        <v>142</v>
      </c>
      <c r="E218" s="32">
        <v>5000057639</v>
      </c>
      <c r="F218" s="32"/>
      <c r="G218" s="32">
        <v>0.1</v>
      </c>
      <c r="H218" s="32">
        <v>1</v>
      </c>
      <c r="I218" s="32">
        <v>0.02</v>
      </c>
      <c r="J218" s="32">
        <f>I218</f>
        <v>0.02</v>
      </c>
      <c r="K218" s="32"/>
      <c r="L218" s="32" t="s">
        <v>65</v>
      </c>
      <c r="M218" s="23">
        <f t="shared" ref="M218:M220" si="195">(J218/G218)*1000</f>
        <v>199.99999999999997</v>
      </c>
      <c r="N218" s="23">
        <f t="shared" ref="N218:N220" si="196">I218/G218*1000</f>
        <v>199.99999999999997</v>
      </c>
      <c r="O218" s="32" t="s">
        <v>52</v>
      </c>
      <c r="P218" s="32" t="s">
        <v>49</v>
      </c>
      <c r="Q218" s="32" t="s">
        <v>156</v>
      </c>
      <c r="R218" s="29">
        <v>12</v>
      </c>
      <c r="S218" s="34">
        <v>43241</v>
      </c>
      <c r="T218" s="34">
        <v>43251</v>
      </c>
      <c r="U218" s="34">
        <v>43256</v>
      </c>
      <c r="V218" s="34"/>
      <c r="AG218" s="30"/>
      <c r="AH218" s="30"/>
      <c r="AI218" s="30"/>
      <c r="AJ218" s="31"/>
    </row>
    <row r="219" spans="1:36" s="29" customFormat="1" x14ac:dyDescent="0.3">
      <c r="A219" s="32">
        <v>319</v>
      </c>
      <c r="B219" s="32" t="s">
        <v>47</v>
      </c>
      <c r="C219" s="32" t="s">
        <v>90</v>
      </c>
      <c r="D219" s="32" t="s">
        <v>142</v>
      </c>
      <c r="E219" s="32">
        <v>5000057730</v>
      </c>
      <c r="F219" s="32"/>
      <c r="G219" s="32">
        <v>0.04</v>
      </c>
      <c r="H219" s="32">
        <v>3</v>
      </c>
      <c r="I219" s="32">
        <v>6.8000000000000005E-2</v>
      </c>
      <c r="J219" s="32">
        <f>I219</f>
        <v>6.8000000000000005E-2</v>
      </c>
      <c r="K219" s="32"/>
      <c r="L219" s="32" t="s">
        <v>65</v>
      </c>
      <c r="M219" s="23">
        <f t="shared" si="195"/>
        <v>1700.0000000000002</v>
      </c>
      <c r="N219" s="23">
        <f t="shared" si="196"/>
        <v>1700.0000000000002</v>
      </c>
      <c r="O219" s="32" t="s">
        <v>52</v>
      </c>
      <c r="P219" s="32" t="s">
        <v>49</v>
      </c>
      <c r="Q219" s="32" t="s">
        <v>100</v>
      </c>
      <c r="R219" s="29">
        <v>12</v>
      </c>
      <c r="S219" s="34">
        <v>43248</v>
      </c>
      <c r="T219" s="34">
        <v>43251</v>
      </c>
      <c r="U219" s="34">
        <v>43256</v>
      </c>
      <c r="V219" s="34"/>
      <c r="AG219" s="30"/>
      <c r="AH219" s="30"/>
      <c r="AI219" s="30"/>
      <c r="AJ219" s="31"/>
    </row>
    <row r="220" spans="1:36" s="29" customFormat="1" x14ac:dyDescent="0.3">
      <c r="A220" s="32">
        <v>375</v>
      </c>
      <c r="B220" s="32" t="s">
        <v>47</v>
      </c>
      <c r="C220" s="32" t="s">
        <v>90</v>
      </c>
      <c r="D220" s="32" t="s">
        <v>85</v>
      </c>
      <c r="E220" s="32">
        <v>5000057667</v>
      </c>
      <c r="F220" s="32"/>
      <c r="G220" s="32">
        <v>0.2</v>
      </c>
      <c r="H220" s="32">
        <v>2</v>
      </c>
      <c r="I220" s="32">
        <v>0.14499999999999999</v>
      </c>
      <c r="J220" s="32">
        <v>0.126</v>
      </c>
      <c r="K220" s="32"/>
      <c r="L220" s="32" t="s">
        <v>65</v>
      </c>
      <c r="M220" s="23">
        <f t="shared" si="195"/>
        <v>630</v>
      </c>
      <c r="N220" s="23">
        <f t="shared" si="196"/>
        <v>724.99999999999989</v>
      </c>
      <c r="O220" s="32" t="s">
        <v>52</v>
      </c>
      <c r="P220" s="32" t="s">
        <v>49</v>
      </c>
      <c r="Q220" s="32" t="s">
        <v>156</v>
      </c>
      <c r="R220" s="29">
        <v>12</v>
      </c>
      <c r="S220" s="34">
        <v>43250</v>
      </c>
      <c r="T220" s="34">
        <v>43251</v>
      </c>
      <c r="U220" s="34">
        <v>43256</v>
      </c>
      <c r="V220" s="34"/>
      <c r="AG220" s="30"/>
      <c r="AH220" s="30"/>
      <c r="AI220" s="30"/>
      <c r="AJ220" s="31"/>
    </row>
    <row r="221" spans="1:36" s="29" customFormat="1" x14ac:dyDescent="0.3">
      <c r="A221" s="32">
        <v>376</v>
      </c>
      <c r="B221" s="32" t="s">
        <v>67</v>
      </c>
      <c r="C221" s="32" t="s">
        <v>90</v>
      </c>
      <c r="D221" s="37" t="s">
        <v>273</v>
      </c>
      <c r="E221" s="37">
        <v>2360084145</v>
      </c>
      <c r="F221" s="32"/>
      <c r="G221" s="32">
        <v>2.3199999999999998</v>
      </c>
      <c r="H221" s="32">
        <v>5</v>
      </c>
      <c r="I221" s="42">
        <v>0.223</v>
      </c>
      <c r="J221" s="24">
        <f>I221</f>
        <v>0.223</v>
      </c>
      <c r="K221" s="32"/>
      <c r="L221" s="39" t="s">
        <v>68</v>
      </c>
      <c r="M221" s="23">
        <f t="shared" ref="M221:M222" si="197">(J221/G221)*1000</f>
        <v>96.120689655172427</v>
      </c>
      <c r="N221" s="23">
        <f t="shared" ref="N221:N222" si="198">I221/G221*1000</f>
        <v>96.120689655172427</v>
      </c>
      <c r="O221" s="32" t="s">
        <v>74</v>
      </c>
      <c r="P221" s="32" t="s">
        <v>49</v>
      </c>
      <c r="Q221" s="32" t="s">
        <v>156</v>
      </c>
      <c r="R221" s="29">
        <v>12</v>
      </c>
      <c r="S221" s="34">
        <v>43251</v>
      </c>
      <c r="T221" s="34">
        <v>43251</v>
      </c>
      <c r="U221" s="34">
        <v>43257</v>
      </c>
      <c r="V221" s="34"/>
      <c r="AG221" s="30"/>
      <c r="AH221" s="30"/>
      <c r="AI221" s="30"/>
      <c r="AJ221" s="31"/>
    </row>
    <row r="222" spans="1:36" s="29" customFormat="1" x14ac:dyDescent="0.3">
      <c r="A222" s="32">
        <v>377</v>
      </c>
      <c r="B222" s="32" t="s">
        <v>72</v>
      </c>
      <c r="C222" s="32" t="s">
        <v>90</v>
      </c>
      <c r="D222" s="37" t="s">
        <v>295</v>
      </c>
      <c r="E222" s="37">
        <v>2360084086</v>
      </c>
      <c r="F222" s="32"/>
      <c r="G222" s="32">
        <v>10.59</v>
      </c>
      <c r="H222" s="32">
        <v>15</v>
      </c>
      <c r="I222" s="42">
        <v>0.92400000000000004</v>
      </c>
      <c r="J222" s="24">
        <f>I222</f>
        <v>0.92400000000000004</v>
      </c>
      <c r="K222" s="32"/>
      <c r="L222" s="39" t="s">
        <v>68</v>
      </c>
      <c r="M222" s="23">
        <f t="shared" si="197"/>
        <v>87.252124645892351</v>
      </c>
      <c r="N222" s="23">
        <f t="shared" si="198"/>
        <v>87.252124645892351</v>
      </c>
      <c r="O222" s="32" t="s">
        <v>74</v>
      </c>
      <c r="P222" s="32" t="s">
        <v>49</v>
      </c>
      <c r="Q222" s="32" t="s">
        <v>66</v>
      </c>
      <c r="R222" s="29">
        <v>11</v>
      </c>
      <c r="S222" s="34">
        <v>43250</v>
      </c>
      <c r="T222" s="34">
        <v>43251</v>
      </c>
      <c r="U222" s="34">
        <v>43257</v>
      </c>
      <c r="V222" s="34"/>
      <c r="AG222" s="30"/>
      <c r="AH222" s="30"/>
      <c r="AI222" s="30"/>
      <c r="AJ222" s="31"/>
    </row>
    <row r="223" spans="1:36" s="29" customFormat="1" x14ac:dyDescent="0.3">
      <c r="A223" s="32">
        <v>378</v>
      </c>
      <c r="B223" s="32" t="s">
        <v>53</v>
      </c>
      <c r="C223" s="32" t="s">
        <v>90</v>
      </c>
      <c r="D223" s="32" t="s">
        <v>296</v>
      </c>
      <c r="E223" s="32">
        <v>4201704422</v>
      </c>
      <c r="F223" s="32">
        <v>11</v>
      </c>
      <c r="G223" s="32">
        <v>7.62</v>
      </c>
      <c r="H223" s="32">
        <v>63</v>
      </c>
      <c r="I223" s="32">
        <f>2.67</f>
        <v>2.67</v>
      </c>
      <c r="J223" s="32">
        <v>0.5</v>
      </c>
      <c r="K223" s="32">
        <f>I223-J223</f>
        <v>2.17</v>
      </c>
      <c r="L223" s="32" t="s">
        <v>68</v>
      </c>
      <c r="M223" s="23">
        <f t="shared" ref="M223" si="199">(J223/G223)*1000</f>
        <v>65.616797900262469</v>
      </c>
      <c r="N223" s="23">
        <f t="shared" ref="N223" si="200">I223/G223*1000</f>
        <v>350.39370078740154</v>
      </c>
      <c r="O223" s="32" t="s">
        <v>69</v>
      </c>
      <c r="P223" s="32" t="s">
        <v>70</v>
      </c>
      <c r="Q223" s="32" t="s">
        <v>54</v>
      </c>
      <c r="R223" s="29">
        <v>18</v>
      </c>
      <c r="S223" s="34">
        <v>43241</v>
      </c>
      <c r="T223" s="34">
        <v>43250</v>
      </c>
      <c r="U223" s="34">
        <v>43257</v>
      </c>
      <c r="V223" s="34"/>
      <c r="AG223" s="30"/>
      <c r="AH223" s="30"/>
      <c r="AI223" s="30"/>
      <c r="AJ223" s="31"/>
    </row>
    <row r="224" spans="1:36" s="29" customFormat="1" x14ac:dyDescent="0.3">
      <c r="A224" s="32">
        <v>379</v>
      </c>
      <c r="B224" s="32" t="s">
        <v>53</v>
      </c>
      <c r="C224" s="32" t="s">
        <v>90</v>
      </c>
      <c r="D224" s="35" t="s">
        <v>297</v>
      </c>
      <c r="E224" s="32">
        <v>2360084158</v>
      </c>
      <c r="F224" s="32"/>
      <c r="G224" s="32">
        <f>0.2*3</f>
        <v>0.60000000000000009</v>
      </c>
      <c r="H224" s="32">
        <v>3</v>
      </c>
      <c r="I224" s="32">
        <v>6.4000000000000001E-2</v>
      </c>
      <c r="J224" s="32">
        <f>I224</f>
        <v>6.4000000000000001E-2</v>
      </c>
      <c r="K224" s="32"/>
      <c r="L224" s="32" t="s">
        <v>75</v>
      </c>
      <c r="M224" s="23">
        <f t="shared" ref="M224" si="201">(J224/G224)*1000</f>
        <v>106.66666666666666</v>
      </c>
      <c r="N224" s="23">
        <f t="shared" ref="N224" si="202">I224/G224*1000</f>
        <v>106.66666666666666</v>
      </c>
      <c r="O224" s="32" t="s">
        <v>74</v>
      </c>
      <c r="P224" s="32" t="s">
        <v>49</v>
      </c>
      <c r="Q224" s="32" t="s">
        <v>66</v>
      </c>
      <c r="R224" s="29">
        <v>11</v>
      </c>
      <c r="S224" s="34">
        <v>43249</v>
      </c>
      <c r="T224" s="34">
        <v>43252</v>
      </c>
      <c r="U224" s="34">
        <v>43257</v>
      </c>
      <c r="V224" s="34"/>
      <c r="AG224" s="30"/>
      <c r="AH224" s="30"/>
      <c r="AI224" s="30"/>
      <c r="AJ224" s="31"/>
    </row>
    <row r="225" spans="1:36" s="29" customFormat="1" x14ac:dyDescent="0.3">
      <c r="A225" s="32">
        <v>380</v>
      </c>
      <c r="B225" s="32" t="s">
        <v>72</v>
      </c>
      <c r="C225" s="32" t="s">
        <v>90</v>
      </c>
      <c r="D225" s="32" t="s">
        <v>298</v>
      </c>
      <c r="E225" s="32">
        <v>4201706125</v>
      </c>
      <c r="F225" s="32">
        <v>22</v>
      </c>
      <c r="G225" s="32">
        <v>71.5</v>
      </c>
      <c r="H225" s="32">
        <v>325</v>
      </c>
      <c r="I225" s="32">
        <v>6.37</v>
      </c>
      <c r="J225" s="32">
        <f>I225</f>
        <v>6.37</v>
      </c>
      <c r="K225" s="32"/>
      <c r="L225" s="32" t="s">
        <v>294</v>
      </c>
      <c r="M225" s="23">
        <f t="shared" ref="M225" si="203">(J225/G225)*1000</f>
        <v>89.090909090909093</v>
      </c>
      <c r="N225" s="23">
        <f t="shared" ref="N225" si="204">I225/G225*1000</f>
        <v>89.090909090909093</v>
      </c>
      <c r="O225" s="32" t="s">
        <v>69</v>
      </c>
      <c r="P225" s="32" t="s">
        <v>70</v>
      </c>
      <c r="Q225" s="32" t="s">
        <v>299</v>
      </c>
      <c r="R225" s="29">
        <v>1</v>
      </c>
      <c r="S225" s="34">
        <v>43242</v>
      </c>
      <c r="T225" s="34">
        <v>43251</v>
      </c>
      <c r="U225" s="34">
        <v>43257</v>
      </c>
      <c r="V225" s="34"/>
      <c r="AG225" s="30"/>
      <c r="AH225" s="30"/>
      <c r="AI225" s="30"/>
      <c r="AJ225" s="31"/>
    </row>
    <row r="226" spans="1:36" s="29" customFormat="1" x14ac:dyDescent="0.3">
      <c r="A226" s="32">
        <v>381</v>
      </c>
      <c r="B226" s="32" t="s">
        <v>67</v>
      </c>
      <c r="C226" s="32" t="s">
        <v>90</v>
      </c>
      <c r="D226" s="32" t="s">
        <v>300</v>
      </c>
      <c r="E226" s="32">
        <v>2360084152</v>
      </c>
      <c r="F226" s="32"/>
      <c r="G226" s="32">
        <f>0.3*3</f>
        <v>0.89999999999999991</v>
      </c>
      <c r="H226" s="32">
        <v>3</v>
      </c>
      <c r="I226" s="32">
        <v>0.11799999999999999</v>
      </c>
      <c r="J226" s="32">
        <f>I226</f>
        <v>0.11799999999999999</v>
      </c>
      <c r="K226" s="32"/>
      <c r="L226" s="32" t="s">
        <v>68</v>
      </c>
      <c r="M226" s="23">
        <f t="shared" ref="M226" si="205">(J226/G226)*1000</f>
        <v>131.11111111111111</v>
      </c>
      <c r="N226" s="23">
        <f t="shared" ref="N226" si="206">I226/G226*1000</f>
        <v>131.11111111111111</v>
      </c>
      <c r="O226" s="32" t="s">
        <v>74</v>
      </c>
      <c r="P226" s="32" t="s">
        <v>49</v>
      </c>
      <c r="Q226" s="32" t="s">
        <v>66</v>
      </c>
      <c r="R226" s="29">
        <v>11</v>
      </c>
      <c r="S226" s="34">
        <v>43251</v>
      </c>
      <c r="T226" s="34">
        <v>43251</v>
      </c>
      <c r="U226" s="34">
        <v>43257</v>
      </c>
      <c r="V226" s="34"/>
      <c r="AG226" s="30"/>
      <c r="AH226" s="30"/>
      <c r="AI226" s="30"/>
      <c r="AJ226" s="31"/>
    </row>
    <row r="227" spans="1:36" s="29" customFormat="1" x14ac:dyDescent="0.3">
      <c r="A227" s="32">
        <v>382</v>
      </c>
      <c r="B227" s="32" t="s">
        <v>67</v>
      </c>
      <c r="C227" s="32" t="s">
        <v>90</v>
      </c>
      <c r="D227" s="32" t="s">
        <v>198</v>
      </c>
      <c r="E227" s="32">
        <v>4201705671</v>
      </c>
      <c r="F227" s="32">
        <v>11</v>
      </c>
      <c r="G227" s="32">
        <v>0.9</v>
      </c>
      <c r="H227" s="32">
        <v>12</v>
      </c>
      <c r="I227" s="32">
        <v>1.18</v>
      </c>
      <c r="J227" s="32">
        <v>9.4E-2</v>
      </c>
      <c r="K227" s="32">
        <f>I227-J227</f>
        <v>1.0859999999999999</v>
      </c>
      <c r="L227" s="32" t="s">
        <v>126</v>
      </c>
      <c r="M227" s="23">
        <f t="shared" ref="M227:M230" si="207">(J227/G227)*1000</f>
        <v>104.44444444444444</v>
      </c>
      <c r="N227" s="23">
        <f t="shared" ref="N227:N230" si="208">I227/G227*1000</f>
        <v>1311.1111111111111</v>
      </c>
      <c r="O227" s="32" t="s">
        <v>49</v>
      </c>
      <c r="P227" s="32" t="s">
        <v>49</v>
      </c>
      <c r="Q227" s="32" t="s">
        <v>54</v>
      </c>
      <c r="R227" s="29">
        <v>18</v>
      </c>
      <c r="S227" s="34">
        <v>43241</v>
      </c>
      <c r="T227" s="34">
        <v>43251</v>
      </c>
      <c r="U227" s="34">
        <v>43257</v>
      </c>
      <c r="V227" s="34"/>
      <c r="AG227" s="30"/>
      <c r="AH227" s="30"/>
      <c r="AI227" s="30"/>
      <c r="AJ227" s="31"/>
    </row>
    <row r="228" spans="1:36" s="29" customFormat="1" x14ac:dyDescent="0.3">
      <c r="A228" s="32">
        <v>383</v>
      </c>
      <c r="B228" s="32" t="s">
        <v>71</v>
      </c>
      <c r="C228" s="32" t="s">
        <v>90</v>
      </c>
      <c r="D228" s="35" t="s">
        <v>301</v>
      </c>
      <c r="E228" s="32">
        <v>2360084048</v>
      </c>
      <c r="F228" s="32"/>
      <c r="G228" s="32">
        <v>2.09</v>
      </c>
      <c r="H228" s="32">
        <v>3</v>
      </c>
      <c r="I228" s="32">
        <v>0.223</v>
      </c>
      <c r="J228" s="32">
        <f>I228</f>
        <v>0.223</v>
      </c>
      <c r="K228" s="32"/>
      <c r="L228" s="32" t="s">
        <v>68</v>
      </c>
      <c r="M228" s="23">
        <f t="shared" si="207"/>
        <v>106.69856459330144</v>
      </c>
      <c r="N228" s="32">
        <f t="shared" si="208"/>
        <v>106.69856459330144</v>
      </c>
      <c r="O228" s="32" t="s">
        <v>49</v>
      </c>
      <c r="P228" s="32" t="s">
        <v>49</v>
      </c>
      <c r="Q228" s="32" t="s">
        <v>66</v>
      </c>
      <c r="R228" s="29">
        <v>11</v>
      </c>
      <c r="S228" s="34">
        <v>43242</v>
      </c>
      <c r="T228" s="34">
        <v>43250</v>
      </c>
      <c r="U228" s="34">
        <v>43257</v>
      </c>
      <c r="V228" s="34"/>
      <c r="AG228" s="30"/>
      <c r="AH228" s="30"/>
      <c r="AI228" s="30"/>
      <c r="AJ228" s="31"/>
    </row>
    <row r="229" spans="1:36" s="29" customFormat="1" x14ac:dyDescent="0.3">
      <c r="A229" s="32">
        <v>384</v>
      </c>
      <c r="B229" s="32" t="s">
        <v>73</v>
      </c>
      <c r="C229" s="32" t="s">
        <v>90</v>
      </c>
      <c r="D229" s="32" t="s">
        <v>302</v>
      </c>
      <c r="E229" s="32">
        <v>4201702956</v>
      </c>
      <c r="F229" s="32">
        <v>11</v>
      </c>
      <c r="G229" s="32">
        <v>75</v>
      </c>
      <c r="H229" s="32">
        <v>250</v>
      </c>
      <c r="I229" s="32">
        <v>21.498999999999999</v>
      </c>
      <c r="J229" s="32">
        <v>6.45</v>
      </c>
      <c r="K229" s="32">
        <f>I229-J229</f>
        <v>15.048999999999999</v>
      </c>
      <c r="L229" s="32" t="s">
        <v>75</v>
      </c>
      <c r="M229" s="48">
        <f t="shared" si="207"/>
        <v>86</v>
      </c>
      <c r="N229" s="32">
        <f t="shared" si="208"/>
        <v>286.65333333333331</v>
      </c>
      <c r="O229" s="32" t="s">
        <v>74</v>
      </c>
      <c r="P229" s="32" t="s">
        <v>49</v>
      </c>
      <c r="Q229" s="32" t="s">
        <v>54</v>
      </c>
      <c r="R229" s="29">
        <v>18</v>
      </c>
      <c r="S229" s="34">
        <v>43245</v>
      </c>
      <c r="T229" s="34">
        <v>43249</v>
      </c>
      <c r="U229" s="34">
        <v>43257</v>
      </c>
      <c r="V229" s="34"/>
      <c r="AG229" s="30"/>
      <c r="AH229" s="30"/>
      <c r="AI229" s="30"/>
      <c r="AJ229" s="31"/>
    </row>
    <row r="230" spans="1:36" s="29" customFormat="1" x14ac:dyDescent="0.3">
      <c r="A230" s="32">
        <v>385</v>
      </c>
      <c r="B230" s="32" t="s">
        <v>81</v>
      </c>
      <c r="C230" s="32" t="s">
        <v>90</v>
      </c>
      <c r="D230" s="32" t="s">
        <v>303</v>
      </c>
      <c r="E230" s="32">
        <v>2360084009</v>
      </c>
      <c r="F230" s="32"/>
      <c r="G230" s="32">
        <v>0.64</v>
      </c>
      <c r="H230" s="32">
        <v>6</v>
      </c>
      <c r="I230" s="32">
        <v>7.2999999999999995E-2</v>
      </c>
      <c r="J230" s="32">
        <f>I230</f>
        <v>7.2999999999999995E-2</v>
      </c>
      <c r="K230" s="32"/>
      <c r="L230" s="32" t="s">
        <v>75</v>
      </c>
      <c r="M230" s="48">
        <f t="shared" si="207"/>
        <v>114.0625</v>
      </c>
      <c r="N230" s="32">
        <f t="shared" si="208"/>
        <v>114.0625</v>
      </c>
      <c r="O230" s="32" t="s">
        <v>144</v>
      </c>
      <c r="P230" s="32" t="s">
        <v>49</v>
      </c>
      <c r="Q230" s="32" t="s">
        <v>66</v>
      </c>
      <c r="R230" s="29">
        <v>11</v>
      </c>
      <c r="S230" s="34">
        <v>43245</v>
      </c>
      <c r="T230" s="34">
        <v>43249</v>
      </c>
      <c r="U230" s="34">
        <v>43257</v>
      </c>
      <c r="V230" s="34"/>
      <c r="AG230" s="30"/>
      <c r="AH230" s="30"/>
      <c r="AI230" s="30"/>
      <c r="AJ230" s="31"/>
    </row>
    <row r="231" spans="1:36" s="29" customFormat="1" x14ac:dyDescent="0.3">
      <c r="A231" s="32">
        <v>386</v>
      </c>
      <c r="B231" s="32" t="s">
        <v>53</v>
      </c>
      <c r="C231" s="32" t="s">
        <v>90</v>
      </c>
      <c r="D231" s="32" t="s">
        <v>285</v>
      </c>
      <c r="E231" s="32">
        <v>2360083949</v>
      </c>
      <c r="F231" s="32"/>
      <c r="G231" s="32">
        <v>3.22</v>
      </c>
      <c r="H231" s="32">
        <v>12</v>
      </c>
      <c r="I231" s="32">
        <v>0.3</v>
      </c>
      <c r="J231" s="32"/>
      <c r="K231" s="32"/>
      <c r="L231" s="32" t="s">
        <v>75</v>
      </c>
      <c r="M231" s="48">
        <f t="shared" ref="M231:M232" si="209">(J231/G231)*1000</f>
        <v>0</v>
      </c>
      <c r="N231" s="32">
        <f t="shared" ref="N231:N232" si="210">I231/G231*1000</f>
        <v>93.167701863354026</v>
      </c>
      <c r="O231" s="32" t="s">
        <v>74</v>
      </c>
      <c r="P231" s="32" t="s">
        <v>49</v>
      </c>
      <c r="Q231" s="32" t="s">
        <v>66</v>
      </c>
      <c r="R231" s="29">
        <v>11</v>
      </c>
      <c r="S231" s="34">
        <v>43243</v>
      </c>
      <c r="T231" s="34">
        <v>43244</v>
      </c>
      <c r="U231" s="34">
        <v>43257</v>
      </c>
      <c r="V231" s="34"/>
      <c r="AG231" s="30"/>
      <c r="AH231" s="30"/>
      <c r="AI231" s="30"/>
      <c r="AJ231" s="31"/>
    </row>
    <row r="232" spans="1:36" s="29" customFormat="1" x14ac:dyDescent="0.3">
      <c r="A232" s="32">
        <v>387</v>
      </c>
      <c r="B232" s="32" t="s">
        <v>67</v>
      </c>
      <c r="C232" s="32" t="s">
        <v>304</v>
      </c>
      <c r="D232" s="35" t="s">
        <v>305</v>
      </c>
      <c r="E232" s="62" t="s">
        <v>314</v>
      </c>
      <c r="F232" s="32"/>
      <c r="G232" s="32">
        <v>5.15</v>
      </c>
      <c r="H232" s="32">
        <v>12</v>
      </c>
      <c r="I232" s="32">
        <v>0.82199999999999995</v>
      </c>
      <c r="J232" s="32">
        <v>0.432</v>
      </c>
      <c r="K232" s="32">
        <f>I232-J232</f>
        <v>0.38999999999999996</v>
      </c>
      <c r="L232" s="32" t="s">
        <v>68</v>
      </c>
      <c r="M232" s="23">
        <f t="shared" si="209"/>
        <v>83.883495145631059</v>
      </c>
      <c r="N232" s="23">
        <f t="shared" si="210"/>
        <v>159.61165048543688</v>
      </c>
      <c r="O232" s="32" t="s">
        <v>49</v>
      </c>
      <c r="P232" s="32" t="s">
        <v>49</v>
      </c>
      <c r="Q232" s="32" t="s">
        <v>217</v>
      </c>
      <c r="R232" s="29">
        <v>11</v>
      </c>
      <c r="S232" s="34">
        <v>43259</v>
      </c>
      <c r="T232" s="34">
        <v>43266</v>
      </c>
      <c r="U232" s="34">
        <v>43269</v>
      </c>
      <c r="V232" s="34"/>
      <c r="AG232" s="30"/>
      <c r="AH232" s="30"/>
      <c r="AI232" s="30"/>
      <c r="AJ232" s="31"/>
    </row>
    <row r="233" spans="1:36" s="29" customFormat="1" x14ac:dyDescent="0.3">
      <c r="A233" s="32">
        <v>388</v>
      </c>
      <c r="B233" s="32" t="s">
        <v>67</v>
      </c>
      <c r="C233" s="32" t="s">
        <v>304</v>
      </c>
      <c r="D233" s="32" t="s">
        <v>306</v>
      </c>
      <c r="E233" s="32">
        <v>2360084262</v>
      </c>
      <c r="F233" s="32"/>
      <c r="G233" s="32">
        <v>1.53</v>
      </c>
      <c r="H233" s="32">
        <v>4</v>
      </c>
      <c r="I233" s="32">
        <v>0.42799999999999999</v>
      </c>
      <c r="J233" s="32">
        <v>0.13900000000000001</v>
      </c>
      <c r="K233" s="32">
        <f>I233-J233</f>
        <v>0.28899999999999998</v>
      </c>
      <c r="L233" s="32" t="s">
        <v>65</v>
      </c>
      <c r="M233" s="23">
        <f t="shared" ref="M233" si="211">(J233/G233)*1000</f>
        <v>90.849673202614383</v>
      </c>
      <c r="N233" s="23">
        <f t="shared" ref="N233" si="212">I233/G233*1000</f>
        <v>279.7385620915033</v>
      </c>
      <c r="O233" s="32" t="s">
        <v>49</v>
      </c>
      <c r="P233" s="32" t="s">
        <v>49</v>
      </c>
      <c r="Q233" s="32" t="s">
        <v>217</v>
      </c>
      <c r="R233" s="29">
        <v>11</v>
      </c>
      <c r="S233" s="34">
        <v>43259</v>
      </c>
      <c r="T233" s="34">
        <v>43266</v>
      </c>
      <c r="U233" s="34">
        <v>43269</v>
      </c>
      <c r="V233" s="34"/>
      <c r="AG233" s="30"/>
      <c r="AH233" s="30"/>
      <c r="AI233" s="30"/>
      <c r="AJ233" s="31"/>
    </row>
    <row r="234" spans="1:36" s="29" customFormat="1" x14ac:dyDescent="0.3">
      <c r="A234" s="32">
        <v>389</v>
      </c>
      <c r="B234" s="32" t="s">
        <v>71</v>
      </c>
      <c r="C234" s="32" t="s">
        <v>304</v>
      </c>
      <c r="D234" s="32" t="s">
        <v>307</v>
      </c>
      <c r="E234" s="32">
        <v>2360084349</v>
      </c>
      <c r="F234" s="32"/>
      <c r="G234" s="32">
        <v>3.12</v>
      </c>
      <c r="H234" s="32">
        <v>6</v>
      </c>
      <c r="I234" s="32">
        <v>0.24</v>
      </c>
      <c r="J234" s="32">
        <f t="shared" ref="J234:J243" si="213">I234</f>
        <v>0.24</v>
      </c>
      <c r="K234" s="32"/>
      <c r="L234" s="32" t="s">
        <v>75</v>
      </c>
      <c r="M234" s="23">
        <f t="shared" ref="M234" si="214">(J234/G234)*1000</f>
        <v>76.92307692307692</v>
      </c>
      <c r="N234" s="23">
        <f t="shared" ref="N234" si="215">I234/G234*1000</f>
        <v>76.92307692307692</v>
      </c>
      <c r="O234" s="32" t="s">
        <v>49</v>
      </c>
      <c r="P234" s="32" t="s">
        <v>49</v>
      </c>
      <c r="Q234" s="32" t="s">
        <v>217</v>
      </c>
      <c r="R234" s="29">
        <v>11</v>
      </c>
      <c r="S234" s="34">
        <v>43144</v>
      </c>
      <c r="T234" s="34">
        <v>43265</v>
      </c>
      <c r="U234" s="34">
        <v>43269</v>
      </c>
      <c r="V234" s="34"/>
      <c r="AG234" s="30"/>
      <c r="AH234" s="30"/>
      <c r="AI234" s="30"/>
      <c r="AJ234" s="31"/>
    </row>
    <row r="235" spans="1:36" s="29" customFormat="1" x14ac:dyDescent="0.3">
      <c r="A235" s="32">
        <v>390</v>
      </c>
      <c r="B235" s="32" t="s">
        <v>67</v>
      </c>
      <c r="C235" s="32" t="s">
        <v>304</v>
      </c>
      <c r="D235" s="32" t="s">
        <v>308</v>
      </c>
      <c r="E235" s="32">
        <v>2360084382</v>
      </c>
      <c r="F235" s="32"/>
      <c r="G235" s="32">
        <v>0.03</v>
      </c>
      <c r="H235" s="32">
        <v>1</v>
      </c>
      <c r="I235" s="32">
        <v>2.1999999999999999E-2</v>
      </c>
      <c r="J235" s="32">
        <f t="shared" si="213"/>
        <v>2.1999999999999999E-2</v>
      </c>
      <c r="K235" s="32"/>
      <c r="L235" s="32" t="s">
        <v>68</v>
      </c>
      <c r="M235" s="23">
        <f t="shared" ref="M235:M238" si="216">(J235/G235)*1000</f>
        <v>733.33333333333326</v>
      </c>
      <c r="N235" s="23">
        <f t="shared" ref="N235:N238" si="217">I235/G235*1000</f>
        <v>733.33333333333326</v>
      </c>
      <c r="O235" s="32" t="s">
        <v>74</v>
      </c>
      <c r="P235" s="32" t="s">
        <v>49</v>
      </c>
      <c r="Q235" s="32" t="s">
        <v>217</v>
      </c>
      <c r="R235" s="29">
        <v>11</v>
      </c>
      <c r="S235" s="34">
        <v>43256</v>
      </c>
      <c r="T235" s="34">
        <v>43266</v>
      </c>
      <c r="U235" s="34">
        <v>43269</v>
      </c>
      <c r="V235" s="34"/>
      <c r="AG235" s="30"/>
      <c r="AH235" s="30"/>
      <c r="AI235" s="30"/>
      <c r="AJ235" s="31"/>
    </row>
    <row r="236" spans="1:36" s="29" customFormat="1" x14ac:dyDescent="0.3">
      <c r="A236" s="32">
        <v>391</v>
      </c>
      <c r="B236" s="32" t="s">
        <v>53</v>
      </c>
      <c r="C236" s="32" t="s">
        <v>304</v>
      </c>
      <c r="D236" s="32" t="s">
        <v>77</v>
      </c>
      <c r="E236" s="32">
        <v>5000058049</v>
      </c>
      <c r="F236" s="32"/>
      <c r="G236" s="32">
        <v>12.63</v>
      </c>
      <c r="H236" s="32">
        <v>96</v>
      </c>
      <c r="I236" s="32">
        <v>1.58</v>
      </c>
      <c r="J236" s="32">
        <f t="shared" si="213"/>
        <v>1.58</v>
      </c>
      <c r="K236" s="32"/>
      <c r="L236" s="32" t="s">
        <v>294</v>
      </c>
      <c r="M236" s="23">
        <f t="shared" si="216"/>
        <v>125.0989707046714</v>
      </c>
      <c r="N236" s="23">
        <f t="shared" si="217"/>
        <v>125.0989707046714</v>
      </c>
      <c r="O236" s="32" t="s">
        <v>52</v>
      </c>
      <c r="P236" s="32" t="s">
        <v>49</v>
      </c>
      <c r="Q236" s="32" t="s">
        <v>66</v>
      </c>
      <c r="R236" s="29">
        <v>11</v>
      </c>
      <c r="S236" s="34">
        <v>43257</v>
      </c>
      <c r="T236" s="34">
        <v>43266</v>
      </c>
      <c r="U236" s="34">
        <v>43269</v>
      </c>
      <c r="V236" s="34"/>
      <c r="AG236" s="30"/>
      <c r="AH236" s="30"/>
      <c r="AI236" s="30"/>
      <c r="AJ236" s="31"/>
    </row>
    <row r="237" spans="1:36" s="29" customFormat="1" x14ac:dyDescent="0.3">
      <c r="A237" s="32">
        <v>392</v>
      </c>
      <c r="B237" s="32" t="s">
        <v>71</v>
      </c>
      <c r="C237" s="32" t="s">
        <v>304</v>
      </c>
      <c r="D237" s="32" t="s">
        <v>88</v>
      </c>
      <c r="E237" s="32">
        <v>2360084375</v>
      </c>
      <c r="F237" s="32"/>
      <c r="G237" s="32">
        <v>12.76</v>
      </c>
      <c r="H237" s="32">
        <v>42</v>
      </c>
      <c r="I237" s="32">
        <v>0.90600000000000003</v>
      </c>
      <c r="J237" s="32">
        <f t="shared" si="213"/>
        <v>0.90600000000000003</v>
      </c>
      <c r="K237" s="32"/>
      <c r="L237" s="32" t="s">
        <v>68</v>
      </c>
      <c r="M237" s="23">
        <f t="shared" si="216"/>
        <v>71.003134796238257</v>
      </c>
      <c r="N237" s="23">
        <f t="shared" si="217"/>
        <v>71.003134796238257</v>
      </c>
      <c r="O237" s="32" t="s">
        <v>74</v>
      </c>
      <c r="P237" s="32" t="s">
        <v>49</v>
      </c>
      <c r="Q237" s="32" t="s">
        <v>66</v>
      </c>
      <c r="R237" s="29">
        <v>11</v>
      </c>
      <c r="S237" s="34">
        <v>43264</v>
      </c>
      <c r="T237" s="34">
        <v>43266</v>
      </c>
      <c r="U237" s="34">
        <v>43269</v>
      </c>
      <c r="V237" s="34"/>
      <c r="AG237" s="30"/>
      <c r="AH237" s="30"/>
      <c r="AI237" s="30"/>
      <c r="AJ237" s="31"/>
    </row>
    <row r="238" spans="1:36" s="29" customFormat="1" x14ac:dyDescent="0.3">
      <c r="A238" s="32">
        <v>393</v>
      </c>
      <c r="B238" s="32" t="s">
        <v>47</v>
      </c>
      <c r="C238" s="32" t="s">
        <v>304</v>
      </c>
      <c r="D238" s="32" t="s">
        <v>85</v>
      </c>
      <c r="E238" s="32">
        <v>5000057944</v>
      </c>
      <c r="F238" s="32"/>
      <c r="G238" s="32">
        <v>0.2</v>
      </c>
      <c r="H238" s="32">
        <v>1</v>
      </c>
      <c r="I238" s="32">
        <v>7.6999999999999999E-2</v>
      </c>
      <c r="J238" s="32">
        <f t="shared" si="213"/>
        <v>7.6999999999999999E-2</v>
      </c>
      <c r="K238" s="32"/>
      <c r="L238" s="32" t="s">
        <v>294</v>
      </c>
      <c r="M238" s="23">
        <f t="shared" si="216"/>
        <v>384.99999999999994</v>
      </c>
      <c r="N238" s="23">
        <f t="shared" si="217"/>
        <v>384.99999999999994</v>
      </c>
      <c r="O238" s="32" t="s">
        <v>52</v>
      </c>
      <c r="P238" s="32" t="s">
        <v>49</v>
      </c>
      <c r="Q238" s="32" t="s">
        <v>309</v>
      </c>
      <c r="R238" s="29">
        <v>12</v>
      </c>
      <c r="S238" s="34">
        <v>43262</v>
      </c>
      <c r="T238" s="34">
        <v>43266</v>
      </c>
      <c r="U238" s="34">
        <v>43269</v>
      </c>
      <c r="V238" s="34"/>
      <c r="AG238" s="30"/>
      <c r="AH238" s="30"/>
      <c r="AI238" s="30"/>
      <c r="AJ238" s="31"/>
    </row>
    <row r="239" spans="1:36" s="29" customFormat="1" x14ac:dyDescent="0.3">
      <c r="A239" s="32">
        <v>394</v>
      </c>
      <c r="B239" s="32" t="s">
        <v>47</v>
      </c>
      <c r="C239" s="32" t="s">
        <v>304</v>
      </c>
      <c r="D239" s="32" t="s">
        <v>85</v>
      </c>
      <c r="E239" s="32">
        <v>5000057885</v>
      </c>
      <c r="F239" s="32"/>
      <c r="G239" s="32">
        <v>0.1</v>
      </c>
      <c r="H239" s="32">
        <v>1</v>
      </c>
      <c r="I239" s="32">
        <v>7.2999999999999995E-2</v>
      </c>
      <c r="J239" s="32">
        <f t="shared" si="213"/>
        <v>7.2999999999999995E-2</v>
      </c>
      <c r="K239" s="32"/>
      <c r="L239" s="32" t="s">
        <v>294</v>
      </c>
      <c r="M239" s="23">
        <f t="shared" ref="M239" si="218">(J239/G239)*1000</f>
        <v>729.99999999999989</v>
      </c>
      <c r="N239" s="23">
        <f t="shared" ref="N239" si="219">I239/G239*1000</f>
        <v>729.99999999999989</v>
      </c>
      <c r="O239" s="32" t="s">
        <v>52</v>
      </c>
      <c r="P239" s="32" t="s">
        <v>49</v>
      </c>
      <c r="Q239" s="32" t="s">
        <v>309</v>
      </c>
      <c r="R239" s="29">
        <v>12</v>
      </c>
      <c r="S239" s="34">
        <v>43258</v>
      </c>
      <c r="T239" s="34">
        <v>43266</v>
      </c>
      <c r="U239" s="34">
        <v>43269</v>
      </c>
      <c r="V239" s="34"/>
      <c r="AG239" s="30"/>
      <c r="AH239" s="30"/>
      <c r="AI239" s="30"/>
      <c r="AJ239" s="31"/>
    </row>
    <row r="240" spans="1:36" s="29" customFormat="1" x14ac:dyDescent="0.3">
      <c r="A240" s="32">
        <v>395</v>
      </c>
      <c r="B240" s="32" t="s">
        <v>47</v>
      </c>
      <c r="C240" s="32" t="s">
        <v>304</v>
      </c>
      <c r="D240" s="32" t="s">
        <v>310</v>
      </c>
      <c r="E240" s="32">
        <v>5000057869</v>
      </c>
      <c r="F240" s="32"/>
      <c r="G240" s="32"/>
      <c r="H240" s="32">
        <v>1</v>
      </c>
      <c r="I240" s="32">
        <v>1.03E-2</v>
      </c>
      <c r="J240" s="32">
        <f t="shared" si="213"/>
        <v>1.03E-2</v>
      </c>
      <c r="K240" s="32"/>
      <c r="L240" s="32" t="s">
        <v>68</v>
      </c>
      <c r="M240" s="23"/>
      <c r="N240" s="23"/>
      <c r="O240" s="32" t="s">
        <v>52</v>
      </c>
      <c r="P240" s="32" t="s">
        <v>49</v>
      </c>
      <c r="Q240" s="32" t="s">
        <v>100</v>
      </c>
      <c r="R240" s="29">
        <v>12</v>
      </c>
      <c r="S240" s="34">
        <v>43255</v>
      </c>
      <c r="T240" s="34">
        <v>43258</v>
      </c>
      <c r="U240" s="34">
        <v>43269</v>
      </c>
      <c r="V240" s="34"/>
      <c r="AG240" s="30"/>
      <c r="AH240" s="30"/>
      <c r="AI240" s="30"/>
      <c r="AJ240" s="31"/>
    </row>
    <row r="241" spans="1:36" s="29" customFormat="1" x14ac:dyDescent="0.3">
      <c r="A241" s="32">
        <v>396</v>
      </c>
      <c r="B241" s="32" t="s">
        <v>47</v>
      </c>
      <c r="C241" s="32" t="s">
        <v>304</v>
      </c>
      <c r="D241" s="32" t="s">
        <v>311</v>
      </c>
      <c r="E241" s="32">
        <v>5000057469</v>
      </c>
      <c r="F241" s="32"/>
      <c r="G241" s="32"/>
      <c r="H241" s="32"/>
      <c r="I241" s="32">
        <v>8.1000000000000003E-2</v>
      </c>
      <c r="J241" s="32">
        <f t="shared" si="213"/>
        <v>8.1000000000000003E-2</v>
      </c>
      <c r="K241" s="32"/>
      <c r="L241" s="32" t="s">
        <v>294</v>
      </c>
      <c r="M241" s="23"/>
      <c r="N241" s="23"/>
      <c r="O241" s="32" t="s">
        <v>52</v>
      </c>
      <c r="P241" s="32" t="s">
        <v>49</v>
      </c>
      <c r="Q241" s="32" t="s">
        <v>312</v>
      </c>
      <c r="R241" s="29">
        <v>15</v>
      </c>
      <c r="S241" s="34">
        <v>43237</v>
      </c>
      <c r="T241" s="34">
        <v>43243</v>
      </c>
      <c r="U241" s="34">
        <v>43269</v>
      </c>
      <c r="V241" s="34"/>
      <c r="AG241" s="30"/>
      <c r="AH241" s="30"/>
      <c r="AI241" s="30"/>
      <c r="AJ241" s="31"/>
    </row>
    <row r="242" spans="1:36" s="29" customFormat="1" x14ac:dyDescent="0.3">
      <c r="A242" s="32">
        <v>397</v>
      </c>
      <c r="B242" s="32" t="s">
        <v>47</v>
      </c>
      <c r="C242" s="32" t="s">
        <v>304</v>
      </c>
      <c r="D242" s="32" t="s">
        <v>313</v>
      </c>
      <c r="E242" s="32">
        <v>5000057468</v>
      </c>
      <c r="F242" s="32"/>
      <c r="G242" s="32">
        <v>0.22600000000000001</v>
      </c>
      <c r="H242" s="32">
        <v>1</v>
      </c>
      <c r="I242" s="32">
        <f>0.029</f>
        <v>2.9000000000000001E-2</v>
      </c>
      <c r="J242" s="32">
        <f t="shared" si="213"/>
        <v>2.9000000000000001E-2</v>
      </c>
      <c r="K242" s="32"/>
      <c r="L242" s="32" t="s">
        <v>294</v>
      </c>
      <c r="M242" s="23">
        <f t="shared" ref="M242" si="220">(J242/G242)*1000</f>
        <v>128.31858407079648</v>
      </c>
      <c r="N242" s="23">
        <f t="shared" ref="N242" si="221">I242/G242*1000</f>
        <v>128.31858407079648</v>
      </c>
      <c r="O242" s="32" t="s">
        <v>52</v>
      </c>
      <c r="P242" s="32" t="s">
        <v>49</v>
      </c>
      <c r="Q242" s="32" t="s">
        <v>89</v>
      </c>
      <c r="R242" s="29">
        <v>11</v>
      </c>
      <c r="S242" s="34">
        <v>43243</v>
      </c>
      <c r="T242" s="34">
        <v>43243</v>
      </c>
      <c r="U242" s="34">
        <v>43269</v>
      </c>
      <c r="V242" s="34"/>
      <c r="AG242" s="30"/>
      <c r="AH242" s="30"/>
      <c r="AI242" s="30"/>
      <c r="AJ242" s="31"/>
    </row>
    <row r="243" spans="1:36" s="29" customFormat="1" x14ac:dyDescent="0.3">
      <c r="A243" s="32">
        <v>398</v>
      </c>
      <c r="B243" s="32" t="s">
        <v>47</v>
      </c>
      <c r="C243" s="32" t="s">
        <v>304</v>
      </c>
      <c r="D243" s="32" t="s">
        <v>64</v>
      </c>
      <c r="E243" s="32">
        <v>5000058014</v>
      </c>
      <c r="F243" s="32"/>
      <c r="G243" s="32"/>
      <c r="H243" s="32">
        <v>32</v>
      </c>
      <c r="I243" s="32">
        <v>0.76</v>
      </c>
      <c r="J243" s="32">
        <f t="shared" si="213"/>
        <v>0.76</v>
      </c>
      <c r="K243" s="32"/>
      <c r="L243" s="32" t="s">
        <v>294</v>
      </c>
      <c r="M243" s="48"/>
      <c r="N243" s="32"/>
      <c r="O243" s="32" t="s">
        <v>52</v>
      </c>
      <c r="P243" s="32" t="s">
        <v>49</v>
      </c>
      <c r="Q243" s="32" t="s">
        <v>100</v>
      </c>
      <c r="R243" s="29">
        <v>12</v>
      </c>
      <c r="S243" s="34">
        <v>43259</v>
      </c>
      <c r="T243" s="34">
        <v>43266</v>
      </c>
      <c r="U243" s="34">
        <v>43269</v>
      </c>
      <c r="V243" s="34"/>
      <c r="AG243" s="30"/>
      <c r="AH243" s="30"/>
      <c r="AI243" s="30"/>
      <c r="AJ243" s="31"/>
    </row>
    <row r="244" spans="1:36" s="29" customFormat="1" x14ac:dyDescent="0.3">
      <c r="A244" s="32">
        <v>399</v>
      </c>
      <c r="B244" s="32" t="s">
        <v>67</v>
      </c>
      <c r="C244" s="32" t="s">
        <v>304</v>
      </c>
      <c r="D244" s="35" t="s">
        <v>211</v>
      </c>
      <c r="E244" s="39">
        <v>2360084468</v>
      </c>
      <c r="F244" s="32"/>
      <c r="G244" s="32"/>
      <c r="H244" s="32">
        <v>3</v>
      </c>
      <c r="I244" s="32">
        <v>5.3999999999999999E-2</v>
      </c>
      <c r="J244" s="32">
        <f t="shared" ref="J244:J261" si="222">I244</f>
        <v>5.3999999999999999E-2</v>
      </c>
      <c r="K244" s="32"/>
      <c r="L244" s="32" t="s">
        <v>68</v>
      </c>
      <c r="M244" s="23"/>
      <c r="N244" s="23"/>
      <c r="O244" s="32" t="s">
        <v>74</v>
      </c>
      <c r="P244" s="32" t="s">
        <v>49</v>
      </c>
      <c r="Q244" s="32" t="s">
        <v>100</v>
      </c>
      <c r="R244" s="29">
        <v>12</v>
      </c>
      <c r="S244" s="34">
        <v>43270</v>
      </c>
      <c r="T244" s="34">
        <v>43271</v>
      </c>
      <c r="U244" s="34">
        <v>43273</v>
      </c>
      <c r="V244" s="34"/>
      <c r="AG244" s="30"/>
      <c r="AH244" s="30"/>
      <c r="AI244" s="30"/>
      <c r="AJ244" s="31"/>
    </row>
    <row r="245" spans="1:36" s="29" customFormat="1" x14ac:dyDescent="0.3">
      <c r="A245" s="32">
        <v>400</v>
      </c>
      <c r="B245" s="32" t="s">
        <v>67</v>
      </c>
      <c r="C245" s="32" t="s">
        <v>304</v>
      </c>
      <c r="D245" s="35" t="s">
        <v>211</v>
      </c>
      <c r="E245" s="39">
        <v>2360084434</v>
      </c>
      <c r="F245" s="32"/>
      <c r="G245" s="32"/>
      <c r="H245" s="32">
        <v>3</v>
      </c>
      <c r="I245" s="32">
        <v>6.9000000000000006E-2</v>
      </c>
      <c r="J245" s="32">
        <f t="shared" si="222"/>
        <v>6.9000000000000006E-2</v>
      </c>
      <c r="K245" s="32"/>
      <c r="L245" s="32" t="s">
        <v>68</v>
      </c>
      <c r="M245" s="23"/>
      <c r="N245" s="23"/>
      <c r="O245" s="32" t="s">
        <v>74</v>
      </c>
      <c r="P245" s="32" t="s">
        <v>49</v>
      </c>
      <c r="Q245" s="32" t="s">
        <v>100</v>
      </c>
      <c r="R245" s="29">
        <v>12</v>
      </c>
      <c r="S245" s="34">
        <v>43270</v>
      </c>
      <c r="T245" s="34">
        <v>43271</v>
      </c>
      <c r="U245" s="34">
        <v>43273</v>
      </c>
      <c r="V245" s="34"/>
      <c r="AG245" s="30"/>
      <c r="AH245" s="30"/>
      <c r="AI245" s="30"/>
      <c r="AJ245" s="31"/>
    </row>
    <row r="246" spans="1:36" s="29" customFormat="1" x14ac:dyDescent="0.3">
      <c r="A246" s="32">
        <v>400</v>
      </c>
      <c r="B246" s="32" t="s">
        <v>47</v>
      </c>
      <c r="C246" s="32" t="s">
        <v>304</v>
      </c>
      <c r="D246" s="35" t="s">
        <v>226</v>
      </c>
      <c r="E246" s="32">
        <v>5000058144</v>
      </c>
      <c r="F246" s="32"/>
      <c r="G246" s="32">
        <f>0.15*2</f>
        <v>0.3</v>
      </c>
      <c r="H246" s="32">
        <v>2</v>
      </c>
      <c r="I246" s="32">
        <v>0.04</v>
      </c>
      <c r="J246" s="32">
        <f t="shared" si="222"/>
        <v>0.04</v>
      </c>
      <c r="K246" s="32"/>
      <c r="L246" s="32" t="s">
        <v>294</v>
      </c>
      <c r="M246" s="23">
        <f t="shared" ref="M246" si="223">(J246/G246)*1000</f>
        <v>133.33333333333334</v>
      </c>
      <c r="N246" s="23">
        <f t="shared" ref="N246" si="224">I246/G246*1000</f>
        <v>133.33333333333334</v>
      </c>
      <c r="O246" s="32" t="s">
        <v>52</v>
      </c>
      <c r="P246" s="32" t="s">
        <v>49</v>
      </c>
      <c r="Q246" s="32" t="s">
        <v>91</v>
      </c>
      <c r="R246" s="29">
        <v>12</v>
      </c>
      <c r="S246" s="34">
        <v>43252</v>
      </c>
      <c r="T246" s="34">
        <v>43271</v>
      </c>
      <c r="U246" s="34">
        <v>43273</v>
      </c>
      <c r="V246" s="34"/>
      <c r="AG246" s="30"/>
      <c r="AH246" s="30"/>
      <c r="AI246" s="30"/>
      <c r="AJ246" s="31"/>
    </row>
    <row r="247" spans="1:36" s="29" customFormat="1" x14ac:dyDescent="0.3">
      <c r="A247" s="32">
        <v>401</v>
      </c>
      <c r="B247" s="32" t="s">
        <v>47</v>
      </c>
      <c r="C247" s="32" t="s">
        <v>304</v>
      </c>
      <c r="D247" s="35" t="s">
        <v>142</v>
      </c>
      <c r="E247" s="32">
        <v>5000058245</v>
      </c>
      <c r="F247" s="32"/>
      <c r="G247" s="32">
        <v>6.5</v>
      </c>
      <c r="H247" s="32">
        <v>17</v>
      </c>
      <c r="I247" s="32">
        <v>0.82499999999999996</v>
      </c>
      <c r="J247" s="32">
        <f t="shared" si="222"/>
        <v>0.82499999999999996</v>
      </c>
      <c r="K247" s="32"/>
      <c r="L247" s="32" t="s">
        <v>294</v>
      </c>
      <c r="M247" s="23">
        <f t="shared" ref="M247" si="225">(J247/G247)*1000</f>
        <v>126.92307692307692</v>
      </c>
      <c r="N247" s="23">
        <f t="shared" ref="N247" si="226">I247/G247*1000</f>
        <v>126.92307692307692</v>
      </c>
      <c r="O247" s="32" t="s">
        <v>52</v>
      </c>
      <c r="P247" s="32" t="s">
        <v>49</v>
      </c>
      <c r="Q247" s="32" t="s">
        <v>89</v>
      </c>
      <c r="R247" s="29">
        <v>11</v>
      </c>
      <c r="S247" s="34">
        <v>43269</v>
      </c>
      <c r="T247" s="34">
        <v>43276</v>
      </c>
      <c r="U247" s="34">
        <v>43277</v>
      </c>
      <c r="V247" s="34"/>
      <c r="AG247" s="30"/>
      <c r="AH247" s="30"/>
      <c r="AI247" s="30"/>
      <c r="AJ247" s="31"/>
    </row>
    <row r="248" spans="1:36" s="29" customFormat="1" x14ac:dyDescent="0.3">
      <c r="A248" s="32">
        <v>402</v>
      </c>
      <c r="B248" s="32" t="s">
        <v>47</v>
      </c>
      <c r="C248" s="32" t="s">
        <v>304</v>
      </c>
      <c r="D248" s="35" t="s">
        <v>148</v>
      </c>
      <c r="E248" s="32">
        <v>5000058111</v>
      </c>
      <c r="F248" s="32"/>
      <c r="G248" s="32">
        <f>0.405*2</f>
        <v>0.81</v>
      </c>
      <c r="H248" s="32">
        <v>2</v>
      </c>
      <c r="I248" s="32">
        <v>0.121</v>
      </c>
      <c r="J248" s="32">
        <f t="shared" si="222"/>
        <v>0.121</v>
      </c>
      <c r="K248" s="32"/>
      <c r="L248" s="32" t="s">
        <v>294</v>
      </c>
      <c r="M248" s="23">
        <f t="shared" ref="M248" si="227">(J248/G248)*1000</f>
        <v>149.38271604938268</v>
      </c>
      <c r="N248" s="23">
        <f t="shared" ref="N248" si="228">I248/G248*1000</f>
        <v>149.38271604938268</v>
      </c>
      <c r="O248" s="32" t="s">
        <v>52</v>
      </c>
      <c r="P248" s="32" t="s">
        <v>49</v>
      </c>
      <c r="Q248" s="32" t="s">
        <v>91</v>
      </c>
      <c r="R248" s="29">
        <v>12</v>
      </c>
      <c r="S248" s="34">
        <v>43265</v>
      </c>
      <c r="T248" s="34">
        <v>43270</v>
      </c>
      <c r="U248" s="34">
        <v>43277</v>
      </c>
      <c r="V248" s="34"/>
      <c r="AG248" s="30"/>
      <c r="AH248" s="30"/>
      <c r="AI248" s="30"/>
      <c r="AJ248" s="31"/>
    </row>
    <row r="249" spans="1:36" s="29" customFormat="1" x14ac:dyDescent="0.3">
      <c r="A249" s="32">
        <v>403</v>
      </c>
      <c r="B249" s="32" t="s">
        <v>47</v>
      </c>
      <c r="C249" s="32" t="s">
        <v>304</v>
      </c>
      <c r="D249" s="35" t="s">
        <v>140</v>
      </c>
      <c r="E249" s="32">
        <v>5000058191</v>
      </c>
      <c r="F249" s="32"/>
      <c r="G249" s="32"/>
      <c r="H249" s="32">
        <v>120</v>
      </c>
      <c r="I249" s="32">
        <v>2.8</v>
      </c>
      <c r="J249" s="32">
        <f t="shared" si="222"/>
        <v>2.8</v>
      </c>
      <c r="K249" s="32"/>
      <c r="L249" s="32" t="s">
        <v>294</v>
      </c>
      <c r="M249" s="23"/>
      <c r="N249" s="23"/>
      <c r="O249" s="32" t="s">
        <v>52</v>
      </c>
      <c r="P249" s="32" t="s">
        <v>49</v>
      </c>
      <c r="Q249" s="32" t="s">
        <v>100</v>
      </c>
      <c r="R249" s="29">
        <v>12</v>
      </c>
      <c r="S249" s="34">
        <v>43271</v>
      </c>
      <c r="T249" s="34">
        <v>43276</v>
      </c>
      <c r="U249" s="34">
        <v>43277</v>
      </c>
      <c r="V249" s="34"/>
      <c r="AG249" s="30"/>
      <c r="AH249" s="30"/>
      <c r="AI249" s="30"/>
      <c r="AJ249" s="31"/>
    </row>
    <row r="250" spans="1:36" s="29" customFormat="1" x14ac:dyDescent="0.3">
      <c r="A250" s="32">
        <v>404</v>
      </c>
      <c r="B250" s="32" t="s">
        <v>53</v>
      </c>
      <c r="C250" s="32" t="s">
        <v>304</v>
      </c>
      <c r="D250" s="35" t="s">
        <v>316</v>
      </c>
      <c r="E250" s="32">
        <v>2360084566</v>
      </c>
      <c r="F250" s="32"/>
      <c r="G250" s="32">
        <f>0.703*50</f>
        <v>35.15</v>
      </c>
      <c r="H250" s="32">
        <v>50</v>
      </c>
      <c r="I250" s="32">
        <v>3.1</v>
      </c>
      <c r="J250" s="32">
        <f t="shared" si="222"/>
        <v>3.1</v>
      </c>
      <c r="K250" s="32"/>
      <c r="L250" s="32" t="s">
        <v>75</v>
      </c>
      <c r="M250" s="23">
        <f t="shared" ref="M250:M251" si="229">(J250/G250)*1000</f>
        <v>88.193456614509259</v>
      </c>
      <c r="N250" s="23">
        <f t="shared" ref="N250:N251" si="230">I250/G250*1000</f>
        <v>88.193456614509259</v>
      </c>
      <c r="O250" s="32" t="s">
        <v>69</v>
      </c>
      <c r="P250" s="32" t="s">
        <v>70</v>
      </c>
      <c r="Q250" s="32" t="s">
        <v>66</v>
      </c>
      <c r="R250" s="29">
        <v>11</v>
      </c>
      <c r="S250" s="34">
        <v>43271</v>
      </c>
      <c r="T250" s="34">
        <v>43276</v>
      </c>
      <c r="U250" s="34">
        <v>43277</v>
      </c>
      <c r="V250" s="34"/>
      <c r="AG250" s="30"/>
      <c r="AH250" s="30"/>
      <c r="AI250" s="30"/>
      <c r="AJ250" s="31"/>
    </row>
    <row r="251" spans="1:36" s="29" customFormat="1" x14ac:dyDescent="0.3">
      <c r="A251" s="32">
        <v>405</v>
      </c>
      <c r="B251" s="32" t="s">
        <v>67</v>
      </c>
      <c r="C251" s="32" t="s">
        <v>304</v>
      </c>
      <c r="D251" s="35" t="s">
        <v>300</v>
      </c>
      <c r="E251" s="32">
        <v>2360084558</v>
      </c>
      <c r="F251" s="32"/>
      <c r="G251" s="32">
        <f>0.3*4</f>
        <v>1.2</v>
      </c>
      <c r="H251" s="32">
        <v>4</v>
      </c>
      <c r="I251" s="32">
        <v>0.11</v>
      </c>
      <c r="J251" s="32">
        <f t="shared" si="222"/>
        <v>0.11</v>
      </c>
      <c r="K251" s="32"/>
      <c r="L251" s="32" t="s">
        <v>68</v>
      </c>
      <c r="M251" s="23">
        <f t="shared" si="229"/>
        <v>91.666666666666671</v>
      </c>
      <c r="N251" s="23">
        <f t="shared" si="230"/>
        <v>91.666666666666671</v>
      </c>
      <c r="O251" s="32" t="s">
        <v>49</v>
      </c>
      <c r="P251" s="32" t="s">
        <v>49</v>
      </c>
      <c r="Q251" s="32" t="s">
        <v>66</v>
      </c>
      <c r="R251" s="29">
        <v>11</v>
      </c>
      <c r="S251" s="34">
        <v>43276</v>
      </c>
      <c r="T251" s="34">
        <v>43277</v>
      </c>
      <c r="U251" s="34">
        <v>43278</v>
      </c>
      <c r="V251" s="34"/>
      <c r="AG251" s="30"/>
      <c r="AH251" s="30"/>
      <c r="AI251" s="30"/>
      <c r="AJ251" s="31"/>
    </row>
    <row r="252" spans="1:36" s="29" customFormat="1" x14ac:dyDescent="0.3">
      <c r="A252" s="32">
        <v>406</v>
      </c>
      <c r="B252" s="32" t="s">
        <v>72</v>
      </c>
      <c r="C252" s="32" t="s">
        <v>304</v>
      </c>
      <c r="D252" s="35" t="s">
        <v>317</v>
      </c>
      <c r="E252" s="32">
        <v>2360084568</v>
      </c>
      <c r="F252" s="32"/>
      <c r="G252" s="32">
        <v>6.43</v>
      </c>
      <c r="H252" s="32">
        <v>12</v>
      </c>
      <c r="I252" s="32">
        <v>0.51400000000000001</v>
      </c>
      <c r="J252" s="32">
        <f t="shared" si="222"/>
        <v>0.51400000000000001</v>
      </c>
      <c r="K252" s="32"/>
      <c r="L252" s="32" t="s">
        <v>126</v>
      </c>
      <c r="M252" s="23">
        <f t="shared" ref="M252:M256" si="231">(J252/G252)*1000</f>
        <v>79.937791601866266</v>
      </c>
      <c r="N252" s="23">
        <f t="shared" ref="N252:N256" si="232">I252/G252*1000</f>
        <v>79.937791601866266</v>
      </c>
      <c r="O252" s="32" t="s">
        <v>49</v>
      </c>
      <c r="P252" s="32" t="s">
        <v>49</v>
      </c>
      <c r="Q252" s="32" t="s">
        <v>217</v>
      </c>
      <c r="R252" s="29">
        <v>11</v>
      </c>
      <c r="S252" s="34">
        <v>43269</v>
      </c>
      <c r="T252" s="34">
        <v>43277</v>
      </c>
      <c r="U252" s="34">
        <v>43278</v>
      </c>
      <c r="V252" s="34"/>
      <c r="AG252" s="30"/>
      <c r="AH252" s="30"/>
      <c r="AI252" s="30"/>
      <c r="AJ252" s="31"/>
    </row>
    <row r="253" spans="1:36" s="29" customFormat="1" x14ac:dyDescent="0.3">
      <c r="A253" s="32">
        <v>407</v>
      </c>
      <c r="B253" s="32" t="s">
        <v>72</v>
      </c>
      <c r="C253" s="32" t="s">
        <v>304</v>
      </c>
      <c r="D253" s="35" t="s">
        <v>128</v>
      </c>
      <c r="E253" s="32">
        <v>2360084435</v>
      </c>
      <c r="F253" s="32"/>
      <c r="G253" s="32">
        <v>3.3</v>
      </c>
      <c r="H253" s="32">
        <v>6</v>
      </c>
      <c r="I253" s="32">
        <v>0.23899999999999999</v>
      </c>
      <c r="J253" s="32">
        <f t="shared" si="222"/>
        <v>0.23899999999999999</v>
      </c>
      <c r="K253" s="32"/>
      <c r="L253" s="32" t="s">
        <v>75</v>
      </c>
      <c r="M253" s="23">
        <f t="shared" si="231"/>
        <v>72.424242424242422</v>
      </c>
      <c r="N253" s="23">
        <f t="shared" si="232"/>
        <v>72.424242424242422</v>
      </c>
      <c r="O253" s="32" t="s">
        <v>49</v>
      </c>
      <c r="P253" s="32" t="s">
        <v>49</v>
      </c>
      <c r="Q253" s="32" t="s">
        <v>66</v>
      </c>
      <c r="R253" s="29">
        <v>11</v>
      </c>
      <c r="S253" s="34">
        <v>43249</v>
      </c>
      <c r="T253" s="34">
        <v>43270</v>
      </c>
      <c r="U253" s="34">
        <v>43278</v>
      </c>
      <c r="V253" s="34"/>
      <c r="AG253" s="30"/>
      <c r="AH253" s="30"/>
      <c r="AI253" s="30"/>
      <c r="AJ253" s="31"/>
    </row>
    <row r="254" spans="1:36" s="29" customFormat="1" x14ac:dyDescent="0.3">
      <c r="A254" s="32">
        <v>408</v>
      </c>
      <c r="B254" s="32" t="s">
        <v>67</v>
      </c>
      <c r="C254" s="32" t="s">
        <v>304</v>
      </c>
      <c r="D254" s="35" t="s">
        <v>273</v>
      </c>
      <c r="E254" s="32">
        <v>2360084487</v>
      </c>
      <c r="F254" s="32"/>
      <c r="G254" s="32">
        <v>3.93</v>
      </c>
      <c r="H254" s="32">
        <v>8</v>
      </c>
      <c r="I254" s="32">
        <v>0.371</v>
      </c>
      <c r="J254" s="32">
        <f t="shared" si="222"/>
        <v>0.371</v>
      </c>
      <c r="K254" s="32"/>
      <c r="L254" s="32" t="s">
        <v>68</v>
      </c>
      <c r="M254" s="23">
        <f t="shared" si="231"/>
        <v>94.40203562340966</v>
      </c>
      <c r="N254" s="23">
        <f t="shared" si="232"/>
        <v>94.40203562340966</v>
      </c>
      <c r="O254" s="32" t="s">
        <v>74</v>
      </c>
      <c r="P254" s="32" t="s">
        <v>49</v>
      </c>
      <c r="Q254" s="32" t="s">
        <v>66</v>
      </c>
      <c r="R254" s="29">
        <v>11</v>
      </c>
      <c r="S254" s="34">
        <v>43272</v>
      </c>
      <c r="T254" s="34">
        <v>43273</v>
      </c>
      <c r="U254" s="34">
        <v>43278</v>
      </c>
      <c r="V254" s="34"/>
      <c r="AG254" s="30"/>
      <c r="AH254" s="30"/>
      <c r="AI254" s="30"/>
      <c r="AJ254" s="31"/>
    </row>
    <row r="255" spans="1:36" s="29" customFormat="1" x14ac:dyDescent="0.3">
      <c r="A255" s="32">
        <v>409</v>
      </c>
      <c r="B255" s="32" t="s">
        <v>71</v>
      </c>
      <c r="C255" s="32" t="s">
        <v>304</v>
      </c>
      <c r="D255" s="37" t="s">
        <v>147</v>
      </c>
      <c r="E255" s="49">
        <v>4201721055</v>
      </c>
      <c r="F255" s="32">
        <v>11</v>
      </c>
      <c r="G255" s="32">
        <v>1.2</v>
      </c>
      <c r="H255" s="32">
        <v>6</v>
      </c>
      <c r="I255" s="32">
        <v>0.34</v>
      </c>
      <c r="J255" s="32">
        <f t="shared" si="222"/>
        <v>0.34</v>
      </c>
      <c r="K255" s="32"/>
      <c r="L255" s="32" t="s">
        <v>75</v>
      </c>
      <c r="M255" s="23">
        <f t="shared" si="231"/>
        <v>283.33333333333337</v>
      </c>
      <c r="N255" s="23">
        <f t="shared" si="232"/>
        <v>283.33333333333337</v>
      </c>
      <c r="O255" s="32" t="s">
        <v>49</v>
      </c>
      <c r="P255" s="32" t="s">
        <v>49</v>
      </c>
      <c r="Q255" s="32" t="s">
        <v>55</v>
      </c>
      <c r="R255" s="29">
        <v>2</v>
      </c>
      <c r="S255" s="34">
        <v>43272</v>
      </c>
      <c r="T255" s="34">
        <v>43273</v>
      </c>
      <c r="U255" s="34">
        <v>43278</v>
      </c>
      <c r="V255" s="34"/>
      <c r="AG255" s="30"/>
      <c r="AH255" s="30"/>
      <c r="AI255" s="30"/>
      <c r="AJ255" s="31"/>
    </row>
    <row r="256" spans="1:36" s="29" customFormat="1" x14ac:dyDescent="0.3">
      <c r="A256" s="32">
        <v>410</v>
      </c>
      <c r="B256" s="32" t="s">
        <v>72</v>
      </c>
      <c r="C256" s="32" t="s">
        <v>304</v>
      </c>
      <c r="D256" s="35" t="s">
        <v>318</v>
      </c>
      <c r="E256" s="32">
        <v>2360084514</v>
      </c>
      <c r="F256" s="32"/>
      <c r="G256" s="32">
        <v>2.44</v>
      </c>
      <c r="H256" s="32">
        <v>6</v>
      </c>
      <c r="I256" s="32">
        <v>0.58499999999999996</v>
      </c>
      <c r="J256" s="32">
        <f t="shared" si="222"/>
        <v>0.58499999999999996</v>
      </c>
      <c r="K256" s="32"/>
      <c r="L256" s="32" t="s">
        <v>68</v>
      </c>
      <c r="M256" s="23">
        <f t="shared" si="231"/>
        <v>239.75409836065572</v>
      </c>
      <c r="N256" s="23">
        <f t="shared" si="232"/>
        <v>239.75409836065572</v>
      </c>
      <c r="O256" s="32" t="s">
        <v>49</v>
      </c>
      <c r="P256" s="32" t="s">
        <v>49</v>
      </c>
      <c r="Q256" s="32" t="s">
        <v>319</v>
      </c>
      <c r="R256" s="29">
        <v>11</v>
      </c>
      <c r="S256" s="34">
        <v>43271</v>
      </c>
      <c r="T256" s="34">
        <v>43273</v>
      </c>
      <c r="U256" s="34">
        <v>43278</v>
      </c>
      <c r="V256" s="34"/>
      <c r="AG256" s="30"/>
      <c r="AH256" s="30"/>
      <c r="AI256" s="30"/>
      <c r="AJ256" s="31"/>
    </row>
    <row r="257" spans="1:36" s="29" customFormat="1" x14ac:dyDescent="0.3">
      <c r="A257" s="32">
        <v>411</v>
      </c>
      <c r="B257" s="32" t="s">
        <v>71</v>
      </c>
      <c r="C257" s="32" t="s">
        <v>304</v>
      </c>
      <c r="D257" s="35" t="s">
        <v>320</v>
      </c>
      <c r="E257" s="32">
        <v>2360084556</v>
      </c>
      <c r="F257" s="32"/>
      <c r="G257" s="32"/>
      <c r="H257" s="32"/>
      <c r="I257" s="32">
        <v>0.114</v>
      </c>
      <c r="J257" s="32">
        <f t="shared" si="222"/>
        <v>0.114</v>
      </c>
      <c r="K257" s="32"/>
      <c r="L257" s="32" t="s">
        <v>75</v>
      </c>
      <c r="M257" s="32"/>
      <c r="N257" s="32"/>
      <c r="O257" s="32" t="s">
        <v>49</v>
      </c>
      <c r="P257" s="32" t="s">
        <v>49</v>
      </c>
      <c r="Q257" s="32" t="s">
        <v>94</v>
      </c>
      <c r="R257" s="29">
        <v>15</v>
      </c>
      <c r="S257" s="34">
        <v>43273</v>
      </c>
      <c r="T257" s="34">
        <v>43277</v>
      </c>
      <c r="U257" s="34">
        <v>43278</v>
      </c>
      <c r="V257" s="34"/>
      <c r="AG257" s="30"/>
      <c r="AH257" s="30"/>
      <c r="AI257" s="30"/>
      <c r="AJ257" s="31"/>
    </row>
    <row r="258" spans="1:36" s="29" customFormat="1" x14ac:dyDescent="0.3">
      <c r="A258" s="32">
        <v>412</v>
      </c>
      <c r="B258" s="32" t="s">
        <v>47</v>
      </c>
      <c r="C258" s="32" t="s">
        <v>304</v>
      </c>
      <c r="D258" s="35" t="s">
        <v>194</v>
      </c>
      <c r="E258" s="32">
        <v>5000058400</v>
      </c>
      <c r="F258" s="32"/>
      <c r="G258" s="32">
        <f>0.362*6+0.725*6</f>
        <v>6.5219999999999994</v>
      </c>
      <c r="H258" s="32">
        <v>12</v>
      </c>
      <c r="I258" s="32">
        <v>0.59499999999999997</v>
      </c>
      <c r="J258" s="32">
        <f t="shared" si="222"/>
        <v>0.59499999999999997</v>
      </c>
      <c r="K258" s="32"/>
      <c r="L258" s="32" t="s">
        <v>294</v>
      </c>
      <c r="M258" s="23">
        <f t="shared" ref="M258" si="233">(J258/G258)*1000</f>
        <v>91.229684145967497</v>
      </c>
      <c r="N258" s="23">
        <f t="shared" ref="N258" si="234">I258/G258*1000</f>
        <v>91.229684145967497</v>
      </c>
      <c r="O258" s="32" t="s">
        <v>52</v>
      </c>
      <c r="P258" s="32" t="s">
        <v>49</v>
      </c>
      <c r="Q258" s="32" t="s">
        <v>324</v>
      </c>
      <c r="R258" s="29">
        <v>11</v>
      </c>
      <c r="S258" s="34">
        <v>43276</v>
      </c>
      <c r="T258" s="34">
        <v>43280</v>
      </c>
      <c r="U258" s="34">
        <v>43285</v>
      </c>
      <c r="V258" s="34"/>
      <c r="AG258" s="30"/>
      <c r="AH258" s="30"/>
      <c r="AI258" s="30"/>
      <c r="AJ258" s="31"/>
    </row>
    <row r="259" spans="1:36" s="29" customFormat="1" x14ac:dyDescent="0.3">
      <c r="A259" s="32">
        <v>413</v>
      </c>
      <c r="B259" s="32" t="s">
        <v>47</v>
      </c>
      <c r="C259" s="32" t="s">
        <v>304</v>
      </c>
      <c r="D259" s="35" t="s">
        <v>311</v>
      </c>
      <c r="E259" s="32">
        <v>5000058399</v>
      </c>
      <c r="F259" s="32"/>
      <c r="G259" s="32"/>
      <c r="H259" s="32"/>
      <c r="I259" s="32">
        <v>4.5439999999999996</v>
      </c>
      <c r="J259" s="32">
        <f t="shared" si="222"/>
        <v>4.5439999999999996</v>
      </c>
      <c r="K259" s="32"/>
      <c r="L259" s="32" t="s">
        <v>294</v>
      </c>
      <c r="M259" s="32"/>
      <c r="N259" s="32"/>
      <c r="O259" s="32" t="s">
        <v>52</v>
      </c>
      <c r="P259" s="32" t="s">
        <v>49</v>
      </c>
      <c r="Q259" s="32" t="s">
        <v>325</v>
      </c>
      <c r="R259" s="29">
        <v>11</v>
      </c>
      <c r="S259" s="34">
        <v>43280</v>
      </c>
      <c r="T259" s="34">
        <v>43280</v>
      </c>
      <c r="U259" s="34">
        <v>43285</v>
      </c>
      <c r="V259" s="34"/>
      <c r="AG259" s="30"/>
      <c r="AH259" s="30"/>
      <c r="AI259" s="30"/>
      <c r="AJ259" s="31"/>
    </row>
    <row r="260" spans="1:36" s="29" customFormat="1" x14ac:dyDescent="0.3">
      <c r="A260" s="32">
        <v>414</v>
      </c>
      <c r="B260" s="32" t="s">
        <v>47</v>
      </c>
      <c r="C260" s="32" t="s">
        <v>304</v>
      </c>
      <c r="D260" s="35" t="s">
        <v>326</v>
      </c>
      <c r="E260" s="32">
        <v>5000058418</v>
      </c>
      <c r="F260" s="32"/>
      <c r="G260" s="32">
        <v>0.23599999999999999</v>
      </c>
      <c r="H260" s="32">
        <v>1</v>
      </c>
      <c r="I260" s="32">
        <v>0.112</v>
      </c>
      <c r="J260" s="32">
        <f t="shared" si="222"/>
        <v>0.112</v>
      </c>
      <c r="K260" s="32"/>
      <c r="L260" s="32" t="s">
        <v>68</v>
      </c>
      <c r="M260" s="23">
        <f t="shared" ref="M260" si="235">(J260/G260)*1000</f>
        <v>474.57627118644069</v>
      </c>
      <c r="N260" s="23">
        <f t="shared" ref="N260" si="236">I260/G260*1000</f>
        <v>474.57627118644069</v>
      </c>
      <c r="O260" s="32" t="s">
        <v>52</v>
      </c>
      <c r="P260" s="32" t="s">
        <v>49</v>
      </c>
      <c r="Q260" s="32" t="s">
        <v>327</v>
      </c>
      <c r="R260" s="29">
        <v>11</v>
      </c>
      <c r="S260" s="34">
        <v>43272</v>
      </c>
      <c r="T260" s="34">
        <v>43280</v>
      </c>
      <c r="U260" s="34">
        <v>43285</v>
      </c>
      <c r="V260" s="34"/>
      <c r="AG260" s="30"/>
      <c r="AH260" s="30"/>
      <c r="AI260" s="30"/>
      <c r="AJ260" s="31"/>
    </row>
    <row r="261" spans="1:36" s="29" customFormat="1" x14ac:dyDescent="0.3">
      <c r="A261" s="32">
        <v>415</v>
      </c>
      <c r="B261" s="32" t="s">
        <v>71</v>
      </c>
      <c r="C261" s="32" t="s">
        <v>304</v>
      </c>
      <c r="D261" s="35" t="s">
        <v>158</v>
      </c>
      <c r="E261" s="32">
        <v>2360084653</v>
      </c>
      <c r="F261" s="32"/>
      <c r="G261" s="32">
        <f>0.28*10+0.056*10</f>
        <v>3.3600000000000003</v>
      </c>
      <c r="H261" s="32">
        <v>20</v>
      </c>
      <c r="I261" s="32">
        <v>0.437</v>
      </c>
      <c r="J261" s="32">
        <f t="shared" si="222"/>
        <v>0.437</v>
      </c>
      <c r="K261" s="32"/>
      <c r="L261" s="32" t="s">
        <v>68</v>
      </c>
      <c r="M261" s="23">
        <f t="shared" ref="M261" si="237">(J261/G261)*1000</f>
        <v>130.0595238095238</v>
      </c>
      <c r="N261" s="23">
        <f t="shared" ref="N261" si="238">I261/G261*1000</f>
        <v>130.0595238095238</v>
      </c>
      <c r="O261" s="32" t="s">
        <v>49</v>
      </c>
      <c r="P261" s="32" t="s">
        <v>49</v>
      </c>
      <c r="Q261" s="32" t="s">
        <v>328</v>
      </c>
      <c r="R261" s="29">
        <v>11</v>
      </c>
      <c r="S261" s="34">
        <v>43264</v>
      </c>
      <c r="T261" s="34">
        <v>43281</v>
      </c>
      <c r="U261" s="34">
        <v>43285</v>
      </c>
      <c r="V261" s="34"/>
      <c r="AG261" s="30"/>
      <c r="AH261" s="30"/>
      <c r="AI261" s="30"/>
      <c r="AJ261" s="31"/>
    </row>
    <row r="262" spans="1:36" s="29" customFormat="1" x14ac:dyDescent="0.3">
      <c r="A262" s="32">
        <v>416</v>
      </c>
      <c r="B262" s="32" t="s">
        <v>67</v>
      </c>
      <c r="C262" s="32" t="s">
        <v>304</v>
      </c>
      <c r="D262" s="35" t="s">
        <v>214</v>
      </c>
      <c r="E262" s="50">
        <v>2360084684</v>
      </c>
      <c r="F262" s="32"/>
      <c r="G262" s="32">
        <f>0.416*2</f>
        <v>0.83199999999999996</v>
      </c>
      <c r="H262" s="32">
        <v>2</v>
      </c>
      <c r="I262" s="32">
        <f>0.088</f>
        <v>8.7999999999999995E-2</v>
      </c>
      <c r="J262" s="32">
        <f>I262</f>
        <v>8.7999999999999995E-2</v>
      </c>
      <c r="K262" s="32"/>
      <c r="L262" s="32" t="s">
        <v>68</v>
      </c>
      <c r="M262" s="23">
        <f t="shared" ref="M262" si="239">(J262/G262)*1000</f>
        <v>105.76923076923077</v>
      </c>
      <c r="N262" s="23">
        <f t="shared" ref="N262" si="240">I262/G262*1000</f>
        <v>105.76923076923077</v>
      </c>
      <c r="O262" s="32" t="s">
        <v>69</v>
      </c>
      <c r="P262" s="32" t="s">
        <v>70</v>
      </c>
      <c r="Q262" s="32" t="s">
        <v>328</v>
      </c>
      <c r="R262" s="29">
        <v>11</v>
      </c>
      <c r="S262" s="34">
        <v>43262</v>
      </c>
      <c r="T262" s="34">
        <v>43281</v>
      </c>
      <c r="U262" s="34">
        <v>43285</v>
      </c>
      <c r="V262" s="34"/>
      <c r="AG262" s="30"/>
      <c r="AH262" s="30"/>
      <c r="AI262" s="30"/>
      <c r="AJ262" s="31"/>
    </row>
    <row r="263" spans="1:36" s="29" customFormat="1" x14ac:dyDescent="0.3">
      <c r="A263" s="32">
        <v>417</v>
      </c>
      <c r="B263" s="32" t="s">
        <v>67</v>
      </c>
      <c r="C263" s="32" t="s">
        <v>304</v>
      </c>
      <c r="D263" s="35" t="s">
        <v>214</v>
      </c>
      <c r="E263" s="50">
        <v>2360084691</v>
      </c>
      <c r="F263" s="32"/>
      <c r="G263" s="32">
        <f>0.416*2</f>
        <v>0.83199999999999996</v>
      </c>
      <c r="H263" s="32">
        <v>2</v>
      </c>
      <c r="I263" s="32">
        <f>0.088</f>
        <v>8.7999999999999995E-2</v>
      </c>
      <c r="J263" s="32">
        <f>I263</f>
        <v>8.7999999999999995E-2</v>
      </c>
      <c r="K263" s="32"/>
      <c r="L263" s="32" t="s">
        <v>68</v>
      </c>
      <c r="M263" s="23">
        <f t="shared" ref="M263" si="241">(J263/G263)*1000</f>
        <v>105.76923076923077</v>
      </c>
      <c r="N263" s="23">
        <f t="shared" ref="N263" si="242">I263/G263*1000</f>
        <v>105.76923076923077</v>
      </c>
      <c r="O263" s="32" t="s">
        <v>69</v>
      </c>
      <c r="P263" s="32" t="s">
        <v>70</v>
      </c>
      <c r="Q263" s="32" t="s">
        <v>328</v>
      </c>
      <c r="R263" s="29">
        <v>11</v>
      </c>
      <c r="S263" s="34">
        <v>43262</v>
      </c>
      <c r="T263" s="34">
        <v>43281</v>
      </c>
      <c r="U263" s="34">
        <v>43285</v>
      </c>
      <c r="V263" s="34"/>
      <c r="AG263" s="30"/>
      <c r="AH263" s="30"/>
      <c r="AI263" s="30"/>
      <c r="AJ263" s="31"/>
    </row>
    <row r="264" spans="1:36" s="29" customFormat="1" x14ac:dyDescent="0.3">
      <c r="A264" s="32">
        <v>418</v>
      </c>
      <c r="B264" s="32" t="s">
        <v>72</v>
      </c>
      <c r="C264" s="32" t="s">
        <v>304</v>
      </c>
      <c r="D264" s="35" t="s">
        <v>329</v>
      </c>
      <c r="E264" s="32">
        <v>2360084680</v>
      </c>
      <c r="F264" s="32"/>
      <c r="G264" s="32"/>
      <c r="H264" s="32"/>
      <c r="I264" s="32">
        <v>1.19</v>
      </c>
      <c r="J264" s="32">
        <f>I264</f>
        <v>1.19</v>
      </c>
      <c r="K264" s="32"/>
      <c r="L264" s="32" t="s">
        <v>75</v>
      </c>
      <c r="M264" s="32"/>
      <c r="N264" s="32"/>
      <c r="O264" s="32" t="s">
        <v>69</v>
      </c>
      <c r="P264" s="32" t="s">
        <v>70</v>
      </c>
      <c r="Q264" s="32" t="s">
        <v>186</v>
      </c>
      <c r="R264" s="29">
        <v>13</v>
      </c>
      <c r="S264" s="34">
        <v>43279</v>
      </c>
      <c r="T264" s="34">
        <v>43281</v>
      </c>
      <c r="U264" s="34">
        <v>43285</v>
      </c>
      <c r="V264" s="34"/>
      <c r="AG264" s="30"/>
      <c r="AH264" s="30"/>
      <c r="AI264" s="30"/>
      <c r="AJ264" s="31"/>
    </row>
    <row r="265" spans="1:36" s="29" customFormat="1" x14ac:dyDescent="0.3">
      <c r="A265" s="32">
        <v>419</v>
      </c>
      <c r="B265" s="32" t="s">
        <v>71</v>
      </c>
      <c r="C265" s="32" t="s">
        <v>304</v>
      </c>
      <c r="D265" s="35" t="s">
        <v>88</v>
      </c>
      <c r="E265" s="46">
        <v>2360084637</v>
      </c>
      <c r="F265" s="32"/>
      <c r="G265" s="32">
        <f>0.161*6+0.316*24</f>
        <v>8.5499999999999989</v>
      </c>
      <c r="H265" s="32">
        <v>30</v>
      </c>
      <c r="I265" s="32">
        <v>0.60799999999999998</v>
      </c>
      <c r="J265" s="32">
        <f>I265</f>
        <v>0.60799999999999998</v>
      </c>
      <c r="K265" s="32"/>
      <c r="L265" s="32" t="s">
        <v>68</v>
      </c>
      <c r="M265" s="23">
        <f t="shared" ref="M265" si="243">(J265/G265)*1000</f>
        <v>71.111111111111128</v>
      </c>
      <c r="N265" s="23">
        <f t="shared" ref="N265" si="244">I265/G265*1000</f>
        <v>71.111111111111128</v>
      </c>
      <c r="O265" s="32" t="s">
        <v>74</v>
      </c>
      <c r="P265" s="32" t="s">
        <v>49</v>
      </c>
      <c r="Q265" s="32" t="s">
        <v>66</v>
      </c>
      <c r="R265" s="29">
        <v>11</v>
      </c>
      <c r="S265" s="34">
        <v>43276</v>
      </c>
      <c r="T265" s="34">
        <v>43281</v>
      </c>
      <c r="U265" s="34">
        <v>43285</v>
      </c>
      <c r="V265" s="34"/>
      <c r="AG265" s="30"/>
      <c r="AH265" s="30"/>
      <c r="AI265" s="30"/>
      <c r="AJ265" s="31"/>
    </row>
    <row r="266" spans="1:36" s="29" customFormat="1" x14ac:dyDescent="0.3">
      <c r="A266" s="32">
        <v>420</v>
      </c>
      <c r="B266" s="32" t="s">
        <v>72</v>
      </c>
      <c r="C266" s="32" t="s">
        <v>304</v>
      </c>
      <c r="D266" s="35" t="s">
        <v>330</v>
      </c>
      <c r="E266" s="32">
        <v>4201727354</v>
      </c>
      <c r="F266" s="32">
        <v>33</v>
      </c>
      <c r="G266" s="32">
        <v>63.6</v>
      </c>
      <c r="H266" s="32">
        <v>106</v>
      </c>
      <c r="I266" s="32">
        <v>4.8499999999999996</v>
      </c>
      <c r="J266" s="32">
        <v>3.5</v>
      </c>
      <c r="K266" s="32">
        <f>I266-J266</f>
        <v>1.3499999999999996</v>
      </c>
      <c r="L266" s="32" t="s">
        <v>68</v>
      </c>
      <c r="M266" s="23">
        <f t="shared" ref="M266" si="245">(J266/G266)*1000</f>
        <v>55.031446540880502</v>
      </c>
      <c r="N266" s="23">
        <f t="shared" ref="N266" si="246">I266/G266*1000</f>
        <v>76.257861635220124</v>
      </c>
      <c r="O266" s="32" t="s">
        <v>69</v>
      </c>
      <c r="P266" s="32" t="s">
        <v>70</v>
      </c>
      <c r="Q266" s="32" t="s">
        <v>76</v>
      </c>
      <c r="R266" s="29">
        <v>1</v>
      </c>
      <c r="S266" s="34">
        <v>43273</v>
      </c>
      <c r="T266" s="34">
        <v>43281</v>
      </c>
      <c r="U266" s="34">
        <v>43285</v>
      </c>
      <c r="V266" s="34"/>
      <c r="AG266" s="30"/>
      <c r="AH266" s="30"/>
      <c r="AI266" s="30"/>
      <c r="AJ266" s="31"/>
    </row>
    <row r="267" spans="1:36" s="29" customFormat="1" x14ac:dyDescent="0.3">
      <c r="A267" s="32">
        <v>421</v>
      </c>
      <c r="B267" s="32" t="s">
        <v>71</v>
      </c>
      <c r="C267" s="32" t="s">
        <v>304</v>
      </c>
      <c r="D267" s="35" t="s">
        <v>172</v>
      </c>
      <c r="E267" s="32">
        <v>2360084745</v>
      </c>
      <c r="F267" s="32"/>
      <c r="G267" s="32">
        <v>8.1</v>
      </c>
      <c r="H267" s="32">
        <v>36</v>
      </c>
      <c r="I267" s="32">
        <v>0.93600000000000005</v>
      </c>
      <c r="J267" s="32">
        <f t="shared" ref="J267:J280" si="247">I267</f>
        <v>0.93600000000000005</v>
      </c>
      <c r="K267" s="32"/>
      <c r="L267" s="32" t="s">
        <v>75</v>
      </c>
      <c r="M267" s="23">
        <f t="shared" ref="M267:M268" si="248">(J267/G267)*1000</f>
        <v>115.55555555555556</v>
      </c>
      <c r="N267" s="23">
        <f t="shared" ref="N267:N268" si="249">I267/G267*1000</f>
        <v>115.55555555555556</v>
      </c>
      <c r="O267" s="32" t="s">
        <v>49</v>
      </c>
      <c r="P267" s="32" t="s">
        <v>49</v>
      </c>
      <c r="Q267" s="32" t="s">
        <v>66</v>
      </c>
      <c r="R267" s="29">
        <v>11</v>
      </c>
      <c r="S267" s="34">
        <v>43278</v>
      </c>
      <c r="T267" s="34">
        <v>43284</v>
      </c>
      <c r="U267" s="34">
        <v>43285</v>
      </c>
      <c r="V267" s="34"/>
      <c r="AG267" s="30"/>
      <c r="AH267" s="30"/>
      <c r="AI267" s="30"/>
      <c r="AJ267" s="31"/>
    </row>
    <row r="268" spans="1:36" s="29" customFormat="1" x14ac:dyDescent="0.3">
      <c r="A268" s="32">
        <v>422</v>
      </c>
      <c r="B268" s="32" t="s">
        <v>72</v>
      </c>
      <c r="C268" s="32" t="s">
        <v>304</v>
      </c>
      <c r="D268" s="35" t="s">
        <v>331</v>
      </c>
      <c r="E268" s="32">
        <v>4201724116</v>
      </c>
      <c r="F268" s="32">
        <v>11</v>
      </c>
      <c r="G268" s="32">
        <v>20</v>
      </c>
      <c r="H268" s="32">
        <v>100</v>
      </c>
      <c r="I268" s="32">
        <v>1.764</v>
      </c>
      <c r="J268" s="32">
        <f t="shared" si="247"/>
        <v>1.764</v>
      </c>
      <c r="K268" s="32"/>
      <c r="L268" s="32" t="s">
        <v>68</v>
      </c>
      <c r="M268" s="32">
        <f t="shared" si="248"/>
        <v>88.2</v>
      </c>
      <c r="N268" s="32">
        <f t="shared" si="249"/>
        <v>88.2</v>
      </c>
      <c r="O268" s="32" t="s">
        <v>69</v>
      </c>
      <c r="P268" s="32" t="s">
        <v>70</v>
      </c>
      <c r="Q268" s="32" t="s">
        <v>54</v>
      </c>
      <c r="R268" s="29">
        <v>18</v>
      </c>
      <c r="S268" s="34">
        <v>43269</v>
      </c>
      <c r="T268" s="34">
        <v>43278</v>
      </c>
      <c r="U268" s="34">
        <v>43285</v>
      </c>
      <c r="V268" s="34"/>
      <c r="AG268" s="30"/>
      <c r="AH268" s="30"/>
      <c r="AI268" s="30"/>
      <c r="AJ268" s="31"/>
    </row>
    <row r="269" spans="1:36" s="29" customFormat="1" x14ac:dyDescent="0.3">
      <c r="A269" s="32">
        <v>423</v>
      </c>
      <c r="B269" s="32" t="s">
        <v>72</v>
      </c>
      <c r="C269" s="32" t="s">
        <v>304</v>
      </c>
      <c r="D269" s="35" t="s">
        <v>331</v>
      </c>
      <c r="E269" s="32">
        <v>4201724004</v>
      </c>
      <c r="F269" s="32">
        <v>11</v>
      </c>
      <c r="G269" s="32">
        <v>20</v>
      </c>
      <c r="H269" s="32">
        <v>100</v>
      </c>
      <c r="I269" s="32">
        <v>1.764</v>
      </c>
      <c r="J269" s="32">
        <f t="shared" si="247"/>
        <v>1.764</v>
      </c>
      <c r="K269" s="32"/>
      <c r="L269" s="32" t="s">
        <v>68</v>
      </c>
      <c r="M269" s="32">
        <f t="shared" ref="M269:M272" si="250">(J269/G269)*1000</f>
        <v>88.2</v>
      </c>
      <c r="N269" s="32">
        <f t="shared" ref="N269:N272" si="251">I269/G269*1000</f>
        <v>88.2</v>
      </c>
      <c r="O269" s="32" t="s">
        <v>69</v>
      </c>
      <c r="P269" s="32" t="s">
        <v>70</v>
      </c>
      <c r="Q269" s="32" t="s">
        <v>54</v>
      </c>
      <c r="R269" s="29">
        <v>18</v>
      </c>
      <c r="S269" s="34">
        <v>43269</v>
      </c>
      <c r="T269" s="34">
        <v>43278</v>
      </c>
      <c r="U269" s="34">
        <v>43285</v>
      </c>
      <c r="V269" s="34"/>
      <c r="AG269" s="30"/>
      <c r="AH269" s="30"/>
      <c r="AI269" s="30"/>
      <c r="AJ269" s="31"/>
    </row>
    <row r="270" spans="1:36" s="29" customFormat="1" x14ac:dyDescent="0.3">
      <c r="A270" s="32">
        <v>424</v>
      </c>
      <c r="B270" s="32" t="s">
        <v>73</v>
      </c>
      <c r="C270" s="32" t="s">
        <v>304</v>
      </c>
      <c r="D270" s="35" t="s">
        <v>332</v>
      </c>
      <c r="E270" s="32">
        <v>4201717307</v>
      </c>
      <c r="F270" s="32">
        <v>11</v>
      </c>
      <c r="G270" s="32">
        <v>8.5</v>
      </c>
      <c r="H270" s="32">
        <v>36</v>
      </c>
      <c r="I270" s="32">
        <v>2.5</v>
      </c>
      <c r="J270" s="32">
        <f t="shared" si="247"/>
        <v>2.5</v>
      </c>
      <c r="K270" s="32"/>
      <c r="L270" s="32" t="s">
        <v>75</v>
      </c>
      <c r="M270" s="23">
        <f t="shared" si="250"/>
        <v>294.11764705882354</v>
      </c>
      <c r="N270" s="23">
        <f t="shared" si="251"/>
        <v>294.11764705882354</v>
      </c>
      <c r="O270" s="32" t="s">
        <v>74</v>
      </c>
      <c r="P270" s="32" t="s">
        <v>74</v>
      </c>
      <c r="Q270" s="32" t="s">
        <v>54</v>
      </c>
      <c r="R270" s="29">
        <v>18</v>
      </c>
      <c r="S270" s="34">
        <v>43266</v>
      </c>
      <c r="T270" s="34">
        <v>43285</v>
      </c>
      <c r="U270" s="34">
        <v>43286</v>
      </c>
      <c r="V270" s="34"/>
      <c r="AG270" s="30"/>
      <c r="AH270" s="30"/>
      <c r="AI270" s="30"/>
      <c r="AJ270" s="31"/>
    </row>
    <row r="271" spans="1:36" s="29" customFormat="1" x14ac:dyDescent="0.3">
      <c r="A271" s="32">
        <v>425</v>
      </c>
      <c r="B271" s="32" t="s">
        <v>72</v>
      </c>
      <c r="C271" s="32" t="s">
        <v>304</v>
      </c>
      <c r="D271" s="35" t="s">
        <v>128</v>
      </c>
      <c r="E271" s="32">
        <v>2360084641</v>
      </c>
      <c r="F271" s="32"/>
      <c r="G271" s="32">
        <v>2.63</v>
      </c>
      <c r="H271" s="32">
        <v>3</v>
      </c>
      <c r="I271" s="32">
        <v>0.18</v>
      </c>
      <c r="J271" s="32">
        <f t="shared" si="247"/>
        <v>0.18</v>
      </c>
      <c r="K271" s="32"/>
      <c r="L271" s="32" t="s">
        <v>75</v>
      </c>
      <c r="M271" s="23">
        <f t="shared" si="250"/>
        <v>68.441064638783274</v>
      </c>
      <c r="N271" s="23">
        <f t="shared" si="251"/>
        <v>68.441064638783274</v>
      </c>
      <c r="O271" s="32" t="s">
        <v>49</v>
      </c>
      <c r="P271" s="32" t="s">
        <v>49</v>
      </c>
      <c r="Q271" s="32" t="s">
        <v>66</v>
      </c>
      <c r="R271" s="29">
        <v>11</v>
      </c>
      <c r="S271" s="34">
        <v>43259</v>
      </c>
      <c r="T271" s="34">
        <v>43280</v>
      </c>
      <c r="U271" s="34">
        <v>43286</v>
      </c>
      <c r="V271" s="34"/>
      <c r="AG271" s="30"/>
      <c r="AH271" s="30"/>
      <c r="AI271" s="30"/>
      <c r="AJ271" s="31"/>
    </row>
    <row r="272" spans="1:36" s="29" customFormat="1" x14ac:dyDescent="0.3">
      <c r="A272" s="32">
        <v>426</v>
      </c>
      <c r="B272" s="32" t="s">
        <v>72</v>
      </c>
      <c r="C272" s="32" t="s">
        <v>304</v>
      </c>
      <c r="D272" s="35" t="s">
        <v>334</v>
      </c>
      <c r="E272" s="32">
        <v>4201727899</v>
      </c>
      <c r="F272" s="32">
        <v>25</v>
      </c>
      <c r="G272" s="32">
        <v>27.5</v>
      </c>
      <c r="H272" s="32">
        <v>125</v>
      </c>
      <c r="I272" s="32">
        <v>2.4500000000000002</v>
      </c>
      <c r="J272" s="32">
        <f t="shared" si="247"/>
        <v>2.4500000000000002</v>
      </c>
      <c r="K272" s="32"/>
      <c r="L272" s="32" t="s">
        <v>294</v>
      </c>
      <c r="M272" s="23">
        <f t="shared" si="250"/>
        <v>89.090909090909093</v>
      </c>
      <c r="N272" s="23">
        <f t="shared" si="251"/>
        <v>89.090909090909093</v>
      </c>
      <c r="O272" s="32" t="s">
        <v>69</v>
      </c>
      <c r="P272" s="32" t="s">
        <v>70</v>
      </c>
      <c r="Q272" s="32" t="s">
        <v>76</v>
      </c>
      <c r="R272" s="29">
        <v>1</v>
      </c>
      <c r="S272" s="34">
        <v>43277</v>
      </c>
      <c r="T272" s="34">
        <v>43281</v>
      </c>
      <c r="U272" s="34">
        <v>43286</v>
      </c>
      <c r="V272" s="34"/>
      <c r="AG272" s="30"/>
      <c r="AH272" s="30"/>
      <c r="AI272" s="30"/>
      <c r="AJ272" s="31"/>
    </row>
    <row r="273" spans="1:36" s="29" customFormat="1" x14ac:dyDescent="0.3">
      <c r="A273" s="32">
        <v>427</v>
      </c>
      <c r="B273" s="32" t="s">
        <v>72</v>
      </c>
      <c r="C273" s="32" t="s">
        <v>304</v>
      </c>
      <c r="D273" s="35" t="s">
        <v>334</v>
      </c>
      <c r="E273" s="32">
        <v>4201727937</v>
      </c>
      <c r="F273" s="32">
        <v>25</v>
      </c>
      <c r="G273" s="32">
        <v>16.5</v>
      </c>
      <c r="H273" s="32">
        <v>75</v>
      </c>
      <c r="I273" s="32">
        <v>1.47</v>
      </c>
      <c r="J273" s="32">
        <f t="shared" si="247"/>
        <v>1.47</v>
      </c>
      <c r="K273" s="32"/>
      <c r="L273" s="32" t="s">
        <v>294</v>
      </c>
      <c r="M273" s="23">
        <f t="shared" ref="M273:M275" si="252">(J273/G273)*1000</f>
        <v>89.090909090909093</v>
      </c>
      <c r="N273" s="23">
        <f t="shared" ref="N273:N275" si="253">I273/G273*1000</f>
        <v>89.090909090909093</v>
      </c>
      <c r="O273" s="32" t="s">
        <v>69</v>
      </c>
      <c r="P273" s="32" t="s">
        <v>70</v>
      </c>
      <c r="Q273" s="32" t="s">
        <v>76</v>
      </c>
      <c r="R273" s="29">
        <v>1</v>
      </c>
      <c r="S273" s="34">
        <v>43277</v>
      </c>
      <c r="T273" s="34">
        <v>43281</v>
      </c>
      <c r="U273" s="34">
        <v>43286</v>
      </c>
      <c r="V273" s="34"/>
      <c r="AG273" s="30"/>
      <c r="AH273" s="30"/>
      <c r="AI273" s="30"/>
      <c r="AJ273" s="31"/>
    </row>
    <row r="274" spans="1:36" s="29" customFormat="1" x14ac:dyDescent="0.3">
      <c r="A274" s="32">
        <v>428</v>
      </c>
      <c r="B274" s="32" t="s">
        <v>81</v>
      </c>
      <c r="C274" s="32" t="s">
        <v>304</v>
      </c>
      <c r="D274" s="35" t="s">
        <v>333</v>
      </c>
      <c r="E274" s="32">
        <v>4201727993</v>
      </c>
      <c r="F274" s="32">
        <v>3.3</v>
      </c>
      <c r="G274" s="32">
        <v>0.64</v>
      </c>
      <c r="H274" s="32">
        <v>4</v>
      </c>
      <c r="I274" s="32">
        <v>2.6</v>
      </c>
      <c r="J274" s="32">
        <f t="shared" si="247"/>
        <v>2.6</v>
      </c>
      <c r="K274" s="32"/>
      <c r="L274" s="32" t="s">
        <v>96</v>
      </c>
      <c r="M274" s="23">
        <f t="shared" si="252"/>
        <v>4062.5</v>
      </c>
      <c r="N274" s="23">
        <f t="shared" si="253"/>
        <v>4062.5</v>
      </c>
      <c r="O274" s="32" t="s">
        <v>144</v>
      </c>
      <c r="P274" s="32" t="s">
        <v>49</v>
      </c>
      <c r="Q274" s="32" t="s">
        <v>54</v>
      </c>
      <c r="R274" s="29">
        <v>18</v>
      </c>
      <c r="S274" s="34">
        <v>43281</v>
      </c>
      <c r="T274" s="34">
        <v>43281</v>
      </c>
      <c r="U274" s="34">
        <v>43286</v>
      </c>
      <c r="V274" s="34"/>
      <c r="AG274" s="30"/>
      <c r="AH274" s="30"/>
      <c r="AI274" s="30"/>
      <c r="AJ274" s="31"/>
    </row>
    <row r="275" spans="1:36" s="29" customFormat="1" x14ac:dyDescent="0.3">
      <c r="A275" s="32">
        <v>429</v>
      </c>
      <c r="B275" s="32" t="s">
        <v>53</v>
      </c>
      <c r="C275" s="32" t="s">
        <v>336</v>
      </c>
      <c r="D275" s="43" t="s">
        <v>335</v>
      </c>
      <c r="E275" s="32">
        <v>4201733085</v>
      </c>
      <c r="F275" s="32">
        <v>11</v>
      </c>
      <c r="G275" s="32">
        <v>7.72</v>
      </c>
      <c r="H275" s="32">
        <v>30</v>
      </c>
      <c r="I275" s="32">
        <v>5.4</v>
      </c>
      <c r="J275" s="32">
        <f t="shared" si="247"/>
        <v>5.4</v>
      </c>
      <c r="K275" s="32"/>
      <c r="L275" s="32" t="s">
        <v>75</v>
      </c>
      <c r="M275" s="23">
        <f t="shared" si="252"/>
        <v>699.48186528497411</v>
      </c>
      <c r="N275" s="23">
        <f t="shared" si="253"/>
        <v>699.48186528497411</v>
      </c>
      <c r="O275" s="32" t="s">
        <v>49</v>
      </c>
      <c r="P275" s="32" t="s">
        <v>49</v>
      </c>
      <c r="Q275" s="32" t="s">
        <v>54</v>
      </c>
      <c r="R275" s="29">
        <v>18</v>
      </c>
      <c r="S275" s="34">
        <v>43285</v>
      </c>
      <c r="T275" s="34">
        <v>43290</v>
      </c>
      <c r="U275" s="34">
        <v>43299</v>
      </c>
      <c r="V275" s="34" t="s">
        <v>355</v>
      </c>
      <c r="AG275" s="30"/>
      <c r="AH275" s="30"/>
      <c r="AI275" s="30"/>
      <c r="AJ275" s="31"/>
    </row>
    <row r="276" spans="1:36" s="29" customFormat="1" x14ac:dyDescent="0.3">
      <c r="A276" s="32">
        <v>430</v>
      </c>
      <c r="B276" s="32" t="s">
        <v>53</v>
      </c>
      <c r="C276" s="32" t="s">
        <v>336</v>
      </c>
      <c r="D276" s="43" t="s">
        <v>337</v>
      </c>
      <c r="E276" s="32">
        <v>2360084833</v>
      </c>
      <c r="F276" s="32"/>
      <c r="G276" s="32">
        <v>0.9</v>
      </c>
      <c r="H276" s="32">
        <v>3</v>
      </c>
      <c r="I276" s="32">
        <v>0.22700000000000001</v>
      </c>
      <c r="J276" s="32">
        <f t="shared" si="247"/>
        <v>0.22700000000000001</v>
      </c>
      <c r="K276" s="32"/>
      <c r="L276" s="32" t="s">
        <v>68</v>
      </c>
      <c r="M276" s="23">
        <f t="shared" ref="M276" si="254">(J276/G276)*1000</f>
        <v>252.22222222222223</v>
      </c>
      <c r="N276" s="23">
        <f t="shared" ref="N276" si="255">I276/G276*1000</f>
        <v>252.22222222222223</v>
      </c>
      <c r="O276" s="32" t="s">
        <v>49</v>
      </c>
      <c r="P276" s="32" t="s">
        <v>49</v>
      </c>
      <c r="Q276" s="32" t="s">
        <v>66</v>
      </c>
      <c r="R276" s="29">
        <v>11</v>
      </c>
      <c r="S276" s="34">
        <v>43281</v>
      </c>
      <c r="T276" s="34">
        <v>43290</v>
      </c>
      <c r="U276" s="34">
        <v>43299</v>
      </c>
      <c r="V276" s="34" t="s">
        <v>355</v>
      </c>
      <c r="AG276" s="30"/>
      <c r="AH276" s="30"/>
      <c r="AI276" s="30"/>
      <c r="AJ276" s="31"/>
    </row>
    <row r="277" spans="1:36" s="29" customFormat="1" x14ac:dyDescent="0.3">
      <c r="A277" s="32">
        <v>431</v>
      </c>
      <c r="B277" s="32" t="s">
        <v>53</v>
      </c>
      <c r="C277" s="32" t="s">
        <v>336</v>
      </c>
      <c r="D277" s="43" t="s">
        <v>338</v>
      </c>
      <c r="E277" s="32">
        <v>2360084839</v>
      </c>
      <c r="F277" s="32"/>
      <c r="G277" s="32"/>
      <c r="H277" s="32"/>
      <c r="I277" s="32">
        <v>0.16500000000000001</v>
      </c>
      <c r="J277" s="32">
        <f t="shared" si="247"/>
        <v>0.16500000000000001</v>
      </c>
      <c r="K277" s="32"/>
      <c r="L277" s="32" t="s">
        <v>341</v>
      </c>
      <c r="M277" s="23"/>
      <c r="N277" s="23"/>
      <c r="O277" s="32" t="s">
        <v>74</v>
      </c>
      <c r="P277" s="32" t="s">
        <v>49</v>
      </c>
      <c r="Q277" s="32" t="s">
        <v>342</v>
      </c>
      <c r="R277" s="29">
        <v>15</v>
      </c>
      <c r="S277" s="34">
        <v>43290</v>
      </c>
      <c r="T277" s="34">
        <v>43291</v>
      </c>
      <c r="U277" s="34">
        <v>43299</v>
      </c>
      <c r="V277" s="34" t="s">
        <v>356</v>
      </c>
      <c r="AG277" s="30"/>
      <c r="AH277" s="30"/>
      <c r="AI277" s="30"/>
      <c r="AJ277" s="31"/>
    </row>
    <row r="278" spans="1:36" s="29" customFormat="1" x14ac:dyDescent="0.3">
      <c r="A278" s="32">
        <v>432</v>
      </c>
      <c r="B278" s="32" t="s">
        <v>47</v>
      </c>
      <c r="C278" s="32" t="s">
        <v>336</v>
      </c>
      <c r="D278" s="71" t="s">
        <v>142</v>
      </c>
      <c r="E278" s="32">
        <v>5000058536</v>
      </c>
      <c r="F278" s="32"/>
      <c r="G278" s="32">
        <f>0.4*2</f>
        <v>0.8</v>
      </c>
      <c r="H278" s="32">
        <v>2</v>
      </c>
      <c r="I278" s="32">
        <v>0.1</v>
      </c>
      <c r="J278" s="32">
        <f t="shared" si="247"/>
        <v>0.1</v>
      </c>
      <c r="K278" s="32"/>
      <c r="L278" s="32" t="s">
        <v>294</v>
      </c>
      <c r="M278" s="23">
        <f t="shared" ref="M278" si="256">(J278/G278)*1000</f>
        <v>125</v>
      </c>
      <c r="N278" s="23">
        <f t="shared" ref="N278" si="257">I278/G278*1000</f>
        <v>125</v>
      </c>
      <c r="O278" s="32" t="s">
        <v>52</v>
      </c>
      <c r="P278" s="32" t="s">
        <v>49</v>
      </c>
      <c r="Q278" s="32" t="s">
        <v>156</v>
      </c>
      <c r="R278" s="29">
        <v>12</v>
      </c>
      <c r="S278" s="34">
        <v>43279</v>
      </c>
      <c r="T278" s="34">
        <v>43287</v>
      </c>
      <c r="U278" s="34">
        <v>43291</v>
      </c>
      <c r="V278" s="34" t="s">
        <v>357</v>
      </c>
      <c r="AG278" s="30"/>
      <c r="AH278" s="30"/>
      <c r="AI278" s="30"/>
      <c r="AJ278" s="31"/>
    </row>
    <row r="279" spans="1:36" s="29" customFormat="1" x14ac:dyDescent="0.3">
      <c r="A279" s="32">
        <v>433</v>
      </c>
      <c r="B279" s="32" t="s">
        <v>72</v>
      </c>
      <c r="C279" s="32" t="s">
        <v>336</v>
      </c>
      <c r="D279" s="43" t="s">
        <v>339</v>
      </c>
      <c r="E279" s="32">
        <v>4201728053</v>
      </c>
      <c r="F279" s="32">
        <v>25</v>
      </c>
      <c r="G279" s="32">
        <v>5.5</v>
      </c>
      <c r="H279" s="32">
        <v>25</v>
      </c>
      <c r="I279" s="32">
        <v>0.49</v>
      </c>
      <c r="J279" s="32">
        <f t="shared" si="247"/>
        <v>0.49</v>
      </c>
      <c r="K279" s="32"/>
      <c r="L279" s="32" t="s">
        <v>294</v>
      </c>
      <c r="M279" s="23">
        <f t="shared" ref="M279" si="258">(J279/G279)*1000</f>
        <v>89.090909090909093</v>
      </c>
      <c r="N279" s="23">
        <f t="shared" ref="N279" si="259">I279/G279*1000</f>
        <v>89.090909090909093</v>
      </c>
      <c r="O279" s="32" t="s">
        <v>69</v>
      </c>
      <c r="P279" s="32" t="s">
        <v>70</v>
      </c>
      <c r="Q279" s="32" t="s">
        <v>76</v>
      </c>
      <c r="R279" s="29">
        <v>1</v>
      </c>
      <c r="S279" s="34">
        <v>43242</v>
      </c>
      <c r="T279" s="34">
        <v>43281</v>
      </c>
      <c r="U279" s="34">
        <v>43299</v>
      </c>
      <c r="V279" s="34" t="s">
        <v>358</v>
      </c>
      <c r="AG279" s="30"/>
      <c r="AH279" s="30"/>
      <c r="AI279" s="30"/>
      <c r="AJ279" s="31"/>
    </row>
    <row r="280" spans="1:36" s="29" customFormat="1" x14ac:dyDescent="0.3">
      <c r="A280" s="32">
        <v>434</v>
      </c>
      <c r="B280" s="32" t="s">
        <v>72</v>
      </c>
      <c r="C280" s="32" t="s">
        <v>336</v>
      </c>
      <c r="D280" s="43" t="s">
        <v>340</v>
      </c>
      <c r="E280" s="32">
        <v>4201713741</v>
      </c>
      <c r="F280" s="32">
        <v>11</v>
      </c>
      <c r="G280" s="32">
        <v>12.78</v>
      </c>
      <c r="H280" s="32">
        <v>36</v>
      </c>
      <c r="I280" s="32">
        <v>10.3</v>
      </c>
      <c r="J280" s="32">
        <f t="shared" si="247"/>
        <v>10.3</v>
      </c>
      <c r="K280" s="32"/>
      <c r="L280" s="39" t="s">
        <v>126</v>
      </c>
      <c r="M280" s="23">
        <f t="shared" ref="M280:M281" si="260">(J280/G280)*1000</f>
        <v>805.94679186228495</v>
      </c>
      <c r="N280" s="23">
        <f t="shared" ref="N280:N281" si="261">I280/G280*1000</f>
        <v>805.94679186228495</v>
      </c>
      <c r="O280" s="32" t="s">
        <v>49</v>
      </c>
      <c r="P280" s="32" t="s">
        <v>49</v>
      </c>
      <c r="Q280" s="32" t="s">
        <v>54</v>
      </c>
      <c r="R280" s="29">
        <v>18</v>
      </c>
      <c r="S280" s="34">
        <v>43258</v>
      </c>
      <c r="T280" s="34">
        <v>43264</v>
      </c>
      <c r="U280" s="34">
        <v>43266</v>
      </c>
      <c r="V280" s="34" t="s">
        <v>359</v>
      </c>
      <c r="AG280" s="30"/>
      <c r="AH280" s="30"/>
      <c r="AI280" s="30"/>
      <c r="AJ280" s="31"/>
    </row>
    <row r="281" spans="1:36" s="29" customFormat="1" x14ac:dyDescent="0.3">
      <c r="A281" s="32">
        <v>435</v>
      </c>
      <c r="B281" s="32" t="s">
        <v>47</v>
      </c>
      <c r="C281" s="32" t="s">
        <v>336</v>
      </c>
      <c r="D281" s="35" t="s">
        <v>142</v>
      </c>
      <c r="E281" s="32">
        <v>5000058614</v>
      </c>
      <c r="F281" s="32"/>
      <c r="G281" s="32">
        <f>0.4</f>
        <v>0.4</v>
      </c>
      <c r="H281" s="32">
        <v>1</v>
      </c>
      <c r="I281" s="32">
        <v>4.7E-2</v>
      </c>
      <c r="J281" s="32">
        <f t="shared" ref="J281" si="262">I281</f>
        <v>4.7E-2</v>
      </c>
      <c r="K281" s="32"/>
      <c r="L281" s="32" t="s">
        <v>294</v>
      </c>
      <c r="M281" s="23">
        <f t="shared" si="260"/>
        <v>117.5</v>
      </c>
      <c r="N281" s="23">
        <f t="shared" si="261"/>
        <v>117.5</v>
      </c>
      <c r="O281" s="32" t="s">
        <v>52</v>
      </c>
      <c r="P281" s="32" t="s">
        <v>49</v>
      </c>
      <c r="Q281" s="32" t="s">
        <v>156</v>
      </c>
      <c r="R281" s="29">
        <v>12</v>
      </c>
      <c r="S281" s="34">
        <v>43285</v>
      </c>
      <c r="T281" s="34">
        <v>43291</v>
      </c>
      <c r="U281" s="34">
        <v>43299</v>
      </c>
      <c r="V281" s="34" t="s">
        <v>357</v>
      </c>
      <c r="AG281" s="30"/>
      <c r="AH281" s="30"/>
      <c r="AI281" s="30"/>
      <c r="AJ281" s="31"/>
    </row>
    <row r="282" spans="1:36" s="29" customFormat="1" x14ac:dyDescent="0.3">
      <c r="A282" s="32">
        <v>436</v>
      </c>
      <c r="B282" s="32" t="s">
        <v>47</v>
      </c>
      <c r="C282" s="32" t="s">
        <v>336</v>
      </c>
      <c r="D282" s="35" t="s">
        <v>64</v>
      </c>
      <c r="E282" s="32">
        <v>5000058550</v>
      </c>
      <c r="F282" s="32"/>
      <c r="G282" s="32"/>
      <c r="H282" s="32">
        <v>1</v>
      </c>
      <c r="I282" s="32">
        <v>2.1999999999999999E-2</v>
      </c>
      <c r="J282" s="32">
        <f t="shared" ref="J282:J283" si="263">I282</f>
        <v>2.1999999999999999E-2</v>
      </c>
      <c r="K282" s="32"/>
      <c r="L282" s="32" t="s">
        <v>294</v>
      </c>
      <c r="M282" s="23"/>
      <c r="N282" s="23"/>
      <c r="O282" s="32" t="s">
        <v>52</v>
      </c>
      <c r="P282" s="32" t="s">
        <v>49</v>
      </c>
      <c r="Q282" s="32" t="s">
        <v>343</v>
      </c>
      <c r="R282" s="29">
        <v>12</v>
      </c>
      <c r="S282" s="34">
        <v>43279</v>
      </c>
      <c r="T282" s="34">
        <v>43287</v>
      </c>
      <c r="U282" s="34">
        <v>43299</v>
      </c>
      <c r="V282" s="34" t="s">
        <v>358</v>
      </c>
      <c r="AG282" s="30"/>
      <c r="AH282" s="30"/>
      <c r="AI282" s="30"/>
      <c r="AJ282" s="31"/>
    </row>
    <row r="283" spans="1:36" s="29" customFormat="1" x14ac:dyDescent="0.3">
      <c r="A283" s="32">
        <v>437</v>
      </c>
      <c r="B283" s="32" t="s">
        <v>47</v>
      </c>
      <c r="C283" s="32" t="s">
        <v>336</v>
      </c>
      <c r="D283" s="35" t="s">
        <v>148</v>
      </c>
      <c r="E283" s="32">
        <v>5000058697</v>
      </c>
      <c r="F283" s="32"/>
      <c r="G283" s="32">
        <f>0.166*6</f>
        <v>0.996</v>
      </c>
      <c r="H283" s="32">
        <v>6</v>
      </c>
      <c r="I283" s="32">
        <v>0.17499999999999999</v>
      </c>
      <c r="J283" s="32">
        <f t="shared" si="263"/>
        <v>0.17499999999999999</v>
      </c>
      <c r="K283" s="32"/>
      <c r="L283" s="32" t="s">
        <v>294</v>
      </c>
      <c r="M283" s="23">
        <f t="shared" ref="M283" si="264">(J283/G283)*1000</f>
        <v>175.7028112449799</v>
      </c>
      <c r="N283" s="23">
        <f t="shared" ref="N283" si="265">I283/G283*1000</f>
        <v>175.7028112449799</v>
      </c>
      <c r="O283" s="32" t="s">
        <v>52</v>
      </c>
      <c r="P283" s="32" t="s">
        <v>49</v>
      </c>
      <c r="Q283" s="32" t="s">
        <v>89</v>
      </c>
      <c r="R283" s="29">
        <v>11</v>
      </c>
      <c r="S283" s="34">
        <v>43279</v>
      </c>
      <c r="T283" s="34">
        <v>43291</v>
      </c>
      <c r="U283" s="34">
        <v>43294</v>
      </c>
      <c r="V283" s="34" t="s">
        <v>355</v>
      </c>
      <c r="AG283" s="30"/>
      <c r="AH283" s="30"/>
      <c r="AI283" s="30"/>
      <c r="AJ283" s="31"/>
    </row>
    <row r="284" spans="1:36" s="29" customFormat="1" x14ac:dyDescent="0.3">
      <c r="A284" s="32">
        <v>438</v>
      </c>
      <c r="B284" s="32" t="s">
        <v>47</v>
      </c>
      <c r="C284" s="32" t="s">
        <v>336</v>
      </c>
      <c r="D284" s="35" t="s">
        <v>265</v>
      </c>
      <c r="E284" s="32">
        <v>5000058684</v>
      </c>
      <c r="F284" s="32"/>
      <c r="G284" s="32">
        <f>0.38*2</f>
        <v>0.76</v>
      </c>
      <c r="H284" s="32">
        <v>2</v>
      </c>
      <c r="I284" s="32">
        <v>0.91600000000000004</v>
      </c>
      <c r="J284" s="32">
        <f t="shared" ref="J284:J289" si="266">I284</f>
        <v>0.91600000000000004</v>
      </c>
      <c r="K284" s="32"/>
      <c r="L284" s="32" t="s">
        <v>294</v>
      </c>
      <c r="M284" s="23">
        <f t="shared" ref="M284:M288" si="267">(J284/G284)*1000</f>
        <v>1205.2631578947369</v>
      </c>
      <c r="N284" s="23">
        <f t="shared" ref="N284:N288" si="268">I284/G284*1000</f>
        <v>1205.2631578947369</v>
      </c>
      <c r="O284" s="32" t="s">
        <v>52</v>
      </c>
      <c r="P284" s="32" t="s">
        <v>49</v>
      </c>
      <c r="Q284" s="32" t="s">
        <v>89</v>
      </c>
      <c r="R284" s="29">
        <v>11</v>
      </c>
      <c r="S284" s="34">
        <v>43292</v>
      </c>
      <c r="T284" s="34">
        <v>43294</v>
      </c>
      <c r="U284" s="34">
        <v>43299</v>
      </c>
      <c r="V284" s="34" t="s">
        <v>355</v>
      </c>
      <c r="AG284" s="30"/>
      <c r="AH284" s="30"/>
      <c r="AI284" s="30"/>
      <c r="AJ284" s="31"/>
    </row>
    <row r="285" spans="1:36" s="29" customFormat="1" x14ac:dyDescent="0.3">
      <c r="A285" s="32">
        <v>439</v>
      </c>
      <c r="B285" s="32" t="s">
        <v>67</v>
      </c>
      <c r="C285" s="32" t="s">
        <v>336</v>
      </c>
      <c r="D285" s="35" t="s">
        <v>181</v>
      </c>
      <c r="E285" s="32">
        <v>2360084895</v>
      </c>
      <c r="F285" s="32"/>
      <c r="G285" s="32">
        <f>0.1*3</f>
        <v>0.30000000000000004</v>
      </c>
      <c r="H285" s="32">
        <v>3</v>
      </c>
      <c r="I285" s="32">
        <v>4.4999999999999997E-3</v>
      </c>
      <c r="J285" s="32">
        <f t="shared" si="266"/>
        <v>4.4999999999999997E-3</v>
      </c>
      <c r="K285" s="32"/>
      <c r="L285" s="39" t="s">
        <v>75</v>
      </c>
      <c r="M285" s="23">
        <f t="shared" si="267"/>
        <v>14.999999999999996</v>
      </c>
      <c r="N285" s="23">
        <f t="shared" si="268"/>
        <v>14.999999999999996</v>
      </c>
      <c r="O285" s="32" t="s">
        <v>49</v>
      </c>
      <c r="P285" s="32" t="s">
        <v>49</v>
      </c>
      <c r="Q285" s="32" t="s">
        <v>89</v>
      </c>
      <c r="R285" s="29">
        <v>11</v>
      </c>
      <c r="S285" s="34">
        <v>43281</v>
      </c>
      <c r="T285" s="34">
        <v>43293</v>
      </c>
      <c r="U285" s="34">
        <v>43299</v>
      </c>
      <c r="V285" s="34" t="s">
        <v>355</v>
      </c>
      <c r="AG285" s="30"/>
      <c r="AH285" s="30"/>
      <c r="AI285" s="30"/>
      <c r="AJ285" s="31"/>
    </row>
    <row r="286" spans="1:36" s="29" customFormat="1" x14ac:dyDescent="0.3">
      <c r="A286" s="32">
        <v>440</v>
      </c>
      <c r="B286" s="32" t="s">
        <v>67</v>
      </c>
      <c r="C286" s="32" t="s">
        <v>336</v>
      </c>
      <c r="D286" s="35" t="s">
        <v>344</v>
      </c>
      <c r="E286" s="32">
        <v>2360084898</v>
      </c>
      <c r="F286" s="32"/>
      <c r="G286" s="32">
        <f>0.242*4</f>
        <v>0.96799999999999997</v>
      </c>
      <c r="H286" s="32">
        <v>4</v>
      </c>
      <c r="I286" s="32">
        <v>0.106</v>
      </c>
      <c r="J286" s="32">
        <f t="shared" si="266"/>
        <v>0.106</v>
      </c>
      <c r="K286" s="32"/>
      <c r="L286" s="39" t="s">
        <v>75</v>
      </c>
      <c r="M286" s="23">
        <f t="shared" si="267"/>
        <v>109.50413223140495</v>
      </c>
      <c r="N286" s="23">
        <f t="shared" si="268"/>
        <v>109.50413223140495</v>
      </c>
      <c r="O286" s="32" t="s">
        <v>74</v>
      </c>
      <c r="P286" s="32" t="s">
        <v>49</v>
      </c>
      <c r="Q286" s="32" t="s">
        <v>89</v>
      </c>
      <c r="R286" s="29">
        <v>11</v>
      </c>
      <c r="S286" s="34">
        <v>43290</v>
      </c>
      <c r="T286" s="34">
        <v>43293</v>
      </c>
      <c r="U286" s="34">
        <v>43299</v>
      </c>
      <c r="V286" s="34" t="s">
        <v>355</v>
      </c>
      <c r="AG286" s="30"/>
      <c r="AH286" s="30"/>
      <c r="AI286" s="30"/>
      <c r="AJ286" s="31"/>
    </row>
    <row r="287" spans="1:36" s="29" customFormat="1" x14ac:dyDescent="0.3">
      <c r="A287" s="32">
        <v>441</v>
      </c>
      <c r="B287" s="32" t="s">
        <v>71</v>
      </c>
      <c r="C287" s="32" t="s">
        <v>336</v>
      </c>
      <c r="D287" s="35" t="s">
        <v>345</v>
      </c>
      <c r="E287" s="32">
        <v>2360084942</v>
      </c>
      <c r="F287" s="32"/>
      <c r="G287" s="32">
        <f>0.08*10</f>
        <v>0.8</v>
      </c>
      <c r="H287" s="32">
        <v>10</v>
      </c>
      <c r="I287" s="32">
        <v>0.1</v>
      </c>
      <c r="J287" s="32">
        <f t="shared" si="266"/>
        <v>0.1</v>
      </c>
      <c r="K287" s="32"/>
      <c r="L287" s="39" t="s">
        <v>68</v>
      </c>
      <c r="M287" s="23">
        <f t="shared" si="267"/>
        <v>125</v>
      </c>
      <c r="N287" s="23">
        <f t="shared" si="268"/>
        <v>125</v>
      </c>
      <c r="O287" s="32" t="s">
        <v>49</v>
      </c>
      <c r="P287" s="32" t="s">
        <v>49</v>
      </c>
      <c r="Q287" s="32" t="s">
        <v>89</v>
      </c>
      <c r="R287" s="29">
        <v>11</v>
      </c>
      <c r="S287" s="34">
        <v>43292</v>
      </c>
      <c r="T287" s="34">
        <v>43296</v>
      </c>
      <c r="U287" s="34">
        <v>43299</v>
      </c>
      <c r="V287" s="34" t="s">
        <v>355</v>
      </c>
      <c r="AG287" s="30"/>
      <c r="AH287" s="30"/>
      <c r="AI287" s="30"/>
      <c r="AJ287" s="31"/>
    </row>
    <row r="288" spans="1:36" s="29" customFormat="1" x14ac:dyDescent="0.3">
      <c r="A288" s="32">
        <v>442</v>
      </c>
      <c r="B288" s="32" t="s">
        <v>72</v>
      </c>
      <c r="C288" s="32" t="s">
        <v>336</v>
      </c>
      <c r="D288" s="35" t="s">
        <v>349</v>
      </c>
      <c r="E288" s="32">
        <v>2360085047</v>
      </c>
      <c r="F288" s="32"/>
      <c r="G288" s="32">
        <f>0.64*5+0.48*2</f>
        <v>4.16</v>
      </c>
      <c r="H288" s="32">
        <v>7</v>
      </c>
      <c r="I288" s="32">
        <v>0.371</v>
      </c>
      <c r="J288" s="32">
        <f t="shared" si="266"/>
        <v>0.371</v>
      </c>
      <c r="K288" s="32"/>
      <c r="L288" s="39" t="s">
        <v>68</v>
      </c>
      <c r="M288" s="23">
        <f t="shared" si="267"/>
        <v>89.182692307692307</v>
      </c>
      <c r="N288" s="23">
        <f t="shared" si="268"/>
        <v>89.182692307692307</v>
      </c>
      <c r="O288" s="32" t="s">
        <v>49</v>
      </c>
      <c r="P288" s="32" t="s">
        <v>49</v>
      </c>
      <c r="Q288" s="32" t="s">
        <v>89</v>
      </c>
      <c r="R288" s="29">
        <v>11</v>
      </c>
      <c r="S288" s="34">
        <v>43288</v>
      </c>
      <c r="T288" s="34">
        <v>43299</v>
      </c>
      <c r="U288" s="34">
        <v>43304</v>
      </c>
      <c r="V288" s="34" t="s">
        <v>355</v>
      </c>
      <c r="AG288" s="30"/>
      <c r="AH288" s="30"/>
      <c r="AI288" s="30"/>
      <c r="AJ288" s="31"/>
    </row>
    <row r="289" spans="1:36" s="29" customFormat="1" x14ac:dyDescent="0.3">
      <c r="A289" s="32">
        <v>445</v>
      </c>
      <c r="B289" s="32" t="s">
        <v>67</v>
      </c>
      <c r="C289" s="32" t="s">
        <v>336</v>
      </c>
      <c r="D289" s="35" t="s">
        <v>214</v>
      </c>
      <c r="E289" s="32">
        <v>2360084994</v>
      </c>
      <c r="F289" s="32"/>
      <c r="G289" s="32">
        <v>0.48399999999999999</v>
      </c>
      <c r="H289" s="32">
        <v>1</v>
      </c>
      <c r="I289" s="32">
        <v>4.7E-2</v>
      </c>
      <c r="J289" s="32">
        <f t="shared" si="266"/>
        <v>4.7E-2</v>
      </c>
      <c r="K289" s="32"/>
      <c r="L289" s="39" t="s">
        <v>68</v>
      </c>
      <c r="M289" s="23">
        <f t="shared" ref="M289" si="269">(J289/G289)*1000</f>
        <v>97.107438016528931</v>
      </c>
      <c r="N289" s="23">
        <f t="shared" ref="N289" si="270">I289/G289*1000</f>
        <v>97.107438016528931</v>
      </c>
      <c r="O289" s="32" t="s">
        <v>69</v>
      </c>
      <c r="P289" s="32" t="s">
        <v>70</v>
      </c>
      <c r="Q289" s="32" t="s">
        <v>89</v>
      </c>
      <c r="R289" s="29">
        <v>11</v>
      </c>
      <c r="S289" s="34">
        <v>43288</v>
      </c>
      <c r="T289" s="34">
        <v>43299</v>
      </c>
      <c r="U289" s="34">
        <v>43304</v>
      </c>
      <c r="V289" s="34" t="s">
        <v>355</v>
      </c>
      <c r="AG289" s="30"/>
      <c r="AH289" s="30"/>
      <c r="AI289" s="30"/>
      <c r="AJ289" s="31"/>
    </row>
    <row r="290" spans="1:36" s="29" customFormat="1" x14ac:dyDescent="0.3">
      <c r="A290" s="32">
        <v>446</v>
      </c>
      <c r="B290" s="32" t="s">
        <v>67</v>
      </c>
      <c r="C290" s="32" t="s">
        <v>336</v>
      </c>
      <c r="D290" s="35" t="s">
        <v>214</v>
      </c>
      <c r="E290" s="32">
        <v>2360084991</v>
      </c>
      <c r="F290" s="32"/>
      <c r="G290" s="32">
        <f>0.416*6</f>
        <v>2.496</v>
      </c>
      <c r="H290" s="32">
        <v>6</v>
      </c>
      <c r="I290" s="32">
        <v>0.26400000000000001</v>
      </c>
      <c r="J290" s="32">
        <f t="shared" ref="J290:J294" si="271">I290</f>
        <v>0.26400000000000001</v>
      </c>
      <c r="K290" s="32"/>
      <c r="L290" s="39" t="s">
        <v>68</v>
      </c>
      <c r="M290" s="23">
        <f t="shared" ref="M290:M294" si="272">(J290/G290)*1000</f>
        <v>105.76923076923077</v>
      </c>
      <c r="N290" s="23">
        <f t="shared" ref="N290:N294" si="273">I290/G290*1000</f>
        <v>105.76923076923077</v>
      </c>
      <c r="O290" s="32" t="s">
        <v>69</v>
      </c>
      <c r="P290" s="32" t="s">
        <v>70</v>
      </c>
      <c r="Q290" s="32" t="s">
        <v>89</v>
      </c>
      <c r="R290" s="29">
        <v>11</v>
      </c>
      <c r="S290" s="34">
        <v>43288</v>
      </c>
      <c r="T290" s="34">
        <v>43299</v>
      </c>
      <c r="U290" s="34">
        <v>43304</v>
      </c>
      <c r="V290" s="34" t="s">
        <v>355</v>
      </c>
      <c r="AG290" s="30"/>
      <c r="AH290" s="30"/>
      <c r="AI290" s="30"/>
      <c r="AJ290" s="31"/>
    </row>
    <row r="291" spans="1:36" s="29" customFormat="1" x14ac:dyDescent="0.3">
      <c r="A291" s="32">
        <v>447</v>
      </c>
      <c r="B291" s="32" t="s">
        <v>47</v>
      </c>
      <c r="C291" s="32" t="s">
        <v>336</v>
      </c>
      <c r="D291" s="35" t="s">
        <v>77</v>
      </c>
      <c r="E291" s="32">
        <v>5000058792</v>
      </c>
      <c r="F291" s="32"/>
      <c r="G291" s="32">
        <f>0.476*3</f>
        <v>1.4279999999999999</v>
      </c>
      <c r="H291" s="32">
        <v>3</v>
      </c>
      <c r="I291" s="32">
        <v>0.156</v>
      </c>
      <c r="J291" s="32">
        <f t="shared" si="271"/>
        <v>0.156</v>
      </c>
      <c r="K291" s="32"/>
      <c r="L291" s="39" t="s">
        <v>294</v>
      </c>
      <c r="M291" s="23">
        <f t="shared" si="272"/>
        <v>109.24369747899159</v>
      </c>
      <c r="N291" s="23">
        <f t="shared" si="273"/>
        <v>109.24369747899159</v>
      </c>
      <c r="O291" s="32" t="s">
        <v>52</v>
      </c>
      <c r="P291" s="32" t="s">
        <v>49</v>
      </c>
      <c r="Q291" s="32" t="s">
        <v>89</v>
      </c>
      <c r="R291" s="29">
        <v>11</v>
      </c>
      <c r="S291" s="34">
        <v>43284</v>
      </c>
      <c r="T291" s="34">
        <v>43299</v>
      </c>
      <c r="U291" s="34">
        <v>43304</v>
      </c>
      <c r="V291" s="34" t="s">
        <v>355</v>
      </c>
      <c r="AG291" s="30"/>
      <c r="AH291" s="30"/>
      <c r="AI291" s="30"/>
      <c r="AJ291" s="31"/>
    </row>
    <row r="292" spans="1:36" s="29" customFormat="1" x14ac:dyDescent="0.3">
      <c r="A292" s="32">
        <v>448</v>
      </c>
      <c r="B292" s="32" t="s">
        <v>71</v>
      </c>
      <c r="C292" s="32" t="s">
        <v>336</v>
      </c>
      <c r="D292" s="35" t="s">
        <v>88</v>
      </c>
      <c r="E292" s="32">
        <v>2360085027</v>
      </c>
      <c r="F292" s="32"/>
      <c r="G292" s="32">
        <f>0.233*24+0.16*15+0.3*6+0.24</f>
        <v>10.032000000000002</v>
      </c>
      <c r="H292" s="32">
        <v>46</v>
      </c>
      <c r="I292" s="32">
        <v>0.72399999999999998</v>
      </c>
      <c r="J292" s="32">
        <f t="shared" si="271"/>
        <v>0.72399999999999998</v>
      </c>
      <c r="K292" s="32"/>
      <c r="L292" s="39" t="s">
        <v>68</v>
      </c>
      <c r="M292" s="23">
        <f t="shared" si="272"/>
        <v>72.169059011164251</v>
      </c>
      <c r="N292" s="23">
        <f t="shared" si="273"/>
        <v>72.169059011164251</v>
      </c>
      <c r="O292" s="32" t="s">
        <v>74</v>
      </c>
      <c r="P292" s="32" t="s">
        <v>49</v>
      </c>
      <c r="Q292" s="32" t="s">
        <v>89</v>
      </c>
      <c r="R292" s="29">
        <v>11</v>
      </c>
      <c r="S292" s="34">
        <v>43287</v>
      </c>
      <c r="T292" s="34">
        <v>43301</v>
      </c>
      <c r="U292" s="34">
        <v>43304</v>
      </c>
      <c r="V292" s="34" t="s">
        <v>357</v>
      </c>
      <c r="AG292" s="30"/>
      <c r="AH292" s="30"/>
      <c r="AI292" s="30"/>
      <c r="AJ292" s="31"/>
    </row>
    <row r="293" spans="1:36" s="29" customFormat="1" x14ac:dyDescent="0.3">
      <c r="A293" s="32">
        <v>449</v>
      </c>
      <c r="B293" s="32" t="s">
        <v>67</v>
      </c>
      <c r="C293" s="32" t="s">
        <v>336</v>
      </c>
      <c r="D293" s="35" t="s">
        <v>180</v>
      </c>
      <c r="E293" s="32">
        <v>2360085030</v>
      </c>
      <c r="F293" s="32"/>
      <c r="G293" s="32">
        <f>0.25*6</f>
        <v>1.5</v>
      </c>
      <c r="H293" s="32">
        <v>6</v>
      </c>
      <c r="I293" s="32">
        <v>0.13500000000000001</v>
      </c>
      <c r="J293" s="32">
        <f t="shared" si="271"/>
        <v>0.13500000000000001</v>
      </c>
      <c r="K293" s="32"/>
      <c r="L293" s="32" t="s">
        <v>68</v>
      </c>
      <c r="M293" s="23">
        <f t="shared" si="272"/>
        <v>90.000000000000014</v>
      </c>
      <c r="N293" s="23">
        <f t="shared" si="273"/>
        <v>90.000000000000014</v>
      </c>
      <c r="O293" s="32" t="s">
        <v>74</v>
      </c>
      <c r="P293" s="32" t="s">
        <v>49</v>
      </c>
      <c r="Q293" s="32" t="s">
        <v>89</v>
      </c>
      <c r="R293" s="29">
        <v>11</v>
      </c>
      <c r="S293" s="34">
        <v>43284</v>
      </c>
      <c r="T293" s="34">
        <v>43301</v>
      </c>
      <c r="U293" s="34">
        <v>43304</v>
      </c>
      <c r="V293" s="34" t="s">
        <v>357</v>
      </c>
      <c r="AG293" s="30"/>
      <c r="AH293" s="30"/>
      <c r="AI293" s="30"/>
      <c r="AJ293" s="31"/>
    </row>
    <row r="294" spans="1:36" s="29" customFormat="1" x14ac:dyDescent="0.3">
      <c r="A294" s="32">
        <v>450</v>
      </c>
      <c r="B294" s="32" t="s">
        <v>67</v>
      </c>
      <c r="C294" s="32" t="s">
        <v>336</v>
      </c>
      <c r="D294" s="35" t="s">
        <v>350</v>
      </c>
      <c r="E294" s="32">
        <v>4201740731</v>
      </c>
      <c r="F294" s="32">
        <v>11</v>
      </c>
      <c r="G294" s="32">
        <f>2.9*2</f>
        <v>5.8</v>
      </c>
      <c r="H294" s="32">
        <v>24</v>
      </c>
      <c r="I294" s="32">
        <v>0.77400000000000002</v>
      </c>
      <c r="J294" s="32">
        <f t="shared" si="271"/>
        <v>0.77400000000000002</v>
      </c>
      <c r="K294" s="32"/>
      <c r="L294" s="32" t="s">
        <v>75</v>
      </c>
      <c r="M294" s="23">
        <f t="shared" si="272"/>
        <v>133.44827586206898</v>
      </c>
      <c r="N294" s="23">
        <f t="shared" si="273"/>
        <v>133.44827586206898</v>
      </c>
      <c r="O294" s="32" t="s">
        <v>69</v>
      </c>
      <c r="P294" s="32" t="s">
        <v>70</v>
      </c>
      <c r="Q294" s="32" t="s">
        <v>76</v>
      </c>
      <c r="R294" s="29">
        <v>1</v>
      </c>
      <c r="S294" s="34">
        <v>43291</v>
      </c>
      <c r="T294" s="34">
        <v>43301</v>
      </c>
      <c r="U294" s="34">
        <v>43304</v>
      </c>
      <c r="V294" s="34" t="s">
        <v>359</v>
      </c>
      <c r="AG294" s="30"/>
      <c r="AH294" s="30"/>
      <c r="AI294" s="30"/>
      <c r="AJ294" s="31"/>
    </row>
    <row r="295" spans="1:36" s="29" customFormat="1" x14ac:dyDescent="0.3">
      <c r="A295" s="32">
        <v>451</v>
      </c>
      <c r="B295" s="32" t="s">
        <v>67</v>
      </c>
      <c r="C295" s="32" t="s">
        <v>336</v>
      </c>
      <c r="D295" s="35" t="s">
        <v>351</v>
      </c>
      <c r="E295" s="32">
        <v>4201740648</v>
      </c>
      <c r="F295" s="32">
        <v>11</v>
      </c>
      <c r="G295" s="32">
        <v>2.9</v>
      </c>
      <c r="H295" s="32">
        <v>12</v>
      </c>
      <c r="I295" s="32">
        <v>0.35</v>
      </c>
      <c r="J295" s="32">
        <f t="shared" ref="J295:J296" si="274">I295</f>
        <v>0.35</v>
      </c>
      <c r="K295" s="32"/>
      <c r="L295" s="32" t="s">
        <v>75</v>
      </c>
      <c r="M295" s="23">
        <f t="shared" ref="M295:M302" si="275">(J295/G295)*1000</f>
        <v>120.68965517241378</v>
      </c>
      <c r="N295" s="23">
        <f t="shared" ref="N295:N302" si="276">I295/G295*1000</f>
        <v>120.68965517241378</v>
      </c>
      <c r="O295" s="32" t="s">
        <v>69</v>
      </c>
      <c r="P295" s="32" t="s">
        <v>70</v>
      </c>
      <c r="Q295" s="32" t="s">
        <v>76</v>
      </c>
      <c r="R295" s="29">
        <v>1</v>
      </c>
      <c r="S295" s="34">
        <v>43292</v>
      </c>
      <c r="T295" s="34">
        <v>43301</v>
      </c>
      <c r="U295" s="34">
        <v>43304</v>
      </c>
      <c r="V295" s="34" t="s">
        <v>359</v>
      </c>
      <c r="AG295" s="30"/>
      <c r="AH295" s="30"/>
      <c r="AI295" s="30"/>
      <c r="AJ295" s="31"/>
    </row>
    <row r="296" spans="1:36" s="29" customFormat="1" x14ac:dyDescent="0.3">
      <c r="A296" s="32">
        <v>452</v>
      </c>
      <c r="B296" s="32" t="s">
        <v>47</v>
      </c>
      <c r="C296" s="32" t="s">
        <v>336</v>
      </c>
      <c r="D296" s="35" t="s">
        <v>352</v>
      </c>
      <c r="E296" s="32">
        <v>5000058865</v>
      </c>
      <c r="F296" s="32">
        <v>22</v>
      </c>
      <c r="G296" s="32">
        <v>8.1199999999999992</v>
      </c>
      <c r="H296" s="32">
        <v>24</v>
      </c>
      <c r="I296" s="32">
        <v>4</v>
      </c>
      <c r="J296" s="32">
        <f t="shared" si="274"/>
        <v>4</v>
      </c>
      <c r="K296" s="32"/>
      <c r="L296" s="32" t="s">
        <v>294</v>
      </c>
      <c r="M296" s="23">
        <f t="shared" si="275"/>
        <v>492.61083743842369</v>
      </c>
      <c r="N296" s="23">
        <f t="shared" si="276"/>
        <v>492.61083743842369</v>
      </c>
      <c r="O296" s="32" t="s">
        <v>52</v>
      </c>
      <c r="P296" s="32" t="s">
        <v>49</v>
      </c>
      <c r="Q296" s="32" t="s">
        <v>55</v>
      </c>
      <c r="R296" s="29">
        <v>2</v>
      </c>
      <c r="S296" s="34">
        <v>43298</v>
      </c>
      <c r="T296" s="34">
        <v>43307</v>
      </c>
      <c r="U296" s="34">
        <v>43308</v>
      </c>
      <c r="V296" s="34" t="s">
        <v>359</v>
      </c>
      <c r="AG296" s="30"/>
      <c r="AH296" s="30"/>
      <c r="AI296" s="30"/>
      <c r="AJ296" s="31"/>
    </row>
    <row r="297" spans="1:36" s="29" customFormat="1" x14ac:dyDescent="0.3">
      <c r="A297" s="32">
        <v>453</v>
      </c>
      <c r="B297" s="32" t="s">
        <v>71</v>
      </c>
      <c r="C297" s="32" t="s">
        <v>336</v>
      </c>
      <c r="D297" s="35" t="s">
        <v>178</v>
      </c>
      <c r="E297" s="32">
        <v>4201741561</v>
      </c>
      <c r="F297" s="32">
        <v>33</v>
      </c>
      <c r="G297" s="32">
        <v>234</v>
      </c>
      <c r="H297" s="32">
        <v>1404</v>
      </c>
      <c r="I297" s="32">
        <v>18</v>
      </c>
      <c r="J297" s="32">
        <f t="shared" ref="J297:J306" si="277">I297</f>
        <v>18</v>
      </c>
      <c r="K297" s="32"/>
      <c r="L297" s="32" t="s">
        <v>68</v>
      </c>
      <c r="M297" s="23">
        <f t="shared" si="275"/>
        <v>76.923076923076934</v>
      </c>
      <c r="N297" s="23">
        <f t="shared" si="276"/>
        <v>76.923076923076934</v>
      </c>
      <c r="O297" s="32" t="s">
        <v>69</v>
      </c>
      <c r="P297" s="32" t="s">
        <v>70</v>
      </c>
      <c r="Q297" s="32" t="s">
        <v>76</v>
      </c>
      <c r="R297" s="29">
        <v>1</v>
      </c>
      <c r="S297" s="34">
        <v>43288</v>
      </c>
      <c r="T297" s="34">
        <v>43307</v>
      </c>
      <c r="U297" s="34">
        <v>43308</v>
      </c>
      <c r="V297" s="72" t="s">
        <v>360</v>
      </c>
      <c r="AG297" s="30"/>
      <c r="AH297" s="30"/>
      <c r="AI297" s="30"/>
      <c r="AJ297" s="31"/>
    </row>
    <row r="298" spans="1:36" s="29" customFormat="1" x14ac:dyDescent="0.3">
      <c r="A298" s="32">
        <v>454</v>
      </c>
      <c r="B298" s="32" t="s">
        <v>81</v>
      </c>
      <c r="C298" s="32" t="s">
        <v>336</v>
      </c>
      <c r="D298" s="35" t="s">
        <v>353</v>
      </c>
      <c r="E298" s="32">
        <v>2360085142</v>
      </c>
      <c r="F298" s="32"/>
      <c r="G298" s="32">
        <v>6.91</v>
      </c>
      <c r="H298" s="32">
        <v>10</v>
      </c>
      <c r="I298" s="32">
        <v>0.497</v>
      </c>
      <c r="J298" s="32">
        <f t="shared" si="277"/>
        <v>0.497</v>
      </c>
      <c r="K298" s="32"/>
      <c r="L298" s="32" t="s">
        <v>68</v>
      </c>
      <c r="M298" s="23">
        <f t="shared" si="275"/>
        <v>71.924746743849497</v>
      </c>
      <c r="N298" s="23">
        <f t="shared" si="276"/>
        <v>71.924746743849497</v>
      </c>
      <c r="O298" s="32" t="s">
        <v>207</v>
      </c>
      <c r="P298" s="32" t="s">
        <v>70</v>
      </c>
      <c r="Q298" s="32" t="s">
        <v>89</v>
      </c>
      <c r="R298" s="29">
        <v>11</v>
      </c>
      <c r="S298" s="34">
        <v>43292</v>
      </c>
      <c r="T298" s="34">
        <v>43307</v>
      </c>
      <c r="U298" s="34">
        <v>43308</v>
      </c>
      <c r="V298" s="34" t="s">
        <v>355</v>
      </c>
      <c r="AG298" s="30"/>
      <c r="AH298" s="30"/>
      <c r="AI298" s="30"/>
      <c r="AJ298" s="31"/>
    </row>
    <row r="299" spans="1:36" s="29" customFormat="1" x14ac:dyDescent="0.3">
      <c r="A299" s="32">
        <v>455</v>
      </c>
      <c r="B299" s="32" t="s">
        <v>53</v>
      </c>
      <c r="C299" s="32" t="s">
        <v>336</v>
      </c>
      <c r="D299" s="35" t="s">
        <v>354</v>
      </c>
      <c r="E299" s="32">
        <v>2360085144</v>
      </c>
      <c r="F299" s="32"/>
      <c r="G299" s="32">
        <v>3.2</v>
      </c>
      <c r="H299" s="32">
        <v>8</v>
      </c>
      <c r="I299" s="32">
        <v>0.27200000000000002</v>
      </c>
      <c r="J299" s="32">
        <f t="shared" si="277"/>
        <v>0.27200000000000002</v>
      </c>
      <c r="K299" s="32"/>
      <c r="L299" s="32" t="s">
        <v>68</v>
      </c>
      <c r="M299" s="23">
        <f t="shared" si="275"/>
        <v>85</v>
      </c>
      <c r="N299" s="23">
        <f t="shared" si="276"/>
        <v>85</v>
      </c>
      <c r="O299" s="32" t="s">
        <v>69</v>
      </c>
      <c r="P299" s="32" t="s">
        <v>70</v>
      </c>
      <c r="Q299" s="32" t="s">
        <v>89</v>
      </c>
      <c r="R299" s="29">
        <v>11</v>
      </c>
      <c r="S299" s="34">
        <v>43290</v>
      </c>
      <c r="T299" s="34">
        <v>43307</v>
      </c>
      <c r="U299" s="34">
        <v>43308</v>
      </c>
      <c r="V299" s="34" t="s">
        <v>355</v>
      </c>
      <c r="AG299" s="30"/>
      <c r="AH299" s="30"/>
      <c r="AI299" s="30"/>
      <c r="AJ299" s="31"/>
    </row>
    <row r="300" spans="1:36" s="29" customFormat="1" x14ac:dyDescent="0.3">
      <c r="A300" s="32">
        <v>456</v>
      </c>
      <c r="B300" s="32" t="s">
        <v>67</v>
      </c>
      <c r="C300" s="32" t="s">
        <v>336</v>
      </c>
      <c r="D300" s="35" t="s">
        <v>214</v>
      </c>
      <c r="E300" s="32">
        <v>2360085134</v>
      </c>
      <c r="F300" s="32"/>
      <c r="G300" s="32">
        <v>3.43</v>
      </c>
      <c r="H300" s="32">
        <v>12</v>
      </c>
      <c r="I300" s="32">
        <v>0.379</v>
      </c>
      <c r="J300" s="32">
        <f t="shared" si="277"/>
        <v>0.379</v>
      </c>
      <c r="K300" s="32"/>
      <c r="L300" s="32" t="s">
        <v>68</v>
      </c>
      <c r="M300" s="23">
        <f t="shared" si="275"/>
        <v>110.49562682215742</v>
      </c>
      <c r="N300" s="23">
        <f t="shared" si="276"/>
        <v>110.49562682215742</v>
      </c>
      <c r="O300" s="32" t="s">
        <v>69</v>
      </c>
      <c r="P300" s="32" t="s">
        <v>70</v>
      </c>
      <c r="Q300" s="32" t="s">
        <v>89</v>
      </c>
      <c r="R300" s="29">
        <v>11</v>
      </c>
      <c r="S300" s="34">
        <v>43304</v>
      </c>
      <c r="T300" s="34">
        <v>43307</v>
      </c>
      <c r="U300" s="34">
        <v>43308</v>
      </c>
      <c r="V300" s="34" t="s">
        <v>355</v>
      </c>
      <c r="AG300" s="30"/>
      <c r="AH300" s="30"/>
      <c r="AI300" s="30"/>
      <c r="AJ300" s="31"/>
    </row>
    <row r="301" spans="1:36" s="29" customFormat="1" x14ac:dyDescent="0.3">
      <c r="A301" s="32">
        <v>457</v>
      </c>
      <c r="B301" s="32" t="s">
        <v>47</v>
      </c>
      <c r="C301" s="32" t="s">
        <v>336</v>
      </c>
      <c r="D301" s="35" t="s">
        <v>77</v>
      </c>
      <c r="E301" s="32">
        <v>5000058427</v>
      </c>
      <c r="F301" s="32">
        <v>33</v>
      </c>
      <c r="G301" s="32">
        <v>311</v>
      </c>
      <c r="H301" s="32">
        <v>408</v>
      </c>
      <c r="I301" s="32">
        <v>23.9</v>
      </c>
      <c r="J301" s="32">
        <f t="shared" si="277"/>
        <v>23.9</v>
      </c>
      <c r="K301" s="32"/>
      <c r="L301" s="32" t="s">
        <v>294</v>
      </c>
      <c r="M301" s="23">
        <f t="shared" si="275"/>
        <v>76.848874598070736</v>
      </c>
      <c r="N301" s="23">
        <f t="shared" si="276"/>
        <v>76.848874598070736</v>
      </c>
      <c r="O301" s="32" t="s">
        <v>52</v>
      </c>
      <c r="P301" s="32" t="s">
        <v>49</v>
      </c>
      <c r="Q301" s="32" t="s">
        <v>76</v>
      </c>
      <c r="R301" s="29">
        <v>10</v>
      </c>
      <c r="S301" s="34">
        <v>43280</v>
      </c>
      <c r="T301" s="34">
        <v>43280</v>
      </c>
      <c r="U301" s="34">
        <v>43308</v>
      </c>
      <c r="V301" s="72" t="s">
        <v>360</v>
      </c>
      <c r="AG301" s="30"/>
      <c r="AH301" s="30"/>
      <c r="AI301" s="30"/>
      <c r="AJ301" s="31"/>
    </row>
    <row r="302" spans="1:36" s="29" customFormat="1" x14ac:dyDescent="0.3">
      <c r="A302" s="32">
        <v>458</v>
      </c>
      <c r="B302" s="32" t="s">
        <v>47</v>
      </c>
      <c r="C302" s="32" t="s">
        <v>336</v>
      </c>
      <c r="D302" s="35" t="s">
        <v>226</v>
      </c>
      <c r="E302" s="32">
        <v>5000059006</v>
      </c>
      <c r="F302" s="32"/>
      <c r="G302" s="32">
        <v>6</v>
      </c>
      <c r="H302" s="32">
        <v>12</v>
      </c>
      <c r="I302" s="32">
        <v>0.7</v>
      </c>
      <c r="J302" s="32">
        <f t="shared" si="277"/>
        <v>0.7</v>
      </c>
      <c r="K302" s="32"/>
      <c r="L302" s="32" t="s">
        <v>294</v>
      </c>
      <c r="M302" s="23">
        <f t="shared" si="275"/>
        <v>116.66666666666666</v>
      </c>
      <c r="N302" s="23">
        <f t="shared" si="276"/>
        <v>116.66666666666666</v>
      </c>
      <c r="O302" s="32" t="s">
        <v>52</v>
      </c>
      <c r="P302" s="32" t="s">
        <v>49</v>
      </c>
      <c r="Q302" s="32" t="s">
        <v>89</v>
      </c>
      <c r="R302" s="29">
        <v>11</v>
      </c>
      <c r="S302" s="34">
        <v>43305</v>
      </c>
      <c r="T302" s="34">
        <v>43307</v>
      </c>
      <c r="U302" s="34">
        <v>43308</v>
      </c>
      <c r="V302" s="34" t="s">
        <v>357</v>
      </c>
      <c r="AG302" s="30"/>
      <c r="AH302" s="30"/>
      <c r="AI302" s="30"/>
      <c r="AJ302" s="31"/>
    </row>
    <row r="303" spans="1:36" s="29" customFormat="1" x14ac:dyDescent="0.3">
      <c r="A303" s="32">
        <v>459</v>
      </c>
      <c r="B303" s="32" t="s">
        <v>47</v>
      </c>
      <c r="C303" s="32" t="s">
        <v>336</v>
      </c>
      <c r="D303" s="35" t="s">
        <v>226</v>
      </c>
      <c r="E303" s="32">
        <v>5000059005</v>
      </c>
      <c r="F303" s="32"/>
      <c r="G303" s="32">
        <v>6</v>
      </c>
      <c r="H303" s="32">
        <v>12</v>
      </c>
      <c r="I303" s="32">
        <v>0.39500000000000002</v>
      </c>
      <c r="J303" s="32">
        <f t="shared" si="277"/>
        <v>0.39500000000000002</v>
      </c>
      <c r="K303" s="32"/>
      <c r="L303" s="32" t="s">
        <v>294</v>
      </c>
      <c r="M303" s="23">
        <f t="shared" ref="M303:M304" si="278">(J303/G303)*1000</f>
        <v>65.833333333333343</v>
      </c>
      <c r="N303" s="23">
        <f t="shared" ref="N303:N304" si="279">I303/G303*1000</f>
        <v>65.833333333333343</v>
      </c>
      <c r="O303" s="32" t="s">
        <v>52</v>
      </c>
      <c r="P303" s="32" t="s">
        <v>49</v>
      </c>
      <c r="Q303" s="32" t="s">
        <v>89</v>
      </c>
      <c r="R303" s="29">
        <v>11</v>
      </c>
      <c r="S303" s="34">
        <v>43305</v>
      </c>
      <c r="T303" s="34">
        <v>43307</v>
      </c>
      <c r="U303" s="34">
        <v>43308</v>
      </c>
      <c r="V303" s="34" t="s">
        <v>357</v>
      </c>
      <c r="AG303" s="30"/>
      <c r="AH303" s="30"/>
      <c r="AI303" s="30"/>
      <c r="AJ303" s="31"/>
    </row>
    <row r="304" spans="1:36" s="29" customFormat="1" x14ac:dyDescent="0.3">
      <c r="A304" s="32">
        <v>460</v>
      </c>
      <c r="B304" s="32" t="s">
        <v>67</v>
      </c>
      <c r="C304" s="32" t="s">
        <v>336</v>
      </c>
      <c r="D304" s="35" t="s">
        <v>273</v>
      </c>
      <c r="E304" s="32">
        <v>2360085318</v>
      </c>
      <c r="F304" s="32"/>
      <c r="G304" s="32">
        <v>0.24199999999999999</v>
      </c>
      <c r="H304" s="32">
        <v>1</v>
      </c>
      <c r="I304" s="32">
        <v>2.5999999999999999E-2</v>
      </c>
      <c r="J304" s="32">
        <f t="shared" si="277"/>
        <v>2.5999999999999999E-2</v>
      </c>
      <c r="K304" s="32"/>
      <c r="L304" s="32" t="s">
        <v>68</v>
      </c>
      <c r="M304" s="23">
        <f t="shared" si="278"/>
        <v>107.43801652892563</v>
      </c>
      <c r="N304" s="23">
        <f t="shared" si="279"/>
        <v>107.43801652892563</v>
      </c>
      <c r="O304" s="32" t="s">
        <v>69</v>
      </c>
      <c r="P304" s="32" t="s">
        <v>70</v>
      </c>
      <c r="Q304" s="32" t="s">
        <v>89</v>
      </c>
      <c r="R304" s="29">
        <v>11</v>
      </c>
      <c r="S304" s="34">
        <v>43314</v>
      </c>
      <c r="T304" s="34">
        <v>43314</v>
      </c>
      <c r="U304" s="34">
        <v>43320</v>
      </c>
      <c r="V304" s="34" t="s">
        <v>357</v>
      </c>
      <c r="AG304" s="30"/>
      <c r="AH304" s="30"/>
      <c r="AI304" s="30"/>
      <c r="AJ304" s="31"/>
    </row>
    <row r="305" spans="1:36" s="29" customFormat="1" x14ac:dyDescent="0.3">
      <c r="A305" s="32">
        <v>461</v>
      </c>
      <c r="B305" s="32" t="s">
        <v>72</v>
      </c>
      <c r="C305" s="32" t="s">
        <v>336</v>
      </c>
      <c r="D305" s="35" t="s">
        <v>262</v>
      </c>
      <c r="E305" s="32">
        <v>2360085309</v>
      </c>
      <c r="F305" s="32"/>
      <c r="G305" s="32">
        <f>0.187*2</f>
        <v>0.374</v>
      </c>
      <c r="H305" s="32">
        <v>2</v>
      </c>
      <c r="I305" s="32">
        <v>4.2000000000000003E-2</v>
      </c>
      <c r="J305" s="32">
        <f t="shared" si="277"/>
        <v>4.2000000000000003E-2</v>
      </c>
      <c r="K305" s="32"/>
      <c r="L305" s="32" t="s">
        <v>68</v>
      </c>
      <c r="M305" s="23">
        <f t="shared" ref="M305" si="280">(J305/G305)*1000</f>
        <v>112.29946524064172</v>
      </c>
      <c r="N305" s="23">
        <f t="shared" ref="N305" si="281">I305/G305*1000</f>
        <v>112.29946524064172</v>
      </c>
      <c r="O305" s="32" t="s">
        <v>49</v>
      </c>
      <c r="P305" s="32" t="s">
        <v>49</v>
      </c>
      <c r="Q305" s="32" t="s">
        <v>89</v>
      </c>
      <c r="R305" s="29">
        <v>11</v>
      </c>
      <c r="S305" s="34">
        <v>43311</v>
      </c>
      <c r="T305" s="34">
        <v>43314</v>
      </c>
      <c r="U305" s="34">
        <v>43320</v>
      </c>
      <c r="V305" s="34"/>
      <c r="AG305" s="30"/>
      <c r="AH305" s="30"/>
      <c r="AI305" s="30"/>
      <c r="AJ305" s="31"/>
    </row>
    <row r="306" spans="1:36" s="29" customFormat="1" x14ac:dyDescent="0.3">
      <c r="A306" s="32">
        <v>462</v>
      </c>
      <c r="B306" s="32" t="s">
        <v>81</v>
      </c>
      <c r="C306" s="32" t="s">
        <v>336</v>
      </c>
      <c r="D306" s="35" t="s">
        <v>364</v>
      </c>
      <c r="E306" s="32">
        <v>4201749390</v>
      </c>
      <c r="F306" s="32">
        <v>6.6</v>
      </c>
      <c r="G306" s="32">
        <v>5.74</v>
      </c>
      <c r="H306" s="32">
        <v>36</v>
      </c>
      <c r="I306" s="32">
        <v>6</v>
      </c>
      <c r="J306" s="32">
        <f t="shared" si="277"/>
        <v>6</v>
      </c>
      <c r="K306" s="32"/>
      <c r="L306" s="32" t="s">
        <v>68</v>
      </c>
      <c r="M306" s="23">
        <f t="shared" ref="M306:M307" si="282">(J306/G306)*1000</f>
        <v>1045.2961672473868</v>
      </c>
      <c r="N306" s="23">
        <f t="shared" ref="N306:N307" si="283">I306/G306*1000</f>
        <v>1045.2961672473868</v>
      </c>
      <c r="O306" s="32" t="s">
        <v>144</v>
      </c>
      <c r="P306" s="32" t="s">
        <v>49</v>
      </c>
      <c r="Q306" s="32" t="s">
        <v>55</v>
      </c>
      <c r="R306" s="29">
        <v>2</v>
      </c>
      <c r="S306" s="34">
        <v>43312</v>
      </c>
      <c r="T306" s="34">
        <v>43312</v>
      </c>
      <c r="U306" s="34">
        <v>43320</v>
      </c>
      <c r="V306" s="34"/>
      <c r="AG306" s="30"/>
      <c r="AH306" s="30"/>
      <c r="AI306" s="30"/>
      <c r="AJ306" s="31"/>
    </row>
    <row r="307" spans="1:36" s="29" customFormat="1" x14ac:dyDescent="0.3">
      <c r="A307" s="32">
        <v>463</v>
      </c>
      <c r="B307" s="32" t="s">
        <v>71</v>
      </c>
      <c r="C307" s="32" t="s">
        <v>336</v>
      </c>
      <c r="D307" s="35" t="s">
        <v>366</v>
      </c>
      <c r="E307" s="32">
        <v>4201746216</v>
      </c>
      <c r="F307" s="32">
        <v>33</v>
      </c>
      <c r="G307" s="32">
        <v>71.2</v>
      </c>
      <c r="H307" s="32">
        <v>156</v>
      </c>
      <c r="I307" s="32">
        <v>23.4</v>
      </c>
      <c r="J307" s="32">
        <v>5.43</v>
      </c>
      <c r="K307" s="32">
        <f>I307-J307</f>
        <v>17.97</v>
      </c>
      <c r="L307" s="32" t="s">
        <v>126</v>
      </c>
      <c r="M307" s="23">
        <f t="shared" si="282"/>
        <v>76.264044943820224</v>
      </c>
      <c r="N307" s="23">
        <f t="shared" si="283"/>
        <v>328.65168539325839</v>
      </c>
      <c r="O307" s="32" t="s">
        <v>49</v>
      </c>
      <c r="P307" s="32" t="s">
        <v>49</v>
      </c>
      <c r="Q307" s="32" t="s">
        <v>127</v>
      </c>
      <c r="R307" s="29">
        <v>6</v>
      </c>
      <c r="S307" s="34">
        <v>43297</v>
      </c>
      <c r="T307" s="34">
        <v>43308</v>
      </c>
      <c r="U307" s="34">
        <v>43320</v>
      </c>
      <c r="V307" s="34"/>
      <c r="AG307" s="30"/>
      <c r="AH307" s="30"/>
      <c r="AI307" s="30"/>
      <c r="AJ307" s="31"/>
    </row>
    <row r="308" spans="1:36" s="29" customFormat="1" x14ac:dyDescent="0.3">
      <c r="A308" s="32">
        <v>464</v>
      </c>
      <c r="B308" s="32" t="s">
        <v>72</v>
      </c>
      <c r="C308" s="32" t="s">
        <v>336</v>
      </c>
      <c r="D308" s="35" t="s">
        <v>367</v>
      </c>
      <c r="E308" s="32">
        <v>2360085284</v>
      </c>
      <c r="F308" s="32"/>
      <c r="G308" s="32">
        <f>0.515*4</f>
        <v>2.06</v>
      </c>
      <c r="H308" s="32">
        <v>4</v>
      </c>
      <c r="I308" s="32">
        <v>0.216</v>
      </c>
      <c r="J308" s="32">
        <f>I308</f>
        <v>0.216</v>
      </c>
      <c r="K308" s="32"/>
      <c r="L308" s="32" t="s">
        <v>75</v>
      </c>
      <c r="M308" s="23">
        <f t="shared" ref="M308:M313" si="284">(J308/G308)*1000</f>
        <v>104.85436893203882</v>
      </c>
      <c r="N308" s="23">
        <f t="shared" ref="N308:N313" si="285">I308/G308*1000</f>
        <v>104.85436893203882</v>
      </c>
      <c r="O308" s="32" t="s">
        <v>49</v>
      </c>
      <c r="P308" s="32" t="s">
        <v>49</v>
      </c>
      <c r="Q308" s="32" t="s">
        <v>89</v>
      </c>
      <c r="R308" s="29">
        <v>11</v>
      </c>
      <c r="S308" s="34">
        <v>43301</v>
      </c>
      <c r="T308" s="34">
        <v>43312</v>
      </c>
      <c r="U308" s="34">
        <v>43320</v>
      </c>
      <c r="V308" s="34"/>
      <c r="AG308" s="30"/>
      <c r="AH308" s="30"/>
      <c r="AI308" s="30"/>
      <c r="AJ308" s="31"/>
    </row>
    <row r="309" spans="1:36" s="29" customFormat="1" x14ac:dyDescent="0.3">
      <c r="A309" s="32">
        <v>465</v>
      </c>
      <c r="B309" s="32" t="s">
        <v>81</v>
      </c>
      <c r="C309" s="32" t="s">
        <v>336</v>
      </c>
      <c r="D309" s="35" t="s">
        <v>215</v>
      </c>
      <c r="E309" s="32">
        <v>4201749107</v>
      </c>
      <c r="F309" s="32">
        <v>6.6</v>
      </c>
      <c r="G309" s="32">
        <v>1.41</v>
      </c>
      <c r="H309" s="32">
        <v>6</v>
      </c>
      <c r="I309" s="32">
        <v>1.153</v>
      </c>
      <c r="J309" s="32">
        <v>0.16900000000000001</v>
      </c>
      <c r="K309" s="32">
        <f>I309-J309</f>
        <v>0.98399999999999999</v>
      </c>
      <c r="L309" s="32" t="s">
        <v>75</v>
      </c>
      <c r="M309" s="23">
        <f t="shared" si="284"/>
        <v>119.85815602836881</v>
      </c>
      <c r="N309" s="23">
        <f t="shared" si="285"/>
        <v>817.73049645390074</v>
      </c>
      <c r="O309" s="32" t="s">
        <v>144</v>
      </c>
      <c r="P309" s="32" t="s">
        <v>49</v>
      </c>
      <c r="Q309" s="32" t="s">
        <v>76</v>
      </c>
      <c r="R309" s="29">
        <v>1</v>
      </c>
      <c r="S309" s="34">
        <v>43312</v>
      </c>
      <c r="T309" s="34">
        <v>43312</v>
      </c>
      <c r="U309" s="34">
        <v>43320</v>
      </c>
      <c r="V309" s="34"/>
      <c r="AG309" s="30"/>
      <c r="AH309" s="30"/>
      <c r="AI309" s="30"/>
      <c r="AJ309" s="31"/>
    </row>
    <row r="310" spans="1:36" s="29" customFormat="1" x14ac:dyDescent="0.3">
      <c r="A310" s="32">
        <v>466</v>
      </c>
      <c r="B310" s="32" t="s">
        <v>53</v>
      </c>
      <c r="C310" s="32" t="s">
        <v>336</v>
      </c>
      <c r="D310" s="35" t="s">
        <v>128</v>
      </c>
      <c r="E310" s="32">
        <v>4201748968</v>
      </c>
      <c r="F310" s="32">
        <v>6.6</v>
      </c>
      <c r="G310" s="32">
        <v>3.22</v>
      </c>
      <c r="H310" s="32">
        <v>12</v>
      </c>
      <c r="I310" s="32">
        <v>0.97199999999999998</v>
      </c>
      <c r="J310" s="32">
        <v>0.22500000000000001</v>
      </c>
      <c r="K310" s="32">
        <f>I310-J310</f>
        <v>0.747</v>
      </c>
      <c r="L310" s="32" t="s">
        <v>75</v>
      </c>
      <c r="M310" s="23">
        <f t="shared" si="284"/>
        <v>69.875776397515523</v>
      </c>
      <c r="N310" s="23">
        <f t="shared" si="285"/>
        <v>301.86335403726707</v>
      </c>
      <c r="O310" s="32" t="s">
        <v>49</v>
      </c>
      <c r="P310" s="32" t="s">
        <v>49</v>
      </c>
      <c r="Q310" s="32" t="s">
        <v>55</v>
      </c>
      <c r="R310" s="29">
        <v>2</v>
      </c>
      <c r="S310" s="34">
        <v>43297</v>
      </c>
      <c r="T310" s="34">
        <v>43312</v>
      </c>
      <c r="U310" s="34">
        <v>43320</v>
      </c>
      <c r="V310" s="34"/>
      <c r="AG310" s="30"/>
      <c r="AH310" s="30"/>
      <c r="AI310" s="30"/>
      <c r="AJ310" s="31"/>
    </row>
    <row r="311" spans="1:36" s="29" customFormat="1" x14ac:dyDescent="0.3">
      <c r="A311" s="32">
        <v>468</v>
      </c>
      <c r="B311" s="32" t="s">
        <v>53</v>
      </c>
      <c r="C311" s="32" t="s">
        <v>336</v>
      </c>
      <c r="D311" s="35" t="s">
        <v>370</v>
      </c>
      <c r="E311" s="32">
        <v>2360085252</v>
      </c>
      <c r="F311" s="32"/>
      <c r="G311" s="32">
        <v>11.24</v>
      </c>
      <c r="H311" s="32">
        <v>16</v>
      </c>
      <c r="I311" s="32">
        <v>0.99099999999999999</v>
      </c>
      <c r="J311" s="32">
        <f>I311</f>
        <v>0.99099999999999999</v>
      </c>
      <c r="K311" s="32"/>
      <c r="L311" s="32" t="s">
        <v>68</v>
      </c>
      <c r="M311" s="23">
        <f t="shared" si="284"/>
        <v>88.167259786476862</v>
      </c>
      <c r="N311" s="23">
        <f t="shared" si="285"/>
        <v>88.167259786476862</v>
      </c>
      <c r="O311" s="32" t="s">
        <v>74</v>
      </c>
      <c r="P311" s="32" t="s">
        <v>49</v>
      </c>
      <c r="Q311" s="32" t="s">
        <v>66</v>
      </c>
      <c r="R311" s="29">
        <v>11</v>
      </c>
      <c r="S311" s="34">
        <v>43309</v>
      </c>
      <c r="T311" s="34">
        <v>43312</v>
      </c>
      <c r="U311" s="34">
        <v>43320</v>
      </c>
      <c r="V311" s="34"/>
      <c r="AG311" s="30"/>
      <c r="AH311" s="30"/>
      <c r="AI311" s="30"/>
      <c r="AJ311" s="31"/>
    </row>
    <row r="312" spans="1:36" s="29" customFormat="1" x14ac:dyDescent="0.3">
      <c r="A312" s="32">
        <v>469</v>
      </c>
      <c r="B312" s="32" t="s">
        <v>71</v>
      </c>
      <c r="C312" s="32" t="s">
        <v>336</v>
      </c>
      <c r="D312" s="35" t="s">
        <v>371</v>
      </c>
      <c r="E312" s="32">
        <v>2360085175</v>
      </c>
      <c r="F312" s="32"/>
      <c r="G312" s="32">
        <v>5.16</v>
      </c>
      <c r="H312" s="32">
        <v>30</v>
      </c>
      <c r="I312" s="32">
        <v>0.48299999999999998</v>
      </c>
      <c r="J312" s="32">
        <f>I312</f>
        <v>0.48299999999999998</v>
      </c>
      <c r="K312" s="32"/>
      <c r="L312" s="32" t="s">
        <v>68</v>
      </c>
      <c r="M312" s="23">
        <f t="shared" si="284"/>
        <v>93.604651162790688</v>
      </c>
      <c r="N312" s="23">
        <f t="shared" si="285"/>
        <v>93.604651162790688</v>
      </c>
      <c r="O312" s="32" t="s">
        <v>74</v>
      </c>
      <c r="P312" s="32" t="s">
        <v>49</v>
      </c>
      <c r="Q312" s="32" t="s">
        <v>66</v>
      </c>
      <c r="R312" s="29">
        <v>11</v>
      </c>
      <c r="S312" s="34">
        <v>43306</v>
      </c>
      <c r="T312" s="34">
        <v>43309</v>
      </c>
      <c r="U312" s="34">
        <v>43320</v>
      </c>
      <c r="V312" s="34"/>
      <c r="AG312" s="30"/>
      <c r="AH312" s="30"/>
      <c r="AI312" s="30"/>
      <c r="AJ312" s="31"/>
    </row>
    <row r="313" spans="1:36" s="29" customFormat="1" x14ac:dyDescent="0.3">
      <c r="A313" s="32">
        <v>470</v>
      </c>
      <c r="B313" s="32" t="s">
        <v>71</v>
      </c>
      <c r="C313" s="32" t="s">
        <v>336</v>
      </c>
      <c r="D313" s="35" t="s">
        <v>232</v>
      </c>
      <c r="E313" s="32">
        <v>5000058858</v>
      </c>
      <c r="F313" s="32">
        <v>22</v>
      </c>
      <c r="G313" s="32">
        <v>13.45</v>
      </c>
      <c r="H313" s="32">
        <v>28</v>
      </c>
      <c r="I313" s="32">
        <v>13</v>
      </c>
      <c r="J313" s="32">
        <v>0.89900000000000002</v>
      </c>
      <c r="K313" s="32">
        <f>I313-J313</f>
        <v>12.100999999999999</v>
      </c>
      <c r="L313" s="32" t="s">
        <v>294</v>
      </c>
      <c r="M313" s="23">
        <f t="shared" si="284"/>
        <v>66.840148698884761</v>
      </c>
      <c r="N313" s="23">
        <f t="shared" si="285"/>
        <v>966.54275092936803</v>
      </c>
      <c r="O313" s="32" t="s">
        <v>74</v>
      </c>
      <c r="P313" s="32" t="s">
        <v>49</v>
      </c>
      <c r="Q313" s="32" t="s">
        <v>54</v>
      </c>
      <c r="R313" s="29">
        <v>18</v>
      </c>
      <c r="S313" s="34">
        <v>43294</v>
      </c>
      <c r="T313" s="34">
        <v>43301</v>
      </c>
      <c r="U313" s="34">
        <v>43320</v>
      </c>
      <c r="V313" s="34"/>
      <c r="AG313" s="30"/>
      <c r="AH313" s="30"/>
      <c r="AI313" s="30"/>
      <c r="AJ313" s="31"/>
    </row>
    <row r="314" spans="1:36" s="29" customFormat="1" x14ac:dyDescent="0.3">
      <c r="A314" s="32">
        <v>471</v>
      </c>
      <c r="B314" s="32" t="s">
        <v>72</v>
      </c>
      <c r="C314" s="32" t="s">
        <v>336</v>
      </c>
      <c r="D314" s="35" t="s">
        <v>372</v>
      </c>
      <c r="E314" s="32">
        <v>2360085036</v>
      </c>
      <c r="F314" s="32"/>
      <c r="G314" s="32"/>
      <c r="H314" s="32"/>
      <c r="I314" s="32">
        <v>0.48899999999999999</v>
      </c>
      <c r="J314" s="32">
        <f>I314</f>
        <v>0.48899999999999999</v>
      </c>
      <c r="K314" s="32"/>
      <c r="L314" s="32" t="s">
        <v>68</v>
      </c>
      <c r="M314" s="23"/>
      <c r="N314" s="23"/>
      <c r="O314" s="32" t="s">
        <v>49</v>
      </c>
      <c r="P314" s="32" t="s">
        <v>49</v>
      </c>
      <c r="Q314" s="32" t="s">
        <v>373</v>
      </c>
      <c r="R314" s="29">
        <v>15</v>
      </c>
      <c r="S314" s="34">
        <v>43297</v>
      </c>
      <c r="T314" s="34">
        <v>43300</v>
      </c>
      <c r="U314" s="34">
        <v>43320</v>
      </c>
      <c r="V314" s="34"/>
      <c r="AG314" s="30"/>
      <c r="AH314" s="30"/>
      <c r="AI314" s="30"/>
      <c r="AJ314" s="31"/>
    </row>
    <row r="315" spans="1:36" s="29" customFormat="1" x14ac:dyDescent="0.3">
      <c r="A315" s="32">
        <v>472</v>
      </c>
      <c r="B315" s="32" t="s">
        <v>72</v>
      </c>
      <c r="C315" s="32" t="s">
        <v>336</v>
      </c>
      <c r="D315" s="35" t="s">
        <v>317</v>
      </c>
      <c r="E315" s="32">
        <v>2360085024</v>
      </c>
      <c r="F315" s="32"/>
      <c r="G315" s="32">
        <f>0.156*6</f>
        <v>0.93599999999999994</v>
      </c>
      <c r="H315" s="32">
        <v>6</v>
      </c>
      <c r="I315" s="32">
        <v>8.7999999999999995E-2</v>
      </c>
      <c r="J315" s="32">
        <f>I315</f>
        <v>8.7999999999999995E-2</v>
      </c>
      <c r="K315" s="32"/>
      <c r="L315" s="32" t="s">
        <v>126</v>
      </c>
      <c r="M315" s="23">
        <f t="shared" ref="M315:M319" si="286">(J315/G315)*1000</f>
        <v>94.01709401709401</v>
      </c>
      <c r="N315" s="23">
        <f t="shared" ref="N315:N319" si="287">I315/G315*1000</f>
        <v>94.01709401709401</v>
      </c>
      <c r="O315" s="32" t="s">
        <v>74</v>
      </c>
      <c r="P315" s="32" t="s">
        <v>49</v>
      </c>
      <c r="Q315" s="32" t="s">
        <v>374</v>
      </c>
      <c r="R315" s="29">
        <v>11</v>
      </c>
      <c r="S315" s="34">
        <v>43295</v>
      </c>
      <c r="T315" s="34">
        <v>43300</v>
      </c>
      <c r="U315" s="34">
        <v>43320</v>
      </c>
      <c r="V315" s="34"/>
      <c r="AG315" s="30"/>
      <c r="AH315" s="30"/>
      <c r="AI315" s="30"/>
      <c r="AJ315" s="31"/>
    </row>
    <row r="316" spans="1:36" s="29" customFormat="1" x14ac:dyDescent="0.3">
      <c r="A316" s="32">
        <v>473</v>
      </c>
      <c r="B316" s="32" t="s">
        <v>72</v>
      </c>
      <c r="C316" s="32" t="s">
        <v>336</v>
      </c>
      <c r="D316" s="35" t="s">
        <v>375</v>
      </c>
      <c r="E316" s="51">
        <v>2360084996</v>
      </c>
      <c r="F316" s="32"/>
      <c r="G316" s="32">
        <v>1.29</v>
      </c>
      <c r="H316" s="32">
        <v>3</v>
      </c>
      <c r="I316" s="32">
        <v>0.11600000000000001</v>
      </c>
      <c r="J316" s="32">
        <f>I316</f>
        <v>0.11600000000000001</v>
      </c>
      <c r="K316" s="32"/>
      <c r="L316" s="32" t="s">
        <v>68</v>
      </c>
      <c r="M316" s="23">
        <f t="shared" si="286"/>
        <v>89.922480620155042</v>
      </c>
      <c r="N316" s="23">
        <f t="shared" si="287"/>
        <v>89.922480620155042</v>
      </c>
      <c r="O316" s="32" t="s">
        <v>49</v>
      </c>
      <c r="P316" s="32" t="s">
        <v>49</v>
      </c>
      <c r="Q316" s="32" t="s">
        <v>66</v>
      </c>
      <c r="R316" s="29">
        <v>11</v>
      </c>
      <c r="S316" s="34">
        <v>43298</v>
      </c>
      <c r="T316" s="34">
        <v>43299</v>
      </c>
      <c r="U316" s="34">
        <v>43320</v>
      </c>
      <c r="V316" s="34"/>
      <c r="AG316" s="30"/>
      <c r="AH316" s="30"/>
      <c r="AI316" s="30"/>
      <c r="AJ316" s="31"/>
    </row>
    <row r="317" spans="1:36" s="29" customFormat="1" x14ac:dyDescent="0.3">
      <c r="A317" s="32">
        <v>474</v>
      </c>
      <c r="B317" s="32" t="s">
        <v>47</v>
      </c>
      <c r="C317" s="32" t="s">
        <v>336</v>
      </c>
      <c r="D317" s="35" t="s">
        <v>225</v>
      </c>
      <c r="E317" s="32">
        <v>5000059131</v>
      </c>
      <c r="F317" s="32"/>
      <c r="G317" s="32">
        <v>39.22</v>
      </c>
      <c r="H317" s="32">
        <v>70</v>
      </c>
      <c r="I317" s="32">
        <v>3.2</v>
      </c>
      <c r="J317" s="32">
        <f>I317</f>
        <v>3.2</v>
      </c>
      <c r="K317" s="32"/>
      <c r="L317" s="32" t="s">
        <v>294</v>
      </c>
      <c r="M317" s="23">
        <f t="shared" si="286"/>
        <v>81.591024987251402</v>
      </c>
      <c r="N317" s="23">
        <f t="shared" si="287"/>
        <v>81.591024987251402</v>
      </c>
      <c r="O317" s="32" t="s">
        <v>52</v>
      </c>
      <c r="P317" s="32" t="s">
        <v>49</v>
      </c>
      <c r="Q317" s="32" t="s">
        <v>66</v>
      </c>
      <c r="R317" s="29">
        <v>11</v>
      </c>
      <c r="S317" s="34">
        <v>43311</v>
      </c>
      <c r="T317" s="34">
        <v>43312</v>
      </c>
      <c r="U317" s="34">
        <v>43320</v>
      </c>
      <c r="V317" s="34"/>
      <c r="AG317" s="30"/>
      <c r="AH317" s="30"/>
      <c r="AI317" s="30"/>
      <c r="AJ317" s="31"/>
    </row>
    <row r="318" spans="1:36" s="29" customFormat="1" x14ac:dyDescent="0.3">
      <c r="A318" s="32">
        <v>475</v>
      </c>
      <c r="B318" s="32" t="s">
        <v>67</v>
      </c>
      <c r="C318" s="32" t="s">
        <v>336</v>
      </c>
      <c r="D318" s="35" t="s">
        <v>114</v>
      </c>
      <c r="E318" s="32">
        <v>2360085272</v>
      </c>
      <c r="F318" s="32"/>
      <c r="G318" s="32">
        <v>0.14000000000000001</v>
      </c>
      <c r="H318" s="32">
        <v>6</v>
      </c>
      <c r="I318" s="32">
        <v>0.24</v>
      </c>
      <c r="J318" s="32">
        <f>I318</f>
        <v>0.24</v>
      </c>
      <c r="K318" s="32"/>
      <c r="L318" s="32" t="s">
        <v>68</v>
      </c>
      <c r="M318" s="23">
        <f t="shared" si="286"/>
        <v>1714.285714285714</v>
      </c>
      <c r="N318" s="23">
        <f t="shared" si="287"/>
        <v>1714.285714285714</v>
      </c>
      <c r="O318" s="32" t="s">
        <v>74</v>
      </c>
      <c r="P318" s="32" t="s">
        <v>49</v>
      </c>
      <c r="Q318" s="32" t="s">
        <v>100</v>
      </c>
      <c r="R318" s="29">
        <v>12</v>
      </c>
      <c r="S318" s="34">
        <v>43301</v>
      </c>
      <c r="T318" s="34">
        <v>43312</v>
      </c>
      <c r="U318" s="34">
        <v>43320</v>
      </c>
      <c r="V318" s="34"/>
      <c r="AG318" s="30"/>
      <c r="AH318" s="30"/>
      <c r="AI318" s="30"/>
      <c r="AJ318" s="31"/>
    </row>
    <row r="319" spans="1:36" s="29" customFormat="1" x14ac:dyDescent="0.3">
      <c r="A319" s="32">
        <v>476</v>
      </c>
      <c r="B319" s="32" t="s">
        <v>67</v>
      </c>
      <c r="C319" s="32" t="s">
        <v>336</v>
      </c>
      <c r="D319" s="35" t="s">
        <v>376</v>
      </c>
      <c r="E319" s="32">
        <v>4201749341</v>
      </c>
      <c r="F319" s="32">
        <v>11</v>
      </c>
      <c r="G319" s="32">
        <v>11.62</v>
      </c>
      <c r="H319" s="32">
        <v>24</v>
      </c>
      <c r="I319" s="32">
        <v>1.37</v>
      </c>
      <c r="J319" s="32">
        <v>0.83899999999999997</v>
      </c>
      <c r="K319" s="32">
        <f>I319-J319</f>
        <v>0.53100000000000014</v>
      </c>
      <c r="L319" s="32" t="s">
        <v>75</v>
      </c>
      <c r="M319" s="23">
        <f t="shared" si="286"/>
        <v>72.203098106712559</v>
      </c>
      <c r="N319" s="23">
        <f t="shared" si="287"/>
        <v>117.9001721170396</v>
      </c>
      <c r="O319" s="32" t="s">
        <v>69</v>
      </c>
      <c r="P319" s="32" t="s">
        <v>70</v>
      </c>
      <c r="Q319" s="32" t="s">
        <v>76</v>
      </c>
      <c r="R319" s="29">
        <v>1</v>
      </c>
      <c r="S319" s="34">
        <v>43312</v>
      </c>
      <c r="T319" s="34">
        <v>43312</v>
      </c>
      <c r="U319" s="34">
        <v>43320</v>
      </c>
      <c r="V319" s="34"/>
      <c r="AG319" s="30"/>
      <c r="AH319" s="30"/>
      <c r="AI319" s="30"/>
      <c r="AJ319" s="31"/>
    </row>
    <row r="320" spans="1:36" s="29" customFormat="1" x14ac:dyDescent="0.3">
      <c r="A320" s="32">
        <v>477</v>
      </c>
      <c r="B320" s="32" t="s">
        <v>67</v>
      </c>
      <c r="C320" s="32" t="s">
        <v>336</v>
      </c>
      <c r="D320" s="35" t="s">
        <v>256</v>
      </c>
      <c r="E320" s="32">
        <v>4201749239</v>
      </c>
      <c r="F320" s="32">
        <v>11</v>
      </c>
      <c r="G320" s="32">
        <v>12.58</v>
      </c>
      <c r="H320" s="32">
        <v>26</v>
      </c>
      <c r="I320" s="32">
        <v>1.3</v>
      </c>
      <c r="J320" s="32">
        <v>0.83899999999999997</v>
      </c>
      <c r="K320" s="32">
        <f>I320-J320</f>
        <v>0.46100000000000008</v>
      </c>
      <c r="L320" s="32" t="s">
        <v>75</v>
      </c>
      <c r="M320" s="23">
        <f t="shared" ref="M320:M321" si="288">(J320/G320)*1000</f>
        <v>66.693163751987271</v>
      </c>
      <c r="N320" s="23">
        <f t="shared" ref="N320:N321" si="289">I320/G320*1000</f>
        <v>103.33863275039747</v>
      </c>
      <c r="O320" s="32" t="s">
        <v>69</v>
      </c>
      <c r="P320" s="32" t="s">
        <v>70</v>
      </c>
      <c r="Q320" s="32" t="s">
        <v>76</v>
      </c>
      <c r="R320" s="29">
        <v>1</v>
      </c>
      <c r="S320" s="34">
        <v>43309</v>
      </c>
      <c r="T320" s="34">
        <v>43312</v>
      </c>
      <c r="U320" s="34">
        <v>43320</v>
      </c>
      <c r="V320" s="34"/>
      <c r="AG320" s="30"/>
      <c r="AH320" s="30"/>
      <c r="AI320" s="30"/>
      <c r="AJ320" s="31"/>
    </row>
    <row r="321" spans="1:36" s="29" customFormat="1" x14ac:dyDescent="0.3">
      <c r="A321" s="32">
        <v>478</v>
      </c>
      <c r="B321" s="32" t="s">
        <v>67</v>
      </c>
      <c r="C321" s="32" t="s">
        <v>336</v>
      </c>
      <c r="D321" s="35" t="s">
        <v>212</v>
      </c>
      <c r="E321" s="32">
        <v>4201748436</v>
      </c>
      <c r="F321" s="32">
        <v>11</v>
      </c>
      <c r="G321" s="32">
        <v>2.9</v>
      </c>
      <c r="H321" s="32">
        <v>12</v>
      </c>
      <c r="I321" s="32">
        <v>0.37</v>
      </c>
      <c r="J321" s="32">
        <f t="shared" ref="J321:J328" si="290">I321</f>
        <v>0.37</v>
      </c>
      <c r="K321" s="32">
        <f>I321-J321</f>
        <v>0</v>
      </c>
      <c r="L321" s="32" t="s">
        <v>75</v>
      </c>
      <c r="M321" s="23">
        <f t="shared" si="288"/>
        <v>127.58620689655173</v>
      </c>
      <c r="N321" s="23">
        <f t="shared" si="289"/>
        <v>127.58620689655173</v>
      </c>
      <c r="O321" s="32" t="s">
        <v>69</v>
      </c>
      <c r="P321" s="32" t="s">
        <v>70</v>
      </c>
      <c r="Q321" s="32" t="s">
        <v>76</v>
      </c>
      <c r="R321" s="29">
        <v>1</v>
      </c>
      <c r="S321" s="34">
        <v>43306</v>
      </c>
      <c r="T321" s="34">
        <v>43312</v>
      </c>
      <c r="U321" s="34">
        <v>43320</v>
      </c>
      <c r="V321" s="34"/>
      <c r="AG321" s="30"/>
      <c r="AH321" s="30"/>
      <c r="AI321" s="30"/>
      <c r="AJ321" s="31"/>
    </row>
    <row r="322" spans="1:36" s="29" customFormat="1" x14ac:dyDescent="0.3">
      <c r="A322" s="32">
        <v>479</v>
      </c>
      <c r="B322" s="32" t="s">
        <v>67</v>
      </c>
      <c r="C322" s="32" t="s">
        <v>336</v>
      </c>
      <c r="D322" s="35" t="s">
        <v>212</v>
      </c>
      <c r="E322" s="32">
        <v>4201748477</v>
      </c>
      <c r="F322" s="32">
        <v>11</v>
      </c>
      <c r="G322" s="32">
        <v>2.9</v>
      </c>
      <c r="H322" s="32">
        <v>12</v>
      </c>
      <c r="I322" s="32">
        <v>0.37</v>
      </c>
      <c r="J322" s="32">
        <f t="shared" si="290"/>
        <v>0.37</v>
      </c>
      <c r="K322" s="32">
        <f>I322-J322</f>
        <v>0</v>
      </c>
      <c r="L322" s="32" t="s">
        <v>75</v>
      </c>
      <c r="M322" s="23">
        <f t="shared" ref="M322" si="291">(J322/G322)*1000</f>
        <v>127.58620689655173</v>
      </c>
      <c r="N322" s="23">
        <f t="shared" ref="N322" si="292">I322/G322*1000</f>
        <v>127.58620689655173</v>
      </c>
      <c r="O322" s="32" t="s">
        <v>69</v>
      </c>
      <c r="P322" s="32" t="s">
        <v>70</v>
      </c>
      <c r="Q322" s="32" t="s">
        <v>76</v>
      </c>
      <c r="R322" s="29">
        <v>1</v>
      </c>
      <c r="S322" s="34">
        <v>43306</v>
      </c>
      <c r="T322" s="34">
        <v>43312</v>
      </c>
      <c r="U322" s="34">
        <v>43320</v>
      </c>
      <c r="V322" s="34"/>
      <c r="AG322" s="30"/>
      <c r="AH322" s="30"/>
      <c r="AI322" s="30"/>
      <c r="AJ322" s="31"/>
    </row>
    <row r="323" spans="1:36" s="29" customFormat="1" x14ac:dyDescent="0.3">
      <c r="A323" s="32">
        <v>480</v>
      </c>
      <c r="B323" s="32" t="s">
        <v>47</v>
      </c>
      <c r="C323" s="32" t="s">
        <v>336</v>
      </c>
      <c r="D323" s="35" t="s">
        <v>77</v>
      </c>
      <c r="E323" s="32">
        <v>5000059156</v>
      </c>
      <c r="F323" s="32"/>
      <c r="G323" s="32">
        <v>3.27</v>
      </c>
      <c r="H323" s="32">
        <v>15</v>
      </c>
      <c r="I323" s="32">
        <v>0.34100000000000003</v>
      </c>
      <c r="J323" s="32">
        <f t="shared" si="290"/>
        <v>0.34100000000000003</v>
      </c>
      <c r="K323" s="32"/>
      <c r="L323" s="32" t="s">
        <v>294</v>
      </c>
      <c r="M323" s="23">
        <f t="shared" ref="M323:M325" si="293">(J323/G323)*1000</f>
        <v>104.28134556574923</v>
      </c>
      <c r="N323" s="23">
        <f t="shared" ref="N323:N325" si="294">I323/G323*1000</f>
        <v>104.28134556574923</v>
      </c>
      <c r="O323" s="32" t="s">
        <v>52</v>
      </c>
      <c r="P323" s="32" t="s">
        <v>49</v>
      </c>
      <c r="Q323" s="32" t="s">
        <v>66</v>
      </c>
      <c r="R323" s="29">
        <v>11</v>
      </c>
      <c r="S323" s="34">
        <v>43312</v>
      </c>
      <c r="T323" s="34">
        <v>43312</v>
      </c>
      <c r="U323" s="34">
        <v>43320</v>
      </c>
      <c r="V323" s="34"/>
      <c r="AG323" s="30"/>
      <c r="AH323" s="30"/>
      <c r="AI323" s="30"/>
      <c r="AJ323" s="31"/>
    </row>
    <row r="324" spans="1:36" s="29" customFormat="1" x14ac:dyDescent="0.3">
      <c r="A324" s="32">
        <v>481</v>
      </c>
      <c r="B324" s="32" t="s">
        <v>47</v>
      </c>
      <c r="C324" s="32" t="s">
        <v>336</v>
      </c>
      <c r="D324" s="35" t="s">
        <v>194</v>
      </c>
      <c r="E324" s="32">
        <v>5000059149</v>
      </c>
      <c r="F324" s="32"/>
      <c r="G324" s="32">
        <v>1.4</v>
      </c>
      <c r="H324" s="32">
        <v>3</v>
      </c>
      <c r="I324" s="32">
        <v>0.22700000000000001</v>
      </c>
      <c r="J324" s="32">
        <f t="shared" si="290"/>
        <v>0.22700000000000001</v>
      </c>
      <c r="K324" s="32"/>
      <c r="L324" s="32" t="s">
        <v>294</v>
      </c>
      <c r="M324" s="23">
        <f t="shared" si="293"/>
        <v>162.14285714285717</v>
      </c>
      <c r="N324" s="23">
        <f t="shared" si="294"/>
        <v>162.14285714285717</v>
      </c>
      <c r="O324" s="32" t="s">
        <v>52</v>
      </c>
      <c r="P324" s="32" t="s">
        <v>49</v>
      </c>
      <c r="Q324" s="32" t="s">
        <v>156</v>
      </c>
      <c r="R324" s="29">
        <v>12</v>
      </c>
      <c r="S324" s="34">
        <v>43308</v>
      </c>
      <c r="T324" s="34">
        <v>43312</v>
      </c>
      <c r="U324" s="34">
        <v>43320</v>
      </c>
      <c r="V324" s="34"/>
      <c r="AG324" s="30"/>
      <c r="AH324" s="30"/>
      <c r="AI324" s="30"/>
      <c r="AJ324" s="31"/>
    </row>
    <row r="325" spans="1:36" s="29" customFormat="1" x14ac:dyDescent="0.3">
      <c r="A325" s="32">
        <v>482</v>
      </c>
      <c r="B325" s="32" t="s">
        <v>47</v>
      </c>
      <c r="C325" s="32" t="s">
        <v>336</v>
      </c>
      <c r="D325" s="35" t="s">
        <v>142</v>
      </c>
      <c r="E325" s="32">
        <v>5000059144</v>
      </c>
      <c r="F325" s="32"/>
      <c r="G325" s="32">
        <v>0.41</v>
      </c>
      <c r="H325" s="32">
        <v>1</v>
      </c>
      <c r="I325" s="32">
        <v>0.05</v>
      </c>
      <c r="J325" s="32">
        <f t="shared" si="290"/>
        <v>0.05</v>
      </c>
      <c r="K325" s="32"/>
      <c r="L325" s="32" t="s">
        <v>294</v>
      </c>
      <c r="M325" s="23">
        <f t="shared" si="293"/>
        <v>121.95121951219514</v>
      </c>
      <c r="N325" s="23">
        <f t="shared" si="294"/>
        <v>121.95121951219514</v>
      </c>
      <c r="O325" s="32" t="s">
        <v>52</v>
      </c>
      <c r="P325" s="32" t="s">
        <v>49</v>
      </c>
      <c r="Q325" s="32" t="s">
        <v>156</v>
      </c>
      <c r="R325" s="29">
        <v>12</v>
      </c>
      <c r="S325" s="34">
        <v>43300</v>
      </c>
      <c r="T325" s="34">
        <v>43312</v>
      </c>
      <c r="U325" s="34">
        <v>43320</v>
      </c>
      <c r="V325" s="34"/>
      <c r="AG325" s="30"/>
      <c r="AH325" s="30"/>
      <c r="AI325" s="30"/>
      <c r="AJ325" s="31"/>
    </row>
    <row r="326" spans="1:36" s="29" customFormat="1" x14ac:dyDescent="0.3">
      <c r="A326" s="32">
        <v>483</v>
      </c>
      <c r="B326" s="32" t="s">
        <v>71</v>
      </c>
      <c r="C326" s="32" t="s">
        <v>336</v>
      </c>
      <c r="D326" s="35" t="s">
        <v>88</v>
      </c>
      <c r="E326" s="32">
        <v>2360085291</v>
      </c>
      <c r="F326" s="32"/>
      <c r="G326" s="32"/>
      <c r="H326" s="32">
        <f>174+294+185</f>
        <v>653</v>
      </c>
      <c r="I326" s="32">
        <v>7.9</v>
      </c>
      <c r="J326" s="32">
        <f t="shared" si="290"/>
        <v>7.9</v>
      </c>
      <c r="K326" s="32"/>
      <c r="L326" s="32" t="s">
        <v>68</v>
      </c>
      <c r="M326" s="23"/>
      <c r="N326" s="23"/>
      <c r="O326" s="32" t="s">
        <v>74</v>
      </c>
      <c r="P326" s="32" t="s">
        <v>49</v>
      </c>
      <c r="Q326" s="32" t="s">
        <v>89</v>
      </c>
      <c r="R326" s="29">
        <v>11</v>
      </c>
      <c r="S326" s="34">
        <v>43312</v>
      </c>
      <c r="T326" s="34">
        <v>43312</v>
      </c>
      <c r="U326" s="34">
        <v>43320</v>
      </c>
      <c r="V326" s="34"/>
      <c r="AG326" s="30"/>
      <c r="AH326" s="30"/>
      <c r="AI326" s="30"/>
      <c r="AJ326" s="31"/>
    </row>
    <row r="327" spans="1:36" s="29" customFormat="1" x14ac:dyDescent="0.3">
      <c r="A327" s="32">
        <v>484</v>
      </c>
      <c r="B327" s="32" t="s">
        <v>47</v>
      </c>
      <c r="C327" s="32" t="s">
        <v>357</v>
      </c>
      <c r="D327" s="35" t="s">
        <v>83</v>
      </c>
      <c r="E327" s="32">
        <v>5000059326</v>
      </c>
      <c r="F327" s="32"/>
      <c r="G327" s="32">
        <f>0.14+0.16</f>
        <v>0.30000000000000004</v>
      </c>
      <c r="H327" s="32">
        <v>2</v>
      </c>
      <c r="I327" s="32">
        <v>0.1</v>
      </c>
      <c r="J327" s="32">
        <f t="shared" si="290"/>
        <v>0.1</v>
      </c>
      <c r="K327" s="32"/>
      <c r="L327" s="32" t="s">
        <v>294</v>
      </c>
      <c r="M327" s="23">
        <f t="shared" ref="M327" si="295">(J327/G327)*1000</f>
        <v>333.33333333333331</v>
      </c>
      <c r="N327" s="23">
        <f t="shared" ref="N327" si="296">I327/G327*1000</f>
        <v>333.33333333333331</v>
      </c>
      <c r="O327" s="32" t="s">
        <v>52</v>
      </c>
      <c r="P327" s="32" t="s">
        <v>49</v>
      </c>
      <c r="Q327" s="32" t="s">
        <v>156</v>
      </c>
      <c r="R327" s="29">
        <v>12</v>
      </c>
      <c r="S327" s="34">
        <v>43306</v>
      </c>
      <c r="T327" s="34">
        <v>43321</v>
      </c>
      <c r="U327" s="34">
        <v>43333</v>
      </c>
      <c r="V327" s="34"/>
      <c r="AG327" s="30"/>
      <c r="AH327" s="30"/>
      <c r="AI327" s="30"/>
      <c r="AJ327" s="31"/>
    </row>
    <row r="328" spans="1:36" s="29" customFormat="1" x14ac:dyDescent="0.3">
      <c r="A328" s="32">
        <v>485</v>
      </c>
      <c r="B328" s="32" t="s">
        <v>47</v>
      </c>
      <c r="C328" s="32" t="s">
        <v>357</v>
      </c>
      <c r="D328" s="35" t="s">
        <v>64</v>
      </c>
      <c r="E328" s="32">
        <v>5000059398</v>
      </c>
      <c r="F328" s="32"/>
      <c r="G328" s="32"/>
      <c r="H328" s="32">
        <v>1</v>
      </c>
      <c r="I328" s="32">
        <v>2.5999999999999999E-2</v>
      </c>
      <c r="J328" s="32">
        <f t="shared" si="290"/>
        <v>2.5999999999999999E-2</v>
      </c>
      <c r="K328" s="32"/>
      <c r="L328" s="32" t="s">
        <v>294</v>
      </c>
      <c r="M328" s="23"/>
      <c r="N328" s="23"/>
      <c r="O328" s="32" t="s">
        <v>52</v>
      </c>
      <c r="P328" s="32" t="s">
        <v>49</v>
      </c>
      <c r="Q328" s="32" t="s">
        <v>161</v>
      </c>
      <c r="R328" s="29">
        <v>12</v>
      </c>
      <c r="S328" s="34">
        <v>43313</v>
      </c>
      <c r="T328" s="34">
        <v>43313</v>
      </c>
      <c r="U328" s="34">
        <v>43333</v>
      </c>
      <c r="V328" s="34"/>
      <c r="AG328" s="30"/>
      <c r="AH328" s="30"/>
      <c r="AI328" s="30"/>
      <c r="AJ328" s="31"/>
    </row>
    <row r="329" spans="1:36" s="29" customFormat="1" x14ac:dyDescent="0.3">
      <c r="A329" s="32">
        <v>486</v>
      </c>
      <c r="B329" s="32" t="s">
        <v>47</v>
      </c>
      <c r="C329" s="32" t="s">
        <v>357</v>
      </c>
      <c r="D329" s="35" t="s">
        <v>214</v>
      </c>
      <c r="E329" s="32">
        <v>2360085362</v>
      </c>
      <c r="F329" s="32"/>
      <c r="G329" s="32">
        <f>0.416*2+0.242</f>
        <v>1.0739999999999998</v>
      </c>
      <c r="H329" s="32">
        <v>3</v>
      </c>
      <c r="I329" s="32">
        <f>0.115</f>
        <v>0.115</v>
      </c>
      <c r="J329" s="32">
        <f>I329</f>
        <v>0.115</v>
      </c>
      <c r="K329" s="32"/>
      <c r="L329" s="32" t="s">
        <v>68</v>
      </c>
      <c r="M329" s="23">
        <f t="shared" ref="M329" si="297">(J329/G329)*1000</f>
        <v>107.07635009310989</v>
      </c>
      <c r="N329" s="23">
        <f t="shared" ref="N329" si="298">I329/G329*1000</f>
        <v>107.07635009310989</v>
      </c>
      <c r="O329" s="32" t="s">
        <v>69</v>
      </c>
      <c r="P329" s="32" t="s">
        <v>70</v>
      </c>
      <c r="Q329" s="32" t="s">
        <v>89</v>
      </c>
      <c r="R329" s="29">
        <v>11</v>
      </c>
      <c r="S329" s="34">
        <v>43308</v>
      </c>
      <c r="T329" s="34">
        <v>43328</v>
      </c>
      <c r="U329" s="34">
        <v>43333</v>
      </c>
      <c r="V329" s="34"/>
      <c r="AG329" s="30"/>
      <c r="AH329" s="30"/>
      <c r="AI329" s="30"/>
      <c r="AJ329" s="31"/>
    </row>
    <row r="330" spans="1:36" s="29" customFormat="1" x14ac:dyDescent="0.3">
      <c r="A330" s="32">
        <v>487</v>
      </c>
      <c r="B330" s="32" t="s">
        <v>71</v>
      </c>
      <c r="C330" s="32" t="s">
        <v>357</v>
      </c>
      <c r="D330" s="35" t="s">
        <v>117</v>
      </c>
      <c r="E330" s="32">
        <v>2360085422</v>
      </c>
      <c r="F330" s="32"/>
      <c r="G330" s="32">
        <f>0.1335*2</f>
        <v>0.26700000000000002</v>
      </c>
      <c r="H330" s="32">
        <v>2</v>
      </c>
      <c r="I330" s="32">
        <v>2.8000000000000001E-2</v>
      </c>
      <c r="J330" s="32">
        <f>I330</f>
        <v>2.8000000000000001E-2</v>
      </c>
      <c r="K330" s="32"/>
      <c r="L330" s="32" t="s">
        <v>68</v>
      </c>
      <c r="M330" s="23">
        <f t="shared" ref="M330" si="299">(J330/G330)*1000</f>
        <v>104.8689138576779</v>
      </c>
      <c r="N330" s="23">
        <f t="shared" ref="N330" si="300">I330/G330*1000</f>
        <v>104.8689138576779</v>
      </c>
      <c r="O330" s="32" t="s">
        <v>69</v>
      </c>
      <c r="P330" s="32" t="s">
        <v>70</v>
      </c>
      <c r="Q330" s="32" t="s">
        <v>89</v>
      </c>
      <c r="R330" s="29">
        <v>11</v>
      </c>
      <c r="S330" s="34">
        <v>43299</v>
      </c>
      <c r="T330" s="34">
        <v>43328</v>
      </c>
      <c r="U330" s="34">
        <v>43333</v>
      </c>
      <c r="V330" s="34"/>
      <c r="AG330" s="30"/>
      <c r="AH330" s="30"/>
      <c r="AI330" s="30"/>
      <c r="AJ330" s="31"/>
    </row>
    <row r="331" spans="1:36" s="29" customFormat="1" x14ac:dyDescent="0.3">
      <c r="A331" s="32">
        <v>488</v>
      </c>
      <c r="B331" s="32" t="s">
        <v>71</v>
      </c>
      <c r="C331" s="32" t="s">
        <v>357</v>
      </c>
      <c r="D331" s="35" t="s">
        <v>117</v>
      </c>
      <c r="E331" s="32">
        <v>2360085463</v>
      </c>
      <c r="F331" s="32"/>
      <c r="G331" s="32">
        <f>0.233*2</f>
        <v>0.46600000000000003</v>
      </c>
      <c r="H331" s="32">
        <v>2</v>
      </c>
      <c r="I331" s="32">
        <v>3.7999999999999999E-2</v>
      </c>
      <c r="J331" s="32">
        <f>I331</f>
        <v>3.7999999999999999E-2</v>
      </c>
      <c r="K331" s="32"/>
      <c r="L331" s="32" t="s">
        <v>68</v>
      </c>
      <c r="M331" s="23">
        <f t="shared" ref="M331" si="301">(J331/G331)*1000</f>
        <v>81.545064377682394</v>
      </c>
      <c r="N331" s="23">
        <f t="shared" ref="N331" si="302">I331/G331*1000</f>
        <v>81.545064377682394</v>
      </c>
      <c r="O331" s="32" t="s">
        <v>69</v>
      </c>
      <c r="P331" s="32" t="s">
        <v>70</v>
      </c>
      <c r="Q331" s="32" t="s">
        <v>89</v>
      </c>
      <c r="R331" s="29">
        <v>11</v>
      </c>
      <c r="S331" s="34">
        <v>43303</v>
      </c>
      <c r="T331" s="34">
        <v>43328</v>
      </c>
      <c r="U331" s="34">
        <v>43333</v>
      </c>
      <c r="V331" s="34"/>
      <c r="AG331" s="30"/>
      <c r="AH331" s="30"/>
      <c r="AI331" s="30"/>
      <c r="AJ331" s="31"/>
    </row>
    <row r="332" spans="1:36" s="29" customFormat="1" x14ac:dyDescent="0.3">
      <c r="A332" s="32">
        <v>489</v>
      </c>
      <c r="B332" s="32" t="s">
        <v>72</v>
      </c>
      <c r="C332" s="32" t="s">
        <v>357</v>
      </c>
      <c r="D332" s="35" t="s">
        <v>151</v>
      </c>
      <c r="E332" s="32">
        <v>2360085472</v>
      </c>
      <c r="F332" s="32"/>
      <c r="G332" s="32">
        <v>4.95</v>
      </c>
      <c r="H332" s="32">
        <v>33</v>
      </c>
      <c r="I332" s="32">
        <f>0.483</f>
        <v>0.48299999999999998</v>
      </c>
      <c r="J332" s="32">
        <f>I332</f>
        <v>0.48299999999999998</v>
      </c>
      <c r="K332" s="32"/>
      <c r="L332" s="32" t="s">
        <v>68</v>
      </c>
      <c r="M332" s="23">
        <f t="shared" ref="M332" si="303">(J332/G332)*1000</f>
        <v>97.575757575757564</v>
      </c>
      <c r="N332" s="23">
        <f t="shared" ref="N332" si="304">I332/G332*1000</f>
        <v>97.575757575757564</v>
      </c>
      <c r="O332" s="32" t="s">
        <v>74</v>
      </c>
      <c r="P332" s="32" t="s">
        <v>49</v>
      </c>
      <c r="Q332" s="32" t="s">
        <v>89</v>
      </c>
      <c r="R332" s="29">
        <v>11</v>
      </c>
      <c r="S332" s="34">
        <v>43304</v>
      </c>
      <c r="T332" s="34">
        <v>43328</v>
      </c>
      <c r="U332" s="34">
        <v>43333</v>
      </c>
      <c r="V332" s="34"/>
      <c r="AG332" s="30"/>
      <c r="AH332" s="30"/>
      <c r="AI332" s="30"/>
      <c r="AJ332" s="31"/>
    </row>
    <row r="333" spans="1:36" s="29" customFormat="1" x14ac:dyDescent="0.3">
      <c r="A333" s="32">
        <v>490</v>
      </c>
      <c r="B333" s="32" t="s">
        <v>71</v>
      </c>
      <c r="C333" s="32" t="s">
        <v>357</v>
      </c>
      <c r="D333" s="35" t="s">
        <v>87</v>
      </c>
      <c r="E333" s="32">
        <v>2360085475</v>
      </c>
      <c r="F333" s="32"/>
      <c r="G333" s="32">
        <f>0.395</f>
        <v>0.39500000000000002</v>
      </c>
      <c r="H333" s="32">
        <v>1</v>
      </c>
      <c r="I333" s="32">
        <f>0.029</f>
        <v>2.9000000000000001E-2</v>
      </c>
      <c r="J333" s="32">
        <f>I333</f>
        <v>2.9000000000000001E-2</v>
      </c>
      <c r="K333" s="32"/>
      <c r="L333" s="32" t="s">
        <v>75</v>
      </c>
      <c r="M333" s="23">
        <f t="shared" ref="M333" si="305">(J333/G333)*1000</f>
        <v>73.417721518987349</v>
      </c>
      <c r="N333" s="23">
        <f t="shared" ref="N333" si="306">I333/G333*1000</f>
        <v>73.417721518987349</v>
      </c>
      <c r="O333" s="32" t="s">
        <v>74</v>
      </c>
      <c r="P333" s="32" t="s">
        <v>49</v>
      </c>
      <c r="Q333" s="32" t="s">
        <v>89</v>
      </c>
      <c r="R333" s="29">
        <v>11</v>
      </c>
      <c r="S333" s="34">
        <v>43309</v>
      </c>
      <c r="T333" s="34">
        <v>43328</v>
      </c>
      <c r="U333" s="34">
        <v>43333</v>
      </c>
      <c r="V333" s="34"/>
      <c r="AG333" s="30"/>
      <c r="AH333" s="30"/>
      <c r="AI333" s="30"/>
      <c r="AJ333" s="31"/>
    </row>
    <row r="334" spans="1:36" s="29" customFormat="1" x14ac:dyDescent="0.3">
      <c r="A334" s="32">
        <v>491</v>
      </c>
      <c r="B334" s="32" t="s">
        <v>72</v>
      </c>
      <c r="C334" s="32" t="s">
        <v>357</v>
      </c>
      <c r="D334" s="35" t="s">
        <v>269</v>
      </c>
      <c r="E334" s="32">
        <v>4201761647</v>
      </c>
      <c r="F334" s="32">
        <v>33</v>
      </c>
      <c r="G334" s="32">
        <f>1682+1442</f>
        <v>3124</v>
      </c>
      <c r="H334" s="32">
        <f>6090+5220</f>
        <v>11310</v>
      </c>
      <c r="I334" s="32">
        <f>175+159</f>
        <v>334</v>
      </c>
      <c r="J334" s="32">
        <f>59.17+50.71</f>
        <v>109.88</v>
      </c>
      <c r="K334" s="32">
        <f>I334-J334</f>
        <v>224.12</v>
      </c>
      <c r="L334" s="32" t="s">
        <v>68</v>
      </c>
      <c r="M334" s="23">
        <f t="shared" ref="M334" si="307">(J334/G334)*1000</f>
        <v>35.172855313700381</v>
      </c>
      <c r="N334" s="23">
        <f t="shared" ref="N334" si="308">I334/G334*1000</f>
        <v>106.91421254801537</v>
      </c>
      <c r="O334" s="32" t="s">
        <v>70</v>
      </c>
      <c r="P334" s="32" t="s">
        <v>70</v>
      </c>
      <c r="Q334" s="32" t="s">
        <v>76</v>
      </c>
      <c r="R334" s="29">
        <v>1</v>
      </c>
      <c r="S334" s="34">
        <v>43326</v>
      </c>
      <c r="T334" s="34">
        <v>43332</v>
      </c>
      <c r="U334" s="34">
        <v>43333</v>
      </c>
      <c r="V334" s="34"/>
      <c r="AG334" s="30"/>
      <c r="AH334" s="30"/>
      <c r="AI334" s="30"/>
      <c r="AJ334" s="31"/>
    </row>
    <row r="335" spans="1:36" s="29" customFormat="1" x14ac:dyDescent="0.3">
      <c r="A335" s="32">
        <v>492</v>
      </c>
      <c r="B335" s="32"/>
      <c r="C335" s="32"/>
      <c r="D335" s="35"/>
      <c r="E335" s="32"/>
      <c r="F335" s="32"/>
      <c r="G335" s="32"/>
      <c r="H335" s="32"/>
      <c r="I335" s="32"/>
      <c r="J335" s="32"/>
      <c r="K335" s="32"/>
      <c r="L335" s="32"/>
      <c r="M335" s="23"/>
      <c r="N335" s="23"/>
      <c r="O335" s="32"/>
      <c r="P335" s="32"/>
      <c r="Q335" s="32"/>
      <c r="S335" s="34"/>
      <c r="T335" s="34"/>
      <c r="U335" s="34"/>
      <c r="V335" s="34"/>
      <c r="AG335" s="30"/>
      <c r="AH335" s="30"/>
      <c r="AI335" s="30"/>
      <c r="AJ335" s="31"/>
    </row>
    <row r="336" spans="1:36" s="29" customFormat="1" x14ac:dyDescent="0.3">
      <c r="A336" s="32">
        <v>493</v>
      </c>
      <c r="B336" s="32"/>
      <c r="C336" s="32"/>
      <c r="D336" s="35"/>
      <c r="E336" s="32"/>
      <c r="F336" s="32"/>
      <c r="G336" s="32"/>
      <c r="H336" s="32"/>
      <c r="I336" s="32"/>
      <c r="J336" s="32"/>
      <c r="K336" s="32"/>
      <c r="L336" s="32"/>
      <c r="M336" s="23"/>
      <c r="N336" s="23"/>
      <c r="O336" s="32"/>
      <c r="P336" s="32"/>
      <c r="Q336" s="32"/>
      <c r="S336" s="34"/>
      <c r="T336" s="34"/>
      <c r="U336" s="34"/>
      <c r="V336" s="34"/>
      <c r="AG336" s="30"/>
      <c r="AH336" s="30"/>
      <c r="AI336" s="30"/>
      <c r="AJ336" s="31"/>
    </row>
    <row r="337" spans="1:36" s="29" customFormat="1" x14ac:dyDescent="0.3">
      <c r="A337" s="32">
        <v>494</v>
      </c>
      <c r="B337" s="32"/>
      <c r="C337" s="32"/>
      <c r="D337" s="35"/>
      <c r="E337" s="32"/>
      <c r="F337" s="32"/>
      <c r="G337" s="32"/>
      <c r="H337" s="32"/>
      <c r="I337" s="32"/>
      <c r="J337" s="32"/>
      <c r="K337" s="32"/>
      <c r="L337" s="32"/>
      <c r="M337" s="23"/>
      <c r="N337" s="23"/>
      <c r="O337" s="32"/>
      <c r="P337" s="32"/>
      <c r="Q337" s="32"/>
      <c r="S337" s="34"/>
      <c r="T337" s="34"/>
      <c r="U337" s="34"/>
      <c r="V337" s="34"/>
      <c r="AG337" s="30"/>
      <c r="AH337" s="30"/>
      <c r="AI337" s="30"/>
      <c r="AJ337" s="31"/>
    </row>
    <row r="338" spans="1:36" s="29" customFormat="1" x14ac:dyDescent="0.3">
      <c r="A338" s="32">
        <v>495</v>
      </c>
      <c r="B338" s="32"/>
      <c r="C338" s="32"/>
      <c r="D338" s="35"/>
      <c r="E338" s="32"/>
      <c r="F338" s="32"/>
      <c r="G338" s="32"/>
      <c r="H338" s="32"/>
      <c r="I338" s="32"/>
      <c r="J338" s="32"/>
      <c r="K338" s="32"/>
      <c r="L338" s="32"/>
      <c r="M338" s="23"/>
      <c r="N338" s="23"/>
      <c r="O338" s="32"/>
      <c r="P338" s="32"/>
      <c r="Q338" s="32"/>
      <c r="S338" s="34"/>
      <c r="T338" s="34"/>
      <c r="U338" s="34"/>
      <c r="V338" s="34"/>
      <c r="AG338" s="30"/>
      <c r="AH338" s="30"/>
      <c r="AI338" s="30"/>
      <c r="AJ338" s="31"/>
    </row>
    <row r="339" spans="1:36" s="29" customFormat="1" x14ac:dyDescent="0.3">
      <c r="A339" s="32">
        <v>496</v>
      </c>
      <c r="B339" s="32"/>
      <c r="C339" s="32"/>
      <c r="D339" s="35"/>
      <c r="E339" s="32"/>
      <c r="F339" s="32"/>
      <c r="G339" s="32"/>
      <c r="H339" s="32"/>
      <c r="I339" s="32"/>
      <c r="J339" s="32"/>
      <c r="K339" s="32"/>
      <c r="L339" s="32"/>
      <c r="M339" s="23"/>
      <c r="N339" s="23"/>
      <c r="O339" s="32"/>
      <c r="P339" s="32"/>
      <c r="Q339" s="32"/>
      <c r="S339" s="34"/>
      <c r="T339" s="34"/>
      <c r="U339" s="34"/>
      <c r="V339" s="34"/>
      <c r="AG339" s="30"/>
      <c r="AH339" s="30"/>
      <c r="AI339" s="30"/>
      <c r="AJ339" s="31"/>
    </row>
    <row r="340" spans="1:36" s="29" customFormat="1" x14ac:dyDescent="0.3">
      <c r="A340" s="32">
        <v>497</v>
      </c>
      <c r="B340" s="32"/>
      <c r="C340" s="32"/>
      <c r="D340" s="35"/>
      <c r="E340" s="32"/>
      <c r="F340" s="32"/>
      <c r="G340" s="32"/>
      <c r="H340" s="32"/>
      <c r="I340" s="32"/>
      <c r="J340" s="32"/>
      <c r="K340" s="32"/>
      <c r="L340" s="32"/>
      <c r="M340" s="23"/>
      <c r="N340" s="23"/>
      <c r="O340" s="32"/>
      <c r="P340" s="32"/>
      <c r="Q340" s="32"/>
      <c r="S340" s="34"/>
      <c r="T340" s="34"/>
      <c r="U340" s="34"/>
      <c r="V340" s="34"/>
      <c r="AG340" s="30"/>
      <c r="AH340" s="30"/>
      <c r="AI340" s="30"/>
      <c r="AJ340" s="31"/>
    </row>
    <row r="341" spans="1:36" s="29" customFormat="1" x14ac:dyDescent="0.3">
      <c r="A341" s="32">
        <v>498</v>
      </c>
      <c r="B341" s="32"/>
      <c r="C341" s="32"/>
      <c r="D341" s="35"/>
      <c r="E341" s="32"/>
      <c r="F341" s="32"/>
      <c r="G341" s="32"/>
      <c r="H341" s="32"/>
      <c r="I341" s="32"/>
      <c r="J341" s="32"/>
      <c r="K341" s="32"/>
      <c r="L341" s="32"/>
      <c r="M341" s="23"/>
      <c r="N341" s="23"/>
      <c r="O341" s="32"/>
      <c r="P341" s="32"/>
      <c r="Q341" s="32"/>
      <c r="S341" s="34"/>
      <c r="T341" s="34"/>
      <c r="U341" s="34"/>
      <c r="V341" s="34"/>
      <c r="AG341" s="30"/>
      <c r="AH341" s="30"/>
      <c r="AI341" s="30"/>
      <c r="AJ341" s="31"/>
    </row>
    <row r="342" spans="1:36" s="29" customFormat="1" x14ac:dyDescent="0.3">
      <c r="A342" s="32">
        <v>499</v>
      </c>
      <c r="B342" s="32"/>
      <c r="C342" s="32"/>
      <c r="D342" s="35"/>
      <c r="E342" s="32"/>
      <c r="F342" s="32"/>
      <c r="G342" s="32"/>
      <c r="H342" s="32"/>
      <c r="I342" s="32"/>
      <c r="J342" s="32"/>
      <c r="K342" s="32"/>
      <c r="L342" s="32"/>
      <c r="M342" s="23"/>
      <c r="N342" s="23"/>
      <c r="O342" s="32"/>
      <c r="P342" s="32"/>
      <c r="Q342" s="32"/>
      <c r="S342" s="34"/>
      <c r="T342" s="34"/>
      <c r="U342" s="34"/>
      <c r="V342" s="34"/>
      <c r="AG342" s="30"/>
      <c r="AH342" s="30"/>
      <c r="AI342" s="30"/>
      <c r="AJ342" s="31"/>
    </row>
    <row r="343" spans="1:36" s="29" customFormat="1" x14ac:dyDescent="0.3">
      <c r="A343" s="32">
        <v>500</v>
      </c>
      <c r="B343" s="32"/>
      <c r="C343" s="32"/>
      <c r="D343" s="35"/>
      <c r="E343" s="32"/>
      <c r="F343" s="32"/>
      <c r="G343" s="32"/>
      <c r="H343" s="32"/>
      <c r="I343" s="32"/>
      <c r="J343" s="32"/>
      <c r="K343" s="32"/>
      <c r="L343" s="32"/>
      <c r="M343" s="23"/>
      <c r="N343" s="23"/>
      <c r="O343" s="32"/>
      <c r="P343" s="32"/>
      <c r="Q343" s="32"/>
      <c r="S343" s="34"/>
      <c r="T343" s="34"/>
      <c r="U343" s="34"/>
      <c r="V343" s="34"/>
      <c r="AG343" s="30"/>
      <c r="AH343" s="30"/>
      <c r="AI343" s="30"/>
      <c r="AJ343" s="31"/>
    </row>
    <row r="344" spans="1:36" s="29" customFormat="1" x14ac:dyDescent="0.3">
      <c r="A344" s="32">
        <v>501</v>
      </c>
      <c r="B344" s="32"/>
      <c r="C344" s="32"/>
      <c r="D344" s="35"/>
      <c r="E344" s="32"/>
      <c r="F344" s="32"/>
      <c r="G344" s="32"/>
      <c r="H344" s="32"/>
      <c r="I344" s="32"/>
      <c r="J344" s="32"/>
      <c r="K344" s="32"/>
      <c r="L344" s="32"/>
      <c r="M344" s="23"/>
      <c r="N344" s="23"/>
      <c r="O344" s="32"/>
      <c r="P344" s="32"/>
      <c r="Q344" s="32"/>
      <c r="S344" s="34"/>
      <c r="T344" s="34"/>
      <c r="U344" s="34"/>
      <c r="V344" s="34"/>
      <c r="AG344" s="30"/>
      <c r="AH344" s="30"/>
      <c r="AI344" s="30"/>
      <c r="AJ344" s="31"/>
    </row>
    <row r="345" spans="1:36" s="29" customFormat="1" x14ac:dyDescent="0.3">
      <c r="A345" s="32">
        <v>502</v>
      </c>
      <c r="B345" s="32"/>
      <c r="C345" s="32"/>
      <c r="D345" s="35"/>
      <c r="E345" s="32"/>
      <c r="F345" s="32"/>
      <c r="G345" s="32"/>
      <c r="H345" s="32"/>
      <c r="I345" s="32"/>
      <c r="J345" s="32"/>
      <c r="K345" s="32"/>
      <c r="L345" s="32"/>
      <c r="M345" s="23"/>
      <c r="N345" s="23"/>
      <c r="O345" s="32"/>
      <c r="P345" s="32"/>
      <c r="Q345" s="32"/>
      <c r="S345" s="34"/>
      <c r="T345" s="34"/>
      <c r="U345" s="34"/>
      <c r="V345" s="34"/>
      <c r="AG345" s="30"/>
      <c r="AH345" s="30"/>
      <c r="AI345" s="30"/>
      <c r="AJ345" s="31"/>
    </row>
    <row r="346" spans="1:36" s="29" customFormat="1" x14ac:dyDescent="0.3">
      <c r="A346" s="32">
        <v>503</v>
      </c>
      <c r="B346" s="32"/>
      <c r="C346" s="32"/>
      <c r="D346" s="35"/>
      <c r="E346" s="32"/>
      <c r="F346" s="32"/>
      <c r="G346" s="32"/>
      <c r="H346" s="32"/>
      <c r="I346" s="32"/>
      <c r="J346" s="32"/>
      <c r="K346" s="32"/>
      <c r="L346" s="32"/>
      <c r="M346" s="23"/>
      <c r="N346" s="23"/>
      <c r="O346" s="32"/>
      <c r="P346" s="32"/>
      <c r="Q346" s="32"/>
      <c r="S346" s="34"/>
      <c r="T346" s="34"/>
      <c r="U346" s="34"/>
      <c r="V346" s="34"/>
      <c r="AG346" s="30"/>
      <c r="AH346" s="30"/>
      <c r="AI346" s="30"/>
      <c r="AJ346" s="31"/>
    </row>
    <row r="347" spans="1:36" s="29" customFormat="1" x14ac:dyDescent="0.3">
      <c r="A347" s="32">
        <v>504</v>
      </c>
      <c r="B347" s="32"/>
      <c r="C347" s="32"/>
      <c r="D347" s="35"/>
      <c r="E347" s="32"/>
      <c r="F347" s="32"/>
      <c r="G347" s="32"/>
      <c r="H347" s="32"/>
      <c r="I347" s="32"/>
      <c r="J347" s="32"/>
      <c r="K347" s="32"/>
      <c r="L347" s="32"/>
      <c r="M347" s="23"/>
      <c r="N347" s="23"/>
      <c r="O347" s="32"/>
      <c r="P347" s="32"/>
      <c r="Q347" s="32"/>
      <c r="S347" s="34"/>
      <c r="T347" s="34"/>
      <c r="U347" s="34"/>
      <c r="V347" s="34"/>
      <c r="AG347" s="30"/>
      <c r="AH347" s="30"/>
      <c r="AI347" s="30"/>
      <c r="AJ347" s="31"/>
    </row>
    <row r="348" spans="1:36" s="29" customFormat="1" x14ac:dyDescent="0.3">
      <c r="A348" s="32">
        <v>505</v>
      </c>
      <c r="B348" s="32"/>
      <c r="C348" s="32"/>
      <c r="D348" s="35"/>
      <c r="E348" s="32"/>
      <c r="F348" s="32"/>
      <c r="G348" s="32"/>
      <c r="H348" s="32"/>
      <c r="I348" s="32"/>
      <c r="J348" s="32"/>
      <c r="K348" s="32"/>
      <c r="L348" s="32"/>
      <c r="M348" s="23"/>
      <c r="N348" s="23"/>
      <c r="O348" s="32"/>
      <c r="P348" s="32"/>
      <c r="Q348" s="32"/>
      <c r="S348" s="34"/>
      <c r="T348" s="34"/>
      <c r="U348" s="34"/>
      <c r="V348" s="34"/>
      <c r="AG348" s="30"/>
      <c r="AH348" s="30"/>
      <c r="AI348" s="30"/>
      <c r="AJ348" s="31"/>
    </row>
    <row r="349" spans="1:36" s="29" customFormat="1" ht="15" thickBot="1" x14ac:dyDescent="0.35">
      <c r="A349" s="32">
        <v>506</v>
      </c>
      <c r="B349" s="32"/>
      <c r="C349" s="32"/>
      <c r="D349" s="35"/>
      <c r="E349" s="32"/>
      <c r="F349" s="32"/>
      <c r="G349" s="32"/>
      <c r="H349" s="32"/>
      <c r="I349" s="32"/>
      <c r="J349" s="32"/>
      <c r="K349" s="32"/>
      <c r="L349" s="32"/>
      <c r="M349" s="23"/>
      <c r="N349" s="23"/>
      <c r="O349" s="32"/>
      <c r="P349" s="32"/>
      <c r="Q349" s="32"/>
      <c r="S349" s="34"/>
      <c r="T349" s="34"/>
      <c r="U349" s="34"/>
      <c r="V349" s="34"/>
      <c r="AG349" s="30"/>
      <c r="AH349" s="30"/>
      <c r="AI349" s="30"/>
      <c r="AJ349" s="31"/>
    </row>
    <row r="350" spans="1:36" s="29" customFormat="1" ht="15" thickBot="1" x14ac:dyDescent="0.35">
      <c r="A350" s="32">
        <v>507</v>
      </c>
      <c r="B350" s="32"/>
      <c r="C350" s="32"/>
      <c r="D350" s="52"/>
      <c r="E350" s="54"/>
      <c r="F350" s="32"/>
      <c r="G350" s="32"/>
      <c r="H350" s="32"/>
      <c r="I350" s="32"/>
      <c r="J350" s="32"/>
      <c r="K350" s="32"/>
      <c r="L350" s="32"/>
      <c r="M350" s="23"/>
      <c r="N350" s="23"/>
      <c r="O350" s="32"/>
      <c r="P350" s="32"/>
      <c r="Q350" s="32"/>
      <c r="S350" s="34"/>
      <c r="T350" s="34"/>
      <c r="U350" s="34"/>
      <c r="V350" s="34"/>
      <c r="AG350" s="30"/>
      <c r="AH350" s="30"/>
      <c r="AI350" s="30"/>
      <c r="AJ350" s="31"/>
    </row>
    <row r="351" spans="1:36" s="29" customFormat="1" x14ac:dyDescent="0.3">
      <c r="A351" s="32">
        <v>508</v>
      </c>
      <c r="B351" s="32"/>
      <c r="C351" s="32"/>
      <c r="D351" s="52"/>
      <c r="E351" s="32"/>
      <c r="F351" s="32"/>
      <c r="G351" s="32"/>
      <c r="H351" s="32"/>
      <c r="I351" s="32"/>
      <c r="J351" s="32"/>
      <c r="K351" s="32"/>
      <c r="L351" s="32"/>
      <c r="M351" s="23"/>
      <c r="N351" s="23"/>
      <c r="O351" s="32"/>
      <c r="P351" s="32"/>
      <c r="Q351" s="32"/>
      <c r="S351" s="34"/>
      <c r="T351" s="34"/>
      <c r="U351" s="34"/>
      <c r="V351" s="34"/>
      <c r="AG351" s="30"/>
      <c r="AH351" s="30"/>
      <c r="AI351" s="30"/>
      <c r="AJ351" s="31"/>
    </row>
    <row r="352" spans="1:36" s="29" customFormat="1" x14ac:dyDescent="0.3">
      <c r="A352" s="32">
        <v>509</v>
      </c>
      <c r="B352" s="32"/>
      <c r="C352" s="32"/>
      <c r="D352" s="52"/>
      <c r="E352" s="32"/>
      <c r="F352" s="32"/>
      <c r="G352" s="32"/>
      <c r="H352" s="32"/>
      <c r="I352" s="32"/>
      <c r="J352" s="32"/>
      <c r="K352" s="32"/>
      <c r="L352" s="32"/>
      <c r="M352" s="23"/>
      <c r="N352" s="23"/>
      <c r="O352" s="32"/>
      <c r="P352" s="32"/>
      <c r="Q352" s="32"/>
      <c r="S352" s="34"/>
      <c r="T352" s="34"/>
      <c r="U352" s="34"/>
      <c r="V352" s="34"/>
      <c r="AG352" s="30"/>
      <c r="AH352" s="30"/>
      <c r="AI352" s="30"/>
      <c r="AJ352" s="31"/>
    </row>
    <row r="353" spans="1:36" s="29" customFormat="1" x14ac:dyDescent="0.3">
      <c r="A353" s="32">
        <v>510</v>
      </c>
      <c r="B353" s="32"/>
      <c r="C353" s="32"/>
      <c r="D353" s="52"/>
      <c r="E353" s="32"/>
      <c r="F353" s="32"/>
      <c r="G353" s="32"/>
      <c r="H353" s="32"/>
      <c r="I353" s="32"/>
      <c r="J353" s="32"/>
      <c r="K353" s="32"/>
      <c r="L353" s="32"/>
      <c r="M353" s="23"/>
      <c r="N353" s="23"/>
      <c r="O353" s="32"/>
      <c r="P353" s="32"/>
      <c r="Q353" s="32"/>
      <c r="S353" s="34"/>
      <c r="T353" s="34"/>
      <c r="U353" s="34"/>
      <c r="V353" s="34"/>
      <c r="AG353" s="30"/>
      <c r="AH353" s="30"/>
      <c r="AI353" s="30"/>
      <c r="AJ353" s="31"/>
    </row>
    <row r="354" spans="1:36" s="29" customFormat="1" x14ac:dyDescent="0.3">
      <c r="A354" s="32">
        <v>511</v>
      </c>
      <c r="B354" s="32"/>
      <c r="C354" s="32"/>
      <c r="D354" s="52"/>
      <c r="E354" s="32"/>
      <c r="F354" s="32"/>
      <c r="G354" s="32"/>
      <c r="H354" s="32"/>
      <c r="I354" s="32"/>
      <c r="J354" s="32"/>
      <c r="K354" s="32"/>
      <c r="L354" s="32"/>
      <c r="M354" s="23"/>
      <c r="N354" s="23"/>
      <c r="O354" s="32"/>
      <c r="P354" s="32"/>
      <c r="Q354" s="32"/>
      <c r="S354" s="34"/>
      <c r="T354" s="34"/>
      <c r="U354" s="34"/>
      <c r="V354" s="34"/>
      <c r="AG354" s="30"/>
      <c r="AH354" s="30"/>
      <c r="AI354" s="30"/>
      <c r="AJ354" s="31"/>
    </row>
    <row r="355" spans="1:36" s="29" customFormat="1" x14ac:dyDescent="0.3">
      <c r="A355" s="32">
        <v>512</v>
      </c>
      <c r="B355" s="32"/>
      <c r="C355" s="32"/>
      <c r="D355" s="52"/>
      <c r="E355" s="32"/>
      <c r="F355" s="32"/>
      <c r="G355" s="32"/>
      <c r="H355" s="32"/>
      <c r="I355" s="32"/>
      <c r="J355" s="32"/>
      <c r="K355" s="32"/>
      <c r="L355" s="32"/>
      <c r="M355" s="23"/>
      <c r="N355" s="23"/>
      <c r="O355" s="32"/>
      <c r="P355" s="32"/>
      <c r="Q355" s="32"/>
      <c r="S355" s="34"/>
      <c r="T355" s="34"/>
      <c r="U355" s="34"/>
      <c r="V355" s="34"/>
      <c r="AG355" s="30"/>
      <c r="AH355" s="30"/>
      <c r="AI355" s="30"/>
      <c r="AJ355" s="31"/>
    </row>
    <row r="356" spans="1:36" s="29" customFormat="1" x14ac:dyDescent="0.3">
      <c r="A356" s="32">
        <v>513</v>
      </c>
      <c r="B356" s="32"/>
      <c r="C356" s="32"/>
      <c r="D356" s="52"/>
      <c r="E356" s="32"/>
      <c r="F356" s="32"/>
      <c r="G356" s="32"/>
      <c r="H356" s="32"/>
      <c r="I356" s="32"/>
      <c r="J356" s="32"/>
      <c r="K356" s="32"/>
      <c r="L356" s="32"/>
      <c r="M356" s="23"/>
      <c r="N356" s="23"/>
      <c r="O356" s="32"/>
      <c r="P356" s="32"/>
      <c r="Q356" s="32"/>
      <c r="S356" s="34"/>
      <c r="T356" s="34"/>
      <c r="U356" s="34"/>
      <c r="V356" s="34"/>
      <c r="AG356" s="30"/>
      <c r="AH356" s="30"/>
      <c r="AI356" s="30"/>
      <c r="AJ356" s="31"/>
    </row>
    <row r="357" spans="1:36" s="29" customFormat="1" x14ac:dyDescent="0.3">
      <c r="A357" s="32">
        <v>514</v>
      </c>
      <c r="B357" s="32"/>
      <c r="C357" s="32"/>
      <c r="D357" s="52"/>
      <c r="E357" s="32"/>
      <c r="F357" s="32"/>
      <c r="G357" s="32"/>
      <c r="H357" s="32"/>
      <c r="I357" s="32"/>
      <c r="J357" s="32"/>
      <c r="K357" s="32"/>
      <c r="L357" s="32"/>
      <c r="M357" s="23"/>
      <c r="N357" s="23"/>
      <c r="O357" s="32"/>
      <c r="P357" s="32"/>
      <c r="Q357" s="32"/>
      <c r="S357" s="34"/>
      <c r="T357" s="34"/>
      <c r="U357" s="34"/>
      <c r="V357" s="34"/>
      <c r="AG357" s="30"/>
      <c r="AH357" s="30"/>
      <c r="AI357" s="30"/>
      <c r="AJ357" s="31"/>
    </row>
    <row r="358" spans="1:36" s="29" customFormat="1" x14ac:dyDescent="0.3">
      <c r="A358" s="32">
        <v>515</v>
      </c>
      <c r="B358" s="32"/>
      <c r="C358" s="32"/>
      <c r="D358" s="52"/>
      <c r="E358" s="32"/>
      <c r="F358" s="32"/>
      <c r="G358" s="32"/>
      <c r="H358" s="32"/>
      <c r="I358" s="32"/>
      <c r="J358" s="32"/>
      <c r="K358" s="32"/>
      <c r="L358" s="32"/>
      <c r="M358" s="23"/>
      <c r="N358" s="23"/>
      <c r="O358" s="32"/>
      <c r="P358" s="32"/>
      <c r="Q358" s="32"/>
      <c r="S358" s="34"/>
      <c r="T358" s="34"/>
      <c r="U358" s="34"/>
      <c r="V358" s="34"/>
      <c r="AG358" s="30"/>
      <c r="AH358" s="30"/>
      <c r="AI358" s="30"/>
      <c r="AJ358" s="31"/>
    </row>
    <row r="359" spans="1:36" s="29" customFormat="1" x14ac:dyDescent="0.3">
      <c r="A359" s="32">
        <v>516</v>
      </c>
      <c r="B359" s="32"/>
      <c r="C359" s="32"/>
      <c r="D359" s="52"/>
      <c r="E359" s="32"/>
      <c r="F359" s="32"/>
      <c r="G359" s="32"/>
      <c r="H359" s="32"/>
      <c r="I359" s="32"/>
      <c r="J359" s="32"/>
      <c r="K359" s="32"/>
      <c r="L359" s="32"/>
      <c r="M359" s="23"/>
      <c r="N359" s="23"/>
      <c r="O359" s="32"/>
      <c r="P359" s="32"/>
      <c r="Q359" s="32"/>
      <c r="S359" s="34"/>
      <c r="T359" s="34"/>
      <c r="U359" s="34"/>
      <c r="V359" s="34"/>
      <c r="AG359" s="30"/>
      <c r="AH359" s="30"/>
      <c r="AI359" s="30"/>
      <c r="AJ359" s="31"/>
    </row>
    <row r="360" spans="1:36" s="29" customFormat="1" x14ac:dyDescent="0.3">
      <c r="A360" s="32">
        <v>517</v>
      </c>
      <c r="B360" s="32"/>
      <c r="C360" s="32"/>
      <c r="D360" s="52"/>
      <c r="E360" s="32"/>
      <c r="F360" s="32"/>
      <c r="G360" s="32"/>
      <c r="H360" s="32"/>
      <c r="I360" s="32"/>
      <c r="J360" s="32"/>
      <c r="K360" s="32"/>
      <c r="L360" s="32"/>
      <c r="M360" s="23"/>
      <c r="N360" s="23"/>
      <c r="O360" s="32"/>
      <c r="P360" s="32"/>
      <c r="Q360" s="32"/>
      <c r="S360" s="34"/>
      <c r="T360" s="34"/>
      <c r="U360" s="34"/>
      <c r="V360" s="34"/>
      <c r="AG360" s="30"/>
      <c r="AH360" s="30"/>
      <c r="AI360" s="30"/>
      <c r="AJ360" s="31"/>
    </row>
    <row r="361" spans="1:36" s="29" customFormat="1" x14ac:dyDescent="0.3">
      <c r="A361" s="32">
        <v>518</v>
      </c>
      <c r="B361" s="32"/>
      <c r="C361" s="32"/>
      <c r="D361" s="52"/>
      <c r="E361" s="32"/>
      <c r="F361" s="32"/>
      <c r="G361" s="32"/>
      <c r="H361" s="32"/>
      <c r="I361" s="32"/>
      <c r="J361" s="32"/>
      <c r="K361" s="32"/>
      <c r="L361" s="32"/>
      <c r="M361" s="23"/>
      <c r="N361" s="23"/>
      <c r="O361" s="32"/>
      <c r="P361" s="32"/>
      <c r="Q361" s="32"/>
      <c r="S361" s="34"/>
      <c r="T361" s="34"/>
      <c r="U361" s="34"/>
      <c r="V361" s="34"/>
      <c r="AG361" s="30"/>
      <c r="AH361" s="30"/>
      <c r="AI361" s="30"/>
      <c r="AJ361" s="31"/>
    </row>
    <row r="362" spans="1:36" s="29" customFormat="1" x14ac:dyDescent="0.3">
      <c r="A362" s="32">
        <v>519</v>
      </c>
      <c r="B362" s="32"/>
      <c r="C362" s="32"/>
      <c r="D362" s="52"/>
      <c r="E362" s="32"/>
      <c r="F362" s="32"/>
      <c r="G362" s="32"/>
      <c r="H362" s="32"/>
      <c r="I362" s="32"/>
      <c r="J362" s="32"/>
      <c r="K362" s="32"/>
      <c r="L362" s="32"/>
      <c r="M362" s="23"/>
      <c r="N362" s="23"/>
      <c r="O362" s="32"/>
      <c r="P362" s="32"/>
      <c r="Q362" s="32"/>
      <c r="S362" s="34"/>
      <c r="T362" s="34"/>
      <c r="U362" s="34"/>
      <c r="V362" s="34"/>
      <c r="AG362" s="30"/>
      <c r="AH362" s="30"/>
      <c r="AI362" s="30"/>
      <c r="AJ362" s="31"/>
    </row>
    <row r="363" spans="1:36" s="29" customFormat="1" x14ac:dyDescent="0.3">
      <c r="A363" s="32">
        <v>520</v>
      </c>
      <c r="B363" s="32"/>
      <c r="C363" s="32"/>
      <c r="D363" s="52"/>
      <c r="E363" s="32"/>
      <c r="F363" s="32"/>
      <c r="G363" s="32"/>
      <c r="H363" s="32"/>
      <c r="I363" s="32"/>
      <c r="J363" s="32"/>
      <c r="K363" s="32"/>
      <c r="L363" s="32"/>
      <c r="M363" s="23"/>
      <c r="N363" s="23"/>
      <c r="O363" s="32"/>
      <c r="P363" s="32"/>
      <c r="Q363" s="32"/>
      <c r="S363" s="34"/>
      <c r="T363" s="34"/>
      <c r="U363" s="34"/>
      <c r="V363" s="34"/>
      <c r="AG363" s="30"/>
      <c r="AH363" s="30"/>
      <c r="AI363" s="30"/>
      <c r="AJ363" s="31"/>
    </row>
    <row r="364" spans="1:36" s="29" customFormat="1" x14ac:dyDescent="0.3">
      <c r="A364" s="32">
        <v>521</v>
      </c>
      <c r="B364" s="32"/>
      <c r="C364" s="32"/>
      <c r="D364" s="52"/>
      <c r="E364" s="32"/>
      <c r="F364" s="32"/>
      <c r="G364" s="32"/>
      <c r="H364" s="32"/>
      <c r="I364" s="32"/>
      <c r="J364" s="32"/>
      <c r="K364" s="32"/>
      <c r="L364" s="32"/>
      <c r="M364" s="23"/>
      <c r="N364" s="23"/>
      <c r="O364" s="32"/>
      <c r="P364" s="32"/>
      <c r="Q364" s="32"/>
      <c r="S364" s="34"/>
      <c r="T364" s="34"/>
      <c r="U364" s="34"/>
      <c r="V364" s="34"/>
      <c r="AG364" s="30"/>
      <c r="AH364" s="30"/>
      <c r="AI364" s="30"/>
      <c r="AJ364" s="31"/>
    </row>
    <row r="365" spans="1:36" s="29" customFormat="1" x14ac:dyDescent="0.3">
      <c r="A365" s="32">
        <v>522</v>
      </c>
      <c r="B365" s="32"/>
      <c r="C365" s="32"/>
      <c r="D365" s="52"/>
      <c r="E365" s="32"/>
      <c r="F365" s="32"/>
      <c r="G365" s="32"/>
      <c r="H365" s="32"/>
      <c r="I365" s="32"/>
      <c r="J365" s="32"/>
      <c r="K365" s="32"/>
      <c r="L365" s="32"/>
      <c r="M365" s="23"/>
      <c r="N365" s="23"/>
      <c r="O365" s="32"/>
      <c r="P365" s="32"/>
      <c r="Q365" s="32"/>
      <c r="S365" s="34"/>
      <c r="T365" s="34"/>
      <c r="U365" s="34"/>
      <c r="V365" s="34"/>
      <c r="AG365" s="30"/>
      <c r="AH365" s="30"/>
      <c r="AI365" s="30"/>
      <c r="AJ365" s="31"/>
    </row>
    <row r="366" spans="1:36" s="29" customFormat="1" x14ac:dyDescent="0.3">
      <c r="A366" s="32">
        <v>523</v>
      </c>
      <c r="B366" s="32"/>
      <c r="C366" s="32"/>
      <c r="D366" s="52"/>
      <c r="E366" s="32"/>
      <c r="F366" s="32"/>
      <c r="G366" s="32"/>
      <c r="H366" s="32"/>
      <c r="I366" s="32"/>
      <c r="J366" s="32"/>
      <c r="K366" s="32"/>
      <c r="L366" s="32"/>
      <c r="M366" s="23"/>
      <c r="N366" s="23"/>
      <c r="O366" s="32"/>
      <c r="P366" s="32"/>
      <c r="Q366" s="32"/>
      <c r="S366" s="34"/>
      <c r="T366" s="34"/>
      <c r="U366" s="34"/>
      <c r="V366" s="34"/>
      <c r="AG366" s="30"/>
      <c r="AH366" s="30"/>
      <c r="AI366" s="30"/>
      <c r="AJ366" s="31"/>
    </row>
    <row r="367" spans="1:36" s="29" customFormat="1" x14ac:dyDescent="0.3">
      <c r="A367" s="32">
        <v>524</v>
      </c>
      <c r="B367" s="32"/>
      <c r="C367" s="32"/>
      <c r="D367" s="35"/>
      <c r="E367" s="32"/>
      <c r="F367" s="32"/>
      <c r="G367" s="32"/>
      <c r="H367" s="32"/>
      <c r="I367" s="32"/>
      <c r="J367" s="32"/>
      <c r="K367" s="32"/>
      <c r="L367" s="32"/>
      <c r="M367" s="23"/>
      <c r="N367" s="23"/>
      <c r="O367" s="32"/>
      <c r="P367" s="32"/>
      <c r="Q367" s="32"/>
      <c r="S367" s="34"/>
      <c r="T367" s="34"/>
      <c r="U367" s="34"/>
      <c r="V367" s="34"/>
      <c r="AG367" s="30"/>
      <c r="AH367" s="30"/>
      <c r="AI367" s="30"/>
      <c r="AJ367" s="31"/>
    </row>
    <row r="368" spans="1:36" s="29" customFormat="1" x14ac:dyDescent="0.3">
      <c r="A368" s="32">
        <v>525</v>
      </c>
      <c r="B368" s="32"/>
      <c r="C368" s="32"/>
      <c r="D368" s="35"/>
      <c r="E368" s="32"/>
      <c r="F368" s="32"/>
      <c r="G368" s="32"/>
      <c r="H368" s="32"/>
      <c r="I368" s="32"/>
      <c r="J368" s="32"/>
      <c r="K368" s="32"/>
      <c r="L368" s="32"/>
      <c r="M368" s="23"/>
      <c r="N368" s="23"/>
      <c r="O368" s="32"/>
      <c r="P368" s="32"/>
      <c r="Q368" s="32"/>
      <c r="S368" s="34"/>
      <c r="T368" s="34"/>
      <c r="U368" s="34"/>
      <c r="V368" s="34"/>
      <c r="AG368" s="30"/>
      <c r="AH368" s="30"/>
      <c r="AI368" s="30"/>
      <c r="AJ368" s="31"/>
    </row>
    <row r="369" spans="1:36" s="29" customFormat="1" x14ac:dyDescent="0.3">
      <c r="A369" s="32">
        <v>526</v>
      </c>
      <c r="B369" s="32"/>
      <c r="C369" s="32"/>
      <c r="D369" s="35"/>
      <c r="E369" s="32"/>
      <c r="F369" s="32"/>
      <c r="G369" s="32"/>
      <c r="H369" s="32"/>
      <c r="I369" s="32"/>
      <c r="J369" s="32"/>
      <c r="K369" s="32"/>
      <c r="L369" s="32"/>
      <c r="M369" s="23"/>
      <c r="N369" s="23"/>
      <c r="O369" s="32"/>
      <c r="P369" s="32"/>
      <c r="Q369" s="32"/>
      <c r="S369" s="34"/>
      <c r="T369" s="34"/>
      <c r="U369" s="34"/>
      <c r="V369" s="34"/>
      <c r="AG369" s="30"/>
      <c r="AH369" s="30"/>
      <c r="AI369" s="30"/>
      <c r="AJ369" s="31"/>
    </row>
    <row r="370" spans="1:36" s="29" customFormat="1" ht="15" x14ac:dyDescent="0.35">
      <c r="A370" s="32">
        <v>527</v>
      </c>
      <c r="B370" s="32"/>
      <c r="C370" s="32"/>
      <c r="D370" s="35"/>
      <c r="E370" s="53"/>
      <c r="F370" s="32"/>
      <c r="G370" s="32"/>
      <c r="H370" s="32"/>
      <c r="I370" s="32"/>
      <c r="J370" s="32"/>
      <c r="K370" s="32"/>
      <c r="L370" s="32"/>
      <c r="M370" s="23"/>
      <c r="N370" s="23"/>
      <c r="O370" s="32"/>
      <c r="P370" s="32"/>
      <c r="Q370" s="32"/>
      <c r="S370" s="34"/>
      <c r="T370" s="34"/>
      <c r="U370" s="34"/>
      <c r="V370" s="34"/>
      <c r="AG370" s="30"/>
      <c r="AH370" s="30"/>
      <c r="AI370" s="30"/>
      <c r="AJ370" s="31"/>
    </row>
    <row r="371" spans="1:36" s="29" customFormat="1" x14ac:dyDescent="0.3">
      <c r="A371" s="32">
        <v>528</v>
      </c>
      <c r="B371" s="32"/>
      <c r="C371" s="32"/>
      <c r="D371" s="35"/>
      <c r="E371" s="32"/>
      <c r="F371" s="32"/>
      <c r="G371" s="32"/>
      <c r="H371" s="32"/>
      <c r="I371" s="32"/>
      <c r="J371" s="32"/>
      <c r="K371" s="32"/>
      <c r="L371" s="32"/>
      <c r="M371" s="23"/>
      <c r="N371" s="23"/>
      <c r="O371" s="32"/>
      <c r="P371" s="32"/>
      <c r="Q371" s="32"/>
      <c r="S371" s="34"/>
      <c r="T371" s="34"/>
      <c r="U371" s="34"/>
      <c r="V371" s="34"/>
      <c r="AG371" s="30"/>
      <c r="AH371" s="30"/>
      <c r="AI371" s="30"/>
      <c r="AJ371" s="31"/>
    </row>
    <row r="372" spans="1:36" s="29" customFormat="1" x14ac:dyDescent="0.3">
      <c r="A372" s="32">
        <v>529</v>
      </c>
      <c r="B372" s="32"/>
      <c r="C372" s="32"/>
      <c r="D372" s="35"/>
      <c r="E372" s="32"/>
      <c r="F372" s="32"/>
      <c r="G372" s="32"/>
      <c r="H372" s="32"/>
      <c r="I372" s="32"/>
      <c r="J372" s="32"/>
      <c r="K372" s="32"/>
      <c r="L372" s="32"/>
      <c r="M372" s="23"/>
      <c r="N372" s="23"/>
      <c r="O372" s="32"/>
      <c r="P372" s="32"/>
      <c r="Q372" s="32"/>
      <c r="S372" s="34"/>
      <c r="T372" s="34"/>
      <c r="U372" s="34"/>
      <c r="V372" s="34"/>
      <c r="AG372" s="30"/>
      <c r="AH372" s="30"/>
      <c r="AI372" s="30"/>
      <c r="AJ372" s="31"/>
    </row>
    <row r="373" spans="1:36" s="29" customFormat="1" x14ac:dyDescent="0.3">
      <c r="A373" s="32">
        <v>530</v>
      </c>
      <c r="B373" s="32"/>
      <c r="C373" s="32"/>
      <c r="D373" s="43"/>
      <c r="E373" s="32"/>
      <c r="F373" s="32"/>
      <c r="G373" s="32"/>
      <c r="H373" s="32"/>
      <c r="I373" s="32"/>
      <c r="J373" s="32"/>
      <c r="K373" s="32"/>
      <c r="L373" s="32"/>
      <c r="M373" s="23"/>
      <c r="N373" s="23"/>
      <c r="O373" s="32"/>
      <c r="P373" s="32"/>
      <c r="Q373" s="32"/>
      <c r="S373" s="34"/>
      <c r="T373" s="34"/>
      <c r="U373" s="34"/>
      <c r="V373" s="34"/>
      <c r="AG373" s="30"/>
      <c r="AH373" s="30"/>
      <c r="AI373" s="30"/>
      <c r="AJ373" s="31"/>
    </row>
    <row r="374" spans="1:36" s="29" customFormat="1" x14ac:dyDescent="0.3">
      <c r="A374" s="32">
        <v>531</v>
      </c>
      <c r="B374" s="32"/>
      <c r="C374" s="32"/>
      <c r="D374" s="35"/>
      <c r="E374" s="32"/>
      <c r="F374" s="32"/>
      <c r="G374" s="32"/>
      <c r="H374" s="32"/>
      <c r="I374" s="32"/>
      <c r="J374" s="32"/>
      <c r="K374" s="32"/>
      <c r="L374" s="32"/>
      <c r="M374" s="23"/>
      <c r="N374" s="23"/>
      <c r="O374" s="32"/>
      <c r="P374" s="32"/>
      <c r="Q374" s="32"/>
      <c r="S374" s="34"/>
      <c r="T374" s="34"/>
      <c r="U374" s="34"/>
      <c r="V374" s="34"/>
      <c r="AG374" s="30"/>
      <c r="AH374" s="30"/>
      <c r="AI374" s="30"/>
      <c r="AJ374" s="31"/>
    </row>
    <row r="375" spans="1:36" s="29" customFormat="1" x14ac:dyDescent="0.3">
      <c r="A375" s="32">
        <v>532</v>
      </c>
      <c r="B375" s="32"/>
      <c r="C375" s="32"/>
      <c r="D375" s="35"/>
      <c r="E375" s="32"/>
      <c r="F375" s="32"/>
      <c r="G375" s="32"/>
      <c r="H375" s="32"/>
      <c r="I375" s="32"/>
      <c r="J375" s="32"/>
      <c r="K375" s="32"/>
      <c r="L375" s="32"/>
      <c r="M375" s="23"/>
      <c r="N375" s="23"/>
      <c r="O375" s="32"/>
      <c r="P375" s="32"/>
      <c r="Q375" s="32"/>
      <c r="S375" s="34"/>
      <c r="T375" s="34"/>
      <c r="U375" s="34"/>
      <c r="V375" s="34"/>
      <c r="AG375" s="30"/>
      <c r="AH375" s="30"/>
      <c r="AI375" s="30"/>
      <c r="AJ375" s="31"/>
    </row>
    <row r="376" spans="1:36" s="29" customFormat="1" x14ac:dyDescent="0.3">
      <c r="A376" s="32">
        <v>533</v>
      </c>
      <c r="B376" s="32"/>
      <c r="C376" s="32"/>
      <c r="D376" s="35"/>
      <c r="E376" s="32"/>
      <c r="F376" s="32"/>
      <c r="G376" s="32"/>
      <c r="H376" s="32"/>
      <c r="I376" s="32"/>
      <c r="J376" s="32"/>
      <c r="K376" s="32"/>
      <c r="L376" s="32"/>
      <c r="M376" s="23"/>
      <c r="N376" s="23"/>
      <c r="O376" s="32"/>
      <c r="P376" s="32"/>
      <c r="Q376" s="32"/>
      <c r="S376" s="34"/>
      <c r="T376" s="34"/>
      <c r="U376" s="34"/>
      <c r="V376" s="34"/>
      <c r="AG376" s="30"/>
      <c r="AH376" s="30"/>
      <c r="AI376" s="30"/>
      <c r="AJ376" s="31"/>
    </row>
    <row r="377" spans="1:36" s="29" customFormat="1" x14ac:dyDescent="0.3">
      <c r="A377" s="32">
        <v>534</v>
      </c>
      <c r="B377" s="32"/>
      <c r="C377" s="32"/>
      <c r="D377" s="35"/>
      <c r="E377" s="32"/>
      <c r="F377" s="32"/>
      <c r="G377" s="32"/>
      <c r="H377" s="32"/>
      <c r="I377" s="32"/>
      <c r="J377" s="32"/>
      <c r="K377" s="32"/>
      <c r="L377" s="32"/>
      <c r="M377" s="23"/>
      <c r="N377" s="23"/>
      <c r="O377" s="32"/>
      <c r="P377" s="32"/>
      <c r="Q377" s="32"/>
      <c r="S377" s="34"/>
      <c r="T377" s="34"/>
      <c r="U377" s="34"/>
      <c r="V377" s="34"/>
      <c r="AG377" s="30"/>
      <c r="AH377" s="30"/>
      <c r="AI377" s="30"/>
      <c r="AJ377" s="31"/>
    </row>
    <row r="378" spans="1:36" s="29" customFormat="1" x14ac:dyDescent="0.3">
      <c r="A378" s="32">
        <v>535</v>
      </c>
      <c r="B378" s="32"/>
      <c r="C378" s="32"/>
      <c r="D378" s="35"/>
      <c r="E378" s="32"/>
      <c r="F378" s="32"/>
      <c r="G378" s="32"/>
      <c r="H378" s="32"/>
      <c r="I378" s="32"/>
      <c r="J378" s="32"/>
      <c r="K378" s="32"/>
      <c r="L378" s="32"/>
      <c r="M378" s="23"/>
      <c r="N378" s="23"/>
      <c r="O378" s="32"/>
      <c r="P378" s="32"/>
      <c r="Q378" s="32"/>
      <c r="S378" s="34"/>
      <c r="T378" s="34"/>
      <c r="U378" s="34"/>
      <c r="V378" s="34"/>
      <c r="AG378" s="30"/>
      <c r="AH378" s="30"/>
      <c r="AI378" s="30"/>
      <c r="AJ378" s="31"/>
    </row>
    <row r="379" spans="1:36" s="29" customFormat="1" x14ac:dyDescent="0.3">
      <c r="A379" s="32">
        <v>536</v>
      </c>
      <c r="B379" s="32"/>
      <c r="C379" s="32"/>
      <c r="D379" s="35"/>
      <c r="E379" s="32"/>
      <c r="F379" s="32"/>
      <c r="G379" s="32"/>
      <c r="H379" s="32"/>
      <c r="I379" s="32"/>
      <c r="J379" s="32"/>
      <c r="K379" s="32"/>
      <c r="L379" s="32"/>
      <c r="M379" s="23"/>
      <c r="N379" s="23"/>
      <c r="O379" s="32"/>
      <c r="P379" s="32"/>
      <c r="Q379" s="32"/>
      <c r="S379" s="34"/>
      <c r="T379" s="34"/>
      <c r="U379" s="34"/>
      <c r="V379" s="34"/>
      <c r="AG379" s="30"/>
      <c r="AH379" s="30"/>
      <c r="AI379" s="30"/>
      <c r="AJ379" s="31"/>
    </row>
    <row r="380" spans="1:36" s="29" customFormat="1" x14ac:dyDescent="0.3">
      <c r="A380" s="32">
        <v>537</v>
      </c>
      <c r="B380" s="32"/>
      <c r="C380" s="32"/>
      <c r="D380" s="35"/>
      <c r="E380" s="32"/>
      <c r="F380" s="32"/>
      <c r="G380" s="32"/>
      <c r="H380" s="32"/>
      <c r="I380" s="32"/>
      <c r="J380" s="32"/>
      <c r="K380" s="32"/>
      <c r="L380" s="32"/>
      <c r="M380" s="23"/>
      <c r="N380" s="23"/>
      <c r="O380" s="32"/>
      <c r="P380" s="32"/>
      <c r="Q380" s="32"/>
      <c r="S380" s="34"/>
      <c r="T380" s="34"/>
      <c r="U380" s="34"/>
      <c r="V380" s="34"/>
      <c r="AG380" s="30"/>
      <c r="AH380" s="30"/>
      <c r="AI380" s="30"/>
      <c r="AJ380" s="31"/>
    </row>
    <row r="381" spans="1:36" s="29" customFormat="1" x14ac:dyDescent="0.3">
      <c r="A381" s="32">
        <v>538</v>
      </c>
      <c r="B381" s="32"/>
      <c r="C381" s="32"/>
      <c r="D381" s="35"/>
      <c r="E381" s="32"/>
      <c r="F381" s="32"/>
      <c r="G381" s="32"/>
      <c r="H381" s="32"/>
      <c r="I381" s="32"/>
      <c r="J381" s="32"/>
      <c r="K381" s="32"/>
      <c r="L381" s="32"/>
      <c r="M381" s="23"/>
      <c r="N381" s="23"/>
      <c r="O381" s="32"/>
      <c r="P381" s="32"/>
      <c r="Q381" s="32"/>
      <c r="S381" s="34"/>
      <c r="T381" s="34"/>
      <c r="U381" s="34"/>
      <c r="V381" s="34"/>
      <c r="AG381" s="30"/>
      <c r="AH381" s="30"/>
      <c r="AI381" s="30"/>
      <c r="AJ381" s="31"/>
    </row>
    <row r="382" spans="1:36" s="29" customFormat="1" x14ac:dyDescent="0.3">
      <c r="A382" s="32">
        <v>539</v>
      </c>
      <c r="B382" s="32"/>
      <c r="C382" s="32"/>
      <c r="D382" s="35"/>
      <c r="E382" s="32"/>
      <c r="F382" s="32"/>
      <c r="G382" s="32"/>
      <c r="H382" s="32"/>
      <c r="I382" s="32"/>
      <c r="J382" s="32"/>
      <c r="K382" s="32"/>
      <c r="L382" s="32"/>
      <c r="M382" s="23"/>
      <c r="N382" s="23"/>
      <c r="O382" s="32"/>
      <c r="P382" s="32"/>
      <c r="Q382" s="32"/>
      <c r="S382" s="34"/>
      <c r="T382" s="34"/>
      <c r="U382" s="34"/>
      <c r="V382" s="34"/>
      <c r="AG382" s="30"/>
      <c r="AH382" s="30"/>
      <c r="AI382" s="30"/>
      <c r="AJ382" s="31"/>
    </row>
    <row r="383" spans="1:36" s="29" customFormat="1" x14ac:dyDescent="0.3">
      <c r="A383" s="32">
        <v>540</v>
      </c>
      <c r="B383" s="32"/>
      <c r="C383" s="32"/>
      <c r="D383" s="35"/>
      <c r="E383" s="32"/>
      <c r="F383" s="32"/>
      <c r="G383" s="32"/>
      <c r="H383" s="32"/>
      <c r="I383" s="32"/>
      <c r="J383" s="32"/>
      <c r="K383" s="32"/>
      <c r="L383" s="32"/>
      <c r="M383" s="23"/>
      <c r="N383" s="23"/>
      <c r="O383" s="32"/>
      <c r="P383" s="32"/>
      <c r="Q383" s="32"/>
      <c r="S383" s="34"/>
      <c r="T383" s="34"/>
      <c r="U383" s="34"/>
      <c r="V383" s="34"/>
      <c r="AG383" s="30"/>
      <c r="AH383" s="30"/>
      <c r="AI383" s="30"/>
      <c r="AJ383" s="31"/>
    </row>
    <row r="384" spans="1:36" s="29" customFormat="1" x14ac:dyDescent="0.3">
      <c r="A384" s="32">
        <v>541</v>
      </c>
      <c r="B384" s="32"/>
      <c r="C384" s="32"/>
      <c r="D384" s="35"/>
      <c r="E384" s="32"/>
      <c r="F384" s="32"/>
      <c r="G384" s="32"/>
      <c r="H384" s="32"/>
      <c r="I384" s="32"/>
      <c r="J384" s="32"/>
      <c r="K384" s="32"/>
      <c r="L384" s="32"/>
      <c r="M384" s="23"/>
      <c r="N384" s="23"/>
      <c r="O384" s="32"/>
      <c r="P384" s="32"/>
      <c r="Q384" s="32"/>
      <c r="S384" s="34"/>
      <c r="T384" s="34"/>
      <c r="U384" s="34"/>
      <c r="V384" s="34"/>
      <c r="AG384" s="30"/>
      <c r="AH384" s="30"/>
      <c r="AI384" s="30"/>
      <c r="AJ384" s="31"/>
    </row>
    <row r="385" spans="1:36" s="29" customFormat="1" x14ac:dyDescent="0.3">
      <c r="A385" s="32">
        <v>542</v>
      </c>
      <c r="B385" s="32"/>
      <c r="C385" s="32"/>
      <c r="D385" s="43"/>
      <c r="E385" s="32"/>
      <c r="F385" s="32"/>
      <c r="G385" s="32"/>
      <c r="H385" s="32"/>
      <c r="I385" s="32"/>
      <c r="J385" s="32"/>
      <c r="K385" s="32"/>
      <c r="L385" s="32"/>
      <c r="M385" s="23"/>
      <c r="N385" s="23"/>
      <c r="O385" s="32"/>
      <c r="P385" s="32"/>
      <c r="Q385" s="32"/>
      <c r="S385" s="34"/>
      <c r="T385" s="34"/>
      <c r="U385" s="34"/>
      <c r="V385" s="34"/>
      <c r="AG385" s="30"/>
      <c r="AH385" s="30"/>
      <c r="AI385" s="30"/>
      <c r="AJ385" s="31"/>
    </row>
    <row r="386" spans="1:36" s="29" customFormat="1" x14ac:dyDescent="0.3">
      <c r="A386" s="32">
        <v>543</v>
      </c>
      <c r="B386" s="32"/>
      <c r="C386" s="32"/>
      <c r="D386" s="35"/>
      <c r="E386" s="32"/>
      <c r="F386" s="32"/>
      <c r="G386" s="32"/>
      <c r="H386" s="32"/>
      <c r="I386" s="32"/>
      <c r="J386" s="32"/>
      <c r="K386" s="32"/>
      <c r="L386" s="32"/>
      <c r="M386" s="23"/>
      <c r="N386" s="23"/>
      <c r="O386" s="32"/>
      <c r="P386" s="32"/>
      <c r="Q386" s="32"/>
      <c r="S386" s="34"/>
      <c r="T386" s="34"/>
      <c r="U386" s="34"/>
      <c r="V386" s="34"/>
      <c r="AG386" s="30"/>
      <c r="AH386" s="30"/>
      <c r="AI386" s="30"/>
      <c r="AJ386" s="31"/>
    </row>
    <row r="387" spans="1:36" s="29" customFormat="1" x14ac:dyDescent="0.3">
      <c r="A387" s="32">
        <v>544</v>
      </c>
      <c r="B387" s="32"/>
      <c r="C387" s="32"/>
      <c r="D387" s="35"/>
      <c r="E387" s="32"/>
      <c r="F387" s="32"/>
      <c r="G387" s="32"/>
      <c r="H387" s="32"/>
      <c r="I387" s="32"/>
      <c r="J387" s="32"/>
      <c r="K387" s="32"/>
      <c r="L387" s="32"/>
      <c r="M387" s="23"/>
      <c r="N387" s="23"/>
      <c r="O387" s="32"/>
      <c r="P387" s="32"/>
      <c r="Q387" s="32"/>
      <c r="S387" s="34"/>
      <c r="T387" s="34"/>
      <c r="U387" s="34"/>
      <c r="V387" s="34"/>
      <c r="AG387" s="30"/>
      <c r="AH387" s="30"/>
      <c r="AI387" s="30"/>
      <c r="AJ387" s="31"/>
    </row>
    <row r="388" spans="1:36" s="29" customFormat="1" x14ac:dyDescent="0.3">
      <c r="A388" s="32">
        <v>545</v>
      </c>
      <c r="B388" s="32"/>
      <c r="C388" s="32"/>
      <c r="D388" s="35"/>
      <c r="E388" s="32"/>
      <c r="F388" s="32"/>
      <c r="G388" s="32"/>
      <c r="H388" s="32"/>
      <c r="I388" s="32"/>
      <c r="J388" s="32"/>
      <c r="K388" s="32"/>
      <c r="L388" s="32"/>
      <c r="M388" s="23"/>
      <c r="N388" s="23"/>
      <c r="O388" s="32"/>
      <c r="P388" s="32"/>
      <c r="Q388" s="32"/>
      <c r="S388" s="34"/>
      <c r="T388" s="34"/>
      <c r="U388" s="34"/>
      <c r="V388" s="34"/>
      <c r="AG388" s="30"/>
      <c r="AH388" s="30"/>
      <c r="AI388" s="30"/>
      <c r="AJ388" s="31"/>
    </row>
    <row r="389" spans="1:36" s="29" customFormat="1" x14ac:dyDescent="0.3">
      <c r="A389" s="32">
        <v>546</v>
      </c>
      <c r="B389" s="32"/>
      <c r="C389" s="32"/>
      <c r="D389" s="35"/>
      <c r="E389" s="32"/>
      <c r="F389" s="32"/>
      <c r="G389" s="32"/>
      <c r="H389" s="32"/>
      <c r="I389" s="32"/>
      <c r="J389" s="32"/>
      <c r="K389" s="32"/>
      <c r="L389" s="32"/>
      <c r="M389" s="23"/>
      <c r="N389" s="23"/>
      <c r="O389" s="32"/>
      <c r="P389" s="32"/>
      <c r="Q389" s="32"/>
      <c r="S389" s="34"/>
      <c r="T389" s="34"/>
      <c r="U389" s="34"/>
      <c r="V389" s="34"/>
      <c r="AG389" s="30"/>
      <c r="AH389" s="30"/>
      <c r="AI389" s="30"/>
      <c r="AJ389" s="31"/>
    </row>
    <row r="390" spans="1:36" s="29" customFormat="1" x14ac:dyDescent="0.3">
      <c r="A390" s="32">
        <v>547</v>
      </c>
      <c r="B390" s="32"/>
      <c r="C390" s="32"/>
      <c r="D390" s="35"/>
      <c r="E390" s="32"/>
      <c r="F390" s="32"/>
      <c r="G390" s="32"/>
      <c r="H390" s="32"/>
      <c r="I390" s="32"/>
      <c r="J390" s="32"/>
      <c r="K390" s="32"/>
      <c r="L390" s="32"/>
      <c r="M390" s="23"/>
      <c r="N390" s="23"/>
      <c r="O390" s="32"/>
      <c r="P390" s="32"/>
      <c r="Q390" s="32"/>
      <c r="S390" s="34"/>
      <c r="T390" s="34"/>
      <c r="U390" s="34"/>
      <c r="V390" s="34"/>
      <c r="AG390" s="30"/>
      <c r="AH390" s="30"/>
      <c r="AI390" s="30"/>
      <c r="AJ390" s="31"/>
    </row>
    <row r="391" spans="1:36" s="29" customFormat="1" x14ac:dyDescent="0.3">
      <c r="A391" s="32">
        <v>548</v>
      </c>
      <c r="B391" s="32"/>
      <c r="C391" s="32"/>
      <c r="D391" s="35"/>
      <c r="E391" s="32"/>
      <c r="F391" s="32"/>
      <c r="G391" s="32"/>
      <c r="H391" s="32"/>
      <c r="I391" s="32"/>
      <c r="J391" s="32"/>
      <c r="K391" s="32"/>
      <c r="L391" s="32"/>
      <c r="M391" s="23"/>
      <c r="N391" s="23"/>
      <c r="O391" s="32"/>
      <c r="P391" s="32"/>
      <c r="Q391" s="32"/>
      <c r="S391" s="34"/>
      <c r="T391" s="34"/>
      <c r="U391" s="34"/>
      <c r="V391" s="34"/>
      <c r="AG391" s="30"/>
      <c r="AH391" s="30"/>
      <c r="AI391" s="30"/>
      <c r="AJ391" s="31"/>
    </row>
    <row r="392" spans="1:36" s="29" customFormat="1" x14ac:dyDescent="0.3">
      <c r="A392" s="32">
        <v>549</v>
      </c>
      <c r="B392" s="32"/>
      <c r="C392" s="32"/>
      <c r="D392" s="35"/>
      <c r="E392" s="32"/>
      <c r="F392" s="32"/>
      <c r="G392" s="32"/>
      <c r="H392" s="32"/>
      <c r="I392" s="32"/>
      <c r="J392" s="32"/>
      <c r="K392" s="32"/>
      <c r="L392" s="32"/>
      <c r="M392" s="23"/>
      <c r="N392" s="23"/>
      <c r="O392" s="32"/>
      <c r="P392" s="32"/>
      <c r="Q392" s="32"/>
      <c r="S392" s="34"/>
      <c r="T392" s="34"/>
      <c r="U392" s="34"/>
      <c r="V392" s="34"/>
      <c r="AG392" s="30"/>
      <c r="AH392" s="30"/>
      <c r="AI392" s="30"/>
      <c r="AJ392" s="31"/>
    </row>
    <row r="393" spans="1:36" s="29" customFormat="1" x14ac:dyDescent="0.3">
      <c r="A393" s="32">
        <v>550</v>
      </c>
      <c r="B393" s="32"/>
      <c r="C393" s="32"/>
      <c r="D393" s="35"/>
      <c r="E393" s="32"/>
      <c r="F393" s="32"/>
      <c r="G393" s="32"/>
      <c r="H393" s="32"/>
      <c r="I393" s="32"/>
      <c r="J393" s="32"/>
      <c r="K393" s="32"/>
      <c r="L393" s="32"/>
      <c r="M393" s="23"/>
      <c r="N393" s="23"/>
      <c r="O393" s="32"/>
      <c r="P393" s="32"/>
      <c r="Q393" s="32"/>
      <c r="S393" s="34"/>
      <c r="T393" s="34"/>
      <c r="U393" s="34"/>
      <c r="V393" s="34"/>
      <c r="AG393" s="30"/>
      <c r="AH393" s="30"/>
      <c r="AI393" s="30"/>
      <c r="AJ393" s="31"/>
    </row>
    <row r="394" spans="1:36" s="29" customFormat="1" x14ac:dyDescent="0.3">
      <c r="A394" s="32">
        <v>551</v>
      </c>
      <c r="B394" s="32"/>
      <c r="C394" s="32"/>
      <c r="D394" s="35"/>
      <c r="E394" s="32"/>
      <c r="F394" s="32"/>
      <c r="G394" s="32"/>
      <c r="H394" s="32"/>
      <c r="I394" s="32"/>
      <c r="J394" s="32"/>
      <c r="K394" s="32"/>
      <c r="L394" s="32"/>
      <c r="M394" s="23"/>
      <c r="N394" s="23"/>
      <c r="O394" s="32"/>
      <c r="P394" s="32"/>
      <c r="Q394" s="32"/>
      <c r="S394" s="34"/>
      <c r="T394" s="34"/>
      <c r="U394" s="34"/>
      <c r="V394" s="34"/>
      <c r="AG394" s="30"/>
      <c r="AH394" s="30"/>
      <c r="AI394" s="30"/>
      <c r="AJ394" s="31"/>
    </row>
    <row r="395" spans="1:36" s="29" customFormat="1" x14ac:dyDescent="0.3">
      <c r="A395" s="32">
        <v>552</v>
      </c>
      <c r="B395" s="32"/>
      <c r="C395" s="32"/>
      <c r="D395" s="35"/>
      <c r="E395" s="32"/>
      <c r="F395" s="32"/>
      <c r="G395" s="32"/>
      <c r="H395" s="32"/>
      <c r="I395" s="32"/>
      <c r="J395" s="32"/>
      <c r="K395" s="32"/>
      <c r="L395" s="32"/>
      <c r="M395" s="23"/>
      <c r="N395" s="23"/>
      <c r="O395" s="32"/>
      <c r="P395" s="32"/>
      <c r="Q395" s="32"/>
      <c r="S395" s="34"/>
      <c r="T395" s="34"/>
      <c r="U395" s="34"/>
      <c r="V395" s="34"/>
      <c r="AG395" s="30"/>
      <c r="AH395" s="30"/>
      <c r="AI395" s="30"/>
      <c r="AJ395" s="31"/>
    </row>
    <row r="396" spans="1:36" s="29" customFormat="1" x14ac:dyDescent="0.3">
      <c r="A396" s="32">
        <v>553</v>
      </c>
      <c r="B396" s="32"/>
      <c r="C396" s="32"/>
      <c r="D396" s="35"/>
      <c r="E396" s="32"/>
      <c r="F396" s="32"/>
      <c r="G396" s="32"/>
      <c r="H396" s="32"/>
      <c r="I396" s="32"/>
      <c r="J396" s="32"/>
      <c r="K396" s="32"/>
      <c r="L396" s="32"/>
      <c r="M396" s="23"/>
      <c r="N396" s="23"/>
      <c r="O396" s="32"/>
      <c r="P396" s="32"/>
      <c r="Q396" s="32"/>
      <c r="S396" s="34"/>
      <c r="T396" s="34"/>
      <c r="U396" s="34"/>
      <c r="V396" s="34"/>
      <c r="AG396" s="30"/>
      <c r="AH396" s="30"/>
      <c r="AI396" s="30"/>
      <c r="AJ396" s="31"/>
    </row>
    <row r="397" spans="1:36" s="29" customFormat="1" x14ac:dyDescent="0.3">
      <c r="A397" s="32">
        <v>554</v>
      </c>
      <c r="B397" s="32"/>
      <c r="C397" s="32"/>
      <c r="D397" s="35"/>
      <c r="E397" s="32"/>
      <c r="F397" s="32"/>
      <c r="G397" s="32"/>
      <c r="H397" s="32"/>
      <c r="I397" s="32"/>
      <c r="J397" s="32"/>
      <c r="K397" s="32"/>
      <c r="L397" s="32"/>
      <c r="M397" s="23"/>
      <c r="N397" s="23"/>
      <c r="O397" s="32"/>
      <c r="P397" s="32"/>
      <c r="Q397" s="32"/>
      <c r="S397" s="34"/>
      <c r="T397" s="34"/>
      <c r="U397" s="34"/>
      <c r="V397" s="34"/>
      <c r="AG397" s="30"/>
      <c r="AH397" s="30"/>
      <c r="AI397" s="30"/>
      <c r="AJ397" s="31"/>
    </row>
    <row r="398" spans="1:36" s="29" customFormat="1" x14ac:dyDescent="0.3">
      <c r="A398" s="32">
        <v>555</v>
      </c>
      <c r="B398" s="32"/>
      <c r="C398" s="32"/>
      <c r="D398" s="35"/>
      <c r="E398" s="32"/>
      <c r="F398" s="32"/>
      <c r="G398" s="32"/>
      <c r="H398" s="32"/>
      <c r="I398" s="32"/>
      <c r="J398" s="32"/>
      <c r="K398" s="32"/>
      <c r="L398" s="32"/>
      <c r="M398" s="23"/>
      <c r="N398" s="23"/>
      <c r="O398" s="32"/>
      <c r="P398" s="32"/>
      <c r="Q398" s="32"/>
      <c r="S398" s="34"/>
      <c r="T398" s="34"/>
      <c r="U398" s="34"/>
      <c r="V398" s="34"/>
      <c r="AG398" s="30"/>
      <c r="AH398" s="30"/>
      <c r="AI398" s="30"/>
      <c r="AJ398" s="31"/>
    </row>
    <row r="399" spans="1:36" s="29" customFormat="1" x14ac:dyDescent="0.3">
      <c r="A399" s="32">
        <v>556</v>
      </c>
      <c r="B399" s="32"/>
      <c r="C399" s="32"/>
      <c r="D399" s="35"/>
      <c r="E399" s="32"/>
      <c r="F399" s="32"/>
      <c r="G399" s="32"/>
      <c r="H399" s="32"/>
      <c r="I399" s="32"/>
      <c r="J399" s="32"/>
      <c r="K399" s="32"/>
      <c r="L399" s="32"/>
      <c r="M399" s="23"/>
      <c r="N399" s="23"/>
      <c r="O399" s="32"/>
      <c r="P399" s="32"/>
      <c r="Q399" s="32"/>
      <c r="S399" s="34"/>
      <c r="T399" s="34"/>
      <c r="U399" s="34"/>
      <c r="V399" s="34"/>
      <c r="AG399" s="30"/>
      <c r="AH399" s="30"/>
      <c r="AI399" s="30"/>
      <c r="AJ399" s="31"/>
    </row>
    <row r="400" spans="1:36" s="29" customFormat="1" x14ac:dyDescent="0.3">
      <c r="A400" s="32">
        <v>557</v>
      </c>
      <c r="B400" s="32"/>
      <c r="C400" s="32"/>
      <c r="D400" s="35"/>
      <c r="E400" s="32"/>
      <c r="F400" s="32"/>
      <c r="G400" s="32"/>
      <c r="H400" s="32"/>
      <c r="I400" s="32"/>
      <c r="J400" s="32"/>
      <c r="K400" s="32"/>
      <c r="L400" s="32"/>
      <c r="M400" s="23"/>
      <c r="N400" s="23"/>
      <c r="O400" s="32"/>
      <c r="P400" s="32"/>
      <c r="Q400" s="32"/>
      <c r="S400" s="34"/>
      <c r="T400" s="34"/>
      <c r="U400" s="34"/>
      <c r="V400" s="34"/>
      <c r="AG400" s="30"/>
      <c r="AH400" s="30"/>
      <c r="AI400" s="30"/>
      <c r="AJ400" s="31"/>
    </row>
    <row r="401" spans="1:36" s="29" customFormat="1" x14ac:dyDescent="0.3">
      <c r="A401" s="32">
        <v>558</v>
      </c>
      <c r="B401" s="32"/>
      <c r="C401" s="32"/>
      <c r="D401" s="35"/>
      <c r="E401" s="32"/>
      <c r="F401" s="32"/>
      <c r="G401" s="32"/>
      <c r="H401" s="32"/>
      <c r="I401" s="32"/>
      <c r="J401" s="32"/>
      <c r="K401" s="32"/>
      <c r="L401" s="32"/>
      <c r="M401" s="23"/>
      <c r="N401" s="23"/>
      <c r="O401" s="32"/>
      <c r="P401" s="32"/>
      <c r="Q401" s="32"/>
      <c r="S401" s="34"/>
      <c r="T401" s="34"/>
      <c r="U401" s="34"/>
      <c r="V401" s="34"/>
      <c r="AG401" s="30"/>
      <c r="AH401" s="30"/>
      <c r="AI401" s="30"/>
      <c r="AJ401" s="31"/>
    </row>
    <row r="402" spans="1:36" s="29" customFormat="1" x14ac:dyDescent="0.3">
      <c r="A402" s="32">
        <v>559</v>
      </c>
      <c r="B402" s="32"/>
      <c r="C402" s="32"/>
      <c r="D402" s="35"/>
      <c r="E402" s="32"/>
      <c r="F402" s="32"/>
      <c r="G402" s="32"/>
      <c r="H402" s="32"/>
      <c r="I402" s="32"/>
      <c r="J402" s="32"/>
      <c r="K402" s="32"/>
      <c r="L402" s="32"/>
      <c r="M402" s="23"/>
      <c r="N402" s="23"/>
      <c r="O402" s="32"/>
      <c r="P402" s="32"/>
      <c r="Q402" s="32"/>
      <c r="S402" s="34"/>
      <c r="T402" s="34"/>
      <c r="U402" s="34"/>
      <c r="V402" s="34"/>
      <c r="AG402" s="30"/>
      <c r="AH402" s="30"/>
      <c r="AI402" s="30"/>
      <c r="AJ402" s="31"/>
    </row>
    <row r="403" spans="1:36" s="29" customFormat="1" x14ac:dyDescent="0.3">
      <c r="A403" s="32">
        <v>560</v>
      </c>
      <c r="B403" s="32"/>
      <c r="C403" s="32"/>
      <c r="D403" s="35"/>
      <c r="E403" s="32"/>
      <c r="F403" s="32"/>
      <c r="G403" s="32"/>
      <c r="H403" s="32"/>
      <c r="I403" s="32"/>
      <c r="J403" s="32"/>
      <c r="K403" s="32"/>
      <c r="L403" s="32"/>
      <c r="M403" s="23"/>
      <c r="N403" s="23"/>
      <c r="O403" s="32"/>
      <c r="P403" s="32"/>
      <c r="Q403" s="32"/>
      <c r="S403" s="34"/>
      <c r="T403" s="34"/>
      <c r="U403" s="34"/>
      <c r="V403" s="34"/>
      <c r="AG403" s="30"/>
      <c r="AH403" s="30"/>
      <c r="AI403" s="30"/>
      <c r="AJ403" s="31"/>
    </row>
    <row r="404" spans="1:36" s="29" customFormat="1" x14ac:dyDescent="0.3">
      <c r="A404" s="32">
        <v>561</v>
      </c>
      <c r="B404" s="32"/>
      <c r="C404" s="32"/>
      <c r="D404" s="35"/>
      <c r="E404" s="32"/>
      <c r="F404" s="32"/>
      <c r="G404" s="32"/>
      <c r="H404" s="32"/>
      <c r="I404" s="32"/>
      <c r="J404" s="32"/>
      <c r="K404" s="32"/>
      <c r="L404" s="32"/>
      <c r="M404" s="23"/>
      <c r="N404" s="23"/>
      <c r="O404" s="32"/>
      <c r="P404" s="32"/>
      <c r="Q404" s="32"/>
      <c r="S404" s="34"/>
      <c r="T404" s="34"/>
      <c r="U404" s="34"/>
      <c r="V404" s="34"/>
      <c r="AG404" s="30"/>
      <c r="AH404" s="30"/>
      <c r="AI404" s="30"/>
      <c r="AJ404" s="31"/>
    </row>
    <row r="405" spans="1:36" s="29" customFormat="1" x14ac:dyDescent="0.3">
      <c r="A405" s="32">
        <v>562</v>
      </c>
      <c r="B405" s="32"/>
      <c r="C405" s="32"/>
      <c r="D405" s="35"/>
      <c r="E405" s="32"/>
      <c r="F405" s="32"/>
      <c r="G405" s="32"/>
      <c r="H405" s="32"/>
      <c r="I405" s="32"/>
      <c r="J405" s="32"/>
      <c r="K405" s="32"/>
      <c r="L405" s="32"/>
      <c r="M405" s="23"/>
      <c r="N405" s="23"/>
      <c r="O405" s="32"/>
      <c r="P405" s="32"/>
      <c r="Q405" s="32"/>
      <c r="S405" s="34"/>
      <c r="T405" s="34"/>
      <c r="U405" s="34"/>
      <c r="V405" s="34"/>
      <c r="AG405" s="30"/>
      <c r="AH405" s="30"/>
      <c r="AI405" s="30"/>
      <c r="AJ405" s="31"/>
    </row>
    <row r="406" spans="1:36" s="29" customFormat="1" x14ac:dyDescent="0.3">
      <c r="A406" s="32">
        <v>563</v>
      </c>
      <c r="B406" s="32"/>
      <c r="C406" s="32"/>
      <c r="D406" s="35"/>
      <c r="E406" s="32"/>
      <c r="F406" s="32"/>
      <c r="G406" s="32"/>
      <c r="H406" s="32"/>
      <c r="I406" s="32"/>
      <c r="J406" s="32"/>
      <c r="K406" s="32"/>
      <c r="L406" s="32"/>
      <c r="M406" s="23"/>
      <c r="N406" s="23"/>
      <c r="O406" s="32"/>
      <c r="P406" s="32"/>
      <c r="Q406" s="32"/>
      <c r="S406" s="34"/>
      <c r="T406" s="34"/>
      <c r="U406" s="34"/>
      <c r="V406" s="34"/>
      <c r="AG406" s="30"/>
      <c r="AH406" s="30"/>
      <c r="AI406" s="30"/>
      <c r="AJ406" s="31"/>
    </row>
    <row r="407" spans="1:36" s="29" customFormat="1" x14ac:dyDescent="0.3">
      <c r="A407" s="32">
        <v>564</v>
      </c>
      <c r="B407" s="32"/>
      <c r="C407" s="32"/>
      <c r="D407" s="35"/>
      <c r="E407" s="32"/>
      <c r="F407" s="32"/>
      <c r="G407" s="32"/>
      <c r="H407" s="32"/>
      <c r="I407" s="32"/>
      <c r="J407" s="32"/>
      <c r="K407" s="32"/>
      <c r="L407" s="32"/>
      <c r="M407" s="23"/>
      <c r="N407" s="23"/>
      <c r="O407" s="32"/>
      <c r="P407" s="32"/>
      <c r="Q407" s="32"/>
      <c r="S407" s="34"/>
      <c r="T407" s="34"/>
      <c r="U407" s="34"/>
      <c r="V407" s="34"/>
      <c r="AG407" s="30"/>
      <c r="AH407" s="30"/>
      <c r="AI407" s="30"/>
      <c r="AJ407" s="31"/>
    </row>
    <row r="408" spans="1:36" s="29" customFormat="1" x14ac:dyDescent="0.3">
      <c r="A408" s="32">
        <v>565</v>
      </c>
      <c r="B408" s="32"/>
      <c r="C408" s="32"/>
      <c r="D408" s="35"/>
      <c r="E408" s="32"/>
      <c r="F408" s="32"/>
      <c r="G408" s="32"/>
      <c r="H408" s="32"/>
      <c r="I408" s="32"/>
      <c r="J408" s="32"/>
      <c r="K408" s="32"/>
      <c r="L408" s="32"/>
      <c r="M408" s="23"/>
      <c r="N408" s="23"/>
      <c r="O408" s="32"/>
      <c r="P408" s="32"/>
      <c r="Q408" s="32"/>
      <c r="S408" s="34"/>
      <c r="T408" s="34"/>
      <c r="U408" s="34"/>
      <c r="V408" s="34"/>
      <c r="AG408" s="30"/>
      <c r="AH408" s="30"/>
      <c r="AI408" s="30"/>
      <c r="AJ408" s="31"/>
    </row>
    <row r="409" spans="1:36" s="29" customFormat="1" x14ac:dyDescent="0.3">
      <c r="A409" s="32">
        <v>566</v>
      </c>
      <c r="B409" s="32"/>
      <c r="C409" s="32"/>
      <c r="D409" s="35"/>
      <c r="E409" s="32"/>
      <c r="F409" s="32"/>
      <c r="G409" s="32"/>
      <c r="H409" s="32"/>
      <c r="I409" s="32"/>
      <c r="J409" s="32"/>
      <c r="K409" s="32"/>
      <c r="L409" s="32"/>
      <c r="M409" s="23"/>
      <c r="N409" s="23"/>
      <c r="O409" s="32"/>
      <c r="P409" s="32"/>
      <c r="Q409" s="32"/>
      <c r="S409" s="34"/>
      <c r="T409" s="34"/>
      <c r="U409" s="34"/>
      <c r="V409" s="34"/>
      <c r="AG409" s="30"/>
      <c r="AH409" s="30"/>
      <c r="AI409" s="30"/>
      <c r="AJ409" s="31"/>
    </row>
    <row r="410" spans="1:36" s="29" customFormat="1" x14ac:dyDescent="0.3">
      <c r="A410" s="32">
        <v>567</v>
      </c>
      <c r="B410" s="32"/>
      <c r="C410" s="32"/>
      <c r="D410" s="35"/>
      <c r="E410" s="32"/>
      <c r="F410" s="32"/>
      <c r="G410" s="32"/>
      <c r="H410" s="32"/>
      <c r="I410" s="32"/>
      <c r="J410" s="32"/>
      <c r="K410" s="32"/>
      <c r="L410" s="32"/>
      <c r="M410" s="23"/>
      <c r="N410" s="23"/>
      <c r="O410" s="32"/>
      <c r="P410" s="32"/>
      <c r="Q410" s="32"/>
      <c r="S410" s="34"/>
      <c r="T410" s="34"/>
      <c r="U410" s="34"/>
      <c r="V410" s="34"/>
      <c r="AG410" s="30"/>
      <c r="AH410" s="30"/>
      <c r="AI410" s="30"/>
      <c r="AJ410" s="31"/>
    </row>
    <row r="411" spans="1:36" s="29" customFormat="1" x14ac:dyDescent="0.3">
      <c r="A411" s="32"/>
      <c r="B411" s="32"/>
      <c r="C411" s="32"/>
      <c r="D411" s="35"/>
      <c r="E411" s="32"/>
      <c r="F411" s="32"/>
      <c r="G411" s="32"/>
      <c r="H411" s="32"/>
      <c r="I411" s="32"/>
      <c r="J411" s="32"/>
      <c r="K411" s="32"/>
      <c r="L411" s="32"/>
      <c r="M411" s="23"/>
      <c r="N411" s="23"/>
      <c r="O411" s="32"/>
      <c r="P411" s="32"/>
      <c r="Q411" s="32"/>
      <c r="S411" s="34"/>
      <c r="T411" s="34"/>
      <c r="U411" s="34"/>
      <c r="V411" s="34"/>
      <c r="AG411" s="30"/>
      <c r="AH411" s="30"/>
      <c r="AI411" s="30"/>
      <c r="AJ411" s="31"/>
    </row>
    <row r="412" spans="1:36" s="29" customFormat="1" x14ac:dyDescent="0.3">
      <c r="A412" s="32"/>
      <c r="B412" s="32"/>
      <c r="C412" s="32"/>
      <c r="D412" s="35"/>
      <c r="E412" s="32"/>
      <c r="F412" s="32"/>
      <c r="G412" s="32"/>
      <c r="H412" s="32"/>
      <c r="I412" s="32"/>
      <c r="J412" s="32"/>
      <c r="K412" s="32"/>
      <c r="L412" s="32"/>
      <c r="M412" s="23"/>
      <c r="N412" s="23"/>
      <c r="O412" s="32"/>
      <c r="P412" s="32"/>
      <c r="Q412" s="32"/>
      <c r="S412" s="34"/>
      <c r="T412" s="34"/>
      <c r="U412" s="34"/>
      <c r="V412" s="34"/>
      <c r="AG412" s="30"/>
      <c r="AH412" s="30"/>
      <c r="AI412" s="30"/>
      <c r="AJ412" s="31"/>
    </row>
    <row r="413" spans="1:36" s="29" customFormat="1" x14ac:dyDescent="0.3">
      <c r="A413" s="32"/>
      <c r="B413" s="32"/>
      <c r="C413" s="32"/>
      <c r="D413" s="35"/>
      <c r="E413" s="32"/>
      <c r="F413" s="32"/>
      <c r="G413" s="32"/>
      <c r="H413" s="32"/>
      <c r="I413" s="32"/>
      <c r="J413" s="32"/>
      <c r="K413" s="32"/>
      <c r="L413" s="32"/>
      <c r="M413" s="23"/>
      <c r="N413" s="23"/>
      <c r="O413" s="32"/>
      <c r="P413" s="32"/>
      <c r="Q413" s="32"/>
      <c r="S413" s="34"/>
      <c r="T413" s="34"/>
      <c r="U413" s="34"/>
      <c r="V413" s="34"/>
      <c r="AG413" s="30"/>
      <c r="AH413" s="30"/>
      <c r="AI413" s="30"/>
      <c r="AJ413" s="31"/>
    </row>
    <row r="414" spans="1:36" s="29" customFormat="1" x14ac:dyDescent="0.3">
      <c r="A414" s="32"/>
      <c r="B414" s="32"/>
      <c r="C414" s="32"/>
      <c r="D414" s="35"/>
      <c r="E414" s="32"/>
      <c r="F414" s="32"/>
      <c r="G414" s="32"/>
      <c r="H414" s="32"/>
      <c r="I414" s="32"/>
      <c r="J414" s="32"/>
      <c r="K414" s="32"/>
      <c r="L414" s="32"/>
      <c r="M414" s="23" t="e">
        <f>(J414/G414)*1000</f>
        <v>#DIV/0!</v>
      </c>
      <c r="N414" s="23" t="e">
        <f>(I414/G414)*1000</f>
        <v>#DIV/0!</v>
      </c>
      <c r="O414" s="32"/>
      <c r="P414" s="32"/>
      <c r="Q414" s="32"/>
      <c r="S414" s="34"/>
      <c r="T414" s="34"/>
      <c r="U414" s="34"/>
      <c r="V414" s="34"/>
      <c r="AG414" s="30"/>
      <c r="AH414" s="30"/>
      <c r="AI414" s="30"/>
      <c r="AJ414" s="31"/>
    </row>
    <row r="415" spans="1:36" s="29" customFormat="1" x14ac:dyDescent="0.3">
      <c r="A415" s="32"/>
      <c r="B415" s="32"/>
      <c r="C415" s="32"/>
      <c r="D415" s="35"/>
      <c r="E415" s="32"/>
      <c r="F415" s="32"/>
      <c r="G415" s="32"/>
      <c r="H415" s="32"/>
      <c r="I415" s="32"/>
      <c r="J415" s="32"/>
      <c r="K415" s="32"/>
      <c r="L415" s="32"/>
      <c r="M415" s="23"/>
      <c r="N415" s="23"/>
      <c r="O415" s="32"/>
      <c r="P415" s="32"/>
      <c r="Q415" s="32"/>
      <c r="S415" s="34"/>
      <c r="T415" s="34"/>
      <c r="U415" s="34"/>
      <c r="V415" s="34"/>
      <c r="AG415" s="30"/>
      <c r="AH415" s="30"/>
      <c r="AI415" s="30"/>
      <c r="AJ415" s="31"/>
    </row>
    <row r="416" spans="1:36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 t="e">
        <f>(I416/G416)*1000</f>
        <v>#DIV/0!</v>
      </c>
      <c r="N416" s="32" t="e">
        <f>(I416/G416)*1000</f>
        <v>#DIV/0!</v>
      </c>
      <c r="O416" s="32"/>
      <c r="P416" s="32"/>
      <c r="Q416" s="32"/>
      <c r="AG416" s="2"/>
      <c r="AH416" s="2"/>
      <c r="AI416" s="2"/>
      <c r="AJ416" s="3"/>
    </row>
    <row r="417" spans="3:36" x14ac:dyDescent="0.3">
      <c r="AG417" s="2"/>
      <c r="AH417" s="2"/>
      <c r="AI417" s="2"/>
      <c r="AJ417" s="3"/>
    </row>
    <row r="419" spans="3:36" x14ac:dyDescent="0.3">
      <c r="D419" s="25" t="s">
        <v>61</v>
      </c>
      <c r="E419" s="26"/>
      <c r="F419" s="26"/>
      <c r="G419" s="36">
        <f>SUM(G2:G418)</f>
        <v>7360.5401000000011</v>
      </c>
      <c r="H419" s="36"/>
      <c r="I419" s="27">
        <f>SUM(I2:I418)</f>
        <v>1086.9477999999997</v>
      </c>
      <c r="K419">
        <f>645+156</f>
        <v>801</v>
      </c>
    </row>
    <row r="420" spans="3:36" x14ac:dyDescent="0.3">
      <c r="K420">
        <f>K419+470</f>
        <v>1271</v>
      </c>
    </row>
    <row r="421" spans="3:36" x14ac:dyDescent="0.3">
      <c r="K421">
        <f>K420+30</f>
        <v>1301</v>
      </c>
    </row>
    <row r="426" spans="3:36" x14ac:dyDescent="0.3">
      <c r="C426">
        <f>500+900</f>
        <v>1400</v>
      </c>
    </row>
    <row r="427" spans="3:36" x14ac:dyDescent="0.3">
      <c r="F427" t="s">
        <v>58</v>
      </c>
      <c r="G427" t="s">
        <v>56</v>
      </c>
      <c r="I427">
        <v>5789</v>
      </c>
      <c r="J427">
        <v>445</v>
      </c>
      <c r="K427">
        <f>J427/I427</f>
        <v>7.6869925721195373E-2</v>
      </c>
      <c r="N427">
        <f>445*0.65</f>
        <v>289.25</v>
      </c>
      <c r="P427">
        <f>445*1.1</f>
        <v>489.50000000000006</v>
      </c>
    </row>
    <row r="428" spans="3:36" x14ac:dyDescent="0.3">
      <c r="F428" t="s">
        <v>58</v>
      </c>
      <c r="G428" t="s">
        <v>57</v>
      </c>
      <c r="I428">
        <v>4910</v>
      </c>
      <c r="J428">
        <v>340</v>
      </c>
      <c r="K428">
        <f>J428/I428</f>
        <v>6.9246435845213852E-2</v>
      </c>
      <c r="M428">
        <f>1000*76</f>
        <v>76000</v>
      </c>
      <c r="P428">
        <f>415/490</f>
        <v>0.84693877551020413</v>
      </c>
    </row>
    <row r="429" spans="3:36" x14ac:dyDescent="0.3">
      <c r="M429">
        <f>340+76</f>
        <v>416</v>
      </c>
      <c r="N429">
        <f>416/445</f>
        <v>0.93483146067415734</v>
      </c>
    </row>
    <row r="430" spans="3:36" x14ac:dyDescent="0.3">
      <c r="G430" t="s">
        <v>56</v>
      </c>
      <c r="I430">
        <v>441762470</v>
      </c>
      <c r="K430" t="s">
        <v>59</v>
      </c>
      <c r="L430">
        <f>442/470</f>
        <v>0.94042553191489364</v>
      </c>
      <c r="M430">
        <v>442</v>
      </c>
    </row>
    <row r="431" spans="3:36" x14ac:dyDescent="0.3">
      <c r="G431" t="s">
        <v>60</v>
      </c>
      <c r="I431">
        <v>23130042</v>
      </c>
      <c r="M431">
        <v>23</v>
      </c>
    </row>
    <row r="432" spans="3:36" x14ac:dyDescent="0.3">
      <c r="M432">
        <f>470*0.95</f>
        <v>446.5</v>
      </c>
    </row>
    <row r="433" spans="13:13" x14ac:dyDescent="0.3">
      <c r="M433">
        <f>25*0.95</f>
        <v>23.75</v>
      </c>
    </row>
  </sheetData>
  <autoFilter ref="A1:AJ416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</vt:lpstr>
      <vt:lpstr>HVMV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Nair</dc:creator>
  <cp:lastModifiedBy>ADITYA</cp:lastModifiedBy>
  <dcterms:created xsi:type="dcterms:W3CDTF">2016-01-08T05:23:20Z</dcterms:created>
  <dcterms:modified xsi:type="dcterms:W3CDTF">2019-02-15T06:37:18Z</dcterms:modified>
</cp:coreProperties>
</file>