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Analysis\200424COonFe3O4adsorptionEnthalpy\CheKiPEUQAnalysis1.0\CheKiPEUQ-master\Examples\Example13\"/>
    </mc:Choice>
  </mc:AlternateContent>
  <xr:revisionPtr revIDLastSave="0" documentId="13_ncr:1_{C447069E-A31E-4ECB-90C8-79501E3A3E2C}" xr6:coauthVersionLast="44" xr6:coauthVersionMax="44" xr10:uidLastSave="{00000000-0000-0000-0000-000000000000}"/>
  <bookViews>
    <workbookView xWindow="28680" yWindow="-2610" windowWidth="19440" windowHeight="151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8" i="1" l="1"/>
  <c r="F116" i="1"/>
  <c r="A72" i="1" l="1"/>
  <c r="A86" i="1"/>
  <c r="A100" i="1"/>
  <c r="A114" i="1"/>
  <c r="K114" i="1"/>
  <c r="K100" i="1"/>
  <c r="K86" i="1"/>
  <c r="K72" i="1"/>
  <c r="P114" i="1"/>
  <c r="P100" i="1"/>
  <c r="P86" i="1"/>
  <c r="Q72" i="1"/>
  <c r="Q74" i="1" s="1"/>
  <c r="B15" i="1"/>
  <c r="B12" i="1"/>
  <c r="B13" i="1" s="1"/>
  <c r="K40" i="1" l="1"/>
  <c r="B14" i="1"/>
  <c r="G53" i="1" l="1"/>
  <c r="D57" i="1" s="1"/>
  <c r="I54" i="1" l="1"/>
  <c r="D40" i="1"/>
  <c r="I115" i="1" l="1"/>
  <c r="S115" i="1"/>
  <c r="S101" i="1"/>
  <c r="I101" i="1"/>
  <c r="F100" i="1" s="1"/>
  <c r="I87" i="1"/>
  <c r="S73" i="1"/>
  <c r="I73" i="1"/>
  <c r="B16" i="1"/>
  <c r="I53" i="1" s="1"/>
  <c r="S72" i="1" l="1"/>
  <c r="I72" i="1"/>
  <c r="I86" i="1"/>
  <c r="I100" i="1"/>
  <c r="F114" i="1"/>
  <c r="Q114" i="1"/>
  <c r="G114" i="1"/>
  <c r="C116" i="1" s="1"/>
  <c r="C118" i="1" s="1"/>
  <c r="Q100" i="1"/>
  <c r="M102" i="1" s="1"/>
  <c r="M104" i="1" s="1"/>
  <c r="G100" i="1"/>
  <c r="Q86" i="1"/>
  <c r="Q88" i="1" s="1"/>
  <c r="G72" i="1"/>
  <c r="M116" i="1" l="1"/>
  <c r="M118" i="1" s="1"/>
  <c r="Q116" i="1"/>
  <c r="C102" i="1"/>
  <c r="C104" i="1" s="1"/>
  <c r="G86" i="1"/>
  <c r="C88" i="1" s="1"/>
  <c r="C90" i="1" s="1"/>
  <c r="A53" i="1" l="1"/>
  <c r="C74" i="1" l="1"/>
  <c r="C76" i="1" s="1"/>
  <c r="B11" i="1"/>
  <c r="B26" i="1"/>
  <c r="M114" i="1" s="1"/>
  <c r="L116" i="1" s="1"/>
  <c r="S71" i="1" l="1"/>
  <c r="P72" i="1" s="1"/>
  <c r="I99" i="1"/>
  <c r="I52" i="1"/>
  <c r="F53" i="1" s="1"/>
  <c r="I85" i="1"/>
  <c r="I71" i="1"/>
  <c r="F72" i="1" s="1"/>
  <c r="L118" i="1"/>
  <c r="L112" i="1" s="1"/>
  <c r="C114" i="1"/>
  <c r="B116" i="1" s="1"/>
  <c r="S87" i="1"/>
  <c r="F86" i="1"/>
  <c r="C72" i="1"/>
  <c r="C100" i="1"/>
  <c r="M86" i="1"/>
  <c r="L88" i="1" s="1"/>
  <c r="M100" i="1"/>
  <c r="L102" i="1" s="1"/>
  <c r="L104" i="1" s="1"/>
  <c r="L98" i="1" s="1"/>
  <c r="C86" i="1"/>
  <c r="C53" i="1"/>
  <c r="A57" i="1" s="1"/>
  <c r="A60" i="1" s="1"/>
  <c r="M72" i="1"/>
  <c r="L74" i="1" l="1"/>
  <c r="L76" i="1" s="1"/>
  <c r="B88" i="1"/>
  <c r="B90" i="1" s="1"/>
  <c r="K116" i="1"/>
  <c r="A116" i="1"/>
  <c r="A102" i="1"/>
  <c r="A88" i="1"/>
  <c r="K102" i="1"/>
  <c r="K74" i="1"/>
  <c r="K88" i="1"/>
  <c r="A74" i="1"/>
  <c r="B102" i="1"/>
  <c r="B104" i="1" s="1"/>
  <c r="B98" i="1" s="1"/>
  <c r="B118" i="1"/>
  <c r="B112" i="1" s="1"/>
  <c r="L90" i="1"/>
  <c r="B74" i="1"/>
  <c r="B76" i="1" s="1"/>
  <c r="L84" i="1" l="1"/>
  <c r="B84" i="1"/>
  <c r="B70" i="1"/>
  <c r="L70" i="1"/>
</calcChain>
</file>

<file path=xl/sharedStrings.xml><?xml version="1.0" encoding="utf-8"?>
<sst xmlns="http://schemas.openxmlformats.org/spreadsheetml/2006/main" count="220" uniqueCount="97">
  <si>
    <t>Constants</t>
  </si>
  <si>
    <t>k</t>
  </si>
  <si>
    <t>R</t>
  </si>
  <si>
    <t>Units</t>
  </si>
  <si>
    <t>Variables</t>
  </si>
  <si>
    <t>T</t>
  </si>
  <si>
    <t>m</t>
  </si>
  <si>
    <t>n</t>
  </si>
  <si>
    <t>g/mol</t>
  </si>
  <si>
    <t>atoms/mol</t>
  </si>
  <si>
    <t>mol</t>
  </si>
  <si>
    <t>K</t>
  </si>
  <si>
    <t>h</t>
  </si>
  <si>
    <t>Js</t>
  </si>
  <si>
    <t>K/mol</t>
  </si>
  <si>
    <t>J/K</t>
  </si>
  <si>
    <t>kg</t>
  </si>
  <si>
    <t>Full Sackur Tetrode Equation for Arbitrary Dimensions, D</t>
  </si>
  <si>
    <t>mol/m^2</t>
  </si>
  <si>
    <t>m^3</t>
  </si>
  <si>
    <t>Natural Logarithm of the First Term</t>
  </si>
  <si>
    <t>Natural Logarithm of the Second Term</t>
  </si>
  <si>
    <t>(n*NA)</t>
  </si>
  <si>
    <t>exponential term^D</t>
  </si>
  <si>
    <t>(Square Root Term/h)^D</t>
  </si>
  <si>
    <t>L term^D</t>
  </si>
  <si>
    <t>Full Sackur Tetrode Equation for 3-D</t>
  </si>
  <si>
    <t>S(2-D)</t>
  </si>
  <si>
    <t>S(3-D)</t>
  </si>
  <si>
    <t>m^2</t>
  </si>
  <si>
    <t>LN term</t>
  </si>
  <si>
    <t>n*R*LN Term</t>
  </si>
  <si>
    <t>1st LN Term</t>
  </si>
  <si>
    <t>2nd LN Term</t>
  </si>
  <si>
    <t>D=</t>
  </si>
  <si>
    <t>Equation 4a.</t>
  </si>
  <si>
    <t>Equation 4b.</t>
  </si>
  <si>
    <t>n*R*1st LN Term</t>
  </si>
  <si>
    <t>n*R*2nd LN Term</t>
  </si>
  <si>
    <t>Equation 3a.</t>
  </si>
  <si>
    <t>Equation 3b.</t>
  </si>
  <si>
    <r>
      <t>L</t>
    </r>
    <r>
      <rPr>
        <vertAlign val="subscript"/>
        <sz val="11"/>
        <color theme="1"/>
        <rFont val="Calibri"/>
        <family val="2"/>
        <scheme val="minor"/>
      </rPr>
      <t>3D-I</t>
    </r>
    <r>
      <rPr>
        <sz val="11"/>
        <color theme="1"/>
        <rFont val="Calibri"/>
        <family val="2"/>
        <scheme val="minor"/>
      </rPr>
      <t>=</t>
    </r>
  </si>
  <si>
    <r>
      <t>L</t>
    </r>
    <r>
      <rPr>
        <vertAlign val="subscript"/>
        <sz val="11"/>
        <color theme="1"/>
        <rFont val="Calibri"/>
        <family val="2"/>
        <scheme val="minor"/>
      </rPr>
      <t>2D-S</t>
    </r>
    <r>
      <rPr>
        <sz val="11"/>
        <color theme="1"/>
        <rFont val="Calibri"/>
        <family val="2"/>
        <scheme val="minor"/>
      </rPr>
      <t>=</t>
    </r>
  </si>
  <si>
    <r>
      <t>L</t>
    </r>
    <r>
      <rPr>
        <vertAlign val="subscript"/>
        <sz val="11"/>
        <color theme="1"/>
        <rFont val="Calibri"/>
        <family val="2"/>
        <scheme val="minor"/>
      </rPr>
      <t>2D-C</t>
    </r>
    <r>
      <rPr>
        <sz val="11"/>
        <color theme="1"/>
        <rFont val="Calibri"/>
        <family val="2"/>
        <scheme val="minor"/>
      </rPr>
      <t>=</t>
    </r>
  </si>
  <si>
    <t>Equation 3c.</t>
  </si>
  <si>
    <t>Equation 4c.</t>
  </si>
  <si>
    <t>NA</t>
  </si>
  <si>
    <t>Equation 3d.</t>
  </si>
  <si>
    <t>Equation 4d.</t>
  </si>
  <si>
    <r>
      <rPr>
        <sz val="11"/>
        <color theme="1"/>
        <rFont val="Calibri"/>
        <family val="2"/>
      </rPr>
      <t>σ⁰</t>
    </r>
    <r>
      <rPr>
        <sz val="7.7"/>
        <color theme="1"/>
        <rFont val="Calibri"/>
        <family val="2"/>
      </rPr>
      <t xml:space="preserve"> Savara</t>
    </r>
  </si>
  <si>
    <r>
      <t xml:space="preserve">σ⁰ </t>
    </r>
    <r>
      <rPr>
        <vertAlign val="subscript"/>
        <sz val="11"/>
        <color theme="1"/>
        <rFont val="Calibri"/>
        <family val="2"/>
        <scheme val="minor"/>
      </rPr>
      <t>Campbell</t>
    </r>
  </si>
  <si>
    <t>this # correspondes to 1.17E13 molecules/cm^2, consistent with Campbell's paper</t>
  </si>
  <si>
    <t>Boltzmann Const.</t>
  </si>
  <si>
    <t>Ideal Gas Const.</t>
  </si>
  <si>
    <t>Avogadro's #</t>
  </si>
  <si>
    <t>Planck's Const.</t>
  </si>
  <si>
    <t># of moles</t>
  </si>
  <si>
    <r>
      <t>L</t>
    </r>
    <r>
      <rPr>
        <vertAlign val="subscript"/>
        <sz val="11"/>
        <color theme="1"/>
        <rFont val="Calibri"/>
        <family val="2"/>
        <scheme val="minor"/>
      </rPr>
      <t>(3D-I)</t>
    </r>
  </si>
  <si>
    <r>
      <t>L</t>
    </r>
    <r>
      <rPr>
        <vertAlign val="subscript"/>
        <sz val="11"/>
        <color theme="1"/>
        <rFont val="Calibri"/>
        <family val="2"/>
        <scheme val="minor"/>
      </rPr>
      <t>(2D-S)</t>
    </r>
  </si>
  <si>
    <r>
      <t>L</t>
    </r>
    <r>
      <rPr>
        <vertAlign val="subscript"/>
        <sz val="11"/>
        <color theme="1"/>
        <rFont val="Calibri"/>
        <family val="2"/>
        <scheme val="minor"/>
      </rPr>
      <t>(2D-C)</t>
    </r>
  </si>
  <si>
    <t>Standard Length of equilateral box for IUPAC 3D gas standard state</t>
  </si>
  <si>
    <t>Standard Length of equilateral box for Savara 2D gas standard state</t>
  </si>
  <si>
    <t>Standard Length of equilateral box for Campbell 2D gas standard state</t>
  </si>
  <si>
    <t>N_A</t>
  </si>
  <si>
    <t>The Sackur Tetrode Equation:</t>
  </si>
  <si>
    <t>These are the length conversions between the standard length of equilateral box for IUPAC 3D gas standard state (3D-I), and the Standard Lengths of the Equilateral boxes for Campbell (2D-C) and Savara (2D-S)  2D gas standard states</t>
  </si>
  <si>
    <r>
      <t>For Savara case of L</t>
    </r>
    <r>
      <rPr>
        <b/>
        <vertAlign val="subscript"/>
        <sz val="11"/>
        <color theme="1"/>
        <rFont val="Calibri"/>
        <family val="2"/>
        <scheme val="minor"/>
      </rPr>
      <t>m,2D-S:</t>
    </r>
  </si>
  <si>
    <r>
      <t>For Campbell case of L</t>
    </r>
    <r>
      <rPr>
        <b/>
        <vertAlign val="subscript"/>
        <sz val="11"/>
        <color theme="1"/>
        <rFont val="Calibri"/>
        <family val="2"/>
        <scheme val="minor"/>
      </rPr>
      <t>m,2D-C:</t>
    </r>
  </si>
  <si>
    <t>Below, for each equation's evaluation, the output is highlighted in yellow with a bold border.</t>
  </si>
  <si>
    <t xml:space="preserve">Standard Molar Volume </t>
  </si>
  <si>
    <t>Standard Molar volume for IUPAC 3D gas standard state at 298.15 K</t>
  </si>
  <si>
    <t xml:space="preserve">Campbell's Standard Molar Area </t>
  </si>
  <si>
    <t>For 2D gas at 298.15 K</t>
  </si>
  <si>
    <t>Savara's Standard Molar Area</t>
  </si>
  <si>
    <t>D</t>
  </si>
  <si>
    <t>Variables =</t>
  </si>
  <si>
    <t>meters</t>
  </si>
  <si>
    <t>Please note that the molar volume and lengths may also be temperature dependent. This sheet has been made specificially for 298.15 K and does not account for that.</t>
  </si>
  <si>
    <t xml:space="preserve"> </t>
  </si>
  <si>
    <t>e^1/(n*NA)</t>
  </si>
  <si>
    <t xml:space="preserve">For 2D gas at 298.15 K </t>
  </si>
  <si>
    <t>exponential term^D/2</t>
  </si>
  <si>
    <t xml:space="preserve">    </t>
  </si>
  <si>
    <t>NA^1/3</t>
  </si>
  <si>
    <t>NA^-(0.5)</t>
  </si>
  <si>
    <t>NA^-1</t>
  </si>
  <si>
    <t xml:space="preserve">  </t>
  </si>
  <si>
    <t>J/molK</t>
  </si>
  <si>
    <t>NA^(1/3)*EXP(-1/3)</t>
  </si>
  <si>
    <t>EXP(1/2)*NA^(-1/2)</t>
  </si>
  <si>
    <t>Below is an example of equations 3a-3d and 4a-4d using , with the standard entropy of the internal modes set to 0 J/molK</t>
  </si>
  <si>
    <t>Here are the constants used in the  example</t>
  </si>
  <si>
    <t>Here are  variables used in the  example</t>
  </si>
  <si>
    <t>This colored boxed area is the calculation for the 3D gas standard state entropy for  the Full Sackur Tetrode Equation and assuming the entropic contribution from internal modes is 0 J/mol K</t>
  </si>
  <si>
    <t>Mass of a single molecule</t>
  </si>
  <si>
    <t>MW of Molecule</t>
  </si>
  <si>
    <t>Molecular weight of Molecule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</si>
</sst>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.7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sz val="1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2" borderId="0" xfId="0" applyFill="1" applyAlignme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4" borderId="0" xfId="0" applyFill="1"/>
    <xf numFmtId="164" fontId="0" fillId="4" borderId="0" xfId="0" applyNumberFormat="1" applyFill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/>
    <xf numFmtId="164" fontId="0" fillId="0" borderId="0" xfId="0" applyNumberFormat="1" applyFill="1"/>
    <xf numFmtId="0" fontId="0" fillId="0" borderId="0" xfId="0" applyFill="1" applyAlignment="1"/>
    <xf numFmtId="2" fontId="0" fillId="0" borderId="0" xfId="0" applyNumberFormat="1" applyFill="1"/>
    <xf numFmtId="2" fontId="0" fillId="0" borderId="0" xfId="0" applyNumberFormat="1" applyFill="1" applyAlignment="1">
      <alignment horizontal="center"/>
    </xf>
    <xf numFmtId="11" fontId="0" fillId="0" borderId="0" xfId="0" applyNumberFormat="1" applyAlignment="1"/>
    <xf numFmtId="0" fontId="0" fillId="5" borderId="0" xfId="0" applyFill="1"/>
    <xf numFmtId="11" fontId="0" fillId="5" borderId="0" xfId="0" applyNumberFormat="1" applyFill="1"/>
    <xf numFmtId="0" fontId="0" fillId="6" borderId="0" xfId="0" applyFill="1"/>
    <xf numFmtId="11" fontId="0" fillId="6" borderId="0" xfId="0" applyNumberFormat="1" applyFill="1"/>
    <xf numFmtId="2" fontId="0" fillId="0" borderId="0" xfId="0" applyNumberFormat="1" applyAlignment="1"/>
    <xf numFmtId="0" fontId="3" fillId="0" borderId="0" xfId="0" applyFont="1" applyFill="1" applyAlignment="1">
      <alignment horizontal="center"/>
    </xf>
    <xf numFmtId="0" fontId="3" fillId="6" borderId="0" xfId="0" applyFont="1" applyFill="1"/>
    <xf numFmtId="0" fontId="0" fillId="5" borderId="0" xfId="0" applyFill="1" applyAlignment="1"/>
    <xf numFmtId="11" fontId="0" fillId="5" borderId="0" xfId="0" applyNumberFormat="1" applyFill="1" applyAlignment="1"/>
    <xf numFmtId="0" fontId="3" fillId="0" borderId="0" xfId="0" applyFont="1" applyAlignment="1">
      <alignment horizontal="right"/>
    </xf>
    <xf numFmtId="2" fontId="0" fillId="3" borderId="1" xfId="0" applyNumberFormat="1" applyFill="1" applyBorder="1" applyAlignment="1">
      <alignment horizontal="center"/>
    </xf>
    <xf numFmtId="0" fontId="0" fillId="3" borderId="2" xfId="0" applyFill="1" applyBorder="1"/>
    <xf numFmtId="2" fontId="0" fillId="3" borderId="3" xfId="0" applyNumberFormat="1" applyFill="1" applyBorder="1"/>
    <xf numFmtId="164" fontId="0" fillId="3" borderId="3" xfId="0" applyNumberFormat="1" applyFill="1" applyBorder="1"/>
    <xf numFmtId="0" fontId="3" fillId="0" borderId="0" xfId="0" applyFont="1" applyFill="1" applyAlignment="1"/>
    <xf numFmtId="0" fontId="0" fillId="0" borderId="0" xfId="0" applyFont="1" applyFill="1" applyAlignment="1"/>
    <xf numFmtId="0" fontId="0" fillId="0" borderId="0" xfId="0" applyFont="1" applyFill="1" applyAlignment="1">
      <alignment horizontal="left"/>
    </xf>
    <xf numFmtId="0" fontId="0" fillId="7" borderId="0" xfId="0" applyFill="1"/>
    <xf numFmtId="11" fontId="0" fillId="7" borderId="0" xfId="0" applyNumberFormat="1" applyFill="1"/>
    <xf numFmtId="0" fontId="1" fillId="7" borderId="0" xfId="0" applyFont="1" applyFill="1"/>
    <xf numFmtId="0" fontId="3" fillId="7" borderId="0" xfId="0" applyFont="1" applyFill="1"/>
    <xf numFmtId="0" fontId="6" fillId="0" borderId="0" xfId="0" applyFont="1" applyFill="1"/>
    <xf numFmtId="0" fontId="0" fillId="8" borderId="0" xfId="0" applyFill="1"/>
    <xf numFmtId="11" fontId="3" fillId="0" borderId="0" xfId="0" applyNumberFormat="1" applyFont="1" applyAlignment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 applyAlignment="1">
      <alignment vertical="center"/>
    </xf>
    <xf numFmtId="0" fontId="0" fillId="0" borderId="0" xfId="0" applyAlignment="1"/>
    <xf numFmtId="0" fontId="12" fillId="0" borderId="0" xfId="0" applyFont="1"/>
    <xf numFmtId="0" fontId="12" fillId="0" borderId="0" xfId="0" applyFont="1" applyFill="1"/>
    <xf numFmtId="0" fontId="1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11" fillId="0" borderId="0" xfId="0" applyFont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1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64033</xdr:colOff>
      <xdr:row>65</xdr:row>
      <xdr:rowOff>80043</xdr:rowOff>
    </xdr:from>
    <xdr:to>
      <xdr:col>6</xdr:col>
      <xdr:colOff>582705</xdr:colOff>
      <xdr:row>68</xdr:row>
      <xdr:rowOff>182963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8C745DED-B963-40E6-91E4-018B15B70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033" y="12597014"/>
          <a:ext cx="6805172" cy="67442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0</xdr:col>
      <xdr:colOff>36019</xdr:colOff>
      <xdr:row>79</xdr:row>
      <xdr:rowOff>41622</xdr:rowOff>
    </xdr:from>
    <xdr:to>
      <xdr:col>7</xdr:col>
      <xdr:colOff>363922</xdr:colOff>
      <xdr:row>82</xdr:row>
      <xdr:rowOff>193702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1BE60942-8BB5-49F1-99C9-9B0E3EE9F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19" y="16098051"/>
          <a:ext cx="7349189" cy="72358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0</xdr:col>
      <xdr:colOff>64034</xdr:colOff>
      <xdr:row>93</xdr:row>
      <xdr:rowOff>100853</xdr:rowOff>
    </xdr:from>
    <xdr:to>
      <xdr:col>6</xdr:col>
      <xdr:colOff>569083</xdr:colOff>
      <xdr:row>96</xdr:row>
      <xdr:rowOff>145677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A59B80F5-F27A-4686-A6A1-7099F30EB9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9732" b="7914"/>
        <a:stretch/>
      </xdr:blipFill>
      <xdr:spPr>
        <a:xfrm>
          <a:off x="64034" y="17828559"/>
          <a:ext cx="6791549" cy="61632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0</xdr:col>
      <xdr:colOff>95250</xdr:colOff>
      <xdr:row>107</xdr:row>
      <xdr:rowOff>63237</xdr:rowOff>
    </xdr:from>
    <xdr:to>
      <xdr:col>8</xdr:col>
      <xdr:colOff>152300</xdr:colOff>
      <xdr:row>110</xdr:row>
      <xdr:rowOff>87247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5B7AE868-B27D-4841-8B6A-A33021B8FB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22820"/>
        <a:stretch/>
      </xdr:blipFill>
      <xdr:spPr>
        <a:xfrm>
          <a:off x="95250" y="21007031"/>
          <a:ext cx="7654638" cy="60911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10</xdr:col>
      <xdr:colOff>4001</xdr:colOff>
      <xdr:row>79</xdr:row>
      <xdr:rowOff>56029</xdr:rowOff>
    </xdr:from>
    <xdr:to>
      <xdr:col>19</xdr:col>
      <xdr:colOff>87737</xdr:colOff>
      <xdr:row>82</xdr:row>
      <xdr:rowOff>136873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E77D3E04-9979-4CFF-8A3F-DEA2F1A084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6862" b="13529"/>
        <a:stretch/>
      </xdr:blipFill>
      <xdr:spPr>
        <a:xfrm>
          <a:off x="12442530" y="15329647"/>
          <a:ext cx="6725623" cy="64994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10</xdr:col>
      <xdr:colOff>801</xdr:colOff>
      <xdr:row>93</xdr:row>
      <xdr:rowOff>78441</xdr:rowOff>
    </xdr:from>
    <xdr:to>
      <xdr:col>18</xdr:col>
      <xdr:colOff>706430</xdr:colOff>
      <xdr:row>96</xdr:row>
      <xdr:rowOff>134471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52B0728C-2004-4433-9268-217F24F088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8519" b="11967"/>
        <a:stretch/>
      </xdr:blipFill>
      <xdr:spPr>
        <a:xfrm>
          <a:off x="12439330" y="17806147"/>
          <a:ext cx="6558302" cy="62753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10</xdr:col>
      <xdr:colOff>81643</xdr:colOff>
      <xdr:row>107</xdr:row>
      <xdr:rowOff>80846</xdr:rowOff>
    </xdr:from>
    <xdr:to>
      <xdr:col>18</xdr:col>
      <xdr:colOff>700775</xdr:colOff>
      <xdr:row>110</xdr:row>
      <xdr:rowOff>135275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77225B6F-91E1-4AB3-AFB4-916457DD0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520172" y="21506493"/>
          <a:ext cx="6471805" cy="63953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0</xdr:col>
      <xdr:colOff>80042</xdr:colOff>
      <xdr:row>47</xdr:row>
      <xdr:rowOff>38420</xdr:rowOff>
    </xdr:from>
    <xdr:to>
      <xdr:col>0</xdr:col>
      <xdr:colOff>855649</xdr:colOff>
      <xdr:row>49</xdr:row>
      <xdr:rowOff>147277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761F18DA-54F4-4949-8A21-A98FFDA8B7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16234" t="27977" r="71429" b="19014"/>
        <a:stretch/>
      </xdr:blipFill>
      <xdr:spPr>
        <a:xfrm>
          <a:off x="80042" y="10000449"/>
          <a:ext cx="775607" cy="48985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0</xdr:col>
      <xdr:colOff>1210235</xdr:colOff>
      <xdr:row>32</xdr:row>
      <xdr:rowOff>89647</xdr:rowOff>
    </xdr:from>
    <xdr:to>
      <xdr:col>6</xdr:col>
      <xdr:colOff>186017</xdr:colOff>
      <xdr:row>35</xdr:row>
      <xdr:rowOff>90207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DF51A8E-1A61-477A-9156-1A81BAEBB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0235" y="6320118"/>
          <a:ext cx="5262282" cy="57206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</xdr:pic>
    <xdr:clientData/>
  </xdr:twoCellAnchor>
  <xdr:twoCellAnchor>
    <xdr:from>
      <xdr:col>10</xdr:col>
      <xdr:colOff>123265</xdr:colOff>
      <xdr:row>65</xdr:row>
      <xdr:rowOff>78441</xdr:rowOff>
    </xdr:from>
    <xdr:to>
      <xdr:col>18</xdr:col>
      <xdr:colOff>170890</xdr:colOff>
      <xdr:row>68</xdr:row>
      <xdr:rowOff>79002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9008800-C469-4EF3-A671-19602568B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61794" y="12864353"/>
          <a:ext cx="5785037" cy="57206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</xdr:pic>
    <xdr:clientData/>
  </xdr:twoCellAnchor>
  <xdr:twoCellAnchor>
    <xdr:from>
      <xdr:col>1</xdr:col>
      <xdr:colOff>476250</xdr:colOff>
      <xdr:row>40</xdr:row>
      <xdr:rowOff>9525</xdr:rowOff>
    </xdr:from>
    <xdr:to>
      <xdr:col>4</xdr:col>
      <xdr:colOff>523875</xdr:colOff>
      <xdr:row>41</xdr:row>
      <xdr:rowOff>104775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A263AF-EA81-469B-AB6B-53718C993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7896225"/>
          <a:ext cx="26003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485775</xdr:colOff>
      <xdr:row>41</xdr:row>
      <xdr:rowOff>161925</xdr:rowOff>
    </xdr:from>
    <xdr:to>
      <xdr:col>5</xdr:col>
      <xdr:colOff>38100</xdr:colOff>
      <xdr:row>43</xdr:row>
      <xdr:rowOff>19050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28D4F06-C27D-4D4C-A2FE-500322495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" y="8239125"/>
          <a:ext cx="27146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2676525</xdr:colOff>
      <xdr:row>40</xdr:row>
      <xdr:rowOff>38100</xdr:rowOff>
    </xdr:from>
    <xdr:to>
      <xdr:col>12</xdr:col>
      <xdr:colOff>323850</xdr:colOff>
      <xdr:row>41</xdr:row>
      <xdr:rowOff>133350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A626997-A466-4156-993B-F3FFB8C5E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0" y="7924800"/>
          <a:ext cx="30099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2667000</xdr:colOff>
      <xdr:row>42</xdr:row>
      <xdr:rowOff>57150</xdr:rowOff>
    </xdr:from>
    <xdr:to>
      <xdr:col>12</xdr:col>
      <xdr:colOff>333375</xdr:colOff>
      <xdr:row>43</xdr:row>
      <xdr:rowOff>104775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87B894C9-A02A-4BB7-97BB-51A88934D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96675" y="8324850"/>
          <a:ext cx="30289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8"/>
  <sheetViews>
    <sheetView tabSelected="1" zoomScale="70" zoomScaleNormal="70" workbookViewId="0">
      <selection activeCell="B10" sqref="B10"/>
    </sheetView>
  </sheetViews>
  <sheetFormatPr defaultRowHeight="15" x14ac:dyDescent="0.25"/>
  <cols>
    <col min="1" max="1" width="34" customWidth="1"/>
    <col min="2" max="2" width="17.28515625" bestFit="1" customWidth="1"/>
    <col min="3" max="3" width="11.85546875" bestFit="1" customWidth="1"/>
    <col min="6" max="6" width="13" bestFit="1" customWidth="1"/>
    <col min="7" max="7" width="10.5703125" bestFit="1" customWidth="1"/>
    <col min="9" max="9" width="18.28515625" bestFit="1" customWidth="1"/>
    <col min="10" max="10" width="54.28515625" customWidth="1"/>
    <col min="11" max="11" width="11.7109375" bestFit="1" customWidth="1"/>
    <col min="12" max="12" width="14.42578125" bestFit="1" customWidth="1"/>
    <col min="14" max="14" width="10.28515625" bestFit="1" customWidth="1"/>
    <col min="15" max="15" width="10.5703125" bestFit="1" customWidth="1"/>
    <col min="16" max="16" width="11" customWidth="1"/>
    <col min="17" max="17" width="10.28515625" bestFit="1" customWidth="1"/>
    <col min="18" max="18" width="10.5703125" bestFit="1" customWidth="1"/>
    <col min="19" max="19" width="11.85546875" customWidth="1"/>
  </cols>
  <sheetData>
    <row r="1" spans="1:16" x14ac:dyDescent="0.25">
      <c r="A1" t="s">
        <v>90</v>
      </c>
    </row>
    <row r="3" spans="1:16" x14ac:dyDescent="0.25">
      <c r="A3" s="55" t="s">
        <v>91</v>
      </c>
      <c r="B3" s="55"/>
      <c r="C3" s="55"/>
    </row>
    <row r="4" spans="1:16" x14ac:dyDescent="0.25">
      <c r="A4" s="42" t="s">
        <v>0</v>
      </c>
      <c r="B4" s="39"/>
      <c r="C4" s="42" t="s">
        <v>3</v>
      </c>
    </row>
    <row r="5" spans="1:16" x14ac:dyDescent="0.25">
      <c r="A5" s="22" t="s">
        <v>1</v>
      </c>
      <c r="B5" s="23">
        <v>1.3800000000000001E-23</v>
      </c>
      <c r="C5" s="22" t="s">
        <v>15</v>
      </c>
      <c r="D5" t="s">
        <v>52</v>
      </c>
      <c r="I5" s="3"/>
    </row>
    <row r="6" spans="1:16" x14ac:dyDescent="0.25">
      <c r="A6" s="22" t="s">
        <v>2</v>
      </c>
      <c r="B6" s="22">
        <v>8.3144589999999994</v>
      </c>
      <c r="C6" s="22" t="s">
        <v>14</v>
      </c>
      <c r="D6" t="s">
        <v>53</v>
      </c>
    </row>
    <row r="7" spans="1:16" x14ac:dyDescent="0.25">
      <c r="A7" s="22" t="s">
        <v>63</v>
      </c>
      <c r="B7" s="23">
        <v>6.02E+23</v>
      </c>
      <c r="C7" s="22" t="s">
        <v>9</v>
      </c>
      <c r="D7" t="s">
        <v>54</v>
      </c>
      <c r="P7" s="21"/>
    </row>
    <row r="8" spans="1:16" x14ac:dyDescent="0.25">
      <c r="A8" s="22" t="s">
        <v>12</v>
      </c>
      <c r="B8" s="23">
        <v>6.6260700000000002E-34</v>
      </c>
      <c r="C8" s="22" t="s">
        <v>13</v>
      </c>
      <c r="D8" t="s">
        <v>55</v>
      </c>
      <c r="J8" s="46" t="s">
        <v>78</v>
      </c>
    </row>
    <row r="9" spans="1:16" x14ac:dyDescent="0.25">
      <c r="A9" s="22" t="s">
        <v>95</v>
      </c>
      <c r="B9" s="23">
        <v>28</v>
      </c>
      <c r="C9" s="22" t="s">
        <v>8</v>
      </c>
      <c r="D9" t="s">
        <v>96</v>
      </c>
      <c r="N9" s="1"/>
    </row>
    <row r="10" spans="1:16" x14ac:dyDescent="0.25">
      <c r="A10" s="39" t="s">
        <v>69</v>
      </c>
      <c r="B10" s="39">
        <v>2.4799999999999999E-2</v>
      </c>
      <c r="C10" s="39" t="s">
        <v>19</v>
      </c>
      <c r="D10" s="38" t="s">
        <v>70</v>
      </c>
      <c r="E10" s="27"/>
      <c r="F10" s="27"/>
      <c r="G10" s="27"/>
      <c r="H10" s="27"/>
      <c r="I10" s="27"/>
      <c r="J10" s="27"/>
      <c r="K10" s="12"/>
    </row>
    <row r="11" spans="1:16" ht="18" x14ac:dyDescent="0.35">
      <c r="A11" s="39" t="s">
        <v>57</v>
      </c>
      <c r="B11" s="40">
        <f>B10^(1/3)</f>
        <v>0.29161994716534234</v>
      </c>
      <c r="C11" s="39" t="s">
        <v>6</v>
      </c>
      <c r="D11" t="s">
        <v>60</v>
      </c>
      <c r="I11" s="2"/>
    </row>
    <row r="12" spans="1:16" x14ac:dyDescent="0.25">
      <c r="A12" s="29" t="s">
        <v>71</v>
      </c>
      <c r="B12" s="30">
        <f>((B10/B7)^(2/3))*EXP(-1/3)*B7</f>
        <v>5145194.424323515</v>
      </c>
      <c r="C12" s="22" t="s">
        <v>29</v>
      </c>
      <c r="D12" s="49" t="s">
        <v>80</v>
      </c>
      <c r="I12" s="12"/>
      <c r="J12" s="12"/>
      <c r="K12" s="12"/>
    </row>
    <row r="13" spans="1:16" ht="18" x14ac:dyDescent="0.35">
      <c r="A13" s="22" t="s">
        <v>59</v>
      </c>
      <c r="B13" s="22">
        <f>SQRT(B12)</f>
        <v>2268.3021016442044</v>
      </c>
      <c r="C13" s="22" t="s">
        <v>6</v>
      </c>
      <c r="D13" t="s">
        <v>62</v>
      </c>
      <c r="I13" s="1"/>
    </row>
    <row r="14" spans="1:16" ht="18" x14ac:dyDescent="0.35">
      <c r="A14" s="29" t="s">
        <v>50</v>
      </c>
      <c r="B14" s="23">
        <f>1/B12</f>
        <v>1.9435611514942489E-7</v>
      </c>
      <c r="C14" s="22" t="s">
        <v>18</v>
      </c>
      <c r="D14" s="37" t="s">
        <v>51</v>
      </c>
      <c r="E14" s="36"/>
      <c r="F14" s="36"/>
      <c r="G14" s="36"/>
      <c r="H14" s="36"/>
      <c r="I14" s="36"/>
      <c r="J14" s="36"/>
      <c r="K14" s="2"/>
    </row>
    <row r="15" spans="1:16" x14ac:dyDescent="0.25">
      <c r="A15" s="39" t="s">
        <v>73</v>
      </c>
      <c r="B15" s="40">
        <f>(B10/B7)^(2/3)*B7</f>
        <v>7180697.2680695662</v>
      </c>
      <c r="C15" s="39" t="s">
        <v>29</v>
      </c>
      <c r="D15" t="s">
        <v>72</v>
      </c>
      <c r="I15" s="12"/>
      <c r="J15" s="12"/>
      <c r="K15" s="1"/>
    </row>
    <row r="16" spans="1:16" ht="18" x14ac:dyDescent="0.35">
      <c r="A16" s="39" t="s">
        <v>58</v>
      </c>
      <c r="B16" s="39">
        <f>SQRT(B15)</f>
        <v>2679.6823073024098</v>
      </c>
      <c r="C16" s="39" t="s">
        <v>6</v>
      </c>
      <c r="D16" t="s">
        <v>61</v>
      </c>
      <c r="I16" s="12"/>
      <c r="J16" s="12"/>
      <c r="K16" s="12"/>
    </row>
    <row r="17" spans="1:11" x14ac:dyDescent="0.25">
      <c r="A17" s="41" t="s">
        <v>49</v>
      </c>
      <c r="B17" s="40">
        <v>1.3899999999999999E-7</v>
      </c>
      <c r="C17" s="39" t="s">
        <v>18</v>
      </c>
    </row>
    <row r="18" spans="1:11" x14ac:dyDescent="0.25">
      <c r="A18" s="41"/>
      <c r="B18" s="40"/>
      <c r="C18" s="39"/>
    </row>
    <row r="19" spans="1:11" x14ac:dyDescent="0.25">
      <c r="A19" s="41"/>
      <c r="B19" s="40"/>
      <c r="C19" s="39"/>
    </row>
    <row r="20" spans="1:11" x14ac:dyDescent="0.25">
      <c r="A20" s="41"/>
      <c r="B20" s="40"/>
      <c r="C20" s="39"/>
    </row>
    <row r="21" spans="1:11" x14ac:dyDescent="0.25">
      <c r="I21" s="12"/>
      <c r="J21" s="12"/>
      <c r="K21" s="12"/>
    </row>
    <row r="22" spans="1:11" x14ac:dyDescent="0.25">
      <c r="I22" s="12"/>
      <c r="J22" s="12"/>
      <c r="K22" s="12"/>
    </row>
    <row r="23" spans="1:11" x14ac:dyDescent="0.25">
      <c r="A23" s="55" t="s">
        <v>92</v>
      </c>
      <c r="B23" s="55"/>
      <c r="C23" s="55"/>
      <c r="I23" s="12"/>
      <c r="J23" s="12"/>
      <c r="K23" s="12"/>
    </row>
    <row r="24" spans="1:11" x14ac:dyDescent="0.25">
      <c r="A24" s="28" t="s">
        <v>4</v>
      </c>
      <c r="B24" s="24"/>
      <c r="C24" s="28" t="s">
        <v>3</v>
      </c>
      <c r="I24" s="12"/>
      <c r="J24" s="12"/>
      <c r="K24" s="12"/>
    </row>
    <row r="25" spans="1:11" x14ac:dyDescent="0.25">
      <c r="A25" s="24" t="s">
        <v>5</v>
      </c>
      <c r="B25" s="24">
        <v>298.14999999999998</v>
      </c>
      <c r="C25" s="24" t="s">
        <v>11</v>
      </c>
      <c r="D25" s="44" t="s">
        <v>77</v>
      </c>
      <c r="I25" s="12"/>
      <c r="J25" s="12"/>
      <c r="K25" s="12"/>
    </row>
    <row r="26" spans="1:11" x14ac:dyDescent="0.25">
      <c r="A26" s="24" t="s">
        <v>6</v>
      </c>
      <c r="B26" s="24">
        <f>(B9/B7)/1000</f>
        <v>4.6511627906976744E-26</v>
      </c>
      <c r="C26" s="24" t="s">
        <v>16</v>
      </c>
      <c r="D26" t="s">
        <v>94</v>
      </c>
      <c r="I26" s="12"/>
      <c r="J26" s="12"/>
      <c r="K26" s="12"/>
    </row>
    <row r="27" spans="1:11" x14ac:dyDescent="0.25">
      <c r="A27" s="24" t="s">
        <v>7</v>
      </c>
      <c r="B27" s="25">
        <v>1</v>
      </c>
      <c r="C27" s="24" t="s">
        <v>10</v>
      </c>
      <c r="D27" t="s">
        <v>56</v>
      </c>
      <c r="I27" s="12"/>
      <c r="J27" s="12"/>
      <c r="K27" s="12"/>
    </row>
    <row r="28" spans="1:11" x14ac:dyDescent="0.25">
      <c r="I28" s="12"/>
      <c r="J28" s="12"/>
      <c r="K28" s="12"/>
    </row>
    <row r="29" spans="1:11" x14ac:dyDescent="0.25">
      <c r="A29" s="16"/>
      <c r="B29" s="16"/>
      <c r="C29" s="16"/>
    </row>
    <row r="30" spans="1:11" x14ac:dyDescent="0.25">
      <c r="A30" s="16"/>
      <c r="B30" s="16"/>
      <c r="C30" s="16"/>
    </row>
    <row r="31" spans="1:11" x14ac:dyDescent="0.25">
      <c r="A31" s="16" t="s">
        <v>64</v>
      </c>
    </row>
    <row r="32" spans="1:11" x14ac:dyDescent="0.25">
      <c r="A32" s="64" t="s">
        <v>17</v>
      </c>
      <c r="B32" s="64"/>
      <c r="C32" s="64"/>
      <c r="D32" s="64"/>
      <c r="E32" s="64"/>
      <c r="F32" s="64"/>
      <c r="G32" s="64"/>
      <c r="H32" s="64"/>
    </row>
    <row r="36" spans="1:26" ht="20.25" x14ac:dyDescent="0.3">
      <c r="F36" s="47" t="s">
        <v>78</v>
      </c>
    </row>
    <row r="39" spans="1:26" ht="15.75" x14ac:dyDescent="0.25">
      <c r="A39" s="65" t="s">
        <v>65</v>
      </c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</row>
    <row r="40" spans="1:26" ht="18" x14ac:dyDescent="0.35">
      <c r="A40" s="66" t="s">
        <v>66</v>
      </c>
      <c r="B40" s="66"/>
      <c r="C40" s="66"/>
      <c r="D40" s="40">
        <f>SQRT((($B$10/B7)^(2/3))*B7)</f>
        <v>2679.6823073024098</v>
      </c>
      <c r="E40" t="s">
        <v>76</v>
      </c>
      <c r="J40" s="31" t="s">
        <v>67</v>
      </c>
      <c r="K40" s="40">
        <f>SQRT(B12)</f>
        <v>2268.3021016442044</v>
      </c>
      <c r="L40" t="s">
        <v>76</v>
      </c>
      <c r="M40" s="45"/>
    </row>
    <row r="41" spans="1:26" x14ac:dyDescent="0.25">
      <c r="A41" s="48" t="s">
        <v>78</v>
      </c>
      <c r="V41" s="12"/>
      <c r="W41" s="12"/>
      <c r="X41" s="12"/>
      <c r="Y41" s="12"/>
      <c r="Z41" s="12"/>
    </row>
    <row r="43" spans="1:26" ht="18.75" x14ac:dyDescent="0.25">
      <c r="A43" s="50" t="s">
        <v>86</v>
      </c>
    </row>
    <row r="45" spans="1:26" ht="19.5" thickBot="1" x14ac:dyDescent="0.3">
      <c r="J45" s="50" t="s">
        <v>86</v>
      </c>
    </row>
    <row r="46" spans="1:26" ht="15.75" thickBot="1" x14ac:dyDescent="0.3">
      <c r="A46" s="60" t="s">
        <v>68</v>
      </c>
      <c r="B46" s="61"/>
      <c r="C46" s="61"/>
      <c r="D46" s="61"/>
      <c r="E46" s="61"/>
      <c r="F46" s="61"/>
      <c r="G46" s="61"/>
      <c r="H46" s="62"/>
    </row>
    <row r="49" spans="1:18" x14ac:dyDescent="0.25">
      <c r="B49" t="s">
        <v>93</v>
      </c>
    </row>
    <row r="51" spans="1:18" x14ac:dyDescent="0.25">
      <c r="A51" s="5"/>
      <c r="B51" s="5"/>
      <c r="C51" s="5"/>
      <c r="D51" s="5"/>
      <c r="E51" s="5"/>
      <c r="F51" s="6"/>
      <c r="G51" s="5"/>
      <c r="H51" s="10" t="s">
        <v>75</v>
      </c>
      <c r="I51" s="10"/>
    </row>
    <row r="52" spans="1:18" ht="18" x14ac:dyDescent="0.35">
      <c r="A52" s="63" t="s">
        <v>23</v>
      </c>
      <c r="B52" s="63"/>
      <c r="C52" s="63" t="s">
        <v>24</v>
      </c>
      <c r="D52" s="63"/>
      <c r="E52" s="63"/>
      <c r="F52" s="5" t="s">
        <v>25</v>
      </c>
      <c r="G52" s="5" t="s">
        <v>79</v>
      </c>
      <c r="H52" s="10" t="s">
        <v>57</v>
      </c>
      <c r="I52" s="11">
        <f>$B$11</f>
        <v>0.29161994716534234</v>
      </c>
    </row>
    <row r="53" spans="1:18" ht="18" x14ac:dyDescent="0.35">
      <c r="A53" s="63">
        <f>EXP(I55/2)</f>
        <v>4.4816890703380645</v>
      </c>
      <c r="B53" s="63"/>
      <c r="C53" s="67">
        <f>((SQRT(2*PI()*$B$5*$B$25*$B$26))/$B$8)^I55</f>
        <v>1.4332267455963908E+32</v>
      </c>
      <c r="D53" s="67"/>
      <c r="E53" s="67"/>
      <c r="F53" s="6">
        <f>I52^I55</f>
        <v>2.4800000000000003E-2</v>
      </c>
      <c r="G53" s="6">
        <f>EXP(1)/($B$27*$B$7)</f>
        <v>4.5154183196994106E-24</v>
      </c>
      <c r="H53" s="10" t="s">
        <v>58</v>
      </c>
      <c r="I53" s="11">
        <f>$B$16</f>
        <v>2679.6823073024098</v>
      </c>
    </row>
    <row r="54" spans="1:18" ht="18" x14ac:dyDescent="0.35">
      <c r="A54" s="5"/>
      <c r="B54" s="5"/>
      <c r="C54" s="5"/>
      <c r="D54" s="5"/>
      <c r="E54" s="5"/>
      <c r="F54" s="5"/>
      <c r="G54" s="5"/>
      <c r="H54" s="10" t="s">
        <v>59</v>
      </c>
      <c r="I54" s="10">
        <f>$K$40</f>
        <v>2268.3021016442044</v>
      </c>
    </row>
    <row r="55" spans="1:18" x14ac:dyDescent="0.25">
      <c r="A55" s="5"/>
      <c r="B55" s="5"/>
      <c r="C55" s="5"/>
      <c r="D55" s="5"/>
      <c r="E55" s="5"/>
      <c r="F55" s="5"/>
      <c r="G55" s="5"/>
      <c r="H55" s="10" t="s">
        <v>74</v>
      </c>
      <c r="I55" s="10">
        <v>3</v>
      </c>
    </row>
    <row r="56" spans="1:18" x14ac:dyDescent="0.25">
      <c r="A56" s="63" t="s">
        <v>20</v>
      </c>
      <c r="B56" s="63"/>
      <c r="C56" s="63"/>
      <c r="D56" s="63" t="s">
        <v>21</v>
      </c>
      <c r="E56" s="63"/>
      <c r="F56" s="63"/>
      <c r="G56" s="63"/>
      <c r="H56" s="5"/>
      <c r="I56" s="5"/>
    </row>
    <row r="57" spans="1:18" x14ac:dyDescent="0.25">
      <c r="A57" s="63">
        <f>LN(A53*C53*F53)</f>
        <v>71.845739717727156</v>
      </c>
      <c r="B57" s="63"/>
      <c r="C57" s="63"/>
      <c r="D57" s="63">
        <f>LN(G53)</f>
        <v>-53.754544398183782</v>
      </c>
      <c r="E57" s="63"/>
      <c r="F57" s="63"/>
      <c r="G57" s="63"/>
      <c r="H57" s="8"/>
      <c r="I57" s="5"/>
    </row>
    <row r="58" spans="1:18" x14ac:dyDescent="0.25">
      <c r="A58" s="5"/>
      <c r="B58" s="5"/>
      <c r="C58" s="5"/>
      <c r="D58" s="5"/>
      <c r="E58" s="5"/>
      <c r="F58" s="5"/>
      <c r="G58" s="5"/>
      <c r="H58" s="5"/>
      <c r="I58" s="5"/>
    </row>
    <row r="59" spans="1:18" ht="15.75" thickBot="1" x14ac:dyDescent="0.3">
      <c r="A59" s="7" t="s">
        <v>26</v>
      </c>
      <c r="B59" s="7"/>
      <c r="C59" s="7"/>
      <c r="D59" s="5"/>
      <c r="E59" s="5"/>
      <c r="F59" s="5"/>
      <c r="G59" s="5"/>
      <c r="H59" s="5"/>
      <c r="I59" s="5"/>
    </row>
    <row r="60" spans="1:18" ht="15.75" thickBot="1" x14ac:dyDescent="0.3">
      <c r="A60" s="32">
        <f>B27*B6*A57+B27*B6*D57</f>
        <v>150.41850174533528</v>
      </c>
      <c r="B60" s="9" t="s">
        <v>87</v>
      </c>
      <c r="C60" s="9"/>
      <c r="D60" s="9"/>
      <c r="E60" s="5"/>
      <c r="F60" s="5"/>
      <c r="G60" s="5"/>
      <c r="H60" s="5"/>
      <c r="I60" s="5"/>
    </row>
    <row r="61" spans="1:18" x14ac:dyDescent="0.25">
      <c r="A61" s="20"/>
      <c r="B61" s="20"/>
      <c r="C61" s="20"/>
      <c r="D61" s="20"/>
      <c r="E61" s="16"/>
      <c r="F61" s="16"/>
      <c r="G61" s="16"/>
      <c r="H61" s="16"/>
      <c r="I61" s="16"/>
    </row>
    <row r="62" spans="1:18" ht="15.75" thickBot="1" x14ac:dyDescent="0.3">
      <c r="A62" s="20"/>
      <c r="B62" s="20"/>
      <c r="C62" s="20"/>
      <c r="D62" s="20"/>
      <c r="E62" s="16"/>
      <c r="F62" s="16"/>
      <c r="G62" s="16"/>
      <c r="H62" s="16"/>
      <c r="I62" s="16"/>
    </row>
    <row r="63" spans="1:18" ht="15.75" thickBot="1" x14ac:dyDescent="0.3">
      <c r="A63" s="60" t="s">
        <v>68</v>
      </c>
      <c r="B63" s="61"/>
      <c r="C63" s="61"/>
      <c r="D63" s="61"/>
      <c r="E63" s="61"/>
      <c r="F63" s="61"/>
      <c r="G63" s="61"/>
      <c r="H63" s="62"/>
      <c r="I63" s="16"/>
    </row>
    <row r="64" spans="1:18" x14ac:dyDescent="0.25">
      <c r="I64" s="51"/>
      <c r="J64" s="51"/>
      <c r="K64" s="51"/>
      <c r="L64" s="51"/>
      <c r="M64" s="51"/>
      <c r="N64" s="51"/>
      <c r="O64" s="51"/>
      <c r="P64" s="51"/>
      <c r="Q64" s="51"/>
      <c r="R64" s="51"/>
    </row>
    <row r="65" spans="1:21" ht="18.75" x14ac:dyDescent="0.3">
      <c r="A65" s="59" t="s">
        <v>39</v>
      </c>
      <c r="B65" s="59"/>
      <c r="C65" s="59"/>
      <c r="D65" s="59"/>
      <c r="E65" s="59"/>
      <c r="F65" s="59"/>
      <c r="G65" s="59"/>
      <c r="H65" s="59"/>
      <c r="I65" s="59"/>
      <c r="K65" s="59" t="s">
        <v>35</v>
      </c>
      <c r="L65" s="59"/>
      <c r="M65" s="59"/>
      <c r="N65" s="59"/>
      <c r="O65" s="59"/>
      <c r="P65" s="59"/>
      <c r="Q65" s="59"/>
      <c r="R65" s="59"/>
      <c r="S65" s="59"/>
      <c r="T65" s="59"/>
    </row>
    <row r="69" spans="1:21" ht="15.75" thickBot="1" x14ac:dyDescent="0.3"/>
    <row r="70" spans="1:21" ht="15.75" thickBot="1" x14ac:dyDescent="0.3">
      <c r="A70" s="33" t="s">
        <v>27</v>
      </c>
      <c r="B70" s="34">
        <f>$A$74-(1/3)*(B76+C76)</f>
        <v>100.27900116355686</v>
      </c>
      <c r="C70" t="s">
        <v>87</v>
      </c>
      <c r="H70" s="10" t="s">
        <v>75</v>
      </c>
      <c r="I70" s="10"/>
      <c r="K70" s="33" t="s">
        <v>27</v>
      </c>
      <c r="L70" s="35">
        <f>$K$74-(1/3)*L76</f>
        <v>103.05048749689017</v>
      </c>
      <c r="M70" t="s">
        <v>87</v>
      </c>
      <c r="R70" s="10" t="s">
        <v>75</v>
      </c>
      <c r="S70" s="10"/>
    </row>
    <row r="71" spans="1:21" ht="18" x14ac:dyDescent="0.35">
      <c r="A71" s="55" t="s">
        <v>81</v>
      </c>
      <c r="B71" s="55"/>
      <c r="C71" s="12"/>
      <c r="D71" s="12" t="s">
        <v>24</v>
      </c>
      <c r="E71" s="12"/>
      <c r="F71" t="s">
        <v>25</v>
      </c>
      <c r="G71" t="s">
        <v>22</v>
      </c>
      <c r="H71" s="10" t="s">
        <v>57</v>
      </c>
      <c r="I71" s="11">
        <f>$B$11</f>
        <v>0.29161994716534234</v>
      </c>
      <c r="K71" s="55" t="s">
        <v>81</v>
      </c>
      <c r="L71" s="55"/>
      <c r="M71" s="55" t="s">
        <v>24</v>
      </c>
      <c r="N71" s="55"/>
      <c r="O71" s="55"/>
      <c r="P71" t="s">
        <v>25</v>
      </c>
      <c r="Q71" t="s">
        <v>46</v>
      </c>
      <c r="R71" s="10" t="s">
        <v>57</v>
      </c>
      <c r="S71" s="11">
        <f>$B$11</f>
        <v>0.29161994716534234</v>
      </c>
    </row>
    <row r="72" spans="1:21" ht="18" x14ac:dyDescent="0.35">
      <c r="A72" s="55">
        <f>EXP(I74/2)</f>
        <v>4.4816890703380645</v>
      </c>
      <c r="B72" s="55"/>
      <c r="C72" s="58">
        <f>((SQRT(2*PI()*$B$5*$B$25*$B$26))/$B$8)^I74</f>
        <v>1.4332267455963908E+32</v>
      </c>
      <c r="D72" s="58"/>
      <c r="E72" s="58"/>
      <c r="F72" s="1">
        <f>I71^I74</f>
        <v>2.4800000000000003E-2</v>
      </c>
      <c r="G72" s="1">
        <f>$B$27*$B$7</f>
        <v>6.02E+23</v>
      </c>
      <c r="H72" s="10" t="s">
        <v>58</v>
      </c>
      <c r="I72" s="11">
        <f>$B$16</f>
        <v>2679.6823073024098</v>
      </c>
      <c r="K72" s="55">
        <f>EXP(S74/2)</f>
        <v>4.4816890703380645</v>
      </c>
      <c r="L72" s="55"/>
      <c r="M72" s="58">
        <f>((SQRT(2*PI()*$B$26*$B$5*$B$25))/$B$8)^S74</f>
        <v>1.4332267455963908E+32</v>
      </c>
      <c r="N72" s="58"/>
      <c r="O72" s="58"/>
      <c r="P72" s="1">
        <f>S71^S74</f>
        <v>2.4800000000000003E-2</v>
      </c>
      <c r="Q72" s="1">
        <f>$B$7</f>
        <v>6.02E+23</v>
      </c>
      <c r="R72" s="10" t="s">
        <v>58</v>
      </c>
      <c r="S72" s="11">
        <f>$B$16</f>
        <v>2679.6823073024098</v>
      </c>
    </row>
    <row r="73" spans="1:21" ht="18" x14ac:dyDescent="0.35">
      <c r="A73" t="s">
        <v>28</v>
      </c>
      <c r="B73" s="12" t="s">
        <v>32</v>
      </c>
      <c r="C73" s="12"/>
      <c r="D73" s="12" t="s">
        <v>33</v>
      </c>
      <c r="E73" s="12"/>
      <c r="H73" s="10" t="s">
        <v>59</v>
      </c>
      <c r="I73" s="10">
        <f>$K$40</f>
        <v>2268.3021016442044</v>
      </c>
      <c r="K73" t="s">
        <v>28</v>
      </c>
      <c r="L73" t="s">
        <v>30</v>
      </c>
      <c r="Q73" t="s">
        <v>85</v>
      </c>
      <c r="R73" s="10" t="s">
        <v>59</v>
      </c>
      <c r="S73" s="10">
        <f>$K$40</f>
        <v>2268.3021016442044</v>
      </c>
    </row>
    <row r="74" spans="1:21" x14ac:dyDescent="0.25">
      <c r="A74" s="4">
        <f>$A$60</f>
        <v>150.41850174533528</v>
      </c>
      <c r="B74" s="12">
        <f>LN(A72*C72*F72)</f>
        <v>71.845739717727156</v>
      </c>
      <c r="C74" s="55">
        <f>LN(EXP(1)/G72)</f>
        <v>-53.754544398183782</v>
      </c>
      <c r="D74" s="55"/>
      <c r="E74" s="55"/>
      <c r="H74" s="10" t="s">
        <v>74</v>
      </c>
      <c r="I74" s="10">
        <v>3</v>
      </c>
      <c r="K74" s="4">
        <f>$A$60</f>
        <v>150.41850174533528</v>
      </c>
      <c r="L74">
        <f>LN(K72*M72*P72*Q74)</f>
        <v>17.091195319543381</v>
      </c>
      <c r="Q74" s="1">
        <f>Q72^-1</f>
        <v>1.6611295681063124E-24</v>
      </c>
      <c r="R74" s="10" t="s">
        <v>74</v>
      </c>
      <c r="S74" s="10">
        <v>3</v>
      </c>
    </row>
    <row r="75" spans="1:21" x14ac:dyDescent="0.25">
      <c r="B75" s="12" t="s">
        <v>37</v>
      </c>
      <c r="C75" s="12"/>
      <c r="D75" s="12" t="s">
        <v>38</v>
      </c>
      <c r="E75" s="12"/>
      <c r="J75" s="4"/>
      <c r="L75" s="55" t="s">
        <v>31</v>
      </c>
      <c r="M75" s="55"/>
    </row>
    <row r="76" spans="1:21" x14ac:dyDescent="0.25">
      <c r="B76" s="13">
        <f>$B$6*$B$27*B74</f>
        <v>597.35845720771397</v>
      </c>
      <c r="C76" s="58">
        <f>$B$6*$B$27*C74</f>
        <v>-446.93995546237869</v>
      </c>
      <c r="D76" s="58"/>
      <c r="E76" s="58"/>
      <c r="L76" s="26">
        <f>L74*$B$27*$B$6</f>
        <v>142.10404274533533</v>
      </c>
      <c r="M76" s="26"/>
    </row>
    <row r="77" spans="1:21" ht="20.25" x14ac:dyDescent="0.3">
      <c r="K77" s="47" t="s">
        <v>82</v>
      </c>
    </row>
    <row r="78" spans="1:21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</row>
    <row r="79" spans="1:21" ht="18.75" x14ac:dyDescent="0.3">
      <c r="A79" s="54" t="s">
        <v>40</v>
      </c>
      <c r="B79" s="54"/>
      <c r="C79" s="54"/>
      <c r="D79" s="54"/>
      <c r="E79" s="54"/>
      <c r="F79" s="54"/>
      <c r="G79" s="54"/>
      <c r="H79" s="54"/>
      <c r="I79" s="54"/>
      <c r="J79" s="52"/>
      <c r="K79" s="54" t="s">
        <v>36</v>
      </c>
      <c r="L79" s="54"/>
      <c r="M79" s="54"/>
      <c r="N79" s="54"/>
      <c r="O79" s="54"/>
      <c r="P79" s="54"/>
      <c r="Q79" s="54"/>
      <c r="R79" s="54"/>
      <c r="S79" s="54"/>
      <c r="T79" s="54"/>
      <c r="U79" s="52"/>
    </row>
    <row r="80" spans="1:21" x14ac:dyDescent="0.25"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</row>
    <row r="81" spans="1:20" x14ac:dyDescent="0.25"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</row>
    <row r="82" spans="1:20" x14ac:dyDescent="0.25">
      <c r="J82" s="16"/>
      <c r="K82" s="16"/>
      <c r="L82" s="16"/>
      <c r="M82" s="16"/>
      <c r="N82" s="16"/>
      <c r="O82" s="16"/>
      <c r="P82" s="16"/>
      <c r="Q82" s="16"/>
      <c r="R82" s="16"/>
    </row>
    <row r="83" spans="1:20" ht="15.75" thickBot="1" x14ac:dyDescent="0.3">
      <c r="J83" s="16"/>
      <c r="K83" s="17"/>
      <c r="L83" s="16"/>
      <c r="M83" s="16"/>
      <c r="N83" s="16"/>
      <c r="O83" s="16"/>
      <c r="P83" s="16"/>
      <c r="Q83" s="16"/>
    </row>
    <row r="84" spans="1:20" ht="15.75" thickBot="1" x14ac:dyDescent="0.3">
      <c r="A84" s="33" t="s">
        <v>27</v>
      </c>
      <c r="B84" s="34">
        <f>$A$88-(1/3)*(B90+C90)</f>
        <v>100.27900116355681</v>
      </c>
      <c r="C84" t="s">
        <v>87</v>
      </c>
      <c r="H84" s="10" t="s">
        <v>75</v>
      </c>
      <c r="I84" s="10"/>
      <c r="J84" s="18"/>
      <c r="K84" s="33" t="s">
        <v>27</v>
      </c>
      <c r="L84" s="35">
        <f>$K$88-(1/3)*L90</f>
        <v>103.05048749689016</v>
      </c>
      <c r="M84" t="s">
        <v>87</v>
      </c>
      <c r="R84" s="10" t="s">
        <v>4</v>
      </c>
      <c r="S84" s="10"/>
    </row>
    <row r="85" spans="1:20" ht="18" x14ac:dyDescent="0.35">
      <c r="A85" s="55" t="s">
        <v>81</v>
      </c>
      <c r="B85" s="55"/>
      <c r="C85" s="12"/>
      <c r="D85" s="12" t="s">
        <v>24</v>
      </c>
      <c r="E85" s="12"/>
      <c r="F85" t="s">
        <v>25</v>
      </c>
      <c r="G85" t="s">
        <v>22</v>
      </c>
      <c r="H85" s="10" t="s">
        <v>57</v>
      </c>
      <c r="I85" s="11">
        <f>$B$11</f>
        <v>0.29161994716534234</v>
      </c>
      <c r="J85" s="18"/>
      <c r="K85" s="55" t="s">
        <v>81</v>
      </c>
      <c r="L85" s="55"/>
      <c r="M85" s="55" t="s">
        <v>24</v>
      </c>
      <c r="N85" s="55"/>
      <c r="O85" s="55"/>
      <c r="P85" t="s">
        <v>25</v>
      </c>
      <c r="Q85" t="s">
        <v>46</v>
      </c>
      <c r="R85" s="10" t="s">
        <v>41</v>
      </c>
      <c r="S85" s="11">
        <v>0.29161994716534234</v>
      </c>
    </row>
    <row r="86" spans="1:20" ht="18" x14ac:dyDescent="0.35">
      <c r="A86" s="55">
        <f>EXP(I88/2)</f>
        <v>4.4816890703380645</v>
      </c>
      <c r="B86" s="55"/>
      <c r="C86" s="58">
        <f>((SQRT(2*PI()*$B$5*$B$25*$B$26))/$B$8)^I88</f>
        <v>1.4332267455963908E+32</v>
      </c>
      <c r="D86" s="58"/>
      <c r="E86" s="58"/>
      <c r="F86" s="1">
        <f>I87^I88</f>
        <v>11670855326.061071</v>
      </c>
      <c r="G86" s="1">
        <f>$B$27*$B$7</f>
        <v>6.02E+23</v>
      </c>
      <c r="H86" s="10" t="s">
        <v>58</v>
      </c>
      <c r="I86" s="11">
        <f>$B$16</f>
        <v>2679.6823073024098</v>
      </c>
      <c r="J86" s="16"/>
      <c r="K86" s="55">
        <f>EXP(S88/2)</f>
        <v>4.4816890703380645</v>
      </c>
      <c r="L86" s="55"/>
      <c r="M86" s="58">
        <f>((SQRT(2*PI()*$B$26*$B$5*$B$25))/$B$8)^S88</f>
        <v>1.4332267455963908E+32</v>
      </c>
      <c r="N86" s="58"/>
      <c r="O86" s="58"/>
      <c r="P86" s="1">
        <f>S86^S88</f>
        <v>19241987423.340767</v>
      </c>
      <c r="Q86" s="1">
        <f>$B$7</f>
        <v>6.02E+23</v>
      </c>
      <c r="R86" s="10" t="s">
        <v>42</v>
      </c>
      <c r="S86" s="11">
        <v>2679.6823073024098</v>
      </c>
    </row>
    <row r="87" spans="1:20" ht="18" x14ac:dyDescent="0.35">
      <c r="A87" t="s">
        <v>28</v>
      </c>
      <c r="B87" s="12" t="s">
        <v>32</v>
      </c>
      <c r="C87" s="12"/>
      <c r="D87" s="12" t="s">
        <v>33</v>
      </c>
      <c r="E87" s="12"/>
      <c r="F87" s="55" t="s">
        <v>89</v>
      </c>
      <c r="G87" s="55"/>
      <c r="H87" s="10" t="s">
        <v>59</v>
      </c>
      <c r="I87" s="10">
        <f>$K$40</f>
        <v>2268.3021016442044</v>
      </c>
      <c r="J87" s="19"/>
      <c r="K87" t="s">
        <v>28</v>
      </c>
      <c r="L87" t="s">
        <v>30</v>
      </c>
      <c r="Q87" t="s">
        <v>84</v>
      </c>
      <c r="R87" s="10" t="s">
        <v>43</v>
      </c>
      <c r="S87" s="10">
        <f>$K$40</f>
        <v>2268.3021016442044</v>
      </c>
    </row>
    <row r="88" spans="1:20" x14ac:dyDescent="0.25">
      <c r="A88" s="4">
        <f>$A$60</f>
        <v>150.41850174533528</v>
      </c>
      <c r="B88" s="12">
        <f>LN(A86*C86*F86*F88)</f>
        <v>71.84573971772717</v>
      </c>
      <c r="C88" s="55">
        <f>LN(EXP(1)/G86)</f>
        <v>-53.754544398183782</v>
      </c>
      <c r="D88" s="55"/>
      <c r="E88" s="55"/>
      <c r="F88" s="57">
        <f>EXP(1/2)*($B$7^(-1/2))</f>
        <v>2.1249513687845682E-12</v>
      </c>
      <c r="G88" s="57"/>
      <c r="H88" s="10" t="s">
        <v>74</v>
      </c>
      <c r="I88" s="10">
        <v>3</v>
      </c>
      <c r="J88" s="16"/>
      <c r="K88" s="4">
        <f>$A$60</f>
        <v>150.41850174533528</v>
      </c>
      <c r="L88">
        <f>LN(K86*M86*(P86)/(Q86)^(3/2))</f>
        <v>17.091195319543385</v>
      </c>
      <c r="Q88" s="1">
        <f>Q86^-0.5</f>
        <v>1.2888481555661677E-12</v>
      </c>
      <c r="R88" s="10" t="s">
        <v>34</v>
      </c>
      <c r="S88" s="10">
        <v>3</v>
      </c>
    </row>
    <row r="89" spans="1:20" x14ac:dyDescent="0.25">
      <c r="B89" s="12" t="s">
        <v>37</v>
      </c>
      <c r="C89" s="12"/>
      <c r="D89" s="12" t="s">
        <v>38</v>
      </c>
      <c r="E89" s="12"/>
      <c r="H89" s="16"/>
      <c r="I89" s="16"/>
      <c r="J89" s="16"/>
      <c r="K89" s="16"/>
      <c r="L89" s="55" t="s">
        <v>31</v>
      </c>
      <c r="M89" s="55"/>
      <c r="N89" s="16"/>
      <c r="O89" s="16"/>
      <c r="P89" s="16"/>
      <c r="Q89" s="16"/>
      <c r="R89" s="16"/>
    </row>
    <row r="90" spans="1:20" x14ac:dyDescent="0.25">
      <c r="B90" s="14">
        <f>$B$6*$B$27*B88</f>
        <v>597.35845720771408</v>
      </c>
      <c r="C90" s="56">
        <f>$B$6*$B$27*C88</f>
        <v>-446.93995546237869</v>
      </c>
      <c r="D90" s="56"/>
      <c r="E90" s="56"/>
      <c r="H90" s="16"/>
      <c r="I90" s="16"/>
      <c r="J90" s="16"/>
      <c r="K90" s="16"/>
      <c r="L90" s="26">
        <f>L88*$B$27*$B$6</f>
        <v>142.10404274533536</v>
      </c>
      <c r="M90" s="26"/>
      <c r="N90" s="16"/>
      <c r="O90" s="16"/>
      <c r="P90" s="16"/>
      <c r="Q90" s="16"/>
      <c r="R90" s="16"/>
    </row>
    <row r="91" spans="1:20" x14ac:dyDescent="0.25">
      <c r="B91" s="15"/>
      <c r="C91" s="15"/>
      <c r="D91" s="15"/>
      <c r="E91" s="15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</row>
    <row r="92" spans="1:20" x14ac:dyDescent="0.25"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</row>
    <row r="93" spans="1:20" ht="18.75" x14ac:dyDescent="0.3">
      <c r="A93" s="54" t="s">
        <v>44</v>
      </c>
      <c r="B93" s="54"/>
      <c r="C93" s="54"/>
      <c r="D93" s="54"/>
      <c r="E93" s="54"/>
      <c r="F93" s="54"/>
      <c r="G93" s="54"/>
      <c r="H93" s="54"/>
      <c r="I93" s="54"/>
      <c r="J93" s="53"/>
      <c r="K93" s="54" t="s">
        <v>45</v>
      </c>
      <c r="L93" s="54"/>
      <c r="M93" s="54"/>
      <c r="N93" s="54"/>
      <c r="O93" s="54"/>
      <c r="P93" s="54"/>
      <c r="Q93" s="54"/>
      <c r="R93" s="54"/>
      <c r="S93" s="54"/>
      <c r="T93" s="52"/>
    </row>
    <row r="94" spans="1:20" x14ac:dyDescent="0.25">
      <c r="J94" s="16"/>
    </row>
    <row r="97" spans="1:19" ht="15.75" thickBot="1" x14ac:dyDescent="0.3"/>
    <row r="98" spans="1:19" ht="15.75" thickBot="1" x14ac:dyDescent="0.3">
      <c r="A98" s="33" t="s">
        <v>27</v>
      </c>
      <c r="B98" s="34">
        <f>(B104+C104)</f>
        <v>100.27900116355687</v>
      </c>
      <c r="C98" t="s">
        <v>87</v>
      </c>
      <c r="H98" s="10" t="s">
        <v>75</v>
      </c>
      <c r="I98" s="10"/>
      <c r="K98" s="33" t="s">
        <v>27</v>
      </c>
      <c r="L98" s="35">
        <f>L104+M104</f>
        <v>103.05048749689018</v>
      </c>
      <c r="M98" t="s">
        <v>87</v>
      </c>
      <c r="R98" s="10" t="s">
        <v>4</v>
      </c>
      <c r="S98" s="10"/>
    </row>
    <row r="99" spans="1:19" ht="18" x14ac:dyDescent="0.35">
      <c r="A99" s="55" t="s">
        <v>81</v>
      </c>
      <c r="B99" s="55"/>
      <c r="C99" s="12"/>
      <c r="D99" s="12" t="s">
        <v>24</v>
      </c>
      <c r="E99" s="12"/>
      <c r="F99" t="s">
        <v>25</v>
      </c>
      <c r="G99" t="s">
        <v>22</v>
      </c>
      <c r="H99" s="10" t="s">
        <v>57</v>
      </c>
      <c r="I99" s="11">
        <f>$B$11</f>
        <v>0.29161994716534234</v>
      </c>
      <c r="K99" s="55" t="s">
        <v>81</v>
      </c>
      <c r="L99" s="55"/>
      <c r="M99" s="55" t="s">
        <v>24</v>
      </c>
      <c r="N99" s="55"/>
      <c r="O99" s="55"/>
      <c r="P99" t="s">
        <v>25</v>
      </c>
      <c r="Q99" t="s">
        <v>22</v>
      </c>
      <c r="R99" s="10" t="s">
        <v>41</v>
      </c>
      <c r="S99" s="11">
        <v>0.29161994716534234</v>
      </c>
    </row>
    <row r="100" spans="1:19" ht="18" x14ac:dyDescent="0.35">
      <c r="A100" s="55">
        <f>EXP(I102/2)</f>
        <v>2.7182818284590451</v>
      </c>
      <c r="B100" s="55"/>
      <c r="C100" s="58">
        <f>((SQRT(2*PI()*$B$5*$B$25*$B$26))/$B$8)^I102</f>
        <v>2.7386924801616474E+21</v>
      </c>
      <c r="D100" s="58"/>
      <c r="E100" s="58"/>
      <c r="F100" s="1">
        <f>$I$101^I102</f>
        <v>5145194.424323515</v>
      </c>
      <c r="G100" s="1">
        <f>$B$27*$B$7</f>
        <v>6.02E+23</v>
      </c>
      <c r="H100" s="10" t="s">
        <v>58</v>
      </c>
      <c r="I100" s="11">
        <f>$B$16</f>
        <v>2679.6823073024098</v>
      </c>
      <c r="K100" s="55">
        <f>EXP(S102/2)</f>
        <v>2.7182818284590451</v>
      </c>
      <c r="L100" s="55"/>
      <c r="M100" s="58">
        <f>((SQRT(2*PI()*$B$26*$B$5*$B$25))/$B$8)^S102</f>
        <v>2.7386924801616474E+21</v>
      </c>
      <c r="N100" s="58"/>
      <c r="O100" s="58"/>
      <c r="P100" s="1">
        <f>S100^S102</f>
        <v>7180697.2680695662</v>
      </c>
      <c r="Q100" s="1">
        <f>$B$27*$B$7</f>
        <v>6.02E+23</v>
      </c>
      <c r="R100" s="10" t="s">
        <v>42</v>
      </c>
      <c r="S100" s="11">
        <v>2679.6823073024098</v>
      </c>
    </row>
    <row r="101" spans="1:19" ht="18" x14ac:dyDescent="0.35">
      <c r="A101" t="s">
        <v>28</v>
      </c>
      <c r="B101" s="12" t="s">
        <v>32</v>
      </c>
      <c r="C101" s="12"/>
      <c r="D101" s="12" t="s">
        <v>33</v>
      </c>
      <c r="E101" s="12"/>
      <c r="H101" s="10" t="s">
        <v>59</v>
      </c>
      <c r="I101" s="10">
        <f>$K$40</f>
        <v>2268.3021016442044</v>
      </c>
      <c r="K101" t="s">
        <v>28</v>
      </c>
      <c r="L101" s="12" t="s">
        <v>32</v>
      </c>
      <c r="M101" s="12"/>
      <c r="N101" s="12" t="s">
        <v>33</v>
      </c>
      <c r="O101" s="12"/>
      <c r="R101" s="10" t="s">
        <v>43</v>
      </c>
      <c r="S101" s="10">
        <f>$K$40</f>
        <v>2268.3021016442044</v>
      </c>
    </row>
    <row r="102" spans="1:19" x14ac:dyDescent="0.25">
      <c r="A102" s="4">
        <f>$A$60</f>
        <v>150.41850174533528</v>
      </c>
      <c r="B102" s="12">
        <f>LN(A100*C100*F100)</f>
        <v>65.815341277879369</v>
      </c>
      <c r="C102" s="55">
        <f>LN(EXP(1)/G100)</f>
        <v>-53.754544398183782</v>
      </c>
      <c r="D102" s="55"/>
      <c r="E102" s="55"/>
      <c r="H102" s="10" t="s">
        <v>74</v>
      </c>
      <c r="I102" s="10">
        <v>2</v>
      </c>
      <c r="K102" s="4">
        <f>$A$60</f>
        <v>150.41850174533528</v>
      </c>
      <c r="L102" s="12">
        <f>LN(K100*M100*P100)</f>
        <v>66.148674611212698</v>
      </c>
      <c r="M102" s="55">
        <f>LN(EXP(1)/Q100)</f>
        <v>-53.754544398183782</v>
      </c>
      <c r="N102" s="55"/>
      <c r="O102" s="55"/>
      <c r="R102" s="10" t="s">
        <v>34</v>
      </c>
      <c r="S102" s="10">
        <v>2</v>
      </c>
    </row>
    <row r="103" spans="1:19" x14ac:dyDescent="0.25">
      <c r="B103" s="12" t="s">
        <v>37</v>
      </c>
      <c r="C103" s="12"/>
      <c r="D103" s="12" t="s">
        <v>38</v>
      </c>
      <c r="E103" s="12"/>
      <c r="H103" s="16"/>
      <c r="I103" s="16"/>
      <c r="L103" s="12" t="s">
        <v>37</v>
      </c>
      <c r="M103" s="12"/>
      <c r="N103" s="12" t="s">
        <v>38</v>
      </c>
      <c r="O103" s="12"/>
    </row>
    <row r="104" spans="1:19" x14ac:dyDescent="0.25">
      <c r="B104" s="26">
        <f>$B$6*$B$27*B102</f>
        <v>547.21895662593556</v>
      </c>
      <c r="C104" s="56">
        <f>$B$6*$B$27*C102</f>
        <v>-446.93995546237869</v>
      </c>
      <c r="D104" s="56"/>
      <c r="E104" s="56"/>
      <c r="H104" s="16"/>
      <c r="I104" s="16"/>
      <c r="L104" s="26">
        <f>$B$6*$B$27*L102</f>
        <v>549.99044295926888</v>
      </c>
      <c r="M104" s="56">
        <f>$B$6*$B$27*M102</f>
        <v>-446.93995546237869</v>
      </c>
      <c r="N104" s="56"/>
      <c r="O104" s="56"/>
    </row>
    <row r="105" spans="1:19" x14ac:dyDescent="0.25">
      <c r="B105" s="26"/>
      <c r="C105" s="15"/>
      <c r="D105" s="15"/>
      <c r="E105" s="15"/>
      <c r="H105" s="16"/>
      <c r="I105" s="16"/>
      <c r="L105" s="26"/>
      <c r="M105" s="15"/>
      <c r="N105" s="15"/>
      <c r="O105" s="15"/>
    </row>
    <row r="107" spans="1:19" s="52" customFormat="1" ht="18.75" x14ac:dyDescent="0.3">
      <c r="A107" s="54" t="s">
        <v>47</v>
      </c>
      <c r="B107" s="54"/>
      <c r="C107" s="54"/>
      <c r="D107" s="54"/>
      <c r="E107" s="54"/>
      <c r="F107" s="54"/>
      <c r="G107" s="54"/>
      <c r="H107" s="54"/>
      <c r="I107" s="54"/>
      <c r="K107" s="54" t="s">
        <v>48</v>
      </c>
      <c r="L107" s="54"/>
      <c r="M107" s="54"/>
      <c r="N107" s="54"/>
      <c r="O107" s="54"/>
      <c r="P107" s="54"/>
      <c r="Q107" s="54"/>
      <c r="R107" s="54"/>
      <c r="S107" s="54"/>
    </row>
    <row r="108" spans="1:19" ht="15.75" x14ac:dyDescent="0.25">
      <c r="J108" s="43"/>
    </row>
    <row r="111" spans="1:19" ht="15.75" thickBot="1" x14ac:dyDescent="0.3"/>
    <row r="112" spans="1:19" ht="15.75" thickBot="1" x14ac:dyDescent="0.3">
      <c r="A112" s="33" t="s">
        <v>27</v>
      </c>
      <c r="B112" s="34">
        <f>(B118+C118)</f>
        <v>100.27900116355687</v>
      </c>
      <c r="C112" t="s">
        <v>87</v>
      </c>
      <c r="H112" s="10" t="s">
        <v>4</v>
      </c>
      <c r="I112" s="10"/>
      <c r="K112" s="33" t="s">
        <v>27</v>
      </c>
      <c r="L112" s="35">
        <f>L118+M118</f>
        <v>103.05048749689018</v>
      </c>
      <c r="M112" t="s">
        <v>87</v>
      </c>
      <c r="R112" s="10" t="s">
        <v>4</v>
      </c>
      <c r="S112" s="10"/>
    </row>
    <row r="113" spans="1:19" ht="18" x14ac:dyDescent="0.35">
      <c r="A113" s="55" t="s">
        <v>81</v>
      </c>
      <c r="B113" s="55"/>
      <c r="C113" s="12"/>
      <c r="D113" s="12" t="s">
        <v>24</v>
      </c>
      <c r="E113" s="12"/>
      <c r="F113" t="s">
        <v>25</v>
      </c>
      <c r="G113" t="s">
        <v>22</v>
      </c>
      <c r="H113" s="10" t="s">
        <v>41</v>
      </c>
      <c r="I113" s="11">
        <v>0.29161994716534234</v>
      </c>
      <c r="K113" s="55" t="s">
        <v>81</v>
      </c>
      <c r="L113" s="55"/>
      <c r="M113" s="55" t="s">
        <v>24</v>
      </c>
      <c r="N113" s="55"/>
      <c r="O113" s="55"/>
      <c r="P113" t="s">
        <v>25</v>
      </c>
      <c r="Q113" t="s">
        <v>22</v>
      </c>
      <c r="R113" s="10" t="s">
        <v>41</v>
      </c>
      <c r="S113" s="11">
        <v>0.29161994716534234</v>
      </c>
    </row>
    <row r="114" spans="1:19" ht="18" x14ac:dyDescent="0.35">
      <c r="A114" s="55">
        <f>EXP(I116/2)</f>
        <v>2.7182818284590451</v>
      </c>
      <c r="B114" s="55"/>
      <c r="C114" s="58">
        <f>((SQRT(2*PI()*$B$5*$B$25*$B$26))/$B$8)^I116</f>
        <v>2.7386924801616474E+21</v>
      </c>
      <c r="D114" s="58"/>
      <c r="E114" s="58"/>
      <c r="F114" s="1">
        <f>$I$113^I116</f>
        <v>8.5042193584717055E-2</v>
      </c>
      <c r="G114" s="1">
        <f>$B$27*$B$7</f>
        <v>6.02E+23</v>
      </c>
      <c r="H114" s="10" t="s">
        <v>42</v>
      </c>
      <c r="I114" s="11">
        <v>2679.6823073024098</v>
      </c>
      <c r="K114" s="55">
        <f>EXP(S116/2)</f>
        <v>2.7182818284590451</v>
      </c>
      <c r="L114" s="55"/>
      <c r="M114" s="58">
        <f>((SQRT(2*PI()*$B$26*$B$5*$B$25))/$B$8)^$S$116</f>
        <v>2.7386924801616474E+21</v>
      </c>
      <c r="N114" s="58"/>
      <c r="O114" s="58"/>
      <c r="P114" s="1">
        <f>S113^S116</f>
        <v>8.5042193584717055E-2</v>
      </c>
      <c r="Q114" s="1">
        <f>$B$27*$B$7</f>
        <v>6.02E+23</v>
      </c>
      <c r="R114" s="10" t="s">
        <v>42</v>
      </c>
      <c r="S114" s="11">
        <v>2679.6823073024098</v>
      </c>
    </row>
    <row r="115" spans="1:19" ht="18" x14ac:dyDescent="0.35">
      <c r="A115" t="s">
        <v>28</v>
      </c>
      <c r="B115" s="12" t="s">
        <v>32</v>
      </c>
      <c r="C115" s="12"/>
      <c r="D115" s="12" t="s">
        <v>33</v>
      </c>
      <c r="E115" s="12"/>
      <c r="F115" s="55" t="s">
        <v>88</v>
      </c>
      <c r="G115" s="55"/>
      <c r="H115" s="10" t="s">
        <v>43</v>
      </c>
      <c r="I115" s="10">
        <f>$K$40</f>
        <v>2268.3021016442044</v>
      </c>
      <c r="K115" t="s">
        <v>28</v>
      </c>
      <c r="L115" s="12" t="s">
        <v>32</v>
      </c>
      <c r="M115" s="12"/>
      <c r="N115" s="12" t="s">
        <v>33</v>
      </c>
      <c r="O115" s="12"/>
      <c r="Q115" t="s">
        <v>83</v>
      </c>
      <c r="R115" s="10" t="s">
        <v>43</v>
      </c>
      <c r="S115" s="10">
        <f>$K$40</f>
        <v>2268.3021016442044</v>
      </c>
    </row>
    <row r="116" spans="1:19" x14ac:dyDescent="0.25">
      <c r="A116" s="4">
        <f>$A$60</f>
        <v>150.41850174533528</v>
      </c>
      <c r="B116" s="12">
        <f>LN(A114*C114*F114*F116)</f>
        <v>65.815341277879369</v>
      </c>
      <c r="C116" s="55">
        <f>LN(EXP(1)/G114)</f>
        <v>-53.754544398183782</v>
      </c>
      <c r="D116" s="55"/>
      <c r="E116" s="55"/>
      <c r="F116" s="55">
        <f>($B$7^(1/3))*EXP(-1/3)</f>
        <v>60501666.378089875</v>
      </c>
      <c r="G116" s="55"/>
      <c r="H116" s="10" t="s">
        <v>34</v>
      </c>
      <c r="I116" s="10">
        <v>2</v>
      </c>
      <c r="K116" s="4">
        <f>$A$60</f>
        <v>150.41850174533528</v>
      </c>
      <c r="L116" s="12">
        <f>LN(K114*M114*P114*Q116)</f>
        <v>66.148674611212698</v>
      </c>
      <c r="M116" s="55">
        <f>LN(EXP(1)/Q114)</f>
        <v>-53.754544398183782</v>
      </c>
      <c r="N116" s="55"/>
      <c r="O116" s="55"/>
      <c r="Q116">
        <f>Q114^(1/3)</f>
        <v>84436877.335675538</v>
      </c>
      <c r="R116" s="10" t="s">
        <v>34</v>
      </c>
      <c r="S116" s="10">
        <v>2</v>
      </c>
    </row>
    <row r="117" spans="1:19" x14ac:dyDescent="0.25">
      <c r="B117" s="12" t="s">
        <v>37</v>
      </c>
      <c r="C117" s="12"/>
      <c r="D117" s="12" t="s">
        <v>38</v>
      </c>
      <c r="E117" s="12"/>
      <c r="H117" s="16"/>
      <c r="I117" s="16"/>
      <c r="L117" s="12" t="s">
        <v>37</v>
      </c>
      <c r="M117" s="12"/>
      <c r="N117" s="12" t="s">
        <v>38</v>
      </c>
      <c r="O117" s="12"/>
    </row>
    <row r="118" spans="1:19" x14ac:dyDescent="0.25">
      <c r="B118" s="26">
        <f>$B$6*$B$27*B116</f>
        <v>547.21895662593556</v>
      </c>
      <c r="C118" s="56">
        <f>$B$6*$B$27*C116</f>
        <v>-446.93995546237869</v>
      </c>
      <c r="D118" s="56"/>
      <c r="E118" s="56"/>
      <c r="H118" s="16"/>
      <c r="I118" s="16"/>
      <c r="L118" s="26">
        <f>$B$6*$B$27*L116</f>
        <v>549.99044295926888</v>
      </c>
      <c r="M118" s="56">
        <f>$B$6*$B$27*M116</f>
        <v>-446.93995546237869</v>
      </c>
      <c r="N118" s="56"/>
      <c r="O118" s="56"/>
    </row>
  </sheetData>
  <mergeCells count="69">
    <mergeCell ref="A63:H63"/>
    <mergeCell ref="A3:C3"/>
    <mergeCell ref="A23:C23"/>
    <mergeCell ref="D57:G57"/>
    <mergeCell ref="A57:C57"/>
    <mergeCell ref="A46:H46"/>
    <mergeCell ref="A32:H32"/>
    <mergeCell ref="A39:S39"/>
    <mergeCell ref="A40:C40"/>
    <mergeCell ref="A56:C56"/>
    <mergeCell ref="D56:G56"/>
    <mergeCell ref="A52:B52"/>
    <mergeCell ref="C52:E52"/>
    <mergeCell ref="A53:B53"/>
    <mergeCell ref="C53:E53"/>
    <mergeCell ref="K71:L71"/>
    <mergeCell ref="M71:O71"/>
    <mergeCell ref="A71:B71"/>
    <mergeCell ref="A65:I65"/>
    <mergeCell ref="K65:T65"/>
    <mergeCell ref="K113:L113"/>
    <mergeCell ref="M113:O113"/>
    <mergeCell ref="M114:O114"/>
    <mergeCell ref="M116:O116"/>
    <mergeCell ref="M118:O118"/>
    <mergeCell ref="K114:L114"/>
    <mergeCell ref="C118:E118"/>
    <mergeCell ref="A100:B100"/>
    <mergeCell ref="A99:B99"/>
    <mergeCell ref="C100:E100"/>
    <mergeCell ref="C102:E102"/>
    <mergeCell ref="C104:E104"/>
    <mergeCell ref="C114:E114"/>
    <mergeCell ref="A107:I107"/>
    <mergeCell ref="F115:G115"/>
    <mergeCell ref="F116:G116"/>
    <mergeCell ref="A113:B113"/>
    <mergeCell ref="A114:B114"/>
    <mergeCell ref="C116:E116"/>
    <mergeCell ref="K100:L100"/>
    <mergeCell ref="A72:B72"/>
    <mergeCell ref="C72:E72"/>
    <mergeCell ref="A85:B85"/>
    <mergeCell ref="A86:B86"/>
    <mergeCell ref="C86:E86"/>
    <mergeCell ref="A79:I79"/>
    <mergeCell ref="C76:E76"/>
    <mergeCell ref="C74:E74"/>
    <mergeCell ref="M72:O72"/>
    <mergeCell ref="K72:L72"/>
    <mergeCell ref="M85:O85"/>
    <mergeCell ref="M86:O86"/>
    <mergeCell ref="K85:L85"/>
    <mergeCell ref="K107:S107"/>
    <mergeCell ref="K86:L86"/>
    <mergeCell ref="C88:E88"/>
    <mergeCell ref="C90:E90"/>
    <mergeCell ref="L75:M75"/>
    <mergeCell ref="L89:M89"/>
    <mergeCell ref="K79:T79"/>
    <mergeCell ref="K93:S93"/>
    <mergeCell ref="A93:I93"/>
    <mergeCell ref="F87:G87"/>
    <mergeCell ref="F88:G88"/>
    <mergeCell ref="M102:O102"/>
    <mergeCell ref="M104:O104"/>
    <mergeCell ref="K99:L99"/>
    <mergeCell ref="M99:O99"/>
    <mergeCell ref="M100:O10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Holguin, Erick</dc:creator>
  <cp:lastModifiedBy>Savara, Aditya Ashi</cp:lastModifiedBy>
  <dcterms:created xsi:type="dcterms:W3CDTF">2017-06-06T17:14:21Z</dcterms:created>
  <dcterms:modified xsi:type="dcterms:W3CDTF">2020-04-29T20:14:48Z</dcterms:modified>
</cp:coreProperties>
</file>