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3.xml" ContentType="application/vnd.ms-excel.person+xml"/>
  <Override PartName="/xl/persons/person37.xml" ContentType="application/vnd.ms-excel.person+xml"/>
  <Override PartName="/xl/persons/person52.xml" ContentType="application/vnd.ms-excel.person+xml"/>
  <Override PartName="/xl/persons/person57.xml" ContentType="application/vnd.ms-excel.person+xml"/>
  <Override PartName="/xl/persons/person11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45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7.xml" ContentType="application/vnd.ms-excel.person+xml"/>
  <Override PartName="/xl/persons/person24.xml" ContentType="application/vnd.ms-excel.person+xml"/>
  <Override PartName="/xl/persons/person21.xml" ContentType="application/vnd.ms-excel.person+xml"/>
  <Override PartName="/xl/persons/person8.xml" ContentType="application/vnd.ms-excel.person+xml"/>
  <Override PartName="/xl/persons/person41.xml" ContentType="application/vnd.ms-excel.person+xml"/>
  <Override PartName="/xl/persons/person39.xml" ContentType="application/vnd.ms-excel.person+xml"/>
  <Override PartName="/xl/persons/person54.xml" ContentType="application/vnd.ms-excel.person+xml"/>
  <Override PartName="/xl/persons/person17.xml" ContentType="application/vnd.ms-excel.person+xml"/>
  <Override PartName="/xl/persons/person6.xml" ContentType="application/vnd.ms-excel.person+xml"/>
  <Override PartName="/xl/persons/person58.xml" ContentType="application/vnd.ms-excel.person+xml"/>
  <Override PartName="/xl/persons/person4.xml" ContentType="application/vnd.ms-excel.person+xml"/>
  <Override PartName="/xl/persons/person38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60.xml" ContentType="application/vnd.ms-excel.person+xml"/>
  <Override PartName="/xl/persons/person53.xml" ContentType="application/vnd.ms-excel.person+xml"/>
  <Override PartName="/xl/persons/person34.xml" ContentType="application/vnd.ms-excel.person+xml"/>
  <Override PartName="/xl/persons/person46.xml" ContentType="application/vnd.ms-excel.person+xml"/>
  <Override PartName="/xl/persons/person12.xml" ContentType="application/vnd.ms-excel.person+xml"/>
  <Override PartName="/xl/persons/person48.xml" ContentType="application/vnd.ms-excel.person+xml"/>
  <Override PartName="/xl/persons/person28.xml" ContentType="application/vnd.ms-excel.person+xml"/>
  <Override PartName="/xl/persons/person40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5.xml" ContentType="application/vnd.ms-excel.person+xml"/>
  <Override PartName="/xl/persons/person56.xml" ContentType="application/vnd.ms-excel.person+xml"/>
  <Override PartName="/xl/persons/person50.xml" ContentType="application/vnd.ms-excel.person+xml"/>
  <Override PartName="/xl/persons/person23.xml" ContentType="application/vnd.ms-excel.person+xml"/>
  <Override PartName="/xl/persons/person35.xml" ContentType="application/vnd.ms-excel.person+xml"/>
  <Override PartName="/xl/persons/person44.xml" ContentType="application/vnd.ms-excel.person+xml"/>
  <Override PartName="/xl/persons/person62.xml" ContentType="application/vnd.ms-excel.person+xml"/>
  <Override PartName="/xl/persons/person32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27.xml" ContentType="application/vnd.ms-excel.person+xml"/>
  <Override PartName="/xl/persons/person42.xml" ContentType="application/vnd.ms-excel.person+xml"/>
  <Override PartName="/xl/persons/person47.xml" ContentType="application/vnd.ms-excel.person+xml"/>
  <Override PartName="/xl/persons/person20.xml" ContentType="application/vnd.ms-excel.person+xml"/>
  <Override PartName="/xl/persons/person2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36.xml" ContentType="application/vnd.ms-excel.person+xml"/>
  <Override PartName="/xl/persons/person55.xml" ContentType="application/vnd.ms-excel.person+xml"/>
  <Override PartName="/xl/persons/person49.xml" ContentType="application/vnd.ms-excel.person+xml"/>
  <Override PartName="/xl/persons/person59.xml" ContentType="application/vnd.ms-excel.person+xml"/>
  <Override PartName="/xl/persons/person51.xml" ContentType="application/vnd.ms-excel.person+xml"/>
  <Override PartName="/xl/persons/person30.xml" ContentType="application/vnd.ms-excel.person+xml"/>
  <Override PartName="/xl/persons/person.xml" ContentType="application/vnd.ms-excel.person+xml"/>
  <Override PartName="/xl/persons/person25.xml" ContentType="application/vnd.ms-excel.person+xml"/>
  <Override PartName="/xl/persons/person43.xml" ContentType="application/vnd.ms-excel.person+xml"/>
  <Override PartName="/xl/persons/person61.xml" ContentType="application/vnd.ms-excel.person+xml"/>
  <Override PartName="/xl/persons/person1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eb\OneDrive\Documents\My Lucky\CAR\"/>
    </mc:Choice>
  </mc:AlternateContent>
  <xr:revisionPtr revIDLastSave="0" documentId="13_ncr:1_{667607DB-0566-4A4F-835B-9EB6E4B72BFE}" xr6:coauthVersionLast="47" xr6:coauthVersionMax="47" xr10:uidLastSave="{00000000-0000-0000-0000-000000000000}"/>
  <bookViews>
    <workbookView xWindow="-120" yWindow="-120" windowWidth="20730" windowHeight="11160" firstSheet="9" activeTab="9" xr2:uid="{00000000-000D-0000-FFFF-FFFF00000000}"/>
  </bookViews>
  <sheets>
    <sheet name="Jan&amp;Feb" sheetId="1" r:id="rId1"/>
    <sheet name="MARET" sheetId="2" r:id="rId2"/>
    <sheet name="APRIL" sheetId="3" r:id="rId3"/>
    <sheet name="MEI" sheetId="4" r:id="rId4"/>
    <sheet name="JUNI" sheetId="5" r:id="rId5"/>
    <sheet name="JULI" sheetId="7" r:id="rId6"/>
    <sheet name="AGUSTUS" sheetId="13" r:id="rId7"/>
    <sheet name="SEPTEMBER" sheetId="21" r:id="rId8"/>
    <sheet name="OKTOBER" sheetId="28" r:id="rId9"/>
    <sheet name="NOVEMBER" sheetId="34" r:id="rId10"/>
    <sheet name="PENGAJUAN DANA 05juli " sheetId="6" r:id="rId11"/>
    <sheet name="PENGAJUAN DANA 12juli" sheetId="9" r:id="rId12"/>
    <sheet name="PENGAJUAN DANA 20juli" sheetId="11" r:id="rId13"/>
    <sheet name="PENGAJUAN DANA 29JULI" sheetId="12" r:id="rId14"/>
    <sheet name="PENGAJUAN DANA 2AGUSTUS" sheetId="14" r:id="rId15"/>
    <sheet name="PENGAJUAN DANA 9AGUSTUS" sheetId="15" r:id="rId16"/>
    <sheet name="PENGAJUAN DANA 16AGUSTUS " sheetId="17" r:id="rId17"/>
    <sheet name="PENGAJUAN DANA 23AGUSTUS" sheetId="18" r:id="rId18"/>
    <sheet name="PENGAJUAN DANA 30AGUSTUS" sheetId="20" r:id="rId19"/>
    <sheet name="PENGAJUAN DANA 19 SEPTEMBER 202" sheetId="22" r:id="rId20"/>
    <sheet name="PENGAJUAN DANA 27 SEPTEMBER " sheetId="24" r:id="rId21"/>
    <sheet name="PENGAJUAN DANA 03 OKTOBER 2024" sheetId="27" r:id="rId22"/>
    <sheet name="PENGAJUAN DANA 11 OKTOBER " sheetId="29" r:id="rId23"/>
    <sheet name="PENGAJUAN DANA 17 OKTOBER 2024" sheetId="30" r:id="rId24"/>
    <sheet name="PENGAJUAN DANA 24 OKTOBER " sheetId="32" r:id="rId25"/>
    <sheet name="PENGAJUAN DANA 01 NOV 2024  " sheetId="33" r:id="rId26"/>
    <sheet name="PENGAJUAN DANA 07 NOV 2024 " sheetId="35" r:id="rId27"/>
    <sheet name="PENGAJUAN DANA 14 NOV 2024" sheetId="36" r:id="rId28"/>
  </sheets>
  <definedNames>
    <definedName name="_xlnm.Print_Area" localSheetId="3">MEI!$A$1:$E$52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34" l="1"/>
  <c r="E138" i="34"/>
  <c r="E139" i="34"/>
  <c r="E140" i="34"/>
  <c r="E141" i="34"/>
  <c r="E142" i="34"/>
  <c r="E143" i="34"/>
  <c r="E144" i="34"/>
  <c r="E145" i="34"/>
  <c r="E146" i="34"/>
  <c r="E147" i="34"/>
  <c r="E148" i="34"/>
  <c r="E149" i="34"/>
  <c r="E150" i="34"/>
  <c r="E151" i="34"/>
  <c r="E152" i="34"/>
  <c r="E153" i="34"/>
  <c r="E154" i="34"/>
  <c r="E155" i="34"/>
  <c r="E156" i="34"/>
  <c r="E157" i="34"/>
  <c r="E158" i="34"/>
  <c r="E159" i="34"/>
  <c r="E160" i="34"/>
  <c r="E161" i="34"/>
  <c r="E162" i="34"/>
  <c r="E163" i="34"/>
  <c r="E134" i="34"/>
  <c r="E135" i="34"/>
  <c r="E136" i="34"/>
  <c r="E137" i="34"/>
  <c r="E133" i="34"/>
  <c r="G133" i="34" s="1"/>
  <c r="E131" i="34"/>
  <c r="E132" i="34"/>
  <c r="E130" i="34"/>
  <c r="E126" i="34"/>
  <c r="E127" i="34"/>
  <c r="E128" i="34"/>
  <c r="E129" i="34"/>
  <c r="H122" i="34"/>
  <c r="C65" i="36"/>
  <c r="B64" i="36" a="1"/>
  <c r="B64" i="36" s="1"/>
  <c r="B63" i="36" a="1"/>
  <c r="B63" i="36" s="1"/>
  <c r="B62" i="36" a="1"/>
  <c r="B62" i="36" s="1"/>
  <c r="B61" i="36" a="1"/>
  <c r="B61" i="36" s="1"/>
  <c r="B60" i="36" a="1"/>
  <c r="B60" i="36" s="1"/>
  <c r="B59" i="36" a="1"/>
  <c r="B59" i="36" s="1"/>
  <c r="B58" i="36" a="1"/>
  <c r="B58" i="36" s="1"/>
  <c r="D11" i="36"/>
  <c r="C47" i="36" s="1"/>
  <c r="B57" i="36" a="1"/>
  <c r="D42" i="36"/>
  <c r="D32" i="36"/>
  <c r="C49" i="36" s="1"/>
  <c r="D24" i="36"/>
  <c r="C48" i="36" s="1"/>
  <c r="H89" i="34"/>
  <c r="G73" i="34"/>
  <c r="B66" i="35" a="1"/>
  <c r="B66" i="35" s="1"/>
  <c r="B65" i="35" a="1"/>
  <c r="B65" i="35" s="1"/>
  <c r="B68" i="35" a="1"/>
  <c r="B68" i="35" s="1"/>
  <c r="B63" i="35" a="1"/>
  <c r="B63" i="35" s="1"/>
  <c r="B62" i="35" a="1"/>
  <c r="B62" i="35" s="1"/>
  <c r="B61" i="35" a="1"/>
  <c r="B61" i="35" s="1"/>
  <c r="B60" i="35" a="1"/>
  <c r="B60" i="35" s="1"/>
  <c r="B58" i="35" a="1"/>
  <c r="B58" i="35" s="1"/>
  <c r="B59" i="35" a="1"/>
  <c r="B59" i="35" s="1"/>
  <c r="D11" i="35"/>
  <c r="C48" i="35" s="1"/>
  <c r="D25" i="35"/>
  <c r="C49" i="35" s="1"/>
  <c r="B67" i="35" a="1"/>
  <c r="B67" i="35" s="1"/>
  <c r="B64" i="35" a="1"/>
  <c r="B64" i="35" s="1"/>
  <c r="D43" i="35"/>
  <c r="D33" i="35"/>
  <c r="C50" i="35" s="1"/>
  <c r="C36" i="34"/>
  <c r="E37" i="34" s="1"/>
  <c r="E121" i="34" l="1"/>
  <c r="E113" i="34"/>
  <c r="E120" i="34"/>
  <c r="E116" i="34"/>
  <c r="G116" i="34" s="1"/>
  <c r="E123" i="34"/>
  <c r="E119" i="34"/>
  <c r="E115" i="34"/>
  <c r="E125" i="34"/>
  <c r="E122" i="34"/>
  <c r="E118" i="34"/>
  <c r="E114" i="34"/>
  <c r="E117" i="34"/>
  <c r="E112" i="34"/>
  <c r="E124" i="34"/>
  <c r="E106" i="34"/>
  <c r="E109" i="34"/>
  <c r="E105" i="34"/>
  <c r="E110" i="34"/>
  <c r="E104" i="34"/>
  <c r="E111" i="34"/>
  <c r="E107" i="34"/>
  <c r="E103" i="34"/>
  <c r="E108" i="34"/>
  <c r="C50" i="36"/>
  <c r="B57" i="36"/>
  <c r="E89" i="34"/>
  <c r="E101" i="34"/>
  <c r="E95" i="34"/>
  <c r="G95" i="34" s="1"/>
  <c r="E98" i="34"/>
  <c r="E94" i="34"/>
  <c r="G94" i="34" s="1"/>
  <c r="E102" i="34"/>
  <c r="G102" i="34" s="1"/>
  <c r="E100" i="34"/>
  <c r="E99" i="34"/>
  <c r="G99" i="34" s="1"/>
  <c r="E93" i="34"/>
  <c r="E90" i="34"/>
  <c r="E97" i="34"/>
  <c r="E96" i="34"/>
  <c r="E92" i="34"/>
  <c r="E91" i="34"/>
  <c r="G91" i="34" s="1"/>
  <c r="E88" i="34"/>
  <c r="E87" i="34"/>
  <c r="E74" i="34"/>
  <c r="E85" i="34"/>
  <c r="E79" i="34"/>
  <c r="E73" i="34"/>
  <c r="E84" i="34"/>
  <c r="E86" i="34"/>
  <c r="E70" i="34"/>
  <c r="E83" i="34"/>
  <c r="E80" i="34"/>
  <c r="E78" i="34"/>
  <c r="G78" i="34" s="1"/>
  <c r="E82" i="34"/>
  <c r="G82" i="34" s="1"/>
  <c r="E77" i="34"/>
  <c r="E76" i="34"/>
  <c r="E72" i="34"/>
  <c r="E75" i="34"/>
  <c r="G75" i="34" s="1"/>
  <c r="E71" i="34"/>
  <c r="E81" i="34"/>
  <c r="E65" i="34"/>
  <c r="E66" i="34"/>
  <c r="E68" i="34"/>
  <c r="E67" i="34"/>
  <c r="E69" i="34"/>
  <c r="E62" i="34"/>
  <c r="E64" i="34"/>
  <c r="E63" i="34"/>
  <c r="E40" i="34"/>
  <c r="G40" i="34" s="1"/>
  <c r="E61" i="34"/>
  <c r="E45" i="34"/>
  <c r="E58" i="34"/>
  <c r="E50" i="34"/>
  <c r="E59" i="34"/>
  <c r="E60" i="34"/>
  <c r="C69" i="35"/>
  <c r="E53" i="34"/>
  <c r="G53" i="34" s="1"/>
  <c r="E55" i="34"/>
  <c r="E39" i="34"/>
  <c r="E48" i="34"/>
  <c r="E44" i="34"/>
  <c r="E49" i="34"/>
  <c r="E41" i="34"/>
  <c r="E38" i="34"/>
  <c r="G38" i="34" s="1"/>
  <c r="E47" i="34"/>
  <c r="E43" i="34"/>
  <c r="E51" i="34"/>
  <c r="E57" i="34"/>
  <c r="E52" i="34"/>
  <c r="E46" i="34"/>
  <c r="E42" i="34"/>
  <c r="E56" i="34"/>
  <c r="E54" i="34"/>
  <c r="C51" i="35"/>
  <c r="E36" i="34"/>
  <c r="E25" i="34"/>
  <c r="E26" i="34"/>
  <c r="E27" i="34"/>
  <c r="E28" i="34"/>
  <c r="E29" i="34"/>
  <c r="E30" i="34"/>
  <c r="E31" i="34"/>
  <c r="E32" i="34"/>
  <c r="E33" i="34"/>
  <c r="E34" i="34"/>
  <c r="E35" i="34"/>
  <c r="E15" i="34"/>
  <c r="E16" i="34"/>
  <c r="E17" i="34"/>
  <c r="E18" i="34"/>
  <c r="E19" i="34"/>
  <c r="E20" i="34"/>
  <c r="G20" i="34" s="1"/>
  <c r="E21" i="34"/>
  <c r="E22" i="34"/>
  <c r="E23" i="34"/>
  <c r="E24" i="34"/>
  <c r="E13" i="34"/>
  <c r="E14" i="34"/>
  <c r="E11" i="34"/>
  <c r="E12" i="34"/>
  <c r="E10" i="34"/>
  <c r="E9" i="34" l="1"/>
  <c r="E6" i="34"/>
  <c r="E7" i="34"/>
  <c r="E8" i="34"/>
  <c r="E5" i="34"/>
  <c r="E4" i="34"/>
  <c r="E3" i="34"/>
  <c r="D25" i="33"/>
  <c r="C42" i="33" s="1"/>
  <c r="D15" i="33"/>
  <c r="C41" i="33" s="1"/>
  <c r="D6" i="33"/>
  <c r="C40" i="33" s="1"/>
  <c r="B61" i="33" a="1"/>
  <c r="B61" i="33" s="1"/>
  <c r="B60" i="33" a="1"/>
  <c r="B60" i="33" s="1"/>
  <c r="B59" i="33" a="1"/>
  <c r="B59" i="33" s="1"/>
  <c r="B58" i="33" a="1"/>
  <c r="B58" i="33" s="1"/>
  <c r="B57" i="33" a="1"/>
  <c r="B57" i="33" s="1"/>
  <c r="B56" i="33" a="1"/>
  <c r="B56" i="33" s="1"/>
  <c r="B55" i="33" a="1"/>
  <c r="B55" i="33" s="1"/>
  <c r="B54" i="33" a="1"/>
  <c r="B54" i="33" s="1"/>
  <c r="B53" i="33" a="1"/>
  <c r="B53" i="33" s="1"/>
  <c r="B52" i="33" a="1"/>
  <c r="B52" i="33" s="1"/>
  <c r="B51" i="33" a="1"/>
  <c r="B51" i="33" s="1"/>
  <c r="B50" i="33" a="1"/>
  <c r="D35" i="33"/>
  <c r="E250" i="28"/>
  <c r="E251" i="28"/>
  <c r="E252" i="28"/>
  <c r="E253" i="28"/>
  <c r="G253" i="28" s="1"/>
  <c r="E243" i="28"/>
  <c r="E240" i="28"/>
  <c r="E245" i="28"/>
  <c r="E244" i="28"/>
  <c r="E246" i="28"/>
  <c r="E247" i="28"/>
  <c r="E239" i="28"/>
  <c r="G239" i="28" s="1"/>
  <c r="E241" i="28"/>
  <c r="E242" i="28"/>
  <c r="G242" i="28" s="1"/>
  <c r="E248" i="28"/>
  <c r="E249" i="28"/>
  <c r="E238" i="28"/>
  <c r="G238" i="28" s="1"/>
  <c r="E236" i="28"/>
  <c r="E237" i="28"/>
  <c r="G237" i="28" s="1"/>
  <c r="E234" i="28"/>
  <c r="E235" i="28"/>
  <c r="C43" i="33" l="1"/>
  <c r="C62" i="33"/>
  <c r="B50" i="33"/>
  <c r="E217" i="28"/>
  <c r="E218" i="28"/>
  <c r="E219" i="28"/>
  <c r="E220" i="28"/>
  <c r="E221" i="28"/>
  <c r="E222" i="28"/>
  <c r="E227" i="28"/>
  <c r="E228" i="28"/>
  <c r="G228" i="28" s="1"/>
  <c r="E229" i="28"/>
  <c r="E230" i="28"/>
  <c r="E231" i="28"/>
  <c r="E232" i="28"/>
  <c r="E216" i="28"/>
  <c r="E223" i="28"/>
  <c r="E224" i="28"/>
  <c r="E225" i="28"/>
  <c r="E226" i="28"/>
  <c r="E233" i="28"/>
  <c r="B65" i="32" a="1"/>
  <c r="B65" i="32" s="1"/>
  <c r="B66" i="32" a="1"/>
  <c r="B66" i="32" s="1"/>
  <c r="B64" i="32" a="1"/>
  <c r="B64" i="32" s="1"/>
  <c r="B63" i="32" a="1"/>
  <c r="B63" i="32" s="1"/>
  <c r="B62" i="32" a="1"/>
  <c r="B62" i="32" s="1"/>
  <c r="B61" i="32" a="1"/>
  <c r="B61" i="32" s="1"/>
  <c r="B60" i="32" a="1"/>
  <c r="B60" i="32" s="1"/>
  <c r="B59" i="32" a="1"/>
  <c r="B59" i="32" s="1"/>
  <c r="B58" i="32" a="1"/>
  <c r="B58" i="32" s="1"/>
  <c r="B57" i="32" a="1"/>
  <c r="B57" i="32" s="1"/>
  <c r="B56" i="32" a="1"/>
  <c r="B56" i="32" s="1"/>
  <c r="B55" i="32" a="1"/>
  <c r="B55" i="32" s="1"/>
  <c r="H212" i="28"/>
  <c r="D17" i="32"/>
  <c r="D21" i="32" s="1"/>
  <c r="C45" i="32" s="1"/>
  <c r="B47" i="32"/>
  <c r="D39" i="32"/>
  <c r="C47" i="32" s="1"/>
  <c r="E207" i="28"/>
  <c r="E208" i="28"/>
  <c r="E209" i="28"/>
  <c r="E210" i="28"/>
  <c r="E211" i="28"/>
  <c r="E212" i="28"/>
  <c r="E213" i="28"/>
  <c r="E214" i="28"/>
  <c r="E215" i="28"/>
  <c r="G215" i="28" s="1"/>
  <c r="H215" i="28" s="1"/>
  <c r="E206" i="28"/>
  <c r="D29" i="32"/>
  <c r="C46" i="32" s="1"/>
  <c r="D10" i="32"/>
  <c r="C44" i="32" s="1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193" i="28"/>
  <c r="E192" i="28"/>
  <c r="E187" i="28"/>
  <c r="E190" i="28"/>
  <c r="E191" i="28"/>
  <c r="E185" i="28"/>
  <c r="E186" i="28"/>
  <c r="E188" i="28"/>
  <c r="E189" i="28"/>
  <c r="E181" i="28"/>
  <c r="G181" i="28" s="1"/>
  <c r="E182" i="28"/>
  <c r="E183" i="28"/>
  <c r="E184" i="28"/>
  <c r="E176" i="28"/>
  <c r="G176" i="28" s="1"/>
  <c r="E177" i="28"/>
  <c r="E178" i="28"/>
  <c r="E179" i="28"/>
  <c r="E180" i="28"/>
  <c r="G180" i="28" s="1"/>
  <c r="B63" i="30" a="1"/>
  <c r="B63" i="30" s="1"/>
  <c r="B62" i="30" a="1"/>
  <c r="B62" i="30" s="1"/>
  <c r="B61" i="30" a="1"/>
  <c r="B61" i="30" s="1"/>
  <c r="B60" i="30" a="1"/>
  <c r="B60" i="30" s="1"/>
  <c r="B59" i="30" a="1"/>
  <c r="B59" i="30" s="1"/>
  <c r="B58" i="30" a="1"/>
  <c r="B58" i="30" s="1"/>
  <c r="B57" i="30" a="1"/>
  <c r="B57" i="30" s="1"/>
  <c r="B56" i="30" a="1"/>
  <c r="B56" i="30" s="1"/>
  <c r="B55" i="30" a="1"/>
  <c r="B55" i="30" s="1"/>
  <c r="C67" i="32" l="1"/>
  <c r="C48" i="32"/>
  <c r="C64" i="30"/>
  <c r="E172" i="28" l="1"/>
  <c r="G172" i="28" s="1"/>
  <c r="E173" i="28"/>
  <c r="E174" i="28"/>
  <c r="E175" i="28"/>
  <c r="G175" i="28" s="1"/>
  <c r="E171" i="28"/>
  <c r="E170" i="28"/>
  <c r="E169" i="28"/>
  <c r="D11" i="30"/>
  <c r="E167" i="28"/>
  <c r="E168" i="28"/>
  <c r="E166" i="28"/>
  <c r="E159" i="28"/>
  <c r="E160" i="28"/>
  <c r="E161" i="28"/>
  <c r="E162" i="28"/>
  <c r="E163" i="28"/>
  <c r="E164" i="28"/>
  <c r="E165" i="28"/>
  <c r="C45" i="30"/>
  <c r="C48" i="30" s="1"/>
  <c r="D37" i="30"/>
  <c r="C47" i="30" s="1"/>
  <c r="D27" i="30"/>
  <c r="C46" i="30" s="1"/>
  <c r="E152" i="28"/>
  <c r="E153" i="28"/>
  <c r="E154" i="28"/>
  <c r="E155" i="28"/>
  <c r="E156" i="28"/>
  <c r="E157" i="28"/>
  <c r="G157" i="28" s="1"/>
  <c r="E158" i="28"/>
  <c r="G158" i="28" s="1"/>
  <c r="E149" i="28"/>
  <c r="E150" i="28"/>
  <c r="E151" i="28"/>
  <c r="G151" i="28" s="1"/>
  <c r="E148" i="28"/>
  <c r="E145" i="28"/>
  <c r="E146" i="28"/>
  <c r="E147" i="28"/>
  <c r="E142" i="28"/>
  <c r="E136" i="28"/>
  <c r="E137" i="28"/>
  <c r="E138" i="28"/>
  <c r="E139" i="28"/>
  <c r="E140" i="28"/>
  <c r="E141" i="28"/>
  <c r="E143" i="28"/>
  <c r="E144" i="28"/>
  <c r="G144" i="28" s="1"/>
  <c r="E126" i="28"/>
  <c r="G126" i="28" s="1"/>
  <c r="E127" i="28"/>
  <c r="E128" i="28"/>
  <c r="E129" i="28"/>
  <c r="E130" i="28"/>
  <c r="E131" i="28"/>
  <c r="E132" i="28"/>
  <c r="G132" i="28" s="1"/>
  <c r="E133" i="28"/>
  <c r="E134" i="28"/>
  <c r="E135" i="28"/>
  <c r="G135" i="28" s="1"/>
  <c r="E125" i="28"/>
  <c r="G125" i="28" s="1"/>
  <c r="E123" i="28"/>
  <c r="E124" i="28"/>
  <c r="G124" i="28" s="1"/>
  <c r="E118" i="28"/>
  <c r="E119" i="28"/>
  <c r="E120" i="28"/>
  <c r="E121" i="28"/>
  <c r="E122" i="28"/>
  <c r="E61" i="28"/>
  <c r="E114" i="28"/>
  <c r="E115" i="28"/>
  <c r="E116" i="28"/>
  <c r="J9" i="29"/>
  <c r="J10" i="29" s="1"/>
  <c r="I9" i="29"/>
  <c r="D25" i="29"/>
  <c r="C44" i="29" s="1"/>
  <c r="C65" i="29"/>
  <c r="D35" i="29"/>
  <c r="C45" i="29" s="1"/>
  <c r="D12" i="29"/>
  <c r="C43" i="29" s="1"/>
  <c r="E110" i="28"/>
  <c r="G110" i="28" s="1"/>
  <c r="E111" i="28"/>
  <c r="E112" i="28"/>
  <c r="E113" i="28"/>
  <c r="E117" i="28"/>
  <c r="E105" i="28"/>
  <c r="E106" i="28"/>
  <c r="E107" i="28"/>
  <c r="E108" i="28"/>
  <c r="E109" i="28"/>
  <c r="E91" i="28"/>
  <c r="E92" i="28"/>
  <c r="E93" i="28"/>
  <c r="E94" i="28"/>
  <c r="G94" i="28" s="1"/>
  <c r="E95" i="28"/>
  <c r="E96" i="28"/>
  <c r="G96" i="28" s="1"/>
  <c r="E97" i="28"/>
  <c r="E98" i="28"/>
  <c r="E99" i="28"/>
  <c r="E100" i="28"/>
  <c r="E101" i="28"/>
  <c r="E102" i="28"/>
  <c r="E103" i="28"/>
  <c r="E104" i="28"/>
  <c r="E90" i="28"/>
  <c r="G90" i="28" s="1"/>
  <c r="E89" i="28"/>
  <c r="G89" i="28" s="1"/>
  <c r="E78" i="28"/>
  <c r="E88" i="28"/>
  <c r="E87" i="28"/>
  <c r="E86" i="28"/>
  <c r="G86" i="28" s="1"/>
  <c r="E85" i="28"/>
  <c r="E84" i="28"/>
  <c r="E83" i="28"/>
  <c r="E82" i="28"/>
  <c r="E81" i="28"/>
  <c r="E80" i="28"/>
  <c r="E79" i="28"/>
  <c r="E70" i="28"/>
  <c r="E69" i="28"/>
  <c r="E68" i="28"/>
  <c r="E67" i="28"/>
  <c r="E66" i="28"/>
  <c r="E65" i="28"/>
  <c r="E64" i="28"/>
  <c r="E63" i="28"/>
  <c r="E62" i="28"/>
  <c r="E60" i="28"/>
  <c r="E59" i="28"/>
  <c r="E58" i="28"/>
  <c r="E57" i="28"/>
  <c r="E56" i="28"/>
  <c r="E55" i="28"/>
  <c r="E54" i="28"/>
  <c r="E53" i="28"/>
  <c r="E52" i="28"/>
  <c r="E51" i="28"/>
  <c r="E50" i="28"/>
  <c r="E49" i="28"/>
  <c r="E48" i="28"/>
  <c r="E47" i="28"/>
  <c r="E46" i="28"/>
  <c r="E45" i="28"/>
  <c r="E44" i="28"/>
  <c r="E43" i="28"/>
  <c r="E42" i="28"/>
  <c r="E41" i="28"/>
  <c r="E40" i="28"/>
  <c r="E39" i="28"/>
  <c r="E38" i="28"/>
  <c r="E37" i="28"/>
  <c r="E36" i="28"/>
  <c r="E35" i="28"/>
  <c r="E34" i="28"/>
  <c r="E33" i="28"/>
  <c r="E32" i="28"/>
  <c r="E31" i="28"/>
  <c r="E30" i="28"/>
  <c r="E29" i="28"/>
  <c r="E28" i="28"/>
  <c r="E27" i="28"/>
  <c r="E26" i="28"/>
  <c r="E25" i="28"/>
  <c r="E24" i="28"/>
  <c r="E23" i="28"/>
  <c r="E22" i="28"/>
  <c r="E21" i="28"/>
  <c r="E20" i="28"/>
  <c r="E19" i="28"/>
  <c r="E18" i="28"/>
  <c r="E17" i="28"/>
  <c r="E16" i="28"/>
  <c r="E15" i="28"/>
  <c r="E14" i="28"/>
  <c r="E13" i="28"/>
  <c r="E12" i="28"/>
  <c r="E11" i="28"/>
  <c r="E10" i="28"/>
  <c r="E9" i="28"/>
  <c r="E8" i="28"/>
  <c r="E7" i="28"/>
  <c r="E6" i="28"/>
  <c r="E5" i="28"/>
  <c r="E4" i="28"/>
  <c r="E3" i="28"/>
  <c r="C67" i="27"/>
  <c r="D10" i="27"/>
  <c r="C45" i="27" s="1"/>
  <c r="D27" i="27"/>
  <c r="C46" i="27" s="1"/>
  <c r="D37" i="27"/>
  <c r="C47" i="27" s="1"/>
  <c r="D27" i="24"/>
  <c r="C37" i="24" s="1"/>
  <c r="D5" i="24"/>
  <c r="C35" i="24" s="1"/>
  <c r="C56" i="24"/>
  <c r="D17" i="24"/>
  <c r="C36" i="24" s="1"/>
  <c r="H87" i="21"/>
  <c r="C75" i="22"/>
  <c r="D20" i="22"/>
  <c r="C54" i="22" s="1"/>
  <c r="D39" i="22"/>
  <c r="C55" i="22" s="1"/>
  <c r="D46" i="22"/>
  <c r="C56" i="22" s="1"/>
  <c r="C3" i="21"/>
  <c r="E36" i="21" s="1"/>
  <c r="D8" i="20"/>
  <c r="C42" i="20" s="1"/>
  <c r="D24" i="20"/>
  <c r="C43" i="20" s="1"/>
  <c r="C58" i="20"/>
  <c r="G50" i="20"/>
  <c r="D34" i="20"/>
  <c r="J12" i="20"/>
  <c r="C46" i="29" l="1"/>
  <c r="C48" i="27"/>
  <c r="E127" i="21"/>
  <c r="E123" i="21"/>
  <c r="E120" i="21"/>
  <c r="E126" i="21"/>
  <c r="E122" i="21"/>
  <c r="E119" i="21"/>
  <c r="E125" i="21"/>
  <c r="E121" i="21"/>
  <c r="E128" i="21"/>
  <c r="E124" i="21"/>
  <c r="E129" i="21"/>
  <c r="G129" i="21" s="1"/>
  <c r="E118" i="21"/>
  <c r="E117" i="21"/>
  <c r="E115" i="21"/>
  <c r="E88" i="21"/>
  <c r="E83" i="21"/>
  <c r="E97" i="21"/>
  <c r="G97" i="21" s="1"/>
  <c r="E92" i="21"/>
  <c r="G92" i="21" s="1"/>
  <c r="E87" i="21"/>
  <c r="E82" i="21"/>
  <c r="E100" i="21"/>
  <c r="E96" i="21"/>
  <c r="E107" i="21"/>
  <c r="E103" i="21"/>
  <c r="E112" i="21"/>
  <c r="E108" i="21"/>
  <c r="G108" i="21" s="1"/>
  <c r="E91" i="21"/>
  <c r="E86" i="21"/>
  <c r="E79" i="21"/>
  <c r="E99" i="21"/>
  <c r="G99" i="21" s="1"/>
  <c r="E94" i="21"/>
  <c r="E106" i="21"/>
  <c r="E102" i="21"/>
  <c r="E111" i="21"/>
  <c r="E90" i="21"/>
  <c r="E84" i="21"/>
  <c r="E78" i="21"/>
  <c r="G78" i="21" s="1"/>
  <c r="E98" i="21"/>
  <c r="G98" i="21" s="1"/>
  <c r="E93" i="21"/>
  <c r="G93" i="21" s="1"/>
  <c r="E105" i="21"/>
  <c r="E101" i="21"/>
  <c r="E110" i="21"/>
  <c r="E114" i="21"/>
  <c r="E104" i="21"/>
  <c r="E113" i="21"/>
  <c r="E109" i="21"/>
  <c r="G109" i="21" s="1"/>
  <c r="E116" i="21"/>
  <c r="G116" i="21" s="1"/>
  <c r="C38" i="24"/>
  <c r="E89" i="21"/>
  <c r="E85" i="21"/>
  <c r="E80" i="21"/>
  <c r="E95" i="21"/>
  <c r="E81" i="21"/>
  <c r="E77" i="21"/>
  <c r="E76" i="21"/>
  <c r="G76" i="21" s="1"/>
  <c r="E75" i="21"/>
  <c r="E74" i="21"/>
  <c r="E64" i="21"/>
  <c r="E73" i="21"/>
  <c r="G73" i="21" s="1"/>
  <c r="E72" i="21"/>
  <c r="G72" i="21" s="1"/>
  <c r="E65" i="21"/>
  <c r="E71" i="21"/>
  <c r="E70" i="21"/>
  <c r="E35" i="21"/>
  <c r="E4" i="21"/>
  <c r="E62" i="21"/>
  <c r="G62" i="21" s="1"/>
  <c r="E33" i="21"/>
  <c r="E58" i="21"/>
  <c r="E61" i="21"/>
  <c r="E68" i="21"/>
  <c r="E34" i="21"/>
  <c r="E59" i="21"/>
  <c r="G59" i="21" s="1"/>
  <c r="E69" i="21"/>
  <c r="E55" i="21"/>
  <c r="E56" i="21"/>
  <c r="G56" i="21" s="1"/>
  <c r="E57" i="21"/>
  <c r="E60" i="21"/>
  <c r="E67" i="21"/>
  <c r="E66" i="21"/>
  <c r="E63" i="21"/>
  <c r="C57" i="22"/>
  <c r="E21" i="21"/>
  <c r="E31" i="21"/>
  <c r="E49" i="21"/>
  <c r="E16" i="21"/>
  <c r="E20" i="21"/>
  <c r="E27" i="21"/>
  <c r="E43" i="21"/>
  <c r="E10" i="21"/>
  <c r="E11" i="21"/>
  <c r="E17" i="21"/>
  <c r="E23" i="21"/>
  <c r="E54" i="21"/>
  <c r="E48" i="21"/>
  <c r="E53" i="21"/>
  <c r="E9" i="21"/>
  <c r="E19" i="21"/>
  <c r="E15" i="21"/>
  <c r="E29" i="21"/>
  <c r="E25" i="21"/>
  <c r="E47" i="21"/>
  <c r="E39" i="21"/>
  <c r="E52" i="21"/>
  <c r="E30" i="21"/>
  <c r="E26" i="21"/>
  <c r="E42" i="21"/>
  <c r="E14" i="21"/>
  <c r="E8" i="21"/>
  <c r="E18" i="21"/>
  <c r="E32" i="21"/>
  <c r="E28" i="21"/>
  <c r="E24" i="21"/>
  <c r="E50" i="21"/>
  <c r="E46" i="21"/>
  <c r="E38" i="21"/>
  <c r="E51" i="21"/>
  <c r="E22" i="21"/>
  <c r="E45" i="21"/>
  <c r="E41" i="21"/>
  <c r="E37" i="21"/>
  <c r="E44" i="21"/>
  <c r="E40" i="21"/>
  <c r="E6" i="21"/>
  <c r="E7" i="21"/>
  <c r="G7" i="21" s="1"/>
  <c r="E13" i="21"/>
  <c r="E12" i="21"/>
  <c r="E5" i="21"/>
  <c r="E3" i="21"/>
  <c r="C44" i="20"/>
  <c r="C57" i="18"/>
  <c r="G49" i="18"/>
  <c r="D33" i="18"/>
  <c r="D23" i="18"/>
  <c r="C42" i="18" s="1"/>
  <c r="J17" i="18"/>
  <c r="D13" i="18"/>
  <c r="C41" i="18" s="1"/>
  <c r="D13" i="17"/>
  <c r="C46" i="17" s="1"/>
  <c r="D28" i="17"/>
  <c r="C47" i="17" s="1"/>
  <c r="G54" i="17"/>
  <c r="D38" i="17"/>
  <c r="J17" i="17"/>
  <c r="D93" i="13"/>
  <c r="I123" i="13"/>
  <c r="I128" i="13" s="1"/>
  <c r="I115" i="13"/>
  <c r="D9" i="15"/>
  <c r="C40" i="15" s="1"/>
  <c r="G49" i="15"/>
  <c r="D32" i="15"/>
  <c r="D22" i="15"/>
  <c r="C41" i="15" s="1"/>
  <c r="J13" i="15"/>
  <c r="D40" i="15"/>
  <c r="D5" i="14"/>
  <c r="C39" i="14" s="1"/>
  <c r="D21" i="14"/>
  <c r="C40" i="14" s="1"/>
  <c r="G48" i="14"/>
  <c r="D31" i="14"/>
  <c r="J9" i="14"/>
  <c r="E5" i="14"/>
  <c r="D39" i="14" s="1"/>
  <c r="I15" i="13"/>
  <c r="D255" i="7"/>
  <c r="H92" i="21" l="1"/>
  <c r="G107" i="21"/>
  <c r="C43" i="18"/>
  <c r="C48" i="17"/>
  <c r="I116" i="13"/>
  <c r="C43" i="15"/>
  <c r="C42" i="14"/>
  <c r="C43" i="12"/>
  <c r="C42" i="12"/>
  <c r="G49" i="12"/>
  <c r="D32" i="12"/>
  <c r="D22" i="12"/>
  <c r="C41" i="12" s="1"/>
  <c r="J16" i="12"/>
  <c r="E12" i="12"/>
  <c r="D40" i="12" s="1"/>
  <c r="D12" i="12"/>
  <c r="C40" i="12" s="1"/>
  <c r="H9" i="12"/>
  <c r="C53" i="11"/>
  <c r="D15" i="11"/>
  <c r="C50" i="11" s="1"/>
  <c r="G59" i="11"/>
  <c r="H9" i="11"/>
  <c r="E15" i="11"/>
  <c r="D50" i="11" s="1"/>
  <c r="D32" i="11"/>
  <c r="C51" i="11" s="1"/>
  <c r="D42" i="11"/>
  <c r="C52" i="11" s="1"/>
  <c r="J19" i="11"/>
  <c r="G154" i="7"/>
  <c r="G150" i="7" l="1"/>
  <c r="H150" i="7" s="1"/>
  <c r="J16" i="9"/>
  <c r="D27" i="9"/>
  <c r="C48" i="9" s="1"/>
  <c r="D135" i="7"/>
  <c r="E131" i="7"/>
  <c r="E132" i="7"/>
  <c r="E133" i="7"/>
  <c r="E134" i="7"/>
  <c r="E130" i="7"/>
  <c r="E129" i="7"/>
  <c r="D39" i="9"/>
  <c r="C49" i="9" s="1"/>
  <c r="E128" i="7"/>
  <c r="E127" i="7"/>
  <c r="E110" i="7"/>
  <c r="E111" i="7"/>
  <c r="E112" i="7"/>
  <c r="E109" i="7"/>
  <c r="E101" i="7"/>
  <c r="E102" i="7"/>
  <c r="E103" i="7"/>
  <c r="E104" i="7"/>
  <c r="E105" i="7"/>
  <c r="E119" i="7"/>
  <c r="E120" i="7"/>
  <c r="E121" i="7"/>
  <c r="E122" i="7"/>
  <c r="E123" i="7"/>
  <c r="E124" i="7"/>
  <c r="E125" i="7"/>
  <c r="E126" i="7"/>
  <c r="E118" i="7"/>
  <c r="E117" i="7"/>
  <c r="E116" i="7"/>
  <c r="E115" i="7"/>
  <c r="E108" i="7"/>
  <c r="E107" i="7"/>
  <c r="E113" i="7"/>
  <c r="E114" i="7"/>
  <c r="D12" i="9"/>
  <c r="C47" i="9" s="1"/>
  <c r="E98" i="7"/>
  <c r="E99" i="7"/>
  <c r="E100" i="7"/>
  <c r="E106" i="7"/>
  <c r="E91" i="7"/>
  <c r="E92" i="7"/>
  <c r="E93" i="7"/>
  <c r="E94" i="7"/>
  <c r="E95" i="7"/>
  <c r="G94" i="7" s="1"/>
  <c r="E96" i="7"/>
  <c r="E97" i="7"/>
  <c r="E90" i="7"/>
  <c r="G90" i="7" s="1"/>
  <c r="E88" i="7"/>
  <c r="E89" i="7"/>
  <c r="E239" i="7" l="1"/>
  <c r="E240" i="7"/>
  <c r="E262" i="7"/>
  <c r="E263" i="7"/>
  <c r="C3" i="13" s="1"/>
  <c r="E254" i="13" s="1"/>
  <c r="E244" i="7"/>
  <c r="E146" i="7"/>
  <c r="G146" i="7" s="1"/>
  <c r="E247" i="7"/>
  <c r="E251" i="7"/>
  <c r="E259" i="7"/>
  <c r="E246" i="7"/>
  <c r="E243" i="7"/>
  <c r="E253" i="7"/>
  <c r="E248" i="7"/>
  <c r="E252" i="7"/>
  <c r="E256" i="7"/>
  <c r="E260" i="7"/>
  <c r="E245" i="7"/>
  <c r="E257" i="7"/>
  <c r="E261" i="7"/>
  <c r="E249" i="7"/>
  <c r="E250" i="7"/>
  <c r="E254" i="7"/>
  <c r="E258" i="7"/>
  <c r="E255" i="7"/>
  <c r="E135" i="7"/>
  <c r="G135" i="7" s="1"/>
  <c r="E242" i="7"/>
  <c r="E238" i="7"/>
  <c r="E236" i="7"/>
  <c r="E237" i="7"/>
  <c r="G237" i="7" s="1"/>
  <c r="E232" i="7"/>
  <c r="E233" i="7"/>
  <c r="E241" i="7"/>
  <c r="E234" i="7"/>
  <c r="E235" i="7"/>
  <c r="G235" i="7" s="1"/>
  <c r="E228" i="7"/>
  <c r="E231" i="7"/>
  <c r="E226" i="7"/>
  <c r="E227" i="7"/>
  <c r="G227" i="7" s="1"/>
  <c r="E229" i="7"/>
  <c r="E230" i="7"/>
  <c r="E213" i="7"/>
  <c r="E225" i="7"/>
  <c r="G225" i="7" s="1"/>
  <c r="E224" i="7"/>
  <c r="G224" i="7" s="1"/>
  <c r="E223" i="7"/>
  <c r="E222" i="7"/>
  <c r="E218" i="7"/>
  <c r="E217" i="7"/>
  <c r="E215" i="7"/>
  <c r="E219" i="7"/>
  <c r="E216" i="7"/>
  <c r="E220" i="7"/>
  <c r="E212" i="7"/>
  <c r="E221" i="7"/>
  <c r="E214" i="7"/>
  <c r="E211" i="7"/>
  <c r="E210" i="7"/>
  <c r="E209" i="7"/>
  <c r="E205" i="7"/>
  <c r="E208" i="7"/>
  <c r="G208" i="7" s="1"/>
  <c r="E206" i="7"/>
  <c r="E207" i="7"/>
  <c r="E204" i="7"/>
  <c r="E203" i="7"/>
  <c r="G203" i="7" s="1"/>
  <c r="E202" i="7"/>
  <c r="E169" i="7"/>
  <c r="G169" i="7" s="1"/>
  <c r="E196" i="7"/>
  <c r="E199" i="7"/>
  <c r="E201" i="7"/>
  <c r="G201" i="7" s="1"/>
  <c r="E197" i="7"/>
  <c r="E200" i="7"/>
  <c r="G200" i="7" s="1"/>
  <c r="E198" i="7"/>
  <c r="E191" i="7"/>
  <c r="G191" i="7" s="1"/>
  <c r="E192" i="7"/>
  <c r="G192" i="7" s="1"/>
  <c r="E193" i="7"/>
  <c r="E194" i="7"/>
  <c r="E195" i="7"/>
  <c r="E139" i="7"/>
  <c r="E187" i="7"/>
  <c r="E180" i="7"/>
  <c r="E184" i="7"/>
  <c r="E177" i="7"/>
  <c r="E171" i="7"/>
  <c r="G171" i="7" s="1"/>
  <c r="E170" i="7"/>
  <c r="G170" i="7" s="1"/>
  <c r="E189" i="7"/>
  <c r="E179" i="7"/>
  <c r="E173" i="7"/>
  <c r="G173" i="7" s="1"/>
  <c r="E183" i="7"/>
  <c r="E175" i="7"/>
  <c r="E190" i="7"/>
  <c r="E186" i="7"/>
  <c r="E181" i="7"/>
  <c r="E185" i="7"/>
  <c r="G185" i="7" s="1"/>
  <c r="E172" i="7"/>
  <c r="E166" i="7"/>
  <c r="E176" i="7"/>
  <c r="E182" i="7"/>
  <c r="E174" i="7"/>
  <c r="E168" i="7"/>
  <c r="G168" i="7" s="1"/>
  <c r="E188" i="7"/>
  <c r="E178" i="7"/>
  <c r="E167" i="7"/>
  <c r="E165" i="7"/>
  <c r="E161" i="7"/>
  <c r="E150" i="7"/>
  <c r="E159" i="7"/>
  <c r="E160" i="7"/>
  <c r="E162" i="7"/>
  <c r="E157" i="7"/>
  <c r="E155" i="7"/>
  <c r="E163" i="7"/>
  <c r="E156" i="7"/>
  <c r="E164" i="7"/>
  <c r="G164" i="7" s="1"/>
  <c r="E158" i="7"/>
  <c r="E143" i="7"/>
  <c r="E145" i="7"/>
  <c r="E138" i="7"/>
  <c r="E144" i="7"/>
  <c r="E151" i="7"/>
  <c r="E152" i="7"/>
  <c r="E153" i="7"/>
  <c r="E154" i="7"/>
  <c r="E149" i="7"/>
  <c r="E136" i="7"/>
  <c r="E140" i="7"/>
  <c r="G140" i="7" s="1"/>
  <c r="E148" i="7"/>
  <c r="E142" i="7"/>
  <c r="E137" i="7"/>
  <c r="E147" i="7"/>
  <c r="E141" i="7"/>
  <c r="C50" i="9"/>
  <c r="E87" i="7"/>
  <c r="E86" i="7"/>
  <c r="E82" i="7"/>
  <c r="E83" i="7"/>
  <c r="G83" i="7" s="1"/>
  <c r="E84" i="7"/>
  <c r="E85" i="7"/>
  <c r="E79" i="7"/>
  <c r="E80" i="7"/>
  <c r="E81" i="7"/>
  <c r="E74" i="7"/>
  <c r="E73" i="7"/>
  <c r="E75" i="7"/>
  <c r="E76" i="7"/>
  <c r="G76" i="7" s="1"/>
  <c r="E77" i="7"/>
  <c r="G77" i="7" s="1"/>
  <c r="E78" i="7"/>
  <c r="E71" i="7"/>
  <c r="E72" i="7"/>
  <c r="E70" i="7"/>
  <c r="E20" i="7"/>
  <c r="E69" i="7"/>
  <c r="G69" i="7" s="1"/>
  <c r="E68" i="7"/>
  <c r="E67" i="7"/>
  <c r="C44" i="6"/>
  <c r="D8" i="6"/>
  <c r="D33" i="6"/>
  <c r="C43" i="6" s="1"/>
  <c r="D23" i="6"/>
  <c r="C42" i="6" s="1"/>
  <c r="H48" i="7"/>
  <c r="I48" i="7" s="1"/>
  <c r="E49" i="7"/>
  <c r="G49" i="7" s="1"/>
  <c r="E50" i="7"/>
  <c r="E51" i="7"/>
  <c r="E52" i="7"/>
  <c r="G52" i="7" s="1"/>
  <c r="E53" i="7"/>
  <c r="E54" i="7"/>
  <c r="G54" i="7" s="1"/>
  <c r="E55" i="7"/>
  <c r="E56" i="7"/>
  <c r="E57" i="7"/>
  <c r="E58" i="7"/>
  <c r="E59" i="7"/>
  <c r="E60" i="7"/>
  <c r="E61" i="7"/>
  <c r="E62" i="7"/>
  <c r="E63" i="7"/>
  <c r="E64" i="7"/>
  <c r="E65" i="7"/>
  <c r="E66" i="7"/>
  <c r="E3" i="7"/>
  <c r="E4" i="7"/>
  <c r="E5" i="7"/>
  <c r="E11" i="7"/>
  <c r="E18" i="7"/>
  <c r="E17" i="7"/>
  <c r="E16" i="7"/>
  <c r="E15" i="7"/>
  <c r="E14" i="7"/>
  <c r="E8" i="7"/>
  <c r="E9" i="7"/>
  <c r="E10" i="7"/>
  <c r="E12" i="7"/>
  <c r="E13" i="7"/>
  <c r="E7" i="7"/>
  <c r="E6" i="7"/>
  <c r="G223" i="5"/>
  <c r="I220" i="5"/>
  <c r="D187" i="5"/>
  <c r="E244" i="5" s="1"/>
  <c r="M192" i="5"/>
  <c r="H178" i="5" a="1"/>
  <c r="H178" i="5" s="1"/>
  <c r="I199" i="5"/>
  <c r="H160" i="5"/>
  <c r="I160" i="5" s="1"/>
  <c r="G132" i="5"/>
  <c r="G129" i="5"/>
  <c r="C115" i="5"/>
  <c r="E115" i="5" s="1"/>
  <c r="E113" i="5"/>
  <c r="H112" i="5"/>
  <c r="I80" i="5"/>
  <c r="E106" i="5"/>
  <c r="E108" i="5"/>
  <c r="G108" i="5" s="1"/>
  <c r="E109" i="5"/>
  <c r="E110" i="5"/>
  <c r="E111" i="5"/>
  <c r="G111" i="5" s="1"/>
  <c r="E112" i="5"/>
  <c r="G112" i="5" s="1"/>
  <c r="E114" i="5"/>
  <c r="E107" i="5"/>
  <c r="E103" i="5"/>
  <c r="E105" i="5"/>
  <c r="E104" i="5"/>
  <c r="E102" i="5"/>
  <c r="E101" i="5"/>
  <c r="E93" i="5"/>
  <c r="E100" i="5"/>
  <c r="G100" i="5" s="1"/>
  <c r="E99" i="5"/>
  <c r="E98" i="5"/>
  <c r="E97" i="5"/>
  <c r="E96" i="5"/>
  <c r="E95" i="5"/>
  <c r="E94" i="5"/>
  <c r="E92" i="5"/>
  <c r="E91" i="5"/>
  <c r="E90" i="5"/>
  <c r="E74" i="5"/>
  <c r="E89" i="5"/>
  <c r="E88" i="5"/>
  <c r="E87" i="5"/>
  <c r="E86" i="5"/>
  <c r="E77" i="5"/>
  <c r="E76" i="5"/>
  <c r="E75" i="5"/>
  <c r="E80" i="5"/>
  <c r="E78" i="5"/>
  <c r="E79" i="5"/>
  <c r="E81" i="5"/>
  <c r="E82" i="5"/>
  <c r="E83" i="5"/>
  <c r="E84" i="5"/>
  <c r="E85" i="5"/>
  <c r="E61" i="5"/>
  <c r="E67" i="5"/>
  <c r="G67" i="5" s="1"/>
  <c r="E68" i="5"/>
  <c r="E69" i="5"/>
  <c r="E70" i="5"/>
  <c r="E71" i="5"/>
  <c r="E72" i="5"/>
  <c r="E73" i="5"/>
  <c r="E60" i="5"/>
  <c r="E54" i="5"/>
  <c r="E52" i="5"/>
  <c r="G52" i="5" s="1"/>
  <c r="E53" i="5"/>
  <c r="G53" i="5" s="1"/>
  <c r="E55" i="5"/>
  <c r="E56" i="5"/>
  <c r="E57" i="5"/>
  <c r="E58" i="5"/>
  <c r="E59" i="5"/>
  <c r="E62" i="5"/>
  <c r="E63" i="5"/>
  <c r="E64" i="5"/>
  <c r="E65" i="5"/>
  <c r="E66" i="5"/>
  <c r="E47" i="5"/>
  <c r="I50" i="5"/>
  <c r="H15" i="5"/>
  <c r="E8" i="5"/>
  <c r="E15" i="5"/>
  <c r="E14" i="5"/>
  <c r="H44" i="5"/>
  <c r="E36" i="5"/>
  <c r="E37" i="5"/>
  <c r="E38" i="5"/>
  <c r="E39" i="5"/>
  <c r="E40" i="5"/>
  <c r="E41" i="5"/>
  <c r="E42" i="5"/>
  <c r="G42" i="5" s="1"/>
  <c r="E43" i="5"/>
  <c r="E44" i="5"/>
  <c r="E45" i="5"/>
  <c r="E46" i="5"/>
  <c r="E48" i="5"/>
  <c r="E49" i="5"/>
  <c r="E50" i="5"/>
  <c r="E51" i="5"/>
  <c r="E35" i="5"/>
  <c r="G35" i="5" s="1"/>
  <c r="E34" i="5"/>
  <c r="E33" i="5"/>
  <c r="E32" i="5"/>
  <c r="E31" i="5"/>
  <c r="E30" i="5"/>
  <c r="E29" i="5"/>
  <c r="E28" i="5"/>
  <c r="E16" i="5"/>
  <c r="E17" i="5"/>
  <c r="E18" i="5"/>
  <c r="E19" i="5"/>
  <c r="G19" i="5" s="1"/>
  <c r="E20" i="5"/>
  <c r="E21" i="5"/>
  <c r="E22" i="5"/>
  <c r="E23" i="5"/>
  <c r="E24" i="5"/>
  <c r="E25" i="5"/>
  <c r="E26" i="5"/>
  <c r="E9" i="5"/>
  <c r="E10" i="5"/>
  <c r="E11" i="5"/>
  <c r="E12" i="5"/>
  <c r="E13" i="5"/>
  <c r="D279" i="4"/>
  <c r="E253" i="4"/>
  <c r="E256" i="4"/>
  <c r="E27" i="5"/>
  <c r="E7" i="5"/>
  <c r="E6" i="5"/>
  <c r="E5" i="5"/>
  <c r="G5" i="5" s="1"/>
  <c r="E4" i="5"/>
  <c r="E3" i="5"/>
  <c r="G284" i="4"/>
  <c r="E257" i="4"/>
  <c r="E258" i="4"/>
  <c r="G258" i="4" s="1"/>
  <c r="E240" i="4"/>
  <c r="E239" i="4"/>
  <c r="E252" i="4"/>
  <c r="I254" i="4"/>
  <c r="J258" i="4" s="1"/>
  <c r="E254" i="4"/>
  <c r="E255" i="4"/>
  <c r="E251" i="4"/>
  <c r="E250" i="4"/>
  <c r="G248" i="4"/>
  <c r="E229" i="4"/>
  <c r="E243" i="4"/>
  <c r="E241" i="4"/>
  <c r="E238" i="4"/>
  <c r="E237" i="4"/>
  <c r="E236" i="4"/>
  <c r="E235" i="4"/>
  <c r="E244" i="4"/>
  <c r="E245" i="4"/>
  <c r="E246" i="4"/>
  <c r="E247" i="4"/>
  <c r="E248" i="4"/>
  <c r="E249" i="4"/>
  <c r="E242" i="4"/>
  <c r="E234" i="4"/>
  <c r="E230" i="4"/>
  <c r="E231" i="4"/>
  <c r="E232" i="4"/>
  <c r="E233" i="4"/>
  <c r="G233" i="4" s="1"/>
  <c r="E225" i="4"/>
  <c r="E226" i="4"/>
  <c r="G226" i="4" s="1"/>
  <c r="E227" i="4"/>
  <c r="E228" i="4"/>
  <c r="E219" i="4"/>
  <c r="E220" i="4"/>
  <c r="E221" i="4"/>
  <c r="E222" i="4"/>
  <c r="E223" i="4"/>
  <c r="E224" i="4"/>
  <c r="E208" i="4"/>
  <c r="E209" i="4"/>
  <c r="E187" i="4"/>
  <c r="E217" i="4"/>
  <c r="E218" i="4"/>
  <c r="G218" i="4" s="1"/>
  <c r="E213" i="4"/>
  <c r="E212" i="4"/>
  <c r="E211" i="4"/>
  <c r="E210" i="4"/>
  <c r="E207" i="4"/>
  <c r="E214" i="4"/>
  <c r="E215" i="4"/>
  <c r="G215" i="4" s="1"/>
  <c r="E216" i="4"/>
  <c r="E202" i="4"/>
  <c r="E203" i="4"/>
  <c r="E204" i="4"/>
  <c r="G204" i="4" s="1"/>
  <c r="E205" i="4"/>
  <c r="G205" i="4" s="1"/>
  <c r="E206" i="4"/>
  <c r="E253" i="13" l="1"/>
  <c r="E237" i="13"/>
  <c r="E252" i="13"/>
  <c r="G252" i="13" s="1"/>
  <c r="E248" i="13"/>
  <c r="E251" i="13"/>
  <c r="E249" i="13"/>
  <c r="E241" i="13"/>
  <c r="E245" i="13"/>
  <c r="G245" i="13" s="1"/>
  <c r="E239" i="13"/>
  <c r="E243" i="13"/>
  <c r="E240" i="13"/>
  <c r="G240" i="13" s="1"/>
  <c r="E244" i="13"/>
  <c r="G244" i="13" s="1"/>
  <c r="E246" i="13"/>
  <c r="G246" i="13" s="1"/>
  <c r="E250" i="13"/>
  <c r="E238" i="13"/>
  <c r="E242" i="13"/>
  <c r="E247" i="13"/>
  <c r="G247" i="13" s="1"/>
  <c r="E233" i="13"/>
  <c r="E235" i="13"/>
  <c r="E236" i="13"/>
  <c r="E234" i="13"/>
  <c r="G234" i="13" s="1"/>
  <c r="E218" i="13"/>
  <c r="E232" i="13"/>
  <c r="G232" i="13" s="1"/>
  <c r="E217" i="13"/>
  <c r="E228" i="13"/>
  <c r="E227" i="13"/>
  <c r="E231" i="13"/>
  <c r="E229" i="13"/>
  <c r="E230" i="13"/>
  <c r="E221" i="13"/>
  <c r="E225" i="13"/>
  <c r="E223" i="13"/>
  <c r="E220" i="13"/>
  <c r="E222" i="13"/>
  <c r="E226" i="13"/>
  <c r="E219" i="13"/>
  <c r="E224" i="13"/>
  <c r="E212" i="13"/>
  <c r="E213" i="13"/>
  <c r="E200" i="13"/>
  <c r="E204" i="13"/>
  <c r="E208" i="13"/>
  <c r="E214" i="13"/>
  <c r="E197" i="13"/>
  <c r="E201" i="13"/>
  <c r="E205" i="13"/>
  <c r="E209" i="13"/>
  <c r="E215" i="13"/>
  <c r="E198" i="13"/>
  <c r="E202" i="13"/>
  <c r="E206" i="13"/>
  <c r="E210" i="13"/>
  <c r="E216" i="13"/>
  <c r="E199" i="13"/>
  <c r="E203" i="13"/>
  <c r="E207" i="13"/>
  <c r="E211" i="13"/>
  <c r="E194" i="13"/>
  <c r="E196" i="13"/>
  <c r="E195" i="13"/>
  <c r="E193" i="13"/>
  <c r="E191" i="13"/>
  <c r="E192" i="13"/>
  <c r="E189" i="13"/>
  <c r="E190" i="13"/>
  <c r="E187" i="13"/>
  <c r="E188" i="13"/>
  <c r="E186" i="13"/>
  <c r="G186" i="13" s="1"/>
  <c r="E184" i="13"/>
  <c r="E185" i="13"/>
  <c r="E183" i="13"/>
  <c r="E182" i="13"/>
  <c r="E178" i="13"/>
  <c r="E179" i="13"/>
  <c r="E177" i="13"/>
  <c r="E180" i="13"/>
  <c r="E181" i="13"/>
  <c r="E175" i="13"/>
  <c r="E176" i="13"/>
  <c r="G176" i="13" s="1"/>
  <c r="E169" i="13"/>
  <c r="E173" i="13"/>
  <c r="E166" i="13"/>
  <c r="E171" i="13"/>
  <c r="E168" i="13"/>
  <c r="E170" i="13"/>
  <c r="E167" i="13"/>
  <c r="E174" i="13"/>
  <c r="G174" i="13" s="1"/>
  <c r="E172" i="13"/>
  <c r="E150" i="13"/>
  <c r="E151" i="13"/>
  <c r="E152" i="13"/>
  <c r="E156" i="13"/>
  <c r="E160" i="13"/>
  <c r="E119" i="13"/>
  <c r="E149" i="13"/>
  <c r="G149" i="13" s="1"/>
  <c r="E165" i="13"/>
  <c r="E153" i="13"/>
  <c r="E157" i="13"/>
  <c r="E161" i="13"/>
  <c r="E146" i="13"/>
  <c r="E162" i="13"/>
  <c r="E154" i="13"/>
  <c r="E158" i="13"/>
  <c r="E147" i="13"/>
  <c r="E163" i="13"/>
  <c r="E155" i="13"/>
  <c r="E159" i="13"/>
  <c r="E148" i="13"/>
  <c r="E164" i="13"/>
  <c r="E125" i="13"/>
  <c r="E126" i="13"/>
  <c r="E127" i="13"/>
  <c r="E137" i="13"/>
  <c r="E141" i="13"/>
  <c r="E134" i="13"/>
  <c r="E145" i="13"/>
  <c r="G145" i="13" s="1"/>
  <c r="E142" i="13"/>
  <c r="E131" i="13"/>
  <c r="E135" i="13"/>
  <c r="G135" i="13" s="1"/>
  <c r="E132" i="13"/>
  <c r="E136" i="13"/>
  <c r="G136" i="13" s="1"/>
  <c r="E143" i="13"/>
  <c r="E133" i="13"/>
  <c r="E144" i="13"/>
  <c r="E138" i="13"/>
  <c r="E139" i="13"/>
  <c r="E140" i="13"/>
  <c r="E118" i="13"/>
  <c r="E117" i="13"/>
  <c r="E128" i="13"/>
  <c r="E130" i="13"/>
  <c r="E122" i="13"/>
  <c r="G122" i="13" s="1"/>
  <c r="E129" i="13"/>
  <c r="E124" i="13"/>
  <c r="E123" i="13"/>
  <c r="E115" i="13"/>
  <c r="E114" i="13"/>
  <c r="E116" i="13"/>
  <c r="E93" i="13"/>
  <c r="E120" i="13"/>
  <c r="E121" i="13"/>
  <c r="E113" i="13"/>
  <c r="E107" i="13"/>
  <c r="E109" i="13"/>
  <c r="E111" i="13"/>
  <c r="E110" i="13"/>
  <c r="E108" i="13"/>
  <c r="G108" i="13" s="1"/>
  <c r="E112" i="13"/>
  <c r="G112" i="13" s="1"/>
  <c r="E106" i="13"/>
  <c r="E102" i="13"/>
  <c r="E105" i="13"/>
  <c r="E101" i="13"/>
  <c r="E103" i="13"/>
  <c r="E104" i="13"/>
  <c r="E94" i="13"/>
  <c r="E98" i="13"/>
  <c r="E91" i="13"/>
  <c r="E100" i="13"/>
  <c r="G100" i="13" s="1"/>
  <c r="E95" i="13"/>
  <c r="E99" i="13"/>
  <c r="E96" i="13"/>
  <c r="E92" i="13"/>
  <c r="E97" i="13"/>
  <c r="E90" i="13"/>
  <c r="E69" i="13"/>
  <c r="E73" i="13"/>
  <c r="E77" i="13"/>
  <c r="E81" i="13"/>
  <c r="E85" i="13"/>
  <c r="E54" i="13"/>
  <c r="E58" i="13"/>
  <c r="E62" i="13"/>
  <c r="E66" i="13"/>
  <c r="E43" i="13"/>
  <c r="E47" i="13"/>
  <c r="E51" i="13"/>
  <c r="E61" i="13"/>
  <c r="E42" i="13"/>
  <c r="E50" i="13"/>
  <c r="E40" i="13"/>
  <c r="E89" i="13"/>
  <c r="E70" i="13"/>
  <c r="E74" i="13"/>
  <c r="E78" i="13"/>
  <c r="E82" i="13"/>
  <c r="E86" i="13"/>
  <c r="E55" i="13"/>
  <c r="E59" i="13"/>
  <c r="E63" i="13"/>
  <c r="E44" i="13"/>
  <c r="E48" i="13"/>
  <c r="G48" i="13" s="1"/>
  <c r="E52" i="13"/>
  <c r="E71" i="13"/>
  <c r="E75" i="13"/>
  <c r="E79" i="13"/>
  <c r="E83" i="13"/>
  <c r="E87" i="13"/>
  <c r="E56" i="13"/>
  <c r="E60" i="13"/>
  <c r="E64" i="13"/>
  <c r="E41" i="13"/>
  <c r="E45" i="13"/>
  <c r="E49" i="13"/>
  <c r="E53" i="13"/>
  <c r="E68" i="13"/>
  <c r="E72" i="13"/>
  <c r="E76" i="13"/>
  <c r="E80" i="13"/>
  <c r="E84" i="13"/>
  <c r="E67" i="13"/>
  <c r="E57" i="13"/>
  <c r="E65" i="13"/>
  <c r="E46" i="13"/>
  <c r="E88" i="13"/>
  <c r="E39" i="13"/>
  <c r="E38" i="13"/>
  <c r="E37" i="13"/>
  <c r="E36" i="13"/>
  <c r="E27" i="13"/>
  <c r="G27" i="13" s="1"/>
  <c r="E28" i="13"/>
  <c r="E32" i="13"/>
  <c r="E29" i="13"/>
  <c r="E33" i="13"/>
  <c r="E30" i="13"/>
  <c r="E34" i="13"/>
  <c r="E25" i="13"/>
  <c r="E31" i="13"/>
  <c r="E35" i="13"/>
  <c r="E4" i="13"/>
  <c r="E5" i="13"/>
  <c r="E22" i="13"/>
  <c r="E23" i="13"/>
  <c r="E26" i="13"/>
  <c r="E12" i="13"/>
  <c r="E24" i="13"/>
  <c r="E21" i="13"/>
  <c r="E18" i="13"/>
  <c r="E16" i="13"/>
  <c r="G16" i="13" s="1"/>
  <c r="E20" i="13"/>
  <c r="E17" i="13"/>
  <c r="E19" i="13"/>
  <c r="E13" i="13"/>
  <c r="E14" i="13"/>
  <c r="E15" i="13"/>
  <c r="G15" i="13" s="1"/>
  <c r="E10" i="13"/>
  <c r="E9" i="13"/>
  <c r="E8" i="13"/>
  <c r="E11" i="13"/>
  <c r="E7" i="13"/>
  <c r="E6" i="13"/>
  <c r="G6" i="13" s="1"/>
  <c r="E3" i="13"/>
  <c r="C41" i="6"/>
  <c r="E254" i="5"/>
  <c r="E259" i="5"/>
  <c r="E257" i="5"/>
  <c r="E256" i="5"/>
  <c r="E261" i="5"/>
  <c r="E255" i="5"/>
  <c r="E260" i="5"/>
  <c r="E253" i="5"/>
  <c r="E258" i="5"/>
  <c r="E250" i="5"/>
  <c r="G250" i="5" s="1"/>
  <c r="E245" i="5"/>
  <c r="G245" i="5" s="1"/>
  <c r="E248" i="5"/>
  <c r="E252" i="5"/>
  <c r="E246" i="5"/>
  <c r="E249" i="5"/>
  <c r="E251" i="5"/>
  <c r="E247" i="5"/>
  <c r="E239" i="5"/>
  <c r="E243" i="5"/>
  <c r="G243" i="5" s="1"/>
  <c r="E241" i="5"/>
  <c r="E240" i="5"/>
  <c r="E222" i="5"/>
  <c r="E242" i="5"/>
  <c r="G242" i="5" s="1"/>
  <c r="E221" i="5"/>
  <c r="E229" i="5"/>
  <c r="G229" i="5" s="1"/>
  <c r="E233" i="5"/>
  <c r="E218" i="5"/>
  <c r="E223" i="5"/>
  <c r="E228" i="5"/>
  <c r="E238" i="5"/>
  <c r="E236" i="5"/>
  <c r="G236" i="5" s="1"/>
  <c r="E237" i="5"/>
  <c r="G237" i="5" s="1"/>
  <c r="E227" i="5"/>
  <c r="E232" i="5"/>
  <c r="E224" i="5"/>
  <c r="E226" i="5"/>
  <c r="E235" i="5"/>
  <c r="G235" i="5" s="1"/>
  <c r="E231" i="5"/>
  <c r="E225" i="5"/>
  <c r="G225" i="5" s="1"/>
  <c r="E234" i="5"/>
  <c r="E230" i="5"/>
  <c r="E219" i="5"/>
  <c r="E220" i="5"/>
  <c r="G220" i="5" s="1"/>
  <c r="E212" i="5"/>
  <c r="E211" i="5"/>
  <c r="E207" i="5"/>
  <c r="E215" i="5"/>
  <c r="E210" i="5"/>
  <c r="E214" i="5"/>
  <c r="E209" i="5"/>
  <c r="E217" i="5"/>
  <c r="E213" i="5"/>
  <c r="E208" i="5"/>
  <c r="E216" i="5"/>
  <c r="E138" i="5"/>
  <c r="E137" i="5"/>
  <c r="E204" i="5"/>
  <c r="E206" i="5"/>
  <c r="E201" i="5"/>
  <c r="G201" i="5" s="1"/>
  <c r="E203" i="5"/>
  <c r="E202" i="5"/>
  <c r="G202" i="5" s="1"/>
  <c r="E193" i="5"/>
  <c r="E205" i="5"/>
  <c r="G205" i="5" s="1"/>
  <c r="E182" i="5"/>
  <c r="E187" i="5"/>
  <c r="E188" i="5"/>
  <c r="E195" i="5"/>
  <c r="E190" i="5"/>
  <c r="E191" i="5"/>
  <c r="E194" i="5"/>
  <c r="E198" i="5"/>
  <c r="E199" i="5"/>
  <c r="E189" i="5"/>
  <c r="E196" i="5"/>
  <c r="E192" i="5"/>
  <c r="G192" i="5" s="1"/>
  <c r="E197" i="5"/>
  <c r="E200" i="5"/>
  <c r="G200" i="5" s="1"/>
  <c r="E183" i="5"/>
  <c r="E186" i="5"/>
  <c r="E185" i="5"/>
  <c r="E184" i="5"/>
  <c r="E178" i="5"/>
  <c r="E181" i="5"/>
  <c r="G181" i="5" s="1"/>
  <c r="E177" i="5"/>
  <c r="E180" i="5"/>
  <c r="E176" i="5"/>
  <c r="E179" i="5"/>
  <c r="E171" i="5"/>
  <c r="E170" i="5"/>
  <c r="E174" i="5"/>
  <c r="E169" i="5"/>
  <c r="E173" i="5"/>
  <c r="E175" i="5"/>
  <c r="E172" i="5"/>
  <c r="E168" i="5"/>
  <c r="G168" i="5" s="1"/>
  <c r="E167" i="5"/>
  <c r="E165" i="5"/>
  <c r="E164" i="5"/>
  <c r="E163" i="5"/>
  <c r="E166" i="5"/>
  <c r="E162" i="5"/>
  <c r="E145" i="5"/>
  <c r="E159" i="5"/>
  <c r="E161" i="5"/>
  <c r="E149" i="5"/>
  <c r="E160" i="5"/>
  <c r="E153" i="5"/>
  <c r="E143" i="5"/>
  <c r="E142" i="5"/>
  <c r="G142" i="5" s="1"/>
  <c r="E147" i="5"/>
  <c r="E151" i="5"/>
  <c r="E155" i="5"/>
  <c r="E144" i="5"/>
  <c r="E148" i="5"/>
  <c r="E152" i="5"/>
  <c r="E156" i="5"/>
  <c r="E157" i="5"/>
  <c r="E146" i="5"/>
  <c r="E150" i="5"/>
  <c r="E154" i="5"/>
  <c r="E158" i="5"/>
  <c r="E141" i="5"/>
  <c r="E140" i="5"/>
  <c r="E139" i="5"/>
  <c r="E134" i="5"/>
  <c r="E136" i="5"/>
  <c r="E135" i="5"/>
  <c r="E133" i="5"/>
  <c r="G133" i="5" s="1"/>
  <c r="E126" i="5"/>
  <c r="E120" i="5"/>
  <c r="E119" i="5"/>
  <c r="E118" i="5"/>
  <c r="E117" i="5"/>
  <c r="E116" i="5"/>
  <c r="H248" i="4"/>
  <c r="E193" i="4"/>
  <c r="E194" i="4"/>
  <c r="G194" i="4" s="1"/>
  <c r="E195" i="4"/>
  <c r="E196" i="4"/>
  <c r="E197" i="4"/>
  <c r="E198" i="4"/>
  <c r="G198" i="4" s="1"/>
  <c r="E199" i="4"/>
  <c r="E200" i="4"/>
  <c r="E201" i="4"/>
  <c r="G201" i="4" s="1"/>
  <c r="H194" i="4"/>
  <c r="E182" i="4"/>
  <c r="E192" i="4"/>
  <c r="G192" i="4" s="1"/>
  <c r="E191" i="4"/>
  <c r="E171" i="4"/>
  <c r="E170" i="4"/>
  <c r="E186" i="4"/>
  <c r="E184" i="4"/>
  <c r="G184" i="4" s="1"/>
  <c r="E185" i="4"/>
  <c r="E188" i="4"/>
  <c r="E189" i="4"/>
  <c r="E190" i="4"/>
  <c r="E156" i="4"/>
  <c r="E157" i="4"/>
  <c r="E158" i="4"/>
  <c r="E159" i="4"/>
  <c r="E160" i="4"/>
  <c r="E161" i="4"/>
  <c r="E176" i="4"/>
  <c r="E177" i="4"/>
  <c r="E178" i="4"/>
  <c r="E179" i="4"/>
  <c r="E180" i="4"/>
  <c r="E181" i="4"/>
  <c r="G181" i="4" s="1"/>
  <c r="E183" i="4"/>
  <c r="G183" i="4" s="1"/>
  <c r="E175" i="4"/>
  <c r="E174" i="4"/>
  <c r="G174" i="4" s="1"/>
  <c r="E166" i="4" l="1"/>
  <c r="G166" i="4" s="1"/>
  <c r="E167" i="4"/>
  <c r="G167" i="4" s="1"/>
  <c r="E168" i="4"/>
  <c r="E169" i="4"/>
  <c r="E172" i="4"/>
  <c r="E173" i="4"/>
  <c r="G173" i="4" s="1"/>
  <c r="E165" i="4"/>
  <c r="G165" i="4" s="1"/>
  <c r="E148" i="4"/>
  <c r="E149" i="4"/>
  <c r="E150" i="4"/>
  <c r="E151" i="4"/>
  <c r="E152" i="4"/>
  <c r="E153" i="4"/>
  <c r="E154" i="4"/>
  <c r="E155" i="4"/>
  <c r="G164" i="4" s="1"/>
  <c r="E162" i="4"/>
  <c r="E163" i="4"/>
  <c r="E164" i="4"/>
  <c r="H146" i="4"/>
  <c r="E147" i="4"/>
  <c r="G147" i="4" s="1"/>
  <c r="E143" i="4"/>
  <c r="E144" i="4"/>
  <c r="E145" i="4"/>
  <c r="E146" i="4"/>
  <c r="E133" i="4"/>
  <c r="E134" i="4"/>
  <c r="E135" i="4"/>
  <c r="E136" i="4"/>
  <c r="E137" i="4"/>
  <c r="E138" i="4"/>
  <c r="E139" i="4"/>
  <c r="E140" i="4"/>
  <c r="G140" i="4" s="1"/>
  <c r="E141" i="4"/>
  <c r="E142" i="4"/>
  <c r="G142" i="4" s="1"/>
  <c r="E132" i="4"/>
  <c r="G132" i="4" s="1"/>
  <c r="G125" i="4"/>
  <c r="E120" i="4"/>
  <c r="E121" i="4"/>
  <c r="E122" i="4"/>
  <c r="E123" i="4"/>
  <c r="E124" i="4"/>
  <c r="E125" i="4"/>
  <c r="E126" i="4"/>
  <c r="E127" i="4"/>
  <c r="E128" i="4"/>
  <c r="E129" i="4"/>
  <c r="E130" i="4"/>
  <c r="G130" i="4" s="1"/>
  <c r="E131" i="4"/>
  <c r="E119" i="4"/>
  <c r="E114" i="4"/>
  <c r="E115" i="4"/>
  <c r="E116" i="4"/>
  <c r="E117" i="4"/>
  <c r="E118" i="4"/>
  <c r="E113" i="4"/>
  <c r="E54" i="4"/>
  <c r="E55" i="4"/>
  <c r="E56" i="4"/>
  <c r="E57" i="4"/>
  <c r="E58" i="4"/>
  <c r="G56" i="4" s="1"/>
  <c r="E59" i="4"/>
  <c r="E60" i="4"/>
  <c r="E61" i="4"/>
  <c r="E62" i="4"/>
  <c r="E63" i="4"/>
  <c r="E64" i="4"/>
  <c r="E65" i="4"/>
  <c r="E66" i="4"/>
  <c r="E67" i="4"/>
  <c r="E68" i="4"/>
  <c r="E69" i="4"/>
  <c r="E70" i="4"/>
  <c r="G69" i="4" s="1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G83" i="4" s="1"/>
  <c r="E84" i="4"/>
  <c r="E85" i="4"/>
  <c r="G85" i="4" s="1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G112" i="4" s="1"/>
  <c r="G8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G233" i="3" s="1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G42" i="4" s="1"/>
  <c r="E43" i="4"/>
  <c r="E44" i="4"/>
  <c r="E45" i="4"/>
  <c r="E46" i="4"/>
  <c r="E47" i="4"/>
  <c r="E48" i="4"/>
  <c r="E49" i="4"/>
  <c r="E50" i="4"/>
  <c r="E51" i="4"/>
  <c r="E52" i="4"/>
  <c r="G52" i="4" s="1"/>
  <c r="E53" i="4"/>
  <c r="E3" i="4"/>
  <c r="G66" i="4"/>
  <c r="H56" i="4" s="1"/>
  <c r="G33" i="4"/>
  <c r="E215" i="3"/>
  <c r="G146" i="4" l="1"/>
  <c r="G120" i="4" a="1"/>
  <c r="G120" i="4" s="1"/>
  <c r="G109" i="4"/>
  <c r="G219" i="3"/>
  <c r="G222" i="3"/>
  <c r="E210" i="3"/>
  <c r="E211" i="3"/>
  <c r="E212" i="3"/>
  <c r="E213" i="3"/>
  <c r="E214" i="3"/>
  <c r="E207" i="3"/>
  <c r="E208" i="3"/>
  <c r="E209" i="3"/>
  <c r="E203" i="3"/>
  <c r="E204" i="3"/>
  <c r="E205" i="3"/>
  <c r="E206" i="3"/>
  <c r="E199" i="3"/>
  <c r="E200" i="3"/>
  <c r="E201" i="3"/>
  <c r="E202" i="3"/>
  <c r="E197" i="3"/>
  <c r="G193" i="3" l="1"/>
  <c r="G194" i="3"/>
  <c r="E193" i="3"/>
  <c r="E194" i="3"/>
  <c r="E195" i="3"/>
  <c r="E196" i="3"/>
  <c r="E198" i="3"/>
  <c r="E192" i="3"/>
  <c r="E183" i="3"/>
  <c r="E184" i="3"/>
  <c r="E185" i="3"/>
  <c r="E186" i="3"/>
  <c r="E187" i="3"/>
  <c r="E188" i="3"/>
  <c r="E189" i="3"/>
  <c r="E190" i="3"/>
  <c r="E191" i="3"/>
  <c r="E176" i="3"/>
  <c r="E177" i="3"/>
  <c r="E178" i="3"/>
  <c r="E179" i="3"/>
  <c r="E180" i="3"/>
  <c r="G180" i="3" s="1"/>
  <c r="E181" i="3"/>
  <c r="E182" i="3"/>
  <c r="E167" i="3"/>
  <c r="E168" i="3"/>
  <c r="E169" i="3"/>
  <c r="E170" i="3"/>
  <c r="E171" i="3"/>
  <c r="G171" i="3" s="1"/>
  <c r="E172" i="3"/>
  <c r="E173" i="3"/>
  <c r="E174" i="3"/>
  <c r="E175" i="3"/>
  <c r="E166" i="3"/>
  <c r="E165" i="3"/>
  <c r="E164" i="3"/>
  <c r="E163" i="3"/>
  <c r="E144" i="3"/>
  <c r="E162" i="3"/>
  <c r="E161" i="3"/>
  <c r="E160" i="3"/>
  <c r="E159" i="3"/>
  <c r="E152" i="3"/>
  <c r="E153" i="3"/>
  <c r="E154" i="3"/>
  <c r="E155" i="3"/>
  <c r="E156" i="3"/>
  <c r="E157" i="3"/>
  <c r="E158" i="3"/>
  <c r="E151" i="3"/>
  <c r="E143" i="3"/>
  <c r="E145" i="3"/>
  <c r="E146" i="3"/>
  <c r="E147" i="3"/>
  <c r="E148" i="3"/>
  <c r="E149" i="3"/>
  <c r="E150" i="3"/>
  <c r="E142" i="3"/>
  <c r="E137" i="3"/>
  <c r="E138" i="3"/>
  <c r="E139" i="3"/>
  <c r="E140" i="3"/>
  <c r="E141" i="3"/>
  <c r="G143" i="3"/>
  <c r="E134" i="3"/>
  <c r="E135" i="3"/>
  <c r="E136" i="3"/>
  <c r="E130" i="3"/>
  <c r="E131" i="3"/>
  <c r="G131" i="3" s="1"/>
  <c r="E132" i="3"/>
  <c r="E133" i="3"/>
  <c r="G133" i="3" s="1"/>
  <c r="E129" i="3"/>
  <c r="E128" i="3"/>
  <c r="E125" i="3"/>
  <c r="E124" i="3"/>
  <c r="E123" i="3"/>
  <c r="E120" i="3"/>
  <c r="E116" i="3"/>
  <c r="E115" i="3"/>
  <c r="E114" i="3"/>
  <c r="E118" i="3"/>
  <c r="E119" i="3"/>
  <c r="E121" i="3"/>
  <c r="E122" i="3"/>
  <c r="E126" i="3"/>
  <c r="E127" i="3"/>
  <c r="G127" i="3" s="1"/>
  <c r="E117" i="3"/>
  <c r="E110" i="3"/>
  <c r="E111" i="3"/>
  <c r="E112" i="3"/>
  <c r="E113" i="3"/>
  <c r="G113" i="3" s="1"/>
  <c r="E109" i="3"/>
  <c r="E106" i="3"/>
  <c r="E107" i="3"/>
  <c r="E108" i="3"/>
  <c r="E103" i="3"/>
  <c r="E102" i="3"/>
  <c r="G102" i="3" s="1"/>
  <c r="E104" i="3"/>
  <c r="E105" i="3"/>
  <c r="E97" i="3"/>
  <c r="E98" i="3"/>
  <c r="E99" i="3"/>
  <c r="E100" i="3"/>
  <c r="E101" i="3"/>
  <c r="G101" i="3" s="1"/>
  <c r="E95" i="3"/>
  <c r="E96" i="3"/>
  <c r="E90" i="3"/>
  <c r="H195" i="3" l="1"/>
  <c r="E91" i="3"/>
  <c r="G91" i="3" s="1"/>
  <c r="E92" i="3"/>
  <c r="E93" i="3"/>
  <c r="E94" i="3"/>
  <c r="E82" i="3"/>
  <c r="E81" i="3"/>
  <c r="E80" i="3"/>
  <c r="E85" i="3"/>
  <c r="E84" i="3"/>
  <c r="E64" i="3"/>
  <c r="E63" i="3"/>
  <c r="E87" i="3"/>
  <c r="E83" i="3"/>
  <c r="E86" i="3"/>
  <c r="E88" i="3"/>
  <c r="G88" i="3" s="1"/>
  <c r="E89" i="3"/>
  <c r="E77" i="3"/>
  <c r="E78" i="3"/>
  <c r="E79" i="3"/>
  <c r="E76" i="3"/>
  <c r="G76" i="3" s="1"/>
  <c r="E75" i="3"/>
  <c r="E74" i="3"/>
  <c r="E73" i="3"/>
  <c r="E72" i="3"/>
  <c r="E71" i="3"/>
  <c r="G72" i="3"/>
  <c r="H70" i="3"/>
  <c r="E61" i="3"/>
  <c r="E62" i="3"/>
  <c r="G62" i="3" s="1"/>
  <c r="E65" i="3"/>
  <c r="E66" i="3"/>
  <c r="E67" i="3"/>
  <c r="E68" i="3"/>
  <c r="E69" i="3"/>
  <c r="E70" i="3"/>
  <c r="G56" i="3"/>
  <c r="E51" i="3"/>
  <c r="E52" i="3"/>
  <c r="E53" i="3"/>
  <c r="E54" i="3"/>
  <c r="E55" i="3"/>
  <c r="E56" i="3"/>
  <c r="E57" i="3"/>
  <c r="E58" i="3"/>
  <c r="E59" i="3"/>
  <c r="E60" i="3"/>
  <c r="E50" i="3"/>
  <c r="G50" i="3" s="1"/>
  <c r="E49" i="3"/>
  <c r="E48" i="3"/>
  <c r="E47" i="3"/>
  <c r="G46" i="3" s="1"/>
  <c r="E46" i="3"/>
  <c r="E41" i="3"/>
  <c r="E40" i="3"/>
  <c r="E39" i="3"/>
  <c r="E45" i="3"/>
  <c r="E44" i="3"/>
  <c r="G37" i="3"/>
  <c r="E36" i="3"/>
  <c r="E37" i="3"/>
  <c r="E33" i="3"/>
  <c r="G33" i="3" s="1"/>
  <c r="E32" i="3"/>
  <c r="E29" i="3"/>
  <c r="E30" i="3"/>
  <c r="E31" i="3"/>
  <c r="G27" i="3"/>
  <c r="E28" i="3"/>
  <c r="E27" i="3"/>
  <c r="E25" i="3"/>
  <c r="E24" i="3"/>
  <c r="E21" i="3"/>
  <c r="E20" i="3"/>
  <c r="E17" i="3"/>
  <c r="H24" i="3"/>
  <c r="G22" i="3"/>
  <c r="E19" i="3"/>
  <c r="E18" i="3"/>
  <c r="E22" i="3"/>
  <c r="E23" i="3"/>
  <c r="G25" i="3"/>
  <c r="E26" i="3"/>
  <c r="E15" i="3"/>
  <c r="E16" i="3"/>
  <c r="E14" i="3"/>
  <c r="E10" i="3"/>
  <c r="E9" i="3"/>
  <c r="E12" i="3"/>
  <c r="G12" i="3" s="1"/>
  <c r="E8" i="3"/>
  <c r="E11" i="3"/>
  <c r="E13" i="3"/>
  <c r="E7" i="3"/>
  <c r="E6" i="3"/>
  <c r="E5" i="3"/>
  <c r="E4" i="3"/>
  <c r="E3" i="3"/>
  <c r="E165" i="2"/>
  <c r="E208" i="2"/>
  <c r="E200" i="2"/>
  <c r="E199" i="2"/>
  <c r="E198" i="2"/>
  <c r="E197" i="2"/>
  <c r="E196" i="2"/>
  <c r="E195" i="2"/>
  <c r="E183" i="2"/>
  <c r="E182" i="2"/>
  <c r="E181" i="2"/>
  <c r="E192" i="2"/>
  <c r="E191" i="2"/>
  <c r="E190" i="2"/>
  <c r="E189" i="2"/>
  <c r="E188" i="2"/>
  <c r="E210" i="2"/>
  <c r="E211" i="2"/>
  <c r="E212" i="2"/>
  <c r="E213" i="2"/>
  <c r="G213" i="2" s="1"/>
  <c r="E209" i="2"/>
  <c r="E187" i="2"/>
  <c r="E193" i="2"/>
  <c r="E194" i="2"/>
  <c r="E201" i="2"/>
  <c r="E202" i="2"/>
  <c r="E203" i="2"/>
  <c r="E204" i="2"/>
  <c r="E205" i="2"/>
  <c r="E206" i="2"/>
  <c r="E207" i="2"/>
  <c r="G180" i="2"/>
  <c r="E167" i="2"/>
  <c r="E166" i="2"/>
  <c r="E169" i="2"/>
  <c r="E172" i="2"/>
  <c r="E176" i="2"/>
  <c r="E177" i="2"/>
  <c r="E178" i="2"/>
  <c r="E179" i="2"/>
  <c r="G179" i="2" s="1"/>
  <c r="E180" i="2"/>
  <c r="E184" i="2"/>
  <c r="E185" i="2"/>
  <c r="E186" i="2"/>
  <c r="G186" i="2" s="1"/>
  <c r="E144" i="2"/>
  <c r="E164" i="2"/>
  <c r="G164" i="2" s="1"/>
  <c r="E168" i="2"/>
  <c r="G168" i="2" s="1"/>
  <c r="E170" i="2"/>
  <c r="E171" i="2"/>
  <c r="E173" i="2"/>
  <c r="E174" i="2"/>
  <c r="E175" i="2"/>
  <c r="E163" i="2"/>
  <c r="E143" i="2"/>
  <c r="E133" i="2"/>
  <c r="E155" i="2"/>
  <c r="E156" i="2"/>
  <c r="E157" i="2"/>
  <c r="E158" i="2"/>
  <c r="G158" i="2" s="1"/>
  <c r="E159" i="2"/>
  <c r="E160" i="2"/>
  <c r="E161" i="2"/>
  <c r="E162" i="2"/>
  <c r="E154" i="2"/>
  <c r="E153" i="2"/>
  <c r="E152" i="2"/>
  <c r="E149" i="2"/>
  <c r="E146" i="2"/>
  <c r="G146" i="2" s="1"/>
  <c r="E147" i="2"/>
  <c r="E148" i="2"/>
  <c r="E150" i="2"/>
  <c r="E151" i="2"/>
  <c r="E136" i="2"/>
  <c r="E137" i="2"/>
  <c r="E138" i="2"/>
  <c r="G138" i="2" s="1"/>
  <c r="E139" i="2"/>
  <c r="E140" i="2"/>
  <c r="E141" i="2"/>
  <c r="E142" i="2"/>
  <c r="G140" i="2" s="1"/>
  <c r="E145" i="2"/>
  <c r="E130" i="2"/>
  <c r="G130" i="2" s="1"/>
  <c r="E131" i="2"/>
  <c r="G132" i="2" s="1"/>
  <c r="E132" i="2"/>
  <c r="E134" i="2"/>
  <c r="E135" i="2"/>
  <c r="H126" i="2"/>
  <c r="E129" i="2"/>
  <c r="E124" i="2"/>
  <c r="E123" i="2"/>
  <c r="E122" i="2"/>
  <c r="E121" i="2"/>
  <c r="E120" i="2"/>
  <c r="E115" i="2"/>
  <c r="E116" i="2"/>
  <c r="E117" i="2"/>
  <c r="E118" i="2"/>
  <c r="E119" i="2"/>
  <c r="G119" i="2" s="1"/>
  <c r="E94" i="2"/>
  <c r="E93" i="2"/>
  <c r="E96" i="2"/>
  <c r="E111" i="2"/>
  <c r="E110" i="2"/>
  <c r="E109" i="2"/>
  <c r="E107" i="2"/>
  <c r="E101" i="2"/>
  <c r="E112" i="2"/>
  <c r="E113" i="2"/>
  <c r="E114" i="2"/>
  <c r="G114" i="2" s="1"/>
  <c r="E125" i="2"/>
  <c r="E126" i="2"/>
  <c r="E127" i="2"/>
  <c r="E128" i="2"/>
  <c r="E108" i="2"/>
  <c r="G108" i="2" s="1"/>
  <c r="E106" i="2"/>
  <c r="E105" i="2"/>
  <c r="E81" i="2"/>
  <c r="E82" i="2"/>
  <c r="E83" i="2"/>
  <c r="E84" i="2"/>
  <c r="E85" i="2"/>
  <c r="E86" i="2"/>
  <c r="E87" i="2"/>
  <c r="E88" i="2"/>
  <c r="E89" i="2"/>
  <c r="E90" i="2"/>
  <c r="E91" i="2"/>
  <c r="E92" i="2"/>
  <c r="E104" i="2"/>
  <c r="E103" i="2"/>
  <c r="E102" i="2"/>
  <c r="E100" i="2"/>
  <c r="E99" i="2"/>
  <c r="E76" i="2"/>
  <c r="E95" i="2"/>
  <c r="E80" i="2"/>
  <c r="E97" i="2"/>
  <c r="E98" i="2"/>
  <c r="E77" i="2"/>
  <c r="G77" i="2" s="1"/>
  <c r="E78" i="2"/>
  <c r="E79" i="2"/>
  <c r="E74" i="2"/>
  <c r="E75" i="2"/>
  <c r="E73" i="2"/>
  <c r="G73" i="2" s="1"/>
  <c r="G65" i="2"/>
  <c r="E69" i="2"/>
  <c r="E70" i="2"/>
  <c r="E71" i="2"/>
  <c r="E72" i="2"/>
  <c r="E68" i="2"/>
  <c r="E67" i="2"/>
  <c r="E51" i="2"/>
  <c r="E58" i="2"/>
  <c r="E59" i="2"/>
  <c r="E60" i="2"/>
  <c r="E61" i="2"/>
  <c r="E62" i="2"/>
  <c r="E57" i="2"/>
  <c r="E56" i="2"/>
  <c r="E55" i="2"/>
  <c r="E54" i="2"/>
  <c r="E53" i="2"/>
  <c r="E52" i="2"/>
  <c r="E66" i="2"/>
  <c r="E64" i="2"/>
  <c r="E63" i="2"/>
  <c r="E65" i="2"/>
  <c r="E50" i="2"/>
  <c r="E49" i="2"/>
  <c r="E48" i="2"/>
  <c r="E47" i="2"/>
  <c r="E46" i="2"/>
  <c r="E42" i="2"/>
  <c r="E43" i="2"/>
  <c r="E44" i="2"/>
  <c r="E45" i="2"/>
  <c r="E39" i="2"/>
  <c r="E40" i="2"/>
  <c r="E41" i="2"/>
  <c r="E38" i="2"/>
  <c r="G37" i="2" s="1"/>
  <c r="E37" i="2"/>
  <c r="E34" i="2"/>
  <c r="E33" i="2"/>
  <c r="E32" i="2"/>
  <c r="E31" i="2"/>
  <c r="E30" i="2"/>
  <c r="E29" i="2"/>
  <c r="E28" i="2"/>
  <c r="E27" i="2"/>
  <c r="E26" i="2"/>
  <c r="E25" i="2"/>
  <c r="E35" i="2"/>
  <c r="E36" i="2"/>
  <c r="E22" i="2"/>
  <c r="E23" i="2"/>
  <c r="E24" i="2"/>
  <c r="E21" i="2"/>
  <c r="E20" i="2"/>
  <c r="E19" i="2"/>
  <c r="G19" i="2" s="1"/>
  <c r="E18" i="2"/>
  <c r="E17" i="2"/>
  <c r="G17" i="2" s="1"/>
  <c r="E16" i="2"/>
  <c r="E15" i="2"/>
  <c r="E14" i="2"/>
  <c r="E13" i="2"/>
  <c r="E12" i="2"/>
  <c r="E11" i="2"/>
  <c r="E8" i="2"/>
  <c r="E9" i="2"/>
  <c r="G9" i="2" s="1"/>
  <c r="E10" i="2"/>
  <c r="E6" i="2"/>
  <c r="E5" i="2"/>
  <c r="E4" i="2"/>
  <c r="E7" i="2"/>
  <c r="E3" i="2"/>
  <c r="F802" i="1"/>
  <c r="F803" i="1"/>
  <c r="F804" i="1"/>
  <c r="F805" i="1"/>
  <c r="F806" i="1"/>
  <c r="F807" i="1"/>
  <c r="F808" i="1"/>
  <c r="H808" i="1" s="1"/>
  <c r="F801" i="1"/>
  <c r="F800" i="1"/>
  <c r="F799" i="1"/>
  <c r="F798" i="1"/>
  <c r="F797" i="1"/>
  <c r="F796" i="1"/>
  <c r="F795" i="1"/>
  <c r="F794" i="1"/>
  <c r="F791" i="1"/>
  <c r="F792" i="1"/>
  <c r="F793" i="1"/>
  <c r="F787" i="1"/>
  <c r="F788" i="1"/>
  <c r="F789" i="1"/>
  <c r="F790" i="1"/>
  <c r="F780" i="1"/>
  <c r="H780" i="1" s="1"/>
  <c r="F781" i="1"/>
  <c r="F782" i="1"/>
  <c r="F783" i="1"/>
  <c r="F784" i="1"/>
  <c r="H784" i="1" s="1"/>
  <c r="F785" i="1"/>
  <c r="F786" i="1"/>
  <c r="F779" i="1"/>
  <c r="F778" i="1"/>
  <c r="F771" i="1"/>
  <c r="F770" i="1"/>
  <c r="F777" i="1"/>
  <c r="F776" i="1"/>
  <c r="F775" i="1"/>
  <c r="F772" i="1"/>
  <c r="F773" i="1"/>
  <c r="F769" i="1"/>
  <c r="H772" i="1" s="1"/>
  <c r="F765" i="1"/>
  <c r="F764" i="1"/>
  <c r="F767" i="1"/>
  <c r="F768" i="1"/>
  <c r="F774" i="1"/>
  <c r="I763" i="1"/>
  <c r="F759" i="1"/>
  <c r="F760" i="1"/>
  <c r="F761" i="1"/>
  <c r="H761" i="1" s="1"/>
  <c r="F762" i="1"/>
  <c r="F763" i="1"/>
  <c r="F766" i="1"/>
  <c r="F756" i="1"/>
  <c r="F757" i="1"/>
  <c r="F758" i="1"/>
  <c r="F754" i="1"/>
  <c r="F747" i="1"/>
  <c r="H747" i="1" s="1"/>
  <c r="F748" i="1"/>
  <c r="F749" i="1"/>
  <c r="F750" i="1"/>
  <c r="F751" i="1"/>
  <c r="F752" i="1"/>
  <c r="F753" i="1"/>
  <c r="F755" i="1"/>
  <c r="F743" i="1"/>
  <c r="F744" i="1"/>
  <c r="F740" i="1"/>
  <c r="F741" i="1"/>
  <c r="F742" i="1"/>
  <c r="F745" i="1"/>
  <c r="F746" i="1"/>
  <c r="E42" i="3" l="1"/>
  <c r="E38" i="3"/>
  <c r="E34" i="3"/>
  <c r="E43" i="3"/>
  <c r="E35" i="3"/>
  <c r="F739" i="1"/>
  <c r="H739" i="1" s="1"/>
  <c r="F738" i="1"/>
  <c r="F737" i="1"/>
  <c r="F735" i="1"/>
  <c r="F736" i="1"/>
  <c r="F733" i="1"/>
  <c r="F734" i="1"/>
  <c r="H734" i="1" s="1"/>
  <c r="F729" i="1"/>
  <c r="F730" i="1"/>
  <c r="F731" i="1"/>
  <c r="F732" i="1"/>
  <c r="F725" i="1"/>
  <c r="F726" i="1"/>
  <c r="F727" i="1"/>
  <c r="F720" i="1"/>
  <c r="F721" i="1"/>
  <c r="F722" i="1"/>
  <c r="F723" i="1"/>
  <c r="F724" i="1"/>
  <c r="F728" i="1"/>
  <c r="F719" i="1"/>
  <c r="F718" i="1" l="1"/>
  <c r="F717" i="1"/>
  <c r="F715" i="1"/>
  <c r="F713" i="1"/>
  <c r="F714" i="1"/>
  <c r="F716" i="1"/>
  <c r="F712" i="1"/>
  <c r="F711" i="1"/>
  <c r="F707" i="1"/>
  <c r="F708" i="1"/>
  <c r="F709" i="1"/>
  <c r="F690" i="1"/>
  <c r="F689" i="1"/>
  <c r="F688" i="1"/>
  <c r="F686" i="1"/>
  <c r="F685" i="1"/>
  <c r="F684" i="1"/>
  <c r="F683" i="1"/>
  <c r="F682" i="1"/>
  <c r="F704" i="1"/>
  <c r="F705" i="1"/>
  <c r="F706" i="1"/>
  <c r="F710" i="1"/>
  <c r="F699" i="1"/>
  <c r="F703" i="1"/>
  <c r="F702" i="1"/>
  <c r="F701" i="1"/>
  <c r="F700" i="1"/>
  <c r="I699" i="1"/>
  <c r="H687" i="1"/>
  <c r="F697" i="1"/>
  <c r="F698" i="1"/>
  <c r="H695" i="1"/>
  <c r="F694" i="1"/>
  <c r="F695" i="1"/>
  <c r="F696" i="1"/>
  <c r="F693" i="1"/>
  <c r="F692" i="1"/>
  <c r="F687" i="1"/>
  <c r="I692" i="1"/>
  <c r="F691" i="1"/>
  <c r="F678" i="1"/>
  <c r="H678" i="1" s="1"/>
  <c r="F679" i="1"/>
  <c r="F680" i="1"/>
  <c r="F681" i="1"/>
  <c r="F673" i="1"/>
  <c r="F674" i="1"/>
  <c r="F675" i="1"/>
  <c r="H675" i="1" s="1"/>
  <c r="F676" i="1"/>
  <c r="F677" i="1"/>
  <c r="F672" i="1"/>
  <c r="F659" i="1"/>
  <c r="F653" i="1"/>
  <c r="F654" i="1"/>
  <c r="F655" i="1"/>
  <c r="F656" i="1"/>
  <c r="F657" i="1"/>
  <c r="F658" i="1"/>
  <c r="F660" i="1"/>
  <c r="F661" i="1"/>
  <c r="F662" i="1"/>
  <c r="F663" i="1"/>
  <c r="F664" i="1"/>
  <c r="H664" i="1" s="1"/>
  <c r="F665" i="1"/>
  <c r="F666" i="1"/>
  <c r="F667" i="1"/>
  <c r="F668" i="1"/>
  <c r="F669" i="1"/>
  <c r="F670" i="1"/>
  <c r="F671" i="1"/>
  <c r="H671" i="1" s="1"/>
  <c r="F649" i="1"/>
  <c r="F648" i="1"/>
  <c r="F647" i="1"/>
  <c r="F646" i="1"/>
  <c r="F645" i="1"/>
  <c r="F644" i="1"/>
  <c r="F641" i="1"/>
  <c r="F640" i="1"/>
  <c r="F639" i="1"/>
  <c r="F638" i="1"/>
  <c r="F637" i="1"/>
  <c r="F636" i="1"/>
  <c r="F635" i="1"/>
  <c r="F634" i="1"/>
  <c r="F633" i="1"/>
  <c r="F643" i="1"/>
  <c r="F629" i="1"/>
  <c r="F628" i="1"/>
  <c r="F631" i="1"/>
  <c r="F632" i="1"/>
  <c r="F642" i="1"/>
  <c r="F650" i="1"/>
  <c r="F651" i="1"/>
  <c r="F652" i="1"/>
  <c r="H652" i="1" s="1"/>
  <c r="F630" i="1"/>
  <c r="F627" i="1"/>
  <c r="F622" i="1"/>
  <c r="F620" i="1"/>
  <c r="F621" i="1"/>
  <c r="F623" i="1"/>
  <c r="F624" i="1"/>
  <c r="F625" i="1"/>
  <c r="F626" i="1"/>
  <c r="F619" i="1"/>
  <c r="F618" i="1"/>
  <c r="F617" i="1"/>
  <c r="F615" i="1"/>
  <c r="F616" i="1"/>
  <c r="F614" i="1"/>
  <c r="F610" i="1"/>
  <c r="F611" i="1"/>
  <c r="F612" i="1"/>
  <c r="F606" i="1"/>
  <c r="F605" i="1"/>
  <c r="F613" i="1"/>
  <c r="F609" i="1"/>
  <c r="H604" i="1" s="1"/>
  <c r="F608" i="1"/>
  <c r="H601" i="1"/>
  <c r="F607" i="1"/>
  <c r="F604" i="1"/>
  <c r="F599" i="1"/>
  <c r="F600" i="1"/>
  <c r="H600" i="1" s="1"/>
  <c r="F601" i="1"/>
  <c r="F602" i="1"/>
  <c r="F603" i="1"/>
  <c r="F593" i="1"/>
  <c r="F594" i="1"/>
  <c r="F595" i="1"/>
  <c r="F596" i="1"/>
  <c r="H596" i="1" s="1"/>
  <c r="F597" i="1"/>
  <c r="F598" i="1"/>
  <c r="F592" i="1"/>
  <c r="F583" i="1"/>
  <c r="F584" i="1"/>
  <c r="F585" i="1"/>
  <c r="F586" i="1"/>
  <c r="F587" i="1"/>
  <c r="F588" i="1"/>
  <c r="F589" i="1"/>
  <c r="F590" i="1"/>
  <c r="F591" i="1"/>
  <c r="I664" i="1" l="1"/>
  <c r="F581" i="1"/>
  <c r="F582" i="1"/>
  <c r="F579" i="1"/>
  <c r="F580" i="1"/>
  <c r="F578" i="1" l="1"/>
  <c r="F577" i="1"/>
  <c r="F576" i="1"/>
  <c r="F575" i="1"/>
  <c r="F573" i="1"/>
  <c r="F570" i="1"/>
  <c r="F571" i="1"/>
  <c r="F572" i="1"/>
  <c r="F574" i="1"/>
  <c r="I570" i="1"/>
  <c r="F569" i="1"/>
  <c r="F566" i="1"/>
  <c r="F567" i="1"/>
  <c r="F568" i="1"/>
  <c r="F563" i="1"/>
  <c r="F564" i="1"/>
  <c r="F565" i="1"/>
  <c r="F562" i="1"/>
  <c r="F561" i="1"/>
  <c r="F560" i="1"/>
  <c r="F559" i="1"/>
  <c r="F552" i="1"/>
  <c r="F553" i="1"/>
  <c r="F554" i="1"/>
  <c r="F555" i="1"/>
  <c r="F556" i="1"/>
  <c r="F557" i="1"/>
  <c r="F558" i="1"/>
  <c r="F551" i="1"/>
  <c r="F550" i="1"/>
  <c r="F549" i="1"/>
  <c r="F548" i="1"/>
  <c r="F547" i="1"/>
  <c r="H537" i="1"/>
  <c r="H538" i="1" s="1"/>
  <c r="F538" i="1"/>
  <c r="F539" i="1"/>
  <c r="F540" i="1"/>
  <c r="F543" i="1"/>
  <c r="F544" i="1"/>
  <c r="F545" i="1"/>
  <c r="F546" i="1"/>
  <c r="F537" i="1"/>
  <c r="F541" i="1"/>
  <c r="F542" i="1"/>
  <c r="F532" i="1"/>
  <c r="F533" i="1"/>
  <c r="F534" i="1"/>
  <c r="F535" i="1"/>
  <c r="F536" i="1"/>
  <c r="F522" i="1"/>
  <c r="F523" i="1"/>
  <c r="F524" i="1"/>
  <c r="F525" i="1"/>
  <c r="F526" i="1"/>
  <c r="F527" i="1"/>
  <c r="F528" i="1"/>
  <c r="F529" i="1"/>
  <c r="F530" i="1"/>
  <c r="F531" i="1"/>
  <c r="F509" i="1"/>
  <c r="F506" i="1"/>
  <c r="F507" i="1"/>
  <c r="F508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05" i="1"/>
  <c r="F503" i="1"/>
  <c r="F504" i="1"/>
  <c r="F502" i="1"/>
  <c r="F501" i="1"/>
  <c r="F490" i="1"/>
  <c r="F491" i="1"/>
  <c r="F492" i="1"/>
  <c r="F493" i="1"/>
  <c r="F494" i="1"/>
  <c r="F495" i="1"/>
  <c r="F496" i="1"/>
  <c r="F497" i="1"/>
  <c r="F498" i="1"/>
  <c r="F499" i="1"/>
  <c r="F500" i="1"/>
  <c r="F486" i="1"/>
  <c r="F478" i="1"/>
  <c r="F479" i="1"/>
  <c r="F480" i="1"/>
  <c r="F481" i="1"/>
  <c r="F482" i="1"/>
  <c r="F483" i="1"/>
  <c r="F484" i="1"/>
  <c r="F485" i="1"/>
  <c r="F487" i="1"/>
  <c r="F488" i="1"/>
  <c r="F489" i="1"/>
  <c r="H488" i="1" s="1"/>
  <c r="F477" i="1"/>
  <c r="F476" i="1"/>
  <c r="F475" i="1"/>
  <c r="F474" i="1"/>
  <c r="F473" i="1"/>
  <c r="F472" i="1"/>
  <c r="F467" i="1"/>
  <c r="F468" i="1"/>
  <c r="F469" i="1"/>
  <c r="F470" i="1"/>
  <c r="F471" i="1"/>
  <c r="F465" i="1"/>
  <c r="F463" i="1"/>
  <c r="F457" i="1"/>
  <c r="F458" i="1"/>
  <c r="F459" i="1"/>
  <c r="F460" i="1"/>
  <c r="F461" i="1"/>
  <c r="F462" i="1"/>
  <c r="F464" i="1"/>
  <c r="F466" i="1"/>
  <c r="F456" i="1"/>
  <c r="F455" i="1"/>
  <c r="F454" i="1"/>
  <c r="F453" i="1"/>
  <c r="F449" i="1"/>
  <c r="F450" i="1"/>
  <c r="F451" i="1"/>
  <c r="F452" i="1"/>
  <c r="F448" i="1"/>
  <c r="F447" i="1"/>
  <c r="F446" i="1"/>
  <c r="F445" i="1"/>
  <c r="F440" i="1"/>
  <c r="F441" i="1"/>
  <c r="F442" i="1"/>
  <c r="F443" i="1"/>
  <c r="F444" i="1"/>
  <c r="F434" i="1"/>
  <c r="F425" i="1"/>
  <c r="F426" i="1"/>
  <c r="F427" i="1"/>
  <c r="F428" i="1"/>
  <c r="F429" i="1"/>
  <c r="F430" i="1"/>
  <c r="F431" i="1"/>
  <c r="F432" i="1"/>
  <c r="F433" i="1"/>
  <c r="F435" i="1"/>
  <c r="F436" i="1"/>
  <c r="F437" i="1"/>
  <c r="F438" i="1"/>
  <c r="F439" i="1"/>
  <c r="F424" i="1"/>
  <c r="F423" i="1"/>
  <c r="F421" i="1"/>
  <c r="F422" i="1"/>
  <c r="F420" i="1"/>
  <c r="F419" i="1"/>
  <c r="F418" i="1"/>
  <c r="F417" i="1"/>
  <c r="F416" i="1"/>
  <c r="F415" i="1"/>
  <c r="F414" i="1"/>
  <c r="F413" i="1"/>
  <c r="F406" i="1"/>
  <c r="F398" i="1"/>
  <c r="F394" i="1"/>
  <c r="F368" i="1"/>
  <c r="F365" i="1"/>
  <c r="F342" i="1"/>
  <c r="F341" i="1"/>
  <c r="H341" i="1" s="1"/>
  <c r="F340" i="1"/>
  <c r="F339" i="1"/>
  <c r="F338" i="1"/>
  <c r="F337" i="1"/>
  <c r="F336" i="1"/>
  <c r="F335" i="1"/>
  <c r="F334" i="1"/>
  <c r="F330" i="1"/>
  <c r="F329" i="1"/>
  <c r="F331" i="1"/>
  <c r="F332" i="1"/>
  <c r="F333" i="1"/>
  <c r="F326" i="1"/>
  <c r="F327" i="1"/>
  <c r="F328" i="1"/>
  <c r="F227" i="1"/>
  <c r="F226" i="1"/>
  <c r="F320" i="1"/>
  <c r="F321" i="1"/>
  <c r="F322" i="1"/>
  <c r="F323" i="1"/>
  <c r="F324" i="1"/>
  <c r="F325" i="1"/>
  <c r="F319" i="1"/>
  <c r="F303" i="1"/>
  <c r="F302" i="1"/>
  <c r="F305" i="1"/>
  <c r="F304" i="1"/>
  <c r="F306" i="1"/>
  <c r="F307" i="1"/>
  <c r="F310" i="1"/>
  <c r="F312" i="1"/>
  <c r="F318" i="1"/>
  <c r="F316" i="1"/>
  <c r="F317" i="1"/>
  <c r="F315" i="1"/>
  <c r="F311" i="1"/>
  <c r="F313" i="1"/>
  <c r="F314" i="1"/>
  <c r="F308" i="1"/>
  <c r="F309" i="1"/>
  <c r="F301" i="1"/>
  <c r="F300" i="1"/>
  <c r="F298" i="1"/>
  <c r="F299" i="1"/>
  <c r="F295" i="1"/>
  <c r="F290" i="1"/>
  <c r="F291" i="1"/>
  <c r="F292" i="1"/>
  <c r="F293" i="1"/>
  <c r="H293" i="1" s="1"/>
  <c r="F294" i="1"/>
  <c r="F296" i="1"/>
  <c r="F297" i="1"/>
  <c r="F282" i="1"/>
  <c r="F283" i="1"/>
  <c r="F284" i="1"/>
  <c r="F285" i="1"/>
  <c r="F279" i="1"/>
  <c r="F280" i="1"/>
  <c r="F281" i="1"/>
  <c r="F286" i="1"/>
  <c r="F287" i="1"/>
  <c r="F288" i="1"/>
  <c r="F289" i="1"/>
  <c r="F278" i="1"/>
  <c r="F277" i="1"/>
  <c r="F276" i="1"/>
  <c r="F275" i="1"/>
  <c r="F273" i="1"/>
  <c r="F274" i="1"/>
  <c r="F264" i="1"/>
  <c r="F265" i="1"/>
  <c r="H265" i="1" s="1"/>
  <c r="F266" i="1"/>
  <c r="F267" i="1"/>
  <c r="F268" i="1"/>
  <c r="F269" i="1"/>
  <c r="F270" i="1"/>
  <c r="F271" i="1"/>
  <c r="F272" i="1"/>
  <c r="F255" i="1"/>
  <c r="F256" i="1"/>
  <c r="F257" i="1"/>
  <c r="F258" i="1"/>
  <c r="F259" i="1"/>
  <c r="F260" i="1"/>
  <c r="F261" i="1"/>
  <c r="F262" i="1"/>
  <c r="F263" i="1"/>
  <c r="F251" i="1"/>
  <c r="F254" i="1"/>
  <c r="F250" i="1"/>
  <c r="F252" i="1"/>
  <c r="F253" i="1"/>
  <c r="H253" i="1" s="1"/>
  <c r="F249" i="1"/>
  <c r="F248" i="1"/>
  <c r="F247" i="1"/>
  <c r="F243" i="1"/>
  <c r="F246" i="1"/>
  <c r="F245" i="1"/>
  <c r="F244" i="1"/>
  <c r="F242" i="1"/>
  <c r="F241" i="1"/>
  <c r="F240" i="1"/>
  <c r="F231" i="1"/>
  <c r="F235" i="1"/>
  <c r="F236" i="1"/>
  <c r="F237" i="1"/>
  <c r="F238" i="1"/>
  <c r="F239" i="1"/>
  <c r="F234" i="1"/>
  <c r="H222" i="1" s="1"/>
  <c r="F230" i="1"/>
  <c r="F228" i="1"/>
  <c r="F229" i="1"/>
  <c r="F232" i="1"/>
  <c r="F233" i="1"/>
  <c r="F217" i="1"/>
  <c r="F218" i="1"/>
  <c r="F219" i="1"/>
  <c r="F220" i="1"/>
  <c r="F221" i="1"/>
  <c r="F222" i="1"/>
  <c r="F223" i="1"/>
  <c r="F224" i="1"/>
  <c r="F225" i="1"/>
  <c r="F207" i="1"/>
  <c r="F208" i="1"/>
  <c r="F209" i="1"/>
  <c r="F210" i="1"/>
  <c r="F211" i="1"/>
  <c r="F212" i="1"/>
  <c r="F213" i="1"/>
  <c r="F214" i="1"/>
  <c r="F215" i="1"/>
  <c r="F216" i="1"/>
  <c r="F206" i="1"/>
  <c r="F205" i="1"/>
  <c r="F204" i="1"/>
  <c r="F202" i="1"/>
  <c r="F203" i="1"/>
  <c r="F201" i="1"/>
  <c r="F200" i="1"/>
  <c r="F196" i="1"/>
  <c r="F197" i="1"/>
  <c r="F198" i="1"/>
  <c r="F199" i="1"/>
  <c r="F183" i="1"/>
  <c r="F185" i="1"/>
  <c r="F186" i="1"/>
  <c r="F187" i="1"/>
  <c r="F188" i="1"/>
  <c r="F189" i="1"/>
  <c r="F190" i="1"/>
  <c r="F191" i="1"/>
  <c r="F192" i="1"/>
  <c r="F193" i="1"/>
  <c r="F194" i="1"/>
  <c r="F195" i="1"/>
  <c r="F184" i="1"/>
  <c r="F182" i="1"/>
  <c r="F181" i="1"/>
  <c r="F180" i="1"/>
  <c r="F179" i="1"/>
  <c r="F177" i="1"/>
  <c r="F178" i="1"/>
  <c r="F173" i="1"/>
  <c r="F174" i="1"/>
  <c r="F175" i="1"/>
  <c r="F176" i="1"/>
  <c r="F169" i="1"/>
  <c r="F170" i="1"/>
  <c r="F171" i="1"/>
  <c r="F172" i="1"/>
  <c r="H173" i="1" s="1"/>
  <c r="F168" i="1"/>
  <c r="F167" i="1"/>
  <c r="F164" i="1"/>
  <c r="F165" i="1"/>
  <c r="F166" i="1"/>
  <c r="F163" i="1"/>
  <c r="F162" i="1"/>
  <c r="F160" i="1"/>
  <c r="F157" i="1"/>
  <c r="F158" i="1"/>
  <c r="F159" i="1"/>
  <c r="F161" i="1"/>
  <c r="F150" i="1"/>
  <c r="F151" i="1"/>
  <c r="F152" i="1"/>
  <c r="F153" i="1"/>
  <c r="F154" i="1"/>
  <c r="F155" i="1"/>
  <c r="F156" i="1"/>
  <c r="F140" i="1"/>
  <c r="F141" i="1"/>
  <c r="H141" i="1" s="1"/>
  <c r="F142" i="1"/>
  <c r="F143" i="1"/>
  <c r="F144" i="1"/>
  <c r="F145" i="1"/>
  <c r="F146" i="1"/>
  <c r="F147" i="1"/>
  <c r="F148" i="1"/>
  <c r="F149" i="1"/>
  <c r="F138" i="1"/>
  <c r="F139" i="1"/>
  <c r="F136" i="1"/>
  <c r="F137" i="1"/>
  <c r="F135" i="1"/>
  <c r="F124" i="1"/>
  <c r="F127" i="1"/>
  <c r="F128" i="1"/>
  <c r="F129" i="1"/>
  <c r="F130" i="1"/>
  <c r="F120" i="1"/>
  <c r="F402" i="1" l="1"/>
  <c r="F344" i="1"/>
  <c r="F372" i="1"/>
  <c r="F411" i="1"/>
  <c r="F410" i="1"/>
  <c r="F351" i="1"/>
  <c r="F384" i="1"/>
  <c r="F407" i="1"/>
  <c r="F409" i="1"/>
  <c r="F408" i="1"/>
  <c r="F412" i="1"/>
  <c r="F347" i="1"/>
  <c r="F348" i="1"/>
  <c r="F362" i="1"/>
  <c r="F377" i="1"/>
  <c r="F369" i="1"/>
  <c r="F387" i="1"/>
  <c r="F391" i="1"/>
  <c r="F355" i="1"/>
  <c r="F356" i="1"/>
  <c r="F361" i="1"/>
  <c r="F376" i="1"/>
  <c r="F380" i="1"/>
  <c r="F386" i="1"/>
  <c r="F390" i="1"/>
  <c r="F345" i="1"/>
  <c r="F352" i="1"/>
  <c r="F366" i="1"/>
  <c r="F358" i="1"/>
  <c r="F373" i="1"/>
  <c r="F382" i="1"/>
  <c r="F395" i="1"/>
  <c r="F397" i="1"/>
  <c r="F405" i="1"/>
  <c r="F343" i="1"/>
  <c r="F354" i="1"/>
  <c r="F350" i="1"/>
  <c r="F357" i="1"/>
  <c r="F364" i="1"/>
  <c r="F360" i="1"/>
  <c r="F379" i="1"/>
  <c r="F375" i="1"/>
  <c r="F371" i="1"/>
  <c r="F381" i="1"/>
  <c r="F385" i="1"/>
  <c r="F389" i="1"/>
  <c r="F393" i="1"/>
  <c r="F401" i="1"/>
  <c r="F403" i="1"/>
  <c r="F346" i="1"/>
  <c r="F353" i="1"/>
  <c r="F349" i="1"/>
  <c r="F367" i="1"/>
  <c r="F363" i="1"/>
  <c r="F359" i="1"/>
  <c r="F378" i="1"/>
  <c r="F374" i="1"/>
  <c r="F370" i="1"/>
  <c r="F383" i="1"/>
  <c r="F388" i="1"/>
  <c r="F396" i="1"/>
  <c r="F392" i="1"/>
  <c r="F400" i="1"/>
  <c r="F404" i="1"/>
  <c r="F399" i="1"/>
  <c r="F122" i="1"/>
  <c r="F123" i="1"/>
  <c r="F125" i="1"/>
  <c r="F126" i="1"/>
  <c r="F131" i="1"/>
  <c r="F132" i="1"/>
  <c r="F133" i="1"/>
  <c r="F134" i="1"/>
  <c r="F121" i="1"/>
  <c r="F118" i="1"/>
  <c r="F119" i="1"/>
  <c r="F116" i="1"/>
  <c r="F117" i="1"/>
  <c r="F114" i="1"/>
  <c r="F115" i="1"/>
  <c r="F105" i="1" l="1"/>
  <c r="F106" i="1"/>
  <c r="F107" i="1"/>
  <c r="F108" i="1"/>
  <c r="F109" i="1"/>
  <c r="F110" i="1"/>
  <c r="F102" i="1"/>
  <c r="F103" i="1"/>
  <c r="F104" i="1"/>
  <c r="F111" i="1" l="1"/>
  <c r="F112" i="1"/>
  <c r="F113" i="1"/>
  <c r="F101" i="1"/>
  <c r="F100" i="1"/>
  <c r="F88" i="1" l="1"/>
  <c r="F89" i="1"/>
  <c r="F90" i="1"/>
  <c r="F91" i="1"/>
  <c r="F92" i="1"/>
  <c r="F93" i="1"/>
  <c r="F94" i="1"/>
  <c r="F95" i="1"/>
  <c r="F96" i="1"/>
  <c r="F97" i="1"/>
  <c r="F98" i="1"/>
  <c r="F99" i="1"/>
  <c r="F85" i="1"/>
  <c r="F86" i="1"/>
  <c r="F87" i="1"/>
  <c r="F84" i="1" l="1"/>
  <c r="F83" i="1" l="1"/>
  <c r="F82" i="1"/>
  <c r="F75" i="1"/>
  <c r="F76" i="1"/>
  <c r="F77" i="1"/>
  <c r="F78" i="1"/>
  <c r="F79" i="1"/>
  <c r="F80" i="1"/>
  <c r="F81" i="1"/>
  <c r="F74" i="1"/>
  <c r="F72" i="1"/>
  <c r="F73" i="1"/>
  <c r="F66" i="1" l="1"/>
  <c r="F67" i="1"/>
  <c r="F68" i="1"/>
  <c r="F69" i="1"/>
  <c r="F70" i="1"/>
  <c r="F71" i="1"/>
  <c r="F61" i="1"/>
  <c r="F62" i="1"/>
  <c r="F63" i="1"/>
  <c r="F64" i="1"/>
  <c r="F65" i="1"/>
  <c r="F59" i="1"/>
  <c r="F60" i="1"/>
  <c r="F58" i="1"/>
  <c r="F56" i="1"/>
  <c r="F57" i="1"/>
  <c r="F55" i="1"/>
  <c r="F49" i="1" l="1"/>
  <c r="F50" i="1"/>
  <c r="F51" i="1"/>
  <c r="F52" i="1"/>
  <c r="F53" i="1"/>
  <c r="F54" i="1"/>
  <c r="F42" i="1"/>
  <c r="F43" i="1"/>
  <c r="F44" i="1"/>
  <c r="F45" i="1"/>
  <c r="F46" i="1"/>
  <c r="F47" i="1"/>
  <c r="F48" i="1"/>
  <c r="F41" i="1"/>
  <c r="F40" i="1"/>
  <c r="F39" i="1"/>
  <c r="F30" i="1" l="1"/>
  <c r="F32" i="1"/>
  <c r="F33" i="1"/>
  <c r="F34" i="1"/>
  <c r="F28" i="1"/>
  <c r="F29" i="1"/>
  <c r="F31" i="1"/>
  <c r="F35" i="1"/>
  <c r="F36" i="1"/>
  <c r="F37" i="1"/>
  <c r="F38" i="1"/>
  <c r="F27" i="1"/>
  <c r="F26" i="1"/>
  <c r="F18" i="1" l="1"/>
  <c r="F19" i="1"/>
  <c r="F20" i="1"/>
  <c r="F21" i="1"/>
  <c r="F22" i="1"/>
  <c r="F23" i="1"/>
  <c r="F24" i="1"/>
  <c r="F25" i="1"/>
  <c r="F15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3" i="1"/>
  <c r="E125" i="5"/>
  <c r="G125" i="5" s="1"/>
  <c r="E124" i="5"/>
  <c r="E123" i="5"/>
  <c r="E122" i="5"/>
  <c r="E121" i="5"/>
  <c r="E127" i="5"/>
  <c r="E128" i="5"/>
  <c r="E130" i="5"/>
  <c r="E129" i="5"/>
  <c r="E132" i="5"/>
  <c r="E131" i="5"/>
  <c r="E27" i="7"/>
  <c r="E35" i="7"/>
  <c r="E46" i="7"/>
  <c r="E30" i="7"/>
  <c r="E22" i="7"/>
  <c r="E34" i="7"/>
  <c r="E44" i="7"/>
  <c r="E29" i="7"/>
  <c r="E25" i="7"/>
  <c r="E21" i="7"/>
  <c r="E37" i="7"/>
  <c r="E33" i="7"/>
  <c r="E41" i="7"/>
  <c r="E31" i="7"/>
  <c r="E23" i="7"/>
  <c r="E39" i="7"/>
  <c r="E43" i="7"/>
  <c r="G43" i="7" s="1"/>
  <c r="E26" i="7"/>
  <c r="E40" i="7"/>
  <c r="E45" i="7"/>
  <c r="E32" i="7"/>
  <c r="E28" i="7"/>
  <c r="E24" i="7"/>
  <c r="E19" i="7"/>
  <c r="E36" i="7"/>
  <c r="E38" i="7"/>
  <c r="E42" i="7"/>
  <c r="E47" i="7"/>
  <c r="E48" i="7"/>
  <c r="G48" i="7" s="1"/>
  <c r="E74" i="28"/>
  <c r="E75" i="28"/>
  <c r="E72" i="28"/>
  <c r="E76" i="28"/>
  <c r="E71" i="28"/>
  <c r="E73" i="28"/>
  <c r="E77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Celebrity Car</author>
  </authors>
  <commentList>
    <comment ref="C143" authorId="0" shapeId="0" xr:uid="{F4017F76-5247-44BC-B677-B50748239660}">
      <text>
        <r>
          <rPr>
            <b/>
            <sz val="9"/>
            <color indexed="81"/>
            <rFont val="Tahoma"/>
            <charset val="1"/>
          </rPr>
          <t>Celebrity Car:</t>
        </r>
        <r>
          <rPr>
            <sz val="9"/>
            <color indexed="81"/>
            <rFont val="Tahoma"/>
            <charset val="1"/>
          </rPr>
          <t xml:space="preserve">
Dari kartini motor, kembalikan CR-V Pak Haji</t>
        </r>
      </text>
    </comment>
    <comment ref="C153" authorId="0" shapeId="0" xr:uid="{8017633C-AB93-4A3D-964D-A78C590CE1EF}">
      <text>
        <r>
          <rPr>
            <b/>
            <sz val="9"/>
            <color indexed="81"/>
            <rFont val="Tahoma"/>
            <charset val="1"/>
          </rPr>
          <t>Celebrity Car:</t>
        </r>
        <r>
          <rPr>
            <sz val="9"/>
            <color indexed="81"/>
            <rFont val="Tahoma"/>
            <charset val="1"/>
          </rPr>
          <t xml:space="preserve">
RAIZE PUTIH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Celebrity Car</author>
  </authors>
  <commentList>
    <comment ref="B26" authorId="0" shapeId="0" xr:uid="{DA407859-AA55-4E62-B444-7934017B291F}">
      <text>
        <r>
          <rPr>
            <b/>
            <sz val="9"/>
            <color indexed="81"/>
            <rFont val="Tahoma"/>
            <charset val="1"/>
          </rPr>
          <t>Celebrity Car:</t>
        </r>
        <r>
          <rPr>
            <sz val="9"/>
            <color indexed="81"/>
            <rFont val="Tahoma"/>
            <charset val="1"/>
          </rPr>
          <t xml:space="preserve">
LEXUS 300K.
PRIBADI 100K</t>
        </r>
      </text>
    </comment>
    <comment ref="H246" authorId="0" shapeId="0" xr:uid="{36CE1719-A8C7-4601-A5B4-2C2D10A0E377}">
      <text>
        <r>
          <rPr>
            <b/>
            <sz val="9"/>
            <color indexed="81"/>
            <rFont val="Tahoma"/>
            <charset val="1"/>
          </rPr>
          <t>Celebrity Car:</t>
        </r>
        <r>
          <rPr>
            <sz val="9"/>
            <color indexed="81"/>
            <rFont val="Tahoma"/>
            <charset val="1"/>
          </rPr>
          <t xml:space="preserve">
bon di budi cek mini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<sst xmlns="http://schemas.openxmlformats.org/spreadsheetml/2006/main" count="3759" uniqueCount="1830">
  <si>
    <t>TANGGAL</t>
  </si>
  <si>
    <t>IN</t>
  </si>
  <si>
    <t>OUT</t>
  </si>
  <si>
    <t>SALDO</t>
  </si>
  <si>
    <t>KETERANGAN</t>
  </si>
  <si>
    <t>ITEM</t>
  </si>
  <si>
    <t>GARUDA WISNU</t>
  </si>
  <si>
    <t>PATTY CASH</t>
  </si>
  <si>
    <t>SHOPPE KOMPOR TEDI ILHAM</t>
  </si>
  <si>
    <t>TISSUE WAJAS</t>
  </si>
  <si>
    <t>BENSIN BOXTER BK</t>
  </si>
  <si>
    <t>GOJEK BUDI</t>
  </si>
  <si>
    <t>GOJEK PANCA</t>
  </si>
  <si>
    <t>BENSIN LX</t>
  </si>
  <si>
    <t>BENSIN NMAX</t>
  </si>
  <si>
    <t xml:space="preserve">LAWAR </t>
  </si>
  <si>
    <t>JAGABAYA</t>
  </si>
  <si>
    <t>BENSIN VOXY</t>
  </si>
  <si>
    <t>KOPI TUKANG</t>
  </si>
  <si>
    <t>CUCI MOBIL DK805CPM</t>
  </si>
  <si>
    <t>CUCI MOBIL DK1380LV, B108RWP, B805ARI</t>
  </si>
  <si>
    <t>CUCI MOBIL DK1564AW</t>
  </si>
  <si>
    <t>CUCI MOBIL B2526PQP, B1615WZS</t>
  </si>
  <si>
    <t>KLEM SELANG</t>
  </si>
  <si>
    <t>NASI TEMPONG BU COK</t>
  </si>
  <si>
    <t>KANEBO</t>
  </si>
  <si>
    <t>KUAS LUKIS</t>
  </si>
  <si>
    <t>KASBON TEDI</t>
  </si>
  <si>
    <t>BUAH OWNER</t>
  </si>
  <si>
    <t>BENSIN MINI ORANGE</t>
  </si>
  <si>
    <t>BENSIN MERCY C300</t>
  </si>
  <si>
    <t>TOKO WISNU KENCANA</t>
  </si>
  <si>
    <t>KASBON ILHAM</t>
  </si>
  <si>
    <t>PAK YOGA AMBIL</t>
  </si>
  <si>
    <t>E-MONEY SATRIO</t>
  </si>
  <si>
    <t>SERVICE PLAT</t>
  </si>
  <si>
    <t>PLAMPUNG KLOSET</t>
  </si>
  <si>
    <t>BENSIN AGUNG SURYA</t>
  </si>
  <si>
    <t>TEMPAT SAMPAH 10L SHOWROOM BARAT</t>
  </si>
  <si>
    <t>TEMPAT SAMPAH CONTENT</t>
  </si>
  <si>
    <t>PEMBERSIH NODA</t>
  </si>
  <si>
    <t>BENSIN ALPHARD</t>
  </si>
  <si>
    <t>KOPI CAPUCCINO FOR CUSTOMER</t>
  </si>
  <si>
    <t>BENSIN XENIA</t>
  </si>
  <si>
    <t>KEMBALI DARI GAYA STEAM</t>
  </si>
  <si>
    <t>BALI BAKERY</t>
  </si>
  <si>
    <t>BENSIN ADIT</t>
  </si>
  <si>
    <t>INDOMARET (MAHA)</t>
  </si>
  <si>
    <t>PARKIR INDOMARET</t>
  </si>
  <si>
    <t>BENSIN VELFIRE</t>
  </si>
  <si>
    <t>PARKIR DEPO</t>
  </si>
  <si>
    <t>BENSIN MINI 3 DOORS</t>
  </si>
  <si>
    <t>BENSIN MANG TRI</t>
  </si>
  <si>
    <t>BENSIN RIAN</t>
  </si>
  <si>
    <t>BENSIN JEEP SILVER</t>
  </si>
  <si>
    <t>SOFT PAO</t>
  </si>
  <si>
    <t>MAXIM</t>
  </si>
  <si>
    <t>LAMPU PHILIPS SHOWROOM BARAT</t>
  </si>
  <si>
    <t>PARKIR</t>
  </si>
  <si>
    <t>NASI BABI GULING + ES THE</t>
  </si>
  <si>
    <t>DRY BOX</t>
  </si>
  <si>
    <t>COMPLIMENT CAR</t>
  </si>
  <si>
    <t>GARUDA MAS</t>
  </si>
  <si>
    <t>CAHAYA BARU PERABOT</t>
  </si>
  <si>
    <t>PARKIR DAPUR PRIMA</t>
  </si>
  <si>
    <t>BUCKET BUNGA</t>
  </si>
  <si>
    <t>DAPUR PRIMA</t>
  </si>
  <si>
    <t>BANTEN AYU</t>
  </si>
  <si>
    <t xml:space="preserve">SOTO SSB </t>
  </si>
  <si>
    <t>NASI SSB</t>
  </si>
  <si>
    <t>PARKIR SSB</t>
  </si>
  <si>
    <t>SERVICE PLAFON BMW</t>
  </si>
  <si>
    <t xml:space="preserve"> </t>
  </si>
  <si>
    <t xml:space="preserve">SERVICE PLAT DK 1174 </t>
  </si>
  <si>
    <t>GOCAR PANCA</t>
  </si>
  <si>
    <t>BENSIN PANCA</t>
  </si>
  <si>
    <t>BENSIN BUDI</t>
  </si>
  <si>
    <t>BENSIN RAIZE</t>
  </si>
  <si>
    <t>BPKB DAN STNK GLA</t>
  </si>
  <si>
    <t>TOWING MINI ZESTY</t>
  </si>
  <si>
    <t>GOLDEN MOTOR</t>
  </si>
  <si>
    <t>CV. SAERAH DENPASAR</t>
  </si>
  <si>
    <t>BENSIN FIAT C500</t>
  </si>
  <si>
    <t>BENSIN AUDI</t>
  </si>
  <si>
    <t>CV. AYU NADI</t>
  </si>
  <si>
    <t>KUAS</t>
  </si>
  <si>
    <t>PARKIR AYU NADI</t>
  </si>
  <si>
    <t>ONIEKA</t>
  </si>
  <si>
    <t>BENSIN PAJERO 2021</t>
  </si>
  <si>
    <t>DP CEK BMW X5</t>
  </si>
  <si>
    <t>PELUNASAN CEK BMW X5</t>
  </si>
  <si>
    <t>KIRIM PAKET DAN ROKOK PAK LANDUNG</t>
  </si>
  <si>
    <t>RAJAWALI</t>
  </si>
  <si>
    <t>AQUA</t>
  </si>
  <si>
    <t>DP CEK MINI CLUBMAN</t>
  </si>
  <si>
    <t>STAMPEL</t>
  </si>
  <si>
    <t>PELUNASAN CEK MINI CLUBMAN</t>
  </si>
  <si>
    <t>PERMEN</t>
  </si>
  <si>
    <t xml:space="preserve">TINER </t>
  </si>
  <si>
    <t>BENSIN</t>
  </si>
  <si>
    <t>EKAPRINT</t>
  </si>
  <si>
    <t>SATE DAN LAWAR OWNER</t>
  </si>
  <si>
    <t>KONSUMSI DEPUR TGL 22/11/2023</t>
  </si>
  <si>
    <t>ONGKIR KNALPOT</t>
  </si>
  <si>
    <t>ONGKIR BPKB DAN STNK</t>
  </si>
  <si>
    <t>ES TEH</t>
  </si>
  <si>
    <t>NASI TUKANG</t>
  </si>
  <si>
    <t>UANG SAMPAH TIMUR</t>
  </si>
  <si>
    <t>LEMBUR NGURAH</t>
  </si>
  <si>
    <t>ngurah ambil</t>
  </si>
  <si>
    <t>PELUNASAN CEK MERCY</t>
  </si>
  <si>
    <t>SURAT GESEK</t>
  </si>
  <si>
    <t>SURAT JALAN GLA RAIZE</t>
  </si>
  <si>
    <t>PASANG BAN JEEP</t>
  </si>
  <si>
    <t>KANTONG SAMPAH PLASTIK</t>
  </si>
  <si>
    <t>CANANG</t>
  </si>
  <si>
    <t>FEE KTP BUDI</t>
  </si>
  <si>
    <t>E-TOL PP</t>
  </si>
  <si>
    <t>NASI TUKANG + ES THE</t>
  </si>
  <si>
    <t>BENSIN VESPA AGUNG</t>
  </si>
  <si>
    <t>GURIH-GURIH</t>
  </si>
  <si>
    <t>BENSIN OPERASIONAL</t>
  </si>
  <si>
    <t>KASBON DEPUR</t>
  </si>
  <si>
    <t>SERVICE PLAT B 1402 EJF</t>
  </si>
  <si>
    <t>TOKO BANGUNAN</t>
  </si>
  <si>
    <t>NASI OWNER</t>
  </si>
  <si>
    <t>BMW X3</t>
  </si>
  <si>
    <t xml:space="preserve">agung ambil </t>
  </si>
  <si>
    <t>SERVICE DK B 2770 PKF</t>
  </si>
  <si>
    <t>OK WATER</t>
  </si>
  <si>
    <t>AKRILIK</t>
  </si>
  <si>
    <t>ALAT PERBAIKAN KAMAR MANDI AGUNG</t>
  </si>
  <si>
    <t>KABEL VENTION</t>
  </si>
  <si>
    <t>FRESHINDO</t>
  </si>
  <si>
    <t>ONGKIR BERKAS IBU NYMAN SUPARMINI</t>
  </si>
  <si>
    <t>ONGKIR RETUR LAMPU SOROT</t>
  </si>
  <si>
    <t>BENSIN COK ALIT</t>
  </si>
  <si>
    <t>SARI CANANG</t>
  </si>
  <si>
    <t>SPIDOL PERMANEN</t>
  </si>
  <si>
    <t>ISI NITROGEN ALPHARD B 1525 DFX</t>
  </si>
  <si>
    <t>BENSIN JEEP</t>
  </si>
  <si>
    <t>DUPA</t>
  </si>
  <si>
    <t>ES BATU</t>
  </si>
  <si>
    <t>ONGKIR BPKB DAN STNK PALISADE</t>
  </si>
  <si>
    <t>PEMINJAMAN OLEH CELEB KOPI</t>
  </si>
  <si>
    <t>BENSIN PORSCHE BOXSTER BK 1814 AAB</t>
  </si>
  <si>
    <t>BENSIN PAJEROSPORT B1402EJF</t>
  </si>
  <si>
    <t>JASA WHEEL BOXSTERBK1814AAB</t>
  </si>
  <si>
    <t>PELUNASAN PAPER BAG</t>
  </si>
  <si>
    <t>GOSEND SURAT JALAN MERCY GLA</t>
  </si>
  <si>
    <t>PELUNASAN CEK FORTUNER</t>
  </si>
  <si>
    <t>DP CEK FORTUNER</t>
  </si>
  <si>
    <t>CV AYU NADI</t>
  </si>
  <si>
    <t>PARKIR SD KEIRA</t>
  </si>
  <si>
    <t>UANG MAKAN RANDI TGL 11 &amp; 12 DES</t>
  </si>
  <si>
    <t>BENSIN LEXUS LX</t>
  </si>
  <si>
    <t>BENSIN MINI JCW MERAH</t>
  </si>
  <si>
    <t>INFLOWER</t>
  </si>
  <si>
    <t>BALON</t>
  </si>
  <si>
    <t xml:space="preserve">UANG MAKAN RANDI </t>
  </si>
  <si>
    <t>PENAMBAHAN BENSIN FIAT</t>
  </si>
  <si>
    <t>BENSIN CLUBMAN</t>
  </si>
  <si>
    <t>CLEO</t>
  </si>
  <si>
    <t>PIE SUSU ENAAAK</t>
  </si>
  <si>
    <t>MAXIM DEPUR DARI CANGGU</t>
  </si>
  <si>
    <t>KACANG TARI BALI</t>
  </si>
  <si>
    <t>PARKIR RAJAWALI</t>
  </si>
  <si>
    <t>FEE TOWING BTS</t>
  </si>
  <si>
    <t>ONGKIR BPKB DAN STNK CRETA</t>
  </si>
  <si>
    <t>SOFT PAO BAG</t>
  </si>
  <si>
    <t>KOREK GAS</t>
  </si>
  <si>
    <t>PARKIR SOFT PAO</t>
  </si>
  <si>
    <t>GOODLE BAG KECIL</t>
  </si>
  <si>
    <t>PIA EIJI</t>
  </si>
  <si>
    <t>PAK BAGUS AMBIL</t>
  </si>
  <si>
    <t>CEK AIR</t>
  </si>
  <si>
    <t>BENSIN ACCORD</t>
  </si>
  <si>
    <t>BENSIN MINI BIRU</t>
  </si>
  <si>
    <t>UANG MAKAN CLEANING SERVICE 14&amp;15 DES</t>
  </si>
  <si>
    <t xml:space="preserve">ES TUBE </t>
  </si>
  <si>
    <t>ONGKIR PIA EIJI</t>
  </si>
  <si>
    <t>ISI ANGIN JEEP PLAT L</t>
  </si>
  <si>
    <t>GOJEK BUDI DARI DUNIA MOBIL</t>
  </si>
  <si>
    <t>BENSIN HRV</t>
  </si>
  <si>
    <t>BENSIN RANGE ROVER</t>
  </si>
  <si>
    <t>AQUA GELAS</t>
  </si>
  <si>
    <t>FEE PAK ANDRE</t>
  </si>
  <si>
    <t>UANG MAKAN CLEANING SERVICE</t>
  </si>
  <si>
    <t>PARKIR X3</t>
  </si>
  <si>
    <t>PELEK X3</t>
  </si>
  <si>
    <t>BONGKAR BAN + TAMBAH ANGIN BMX X3</t>
  </si>
  <si>
    <t>BUAT PLAT LX 570</t>
  </si>
  <si>
    <t>SPAREPART HANDLE LX 570</t>
  </si>
  <si>
    <t>gobox part ori lexus ke rumah cust</t>
  </si>
  <si>
    <t>buat plat DK 1914 AAP</t>
  </si>
  <si>
    <t>REFUND LAMPU SOROT</t>
  </si>
  <si>
    <t>LAMPU SOROT 30Watt</t>
  </si>
  <si>
    <t>KABEL NYM 2X1.5</t>
  </si>
  <si>
    <t>STEKER</t>
  </si>
  <si>
    <t xml:space="preserve">BENSIN ADIT </t>
  </si>
  <si>
    <t>MAHA</t>
  </si>
  <si>
    <t>pejati bu cok</t>
  </si>
  <si>
    <t xml:space="preserve">print kartu nama </t>
  </si>
  <si>
    <t>BENSIN JEEP JL</t>
  </si>
  <si>
    <t>BENSIN LEXUS NX</t>
  </si>
  <si>
    <t>UANG MAKAN CLEANING SERVICE TGL 20/12/23</t>
  </si>
  <si>
    <t>UANG MAKAN CLEANING SERVICE TGL 21/12/23</t>
  </si>
  <si>
    <t>TOKO MURNI GROSIR</t>
  </si>
  <si>
    <t>SUSU FRESHMILK</t>
  </si>
  <si>
    <t>BENSIN MERCY C200</t>
  </si>
  <si>
    <t>uang makan cleaning service</t>
  </si>
  <si>
    <t>PAK BAGUS KASBON</t>
  </si>
  <si>
    <t>CUCI MOBIL B2488SYW</t>
  </si>
  <si>
    <t>ANGGREK</t>
  </si>
  <si>
    <t>ISI ANGIN GLE COUPE</t>
  </si>
  <si>
    <t>SERVICE PLAT DK 1315 BJ</t>
  </si>
  <si>
    <t xml:space="preserve">KFC </t>
  </si>
  <si>
    <t>BENSIN R1M</t>
  </si>
  <si>
    <t>TOKO GARUDA WISNU</t>
  </si>
  <si>
    <t>GOJEK BUDI clubman 2017 di Dunia Mobil (B 2488 SYW)</t>
  </si>
  <si>
    <t>GOJEK BUDI Dari UPPF Mahendradata, lepas PPF GLE 400 Coupe (B 1137 KL)</t>
  </si>
  <si>
    <t>BENSIN JEEP RUBICON 3.6 2013</t>
  </si>
  <si>
    <t>KUNCI T</t>
  </si>
  <si>
    <t>GOJEK HAMPERS KE MATHEW</t>
  </si>
  <si>
    <t xml:space="preserve"> CLEO</t>
  </si>
  <si>
    <t>ROTI BANTEN DAN NASI JINGGO</t>
  </si>
  <si>
    <t>PATTY CASH (PAK YOGA)</t>
  </si>
  <si>
    <t>APOTEK SOYA</t>
  </si>
  <si>
    <t>KOBEN MAHA</t>
  </si>
  <si>
    <t>INDOMARET (ADITYA)</t>
  </si>
  <si>
    <t>BATRE JEEP</t>
  </si>
  <si>
    <t>GOBOX PINTU</t>
  </si>
  <si>
    <t>SERVICE DK 3 MAX</t>
  </si>
  <si>
    <t>ONGKOS TEMBEL ATAP</t>
  </si>
  <si>
    <t>BENSIN BOXTER</t>
  </si>
  <si>
    <t>BENSIN ARIK</t>
  </si>
  <si>
    <t>ISI ANGIN BOXTER</t>
  </si>
  <si>
    <t>ONGKIR SURABAYA-BALI</t>
  </si>
  <si>
    <t xml:space="preserve">PARKIR </t>
  </si>
  <si>
    <t>SOFT PAO CUST BOXTER</t>
  </si>
  <si>
    <t>TAS SOFT PAO</t>
  </si>
  <si>
    <t>FEE GEDE MIZUHO</t>
  </si>
  <si>
    <t>AMPLOP</t>
  </si>
  <si>
    <t xml:space="preserve">GANTUNGAN </t>
  </si>
  <si>
    <t>JOSS SUSU 8</t>
  </si>
  <si>
    <t>WARUNG GURIH-GURIH</t>
  </si>
  <si>
    <t>GOJEK BAWA KUNCI KE TOHPATI</t>
  </si>
  <si>
    <t>TEH POCI GAYA STEAM</t>
  </si>
  <si>
    <t>TEH POCI CAR</t>
  </si>
  <si>
    <t>SARI BANTEN</t>
  </si>
  <si>
    <t>THE POCI</t>
  </si>
  <si>
    <t>INDOMARET KEIRA</t>
  </si>
  <si>
    <t xml:space="preserve"> FEE GEDE MITZUHO</t>
  </si>
  <si>
    <t>PASANG BAN X3</t>
  </si>
  <si>
    <t>BENSIN NMAX (ILHAM)</t>
  </si>
  <si>
    <t>ONGKIR BPKB</t>
  </si>
  <si>
    <t>DP CEK MAZDA</t>
  </si>
  <si>
    <t>TEKNISI AC KAMAR AGUNG</t>
  </si>
  <si>
    <t>ARAK BEREM TABUH</t>
  </si>
  <si>
    <t>BELI JACK STAND</t>
  </si>
  <si>
    <t>GOJEK BU COK</t>
  </si>
  <si>
    <t>KOPI IBUKOTA</t>
  </si>
  <si>
    <t>PARKIR ADI</t>
  </si>
  <si>
    <t>BENSIN ACCCORD</t>
  </si>
  <si>
    <t>FEE TOWING PALISADE</t>
  </si>
  <si>
    <t>MAHA AMBIL</t>
  </si>
  <si>
    <t>CEK MACAN</t>
  </si>
  <si>
    <t>BENSIN RUBICON</t>
  </si>
  <si>
    <t>PARKIR PORSCHE</t>
  </si>
  <si>
    <t>PARKIR MITRA 10</t>
  </si>
  <si>
    <t>ROKOK PAK MAN SUMANADA</t>
  </si>
  <si>
    <t>INDOMARET MAHA</t>
  </si>
  <si>
    <t>AS TOSERBA</t>
  </si>
  <si>
    <t>PARKIR ALFAMART</t>
  </si>
  <si>
    <t>KONSUMSI WAYAN (TOH PATI)</t>
  </si>
  <si>
    <t>GOSEND GLB</t>
  </si>
  <si>
    <t>GOJEK PANCA AMBIL BMW 329I</t>
  </si>
  <si>
    <t>E-TOL PP 3X AMBIL BMW 329I</t>
  </si>
  <si>
    <t>FEE TOWING LC</t>
  </si>
  <si>
    <t>FEE TOWING FERRARI</t>
  </si>
  <si>
    <t>JUS ALPUKAT</t>
  </si>
  <si>
    <t xml:space="preserve">SALAK </t>
  </si>
  <si>
    <t>CUCI MOBIL B2429UIS</t>
  </si>
  <si>
    <t>BENSIN LAND CRUISER</t>
  </si>
  <si>
    <t>BENSIN WAH ASTA</t>
  </si>
  <si>
    <t>BENSIN GLA</t>
  </si>
  <si>
    <t>BENSIN C200</t>
  </si>
  <si>
    <t>KASBON PAK BAGUS</t>
  </si>
  <si>
    <t>BENSIN SATRIO</t>
  </si>
  <si>
    <t>FOTOKOPI STNK KO TITI</t>
  </si>
  <si>
    <t>SERVICE PLAT GLE</t>
  </si>
  <si>
    <t xml:space="preserve">PATTY CASH </t>
  </si>
  <si>
    <t>ONGKIR VELG GLE</t>
  </si>
  <si>
    <t>PLEDGE</t>
  </si>
  <si>
    <t>LEPAS STIKER RAIZE</t>
  </si>
  <si>
    <t>BENSIN BMW 320 I</t>
  </si>
  <si>
    <t>GOJEK BUDI CEK KELUHAN BMW KE ALDO</t>
  </si>
  <si>
    <t>CEK CAYMAN</t>
  </si>
  <si>
    <t>KASBON ARIK</t>
  </si>
  <si>
    <t>GOJEK PAK BAGUS</t>
  </si>
  <si>
    <t>TOKO INDAH</t>
  </si>
  <si>
    <t>PASANG BAN GLE</t>
  </si>
  <si>
    <t>REPARASI PELEK MINI ZESTY YELLOW</t>
  </si>
  <si>
    <t>SERVICE PLAT HR-V</t>
  </si>
  <si>
    <t>LEPAS BAN MINI ZESTY YELLOW</t>
  </si>
  <si>
    <t>GOCAR BUDI</t>
  </si>
  <si>
    <t>NASI BUK COK</t>
  </si>
  <si>
    <t>BENSIN WAYAN</t>
  </si>
  <si>
    <t>THE POCI TEKNISI AC BARITO</t>
  </si>
  <si>
    <t>CV SUMBER HIDUP JAYA</t>
  </si>
  <si>
    <t>JET SHOWER</t>
  </si>
  <si>
    <t>BENSIN WULING ALMAZ</t>
  </si>
  <si>
    <t>DP COVER AMPLOP</t>
  </si>
  <si>
    <t>CV. GARUDA WISNU</t>
  </si>
  <si>
    <t>ROTI BANTEN DAN ROKOK BANTEN</t>
  </si>
  <si>
    <t>NASI BU COK</t>
  </si>
  <si>
    <t>INDOMARET</t>
  </si>
  <si>
    <t>KEIRA</t>
  </si>
  <si>
    <t>BENSIN MINI CLUBMAN</t>
  </si>
  <si>
    <t>NASI GOORENG (CUST PAK BAGUS)</t>
  </si>
  <si>
    <t>AMBIL AGUNG</t>
  </si>
  <si>
    <t>GOJEK KIRIM BETUTU KE BU LIA</t>
  </si>
  <si>
    <t>FEE TOWING PORSCHE CAYMAN MERAH</t>
  </si>
  <si>
    <t xml:space="preserve">BBM JEEP DIESEL </t>
  </si>
  <si>
    <t>SEKAR AYU</t>
  </si>
  <si>
    <t>DOUBLE TIP</t>
  </si>
  <si>
    <t>PEJATI</t>
  </si>
  <si>
    <t>ONGKIR ER DETAILING</t>
  </si>
  <si>
    <t>PARKIR PORSCHE MACAN MIAMI</t>
  </si>
  <si>
    <t>MATERAI</t>
  </si>
  <si>
    <t>COWL PART ALPHARD</t>
  </si>
  <si>
    <t>GOJEK BUDI  ambil jeep diesel DK 1380 LV ke Aldo</t>
  </si>
  <si>
    <t>E-TOL PP MINI CLUBMAN</t>
  </si>
  <si>
    <t>BIAYA ADMIN E-TOL</t>
  </si>
  <si>
    <t>BENSIN MACAN MIAMI</t>
  </si>
  <si>
    <t>PELUNASAN AMPLOP BPKB</t>
  </si>
  <si>
    <t>NASI MBAK KUM</t>
  </si>
  <si>
    <t>PARKIR MBAK KUM</t>
  </si>
  <si>
    <t>PARKIR EKA PRINT</t>
  </si>
  <si>
    <t>PARKIR JAGADNATHA &amp; ES THE</t>
  </si>
  <si>
    <t>KASBON RANDI</t>
  </si>
  <si>
    <t>KENTANG GORENG</t>
  </si>
  <si>
    <t>GANTI BAN BELAKANG NMAX</t>
  </si>
  <si>
    <t>ONGKIR VELG MINI ZESTY YELLOW</t>
  </si>
  <si>
    <t>FEE TOWING</t>
  </si>
  <si>
    <t>ES CUBE</t>
  </si>
  <si>
    <t>LEMO SWEET POTATO</t>
  </si>
  <si>
    <t>UANG MAKAN ARYO</t>
  </si>
  <si>
    <t xml:space="preserve">BENSIN BMW X3 </t>
  </si>
  <si>
    <t xml:space="preserve">GOJEK BUDI </t>
  </si>
  <si>
    <t>SODAN</t>
  </si>
  <si>
    <t>SANGGAH ROYAL</t>
  </si>
  <si>
    <t>TOKO MANIK GALIH</t>
  </si>
  <si>
    <t>ONGKIR BUCKET BU MANG</t>
  </si>
  <si>
    <t>TUBLES ANGIN BAN MINI ICE BLUE</t>
  </si>
  <si>
    <t>ONGKIR MESIN KARCHER</t>
  </si>
  <si>
    <t>CUCI MOBIL</t>
  </si>
  <si>
    <t>SERVICE L 1706 AAA</t>
  </si>
  <si>
    <t>ISI ANGIN MINI ICE BLUE</t>
  </si>
  <si>
    <t>GOJEK BUDI Lepas PPF mini ice blue ke UPPF</t>
  </si>
  <si>
    <t>UD. PUTRI JAYA</t>
  </si>
  <si>
    <t>ONGKIR AC</t>
  </si>
  <si>
    <t>ONGKIR BERKAS SERAH TERIMA FRISTEL</t>
  </si>
  <si>
    <t>BENSIN GLE</t>
  </si>
  <si>
    <t>GOJEK AGUNG</t>
  </si>
  <si>
    <t>WINGS</t>
  </si>
  <si>
    <t>BENSIN XENIA (KE KARANGASEM)</t>
  </si>
  <si>
    <t>PAKU</t>
  </si>
  <si>
    <t>NASI KUWIR PAK YOGA</t>
  </si>
  <si>
    <t>KOPI + GULA</t>
  </si>
  <si>
    <t>ISI ANGIN JEEP JL</t>
  </si>
  <si>
    <t>BATRE REMOT MAHA</t>
  </si>
  <si>
    <t>PEJATI TOH PATI</t>
  </si>
  <si>
    <t>BU COK PINJAM</t>
  </si>
  <si>
    <t>BENSIN GLA 200</t>
  </si>
  <si>
    <t>GOJEK NATALI</t>
  </si>
  <si>
    <t xml:space="preserve">BENSIN XENIA </t>
  </si>
  <si>
    <t>SUNLIGHT</t>
  </si>
  <si>
    <t>KOPI DETAILING</t>
  </si>
  <si>
    <t>CV. SUMBER JAYA</t>
  </si>
  <si>
    <t>PARKIR SUMBER JAYA</t>
  </si>
  <si>
    <t>COBEK DAN KESET</t>
  </si>
  <si>
    <t>FEE PLN</t>
  </si>
  <si>
    <t>PANCA AMBIL</t>
  </si>
  <si>
    <t>CV.BASKARA WARNA INDAH</t>
  </si>
  <si>
    <t>DEPUR AMBIL (voucher)</t>
  </si>
  <si>
    <t>PLASTER KERTAS</t>
  </si>
  <si>
    <t xml:space="preserve">LEKESAN </t>
  </si>
  <si>
    <t>grendel</t>
  </si>
  <si>
    <t>service plat</t>
  </si>
  <si>
    <t>BENSIN ALMAZ</t>
  </si>
  <si>
    <t>MATA BOR</t>
  </si>
  <si>
    <t>NASI TEKNISI P IRFAN</t>
  </si>
  <si>
    <t>GOJEK BUDI  Dari Aldo, Service Porsche Macan 2017 (W 1349 ZQ)</t>
  </si>
  <si>
    <t>GOJEK BUDI dari Astra BMW, cek keluhan mini zesty yellow (DK 1962 ACH)</t>
  </si>
  <si>
    <t>GOJEK BUDI Ambil Mini zesty yellow (DK 1962 ACH)</t>
  </si>
  <si>
    <t>PIRING PLASTIK</t>
  </si>
  <si>
    <t>MAHA BELI SUSU</t>
  </si>
  <si>
    <t>COVER BODY</t>
  </si>
  <si>
    <t>FEE TUKANG SAMPAH</t>
  </si>
  <si>
    <t>NASI MAHA</t>
  </si>
  <si>
    <t>PEJATI &amp; SEGEHAN</t>
  </si>
  <si>
    <t>ES TUBE KECIL</t>
  </si>
  <si>
    <t>TEMPAT SABUN CUCI TANGAN</t>
  </si>
  <si>
    <t>TUSUK SATE</t>
  </si>
  <si>
    <t>FEE PECALANG</t>
  </si>
  <si>
    <t>ASBAK</t>
  </si>
  <si>
    <t>BUNGA ANGGREK</t>
  </si>
  <si>
    <t>NASI BOX</t>
  </si>
  <si>
    <t>NASI PAK YOGA</t>
  </si>
  <si>
    <t>NASI PAK HERLAMBANG</t>
  </si>
  <si>
    <t>ONGKIR VELG</t>
  </si>
  <si>
    <t>SEWA PICKUP PART GLADIATOR</t>
  </si>
  <si>
    <t>NASI SOUNDMAN</t>
  </si>
  <si>
    <t>GOJEK BU COK MAKANAN</t>
  </si>
  <si>
    <t>CV. PUTRA PRIMA</t>
  </si>
  <si>
    <t>TALI RAPIA</t>
  </si>
  <si>
    <t>STELLA</t>
  </si>
  <si>
    <t>FEE POLISI &amp; TENTARA</t>
  </si>
  <si>
    <t>PLUIT</t>
  </si>
  <si>
    <t>SOTO SSB</t>
  </si>
  <si>
    <t>GOJEK ANTAR BUNGA KE KAK KELLY</t>
  </si>
  <si>
    <t>PIZZA HUT</t>
  </si>
  <si>
    <t>BUNGA ANGGREK UNTUK KAK AYAX CUST COK ALIT</t>
  </si>
  <si>
    <t>ONGKIR ANTAR BUNGA KE KAK AYAX</t>
  </si>
  <si>
    <t>FEE SOUNDSISTEM</t>
  </si>
  <si>
    <t>FEE WAITREES DETAILING</t>
  </si>
  <si>
    <t>KOPI DAN GULA CAR</t>
  </si>
  <si>
    <t>FEE TOWING BMW X1</t>
  </si>
  <si>
    <t xml:space="preserve">BENSIN BMW X1 </t>
  </si>
  <si>
    <t>THE HARVEST</t>
  </si>
  <si>
    <t>MADU OWNER</t>
  </si>
  <si>
    <t>FEE MINI CABRIO BIRU</t>
  </si>
  <si>
    <t>BENSIN RUBCON</t>
  </si>
  <si>
    <t>GOJEK BUDI Dari Dunia Mobil, cek keluhan steer jeep diesel (DK 1380 LV)</t>
  </si>
  <si>
    <t>GOJEK BUDI Pasang part accord 2015 (DK 333 GH) ke Aldo</t>
  </si>
  <si>
    <t>REMBES BLI COK</t>
  </si>
  <si>
    <t>HEALTHY CENDOL</t>
  </si>
  <si>
    <t>FEE TUKANG SAMPAH BARAT</t>
  </si>
  <si>
    <t>agung ambil bensin xenia</t>
  </si>
  <si>
    <t>TOL TOWING</t>
  </si>
  <si>
    <t>rek</t>
  </si>
  <si>
    <t>TISSUE NICE</t>
  </si>
  <si>
    <t>PARKIR MOBIL</t>
  </si>
  <si>
    <t>VETERAN</t>
  </si>
  <si>
    <t>BAUT</t>
  </si>
  <si>
    <t>E-TOL AMBIL XPANDER</t>
  </si>
  <si>
    <t>GOJEK BUDI Ambil Jeep Diesel (DK 1380 LV) ke Dunia mobil</t>
  </si>
  <si>
    <t>GOJEK BUDI Dari Rony, cat GLA 2015 (B 577 WK)</t>
  </si>
  <si>
    <t>Pasang velg GLA 2015 (B 577 WK)</t>
  </si>
  <si>
    <t>GOJEK BUDI Dari aldo service BMW X1 (B 1778 U)</t>
  </si>
  <si>
    <t>GOJEK BUDI Ambil Accord di Aldo (DK 333 GH)</t>
  </si>
  <si>
    <t>WIPRO ISI ANGIN</t>
  </si>
  <si>
    <t>GOJEK BUDI Ambil BMW X1 (B 1778 U) ke Aldo</t>
  </si>
  <si>
    <t>GOJEK BUDI Dari UPPF Mahendradata, lepas PPF BMW X1 (B 1778 U)</t>
  </si>
  <si>
    <t>KASBON WAYAN</t>
  </si>
  <si>
    <t>PELUNASAN DEKORASI DETAILING</t>
  </si>
  <si>
    <t>ROTI, ROKOK BANTEN, LEKESAN</t>
  </si>
  <si>
    <t>KOPI BANTEN</t>
  </si>
  <si>
    <t>BENSIN BOXTER B 1690 WBI</t>
  </si>
  <si>
    <t>SERVICE PLAT (DK1380LV, L1623BAO, DK1244)</t>
  </si>
  <si>
    <t>BENSIN PORSCHE MACAN W1348ZQ</t>
  </si>
  <si>
    <t>JASA PELEPASAN KACA FILM</t>
  </si>
  <si>
    <t>SERVICE PLAT B2516</t>
  </si>
  <si>
    <t>DP NOTA DETAILING</t>
  </si>
  <si>
    <t>ADMIN PELUNASAN DIOR</t>
  </si>
  <si>
    <t>CV GARUDA</t>
  </si>
  <si>
    <t>BENSIN E250</t>
  </si>
  <si>
    <t>KASBON SATRIA</t>
  </si>
  <si>
    <t xml:space="preserve">BATERAI MACAN PUTIH </t>
  </si>
  <si>
    <t>LEPAS KABEL WRV</t>
  </si>
  <si>
    <t>RTGS CAIRAN CHECK</t>
  </si>
  <si>
    <t>BENSIN YAN LANUS</t>
  </si>
  <si>
    <t>TUBLES ANGIN BAN PORSCHE CAYMAN</t>
  </si>
  <si>
    <t>BUAH BU COK</t>
  </si>
  <si>
    <t>BENSIN WAYAN LANUS</t>
  </si>
  <si>
    <t xml:space="preserve">ARIK KASBON </t>
  </si>
  <si>
    <t>BENSIIN ALMAS</t>
  </si>
  <si>
    <t>TUBLES BAN MINI 5 DOOR ORANGE</t>
  </si>
  <si>
    <t>TABLET ADVANCE</t>
  </si>
  <si>
    <t>PAK MAN SUMANADA AMBIL</t>
  </si>
  <si>
    <t>TUBLES HR-V</t>
  </si>
  <si>
    <t>BATRE KUNCI</t>
  </si>
  <si>
    <t>PARKIR KANTOR POST</t>
  </si>
  <si>
    <t>PARKIR LIVING</t>
  </si>
  <si>
    <t>DUPA + ROTI BANTEN</t>
  </si>
  <si>
    <t xml:space="preserve">GULAKU </t>
  </si>
  <si>
    <t xml:space="preserve">TEDUNG </t>
  </si>
  <si>
    <t>TUKANG KUNCI</t>
  </si>
  <si>
    <t xml:space="preserve">  </t>
  </si>
  <si>
    <t>NASI (2 CONTENT CREATOR)</t>
  </si>
  <si>
    <t>TEDUNG POLENG</t>
  </si>
  <si>
    <t>PEJATI BU COK</t>
  </si>
  <si>
    <t>BOLU JADUL BALI UNTUK BUK MANG</t>
  </si>
  <si>
    <t>BENSIN NAMX</t>
  </si>
  <si>
    <t>HOLLAND BAKKERY</t>
  </si>
  <si>
    <t>ilham ambil</t>
  </si>
  <si>
    <t>BOLU JADUL BALI</t>
  </si>
  <si>
    <t>MOBIL REMOTE</t>
  </si>
  <si>
    <t>GOSEND KE KM ASTAWA</t>
  </si>
  <si>
    <t>BENSIN XENIA TGL 26/02/2024 KE TOHPATI</t>
  </si>
  <si>
    <t>TUKANG SAMPAH TIMUR</t>
  </si>
  <si>
    <t>PELUNASAN NOTA CHECKLIST DETAILING</t>
  </si>
  <si>
    <t>PINDAHAN</t>
  </si>
  <si>
    <t>ICE TUBE</t>
  </si>
  <si>
    <t>BENSIN FERRARI</t>
  </si>
  <si>
    <t>BENSIN HR-V</t>
  </si>
  <si>
    <t>BENSIN MINI S</t>
  </si>
  <si>
    <t>CONATO</t>
  </si>
  <si>
    <t>BENSIN BOXTER L … CAE</t>
  </si>
  <si>
    <t xml:space="preserve">                                                                          </t>
  </si>
  <si>
    <t>ARAK TABUH</t>
  </si>
  <si>
    <t>STT SASIH</t>
  </si>
  <si>
    <t>EKA PRINT</t>
  </si>
  <si>
    <t>BENSIN NMAX (030324)</t>
  </si>
  <si>
    <t>SERVICE NMAX</t>
  </si>
  <si>
    <t>PLAT CELEBRITY</t>
  </si>
  <si>
    <t>DESA ADAT SASIH</t>
  </si>
  <si>
    <t>ONGKIR HAMPERS</t>
  </si>
  <si>
    <t>SARUNG MOBIL</t>
  </si>
  <si>
    <t>ONGKRI SARUNG MOBIL</t>
  </si>
  <si>
    <t>KARTU HALO</t>
  </si>
  <si>
    <t>BENSIN DEPUR</t>
  </si>
  <si>
    <t>BENSIN WULING</t>
  </si>
  <si>
    <t>BUNGA BUCKET</t>
  </si>
  <si>
    <t>ONGKIR YARIS</t>
  </si>
  <si>
    <t>BAN TUBLES YARIS &amp; XENIA</t>
  </si>
  <si>
    <t>BENSIN KIRIM HAMPERS</t>
  </si>
  <si>
    <t>SANGGAH CUCUK</t>
  </si>
  <si>
    <t>BETUTU BU COK</t>
  </si>
  <si>
    <t>BENSIN MINI</t>
  </si>
  <si>
    <t>BUNGA CEMPAKA, SANDAT, TUNJUNG, DUPA</t>
  </si>
  <si>
    <t>BENSIN XENIA TGL 09/03/2024</t>
  </si>
  <si>
    <t>BENSIN XENIA TGL 08/03/2024</t>
  </si>
  <si>
    <t>BENSIN JEEP DIESEL</t>
  </si>
  <si>
    <t>AUTOSOL</t>
  </si>
  <si>
    <t>IURAN SAMPAR CAR</t>
  </si>
  <si>
    <t>SATE BABI</t>
  </si>
  <si>
    <t>PAKET HP KANTOR</t>
  </si>
  <si>
    <t xml:space="preserve">FEE TOWING </t>
  </si>
  <si>
    <t>FUSE BOX JEEP</t>
  </si>
  <si>
    <t>ONGKIR ALAT POLES</t>
  </si>
  <si>
    <t>KONSUMSI AMBIL HARLEY</t>
  </si>
  <si>
    <t>ONGKIR STNK NATALI</t>
  </si>
  <si>
    <t>BIAYA TUKANG BARITO</t>
  </si>
  <si>
    <t>BENSIN BMW X5</t>
  </si>
  <si>
    <t>PISANG CAVENDIS</t>
  </si>
  <si>
    <t>KONSUMSI KONTEN</t>
  </si>
  <si>
    <t>BUKET BUNGA CUST COK ALIT</t>
  </si>
  <si>
    <t>BENSIN MINI 5 DOOR</t>
  </si>
  <si>
    <t>SERVICE PLAT B 2754 UIS</t>
  </si>
  <si>
    <t>WD</t>
  </si>
  <si>
    <t>GOJEK BUDI DARI ALDO</t>
  </si>
  <si>
    <t>GOJEK KIRIM STNK KUNCI SEREP KE MIZUHO</t>
  </si>
  <si>
    <t>BENSIN BRIO</t>
  </si>
  <si>
    <t>CEK ABSAH</t>
  </si>
  <si>
    <t>LEMO BEACH CAFÉ</t>
  </si>
  <si>
    <t>ISI ANGIN DK 1 HW</t>
  </si>
  <si>
    <t>GOJEK BUDI Dari Aldo, service lexus nx 200t (DK 1090 PM)</t>
  </si>
  <si>
    <t>E-TOL KONTEN BMW X5</t>
  </si>
  <si>
    <t>TISU LIVI KOPI</t>
  </si>
  <si>
    <t>BENSIN FERRARI KUNING</t>
  </si>
  <si>
    <t xml:space="preserve">ISI ANGIN MERCY C 200 </t>
  </si>
  <si>
    <t>BENSIN MERCY C 200</t>
  </si>
  <si>
    <t>UNITED CLEANING BALI</t>
  </si>
  <si>
    <t>PASANG  BAN YARIS CROSS</t>
  </si>
  <si>
    <t>BENSIN C300</t>
  </si>
  <si>
    <t>MULTIFOLD LIVI</t>
  </si>
  <si>
    <t>CV. SUMBER HIDUP JAYA</t>
  </si>
  <si>
    <t>COOLER BASE</t>
  </si>
  <si>
    <t>KOPI BEAN</t>
  </si>
  <si>
    <t>KOPI HITAM</t>
  </si>
  <si>
    <t xml:space="preserve">ONGKIR BPKB &amp; STNK BOXTER WBI </t>
  </si>
  <si>
    <t>DOV VELG MERCY</t>
  </si>
  <si>
    <t>REFUND PAK OKA</t>
  </si>
  <si>
    <t>afifah ambil</t>
  </si>
  <si>
    <t>TOWING MINI</t>
  </si>
  <si>
    <t>CEK ABSAH BMW X5</t>
  </si>
  <si>
    <t>LEMINERAL UNTUK TIRTA</t>
  </si>
  <si>
    <t>AGUNG AMBIL UNTUK BENSIN WULING</t>
  </si>
  <si>
    <t>HOLAND BAKERY</t>
  </si>
  <si>
    <t>FRESHMILK</t>
  </si>
  <si>
    <t>KRESEK JUMBO</t>
  </si>
  <si>
    <t>BENSIN MAZDA CX-5</t>
  </si>
  <si>
    <t>BENSIN GLADIATOR TGL 24 MARET</t>
  </si>
  <si>
    <t>FEE TOWING MINI PUTIH</t>
  </si>
  <si>
    <t>natali ambil untuk rembes</t>
  </si>
  <si>
    <t>BENSIN SATRIA</t>
  </si>
  <si>
    <t>KOPI &amp; GULA CAR</t>
  </si>
  <si>
    <t>ALFAMART</t>
  </si>
  <si>
    <t>BUKET PAK BAGUS</t>
  </si>
  <si>
    <t>PERBAIKAN PIPA INSTAL DAPUR CAR</t>
  </si>
  <si>
    <t>WINE CUST PAK BAGUS</t>
  </si>
  <si>
    <t>BUKET CUST COK ALIT</t>
  </si>
  <si>
    <t>BUKET CUST NATALI</t>
  </si>
  <si>
    <t>MATERAI PELUNASAN 2PCS KKB BCA</t>
  </si>
  <si>
    <t xml:space="preserve">KASUR </t>
  </si>
  <si>
    <t>LEMARI</t>
  </si>
  <si>
    <t>JAS HUJAN</t>
  </si>
  <si>
    <t>ONGKIR SARUNG MOBIL</t>
  </si>
  <si>
    <t>DP SPK NOTA</t>
  </si>
  <si>
    <t>KOMANG TRI KASBON</t>
  </si>
  <si>
    <t>ROTI</t>
  </si>
  <si>
    <t>BUNGA VAS INFLOWER</t>
  </si>
  <si>
    <t>FEE TOWING MERCY GLE</t>
  </si>
  <si>
    <t>ILHAM AMBIL UNTUK BENSIN XENIA</t>
  </si>
  <si>
    <t>BUBUR AGUNG</t>
  </si>
  <si>
    <t>BATRE CAYMAN</t>
  </si>
  <si>
    <t>GOJEK BUDI Cat VRZ tuaji ke Rony</t>
  </si>
  <si>
    <t>GOJEK BUDI Ambil BMW X5 ke Rony</t>
  </si>
  <si>
    <t>GOJEK BUDI Cek bunyi kaki-kaki Lexus NX200t ke Dunia Mobil</t>
  </si>
  <si>
    <t>BENSIN MINI 2016 PUTIH</t>
  </si>
  <si>
    <t xml:space="preserve">BENSIN BOXTER </t>
  </si>
  <si>
    <t>ISI ANGIN PORCSHE BOXTER</t>
  </si>
  <si>
    <t>DP CEK LAND CRUISER</t>
  </si>
  <si>
    <t>KIRIM PART MINI</t>
  </si>
  <si>
    <t>KIRIM CEK FISIK FERRARI</t>
  </si>
  <si>
    <t>BIAYA TF RTGS PELUNASAN MUSTANG</t>
  </si>
  <si>
    <t>BENSIN MOTOR PANCA</t>
  </si>
  <si>
    <t>COVER MOBIL</t>
  </si>
  <si>
    <t>DEPUR BENSIN XENIA</t>
  </si>
  <si>
    <t>BENSIN OPRASIONAL</t>
  </si>
  <si>
    <t>BENSIN MERCY E250</t>
  </si>
  <si>
    <t>AGUNG AMBIL</t>
  </si>
  <si>
    <t>STAMPLE</t>
  </si>
  <si>
    <t>SAMPAH BARAT</t>
  </si>
  <si>
    <t>SAMPAH TIMUR</t>
  </si>
  <si>
    <t>KIPAS ANGIN CONTENT</t>
  </si>
  <si>
    <t>ss</t>
  </si>
  <si>
    <t>GOSEND</t>
  </si>
  <si>
    <t>ONGKIR</t>
  </si>
  <si>
    <t>PELUNASAN NOTA</t>
  </si>
  <si>
    <t>BENSIN XENIA CU</t>
  </si>
  <si>
    <t xml:space="preserve">                                                                     </t>
  </si>
  <si>
    <t xml:space="preserve">SELANG ANGIN </t>
  </si>
  <si>
    <t>BENSIN FORTUNER</t>
  </si>
  <si>
    <t>BENSIN MERCY CABRIO</t>
  </si>
  <si>
    <t>BENSIN JEEP GLADIATOR</t>
  </si>
  <si>
    <t>ONGKIR BU COK</t>
  </si>
  <si>
    <t>LIST KERAMIK</t>
  </si>
  <si>
    <t>ONGKIR HAMPERS PONPES</t>
  </si>
  <si>
    <t>PECI</t>
  </si>
  <si>
    <t>SATRIA AMBIL UNTUK BENSINXENIA</t>
  </si>
  <si>
    <t>CV GARUDA WISNU</t>
  </si>
  <si>
    <t>BENSIN FT 86</t>
  </si>
  <si>
    <t>SERVICE GLE 450</t>
  </si>
  <si>
    <t>lampu</t>
  </si>
  <si>
    <t>AYU NADI</t>
  </si>
  <si>
    <t>BEER BINTANG</t>
  </si>
  <si>
    <t>SENDOK PLASTIK</t>
  </si>
  <si>
    <t>AQUA BOTOL</t>
  </si>
  <si>
    <t>ONGKIR GOJEK JUICE</t>
  </si>
  <si>
    <t>UANG NASI KEIRA</t>
  </si>
  <si>
    <t>PARKIR LIVING WORLD</t>
  </si>
  <si>
    <t>METERAI</t>
  </si>
  <si>
    <t xml:space="preserve">                                           </t>
  </si>
  <si>
    <t>MINUMAN BERSIH BARITO</t>
  </si>
  <si>
    <t>BENSIN XENIA KIRIM HAMPERS</t>
  </si>
  <si>
    <t>KOPI BUBUK</t>
  </si>
  <si>
    <t>BENSIN PAJERO</t>
  </si>
  <si>
    <t>PULSA HP KANTOR</t>
  </si>
  <si>
    <t>FEE TOWING MAZDA CX-60</t>
  </si>
  <si>
    <t>AYAM BAKAR MAHA</t>
  </si>
  <si>
    <t>DAKSINA HIAS</t>
  </si>
  <si>
    <t>BENSIN NGURAH</t>
  </si>
  <si>
    <t>CANANG + LEKESAN DETAILING</t>
  </si>
  <si>
    <t>ROKOK BANTEN</t>
  </si>
  <si>
    <t>DS COLLECTION</t>
  </si>
  <si>
    <t>LAMPU PHILIP</t>
  </si>
  <si>
    <t>ALARM KUNCI XENIA CU</t>
  </si>
  <si>
    <t>GOJEK BUDI Dari Aldo, cek mini putih cabrio 2016</t>
  </si>
  <si>
    <t>SHOCK PIPA</t>
  </si>
  <si>
    <t xml:space="preserve">KASBON PAK BAGUS </t>
  </si>
  <si>
    <t>KOPI BUBUK + GULA</t>
  </si>
  <si>
    <t>KASBON P.BAGUS</t>
  </si>
  <si>
    <t>KASBON RESTU</t>
  </si>
  <si>
    <t>BENSIN FORTUNER BU OCA</t>
  </si>
  <si>
    <t>KEIRA AMBIL</t>
  </si>
  <si>
    <t>ONGKIR BPKB &amp; STNK</t>
  </si>
  <si>
    <t>MINUMAN BERSIH BARITO (SATRIA)</t>
  </si>
  <si>
    <t>RAJAWALI LISTRIK</t>
  </si>
  <si>
    <t>KACANG KAPRI BU YAN</t>
  </si>
  <si>
    <t>PAK MANG SUMANADA</t>
  </si>
  <si>
    <t>ARIK AMBIL</t>
  </si>
  <si>
    <t>KASBON NATALI</t>
  </si>
  <si>
    <t>KOPI</t>
  </si>
  <si>
    <t>BENSIN HYUNDAI</t>
  </si>
  <si>
    <t>FEE NATALI DETAILING BR-V</t>
  </si>
  <si>
    <t>FEE POLESH FORTUNER BU OCHA</t>
  </si>
  <si>
    <t>ROTI BANTEN</t>
  </si>
  <si>
    <t>BENSIN MINI COOPER ORANGE</t>
  </si>
  <si>
    <t>BENSIN FORTUNER 2019</t>
  </si>
  <si>
    <t>BENSIN CAYMEN</t>
  </si>
  <si>
    <t>AFIFAH</t>
  </si>
  <si>
    <t>MAXIM DEPUR</t>
  </si>
  <si>
    <t>KAMPIL</t>
  </si>
  <si>
    <t>NASI MERTANADI 2</t>
  </si>
  <si>
    <t>GOJEK BUDI Dari Auto 2000 Cokro, cek head unit lexus nx200t 2015</t>
  </si>
  <si>
    <t>GOBOX Angkut plafon bmw X3 (DK 1205 DR) ke Demaster auto interior</t>
  </si>
  <si>
    <t>ROTI PUMPKIN</t>
  </si>
  <si>
    <t>BETUTU OWNER</t>
  </si>
  <si>
    <t>BENSIN NMAX STRYA BAWA</t>
  </si>
  <si>
    <t>AQUA BOTOL KACA</t>
  </si>
  <si>
    <t>PARKIR AIRPORT</t>
  </si>
  <si>
    <t>FORTUNER</t>
  </si>
  <si>
    <t>BENSIN X3</t>
  </si>
  <si>
    <t>KOPI UNTUK P. ASTAWA</t>
  </si>
  <si>
    <t>BENSIN PALISADE</t>
  </si>
  <si>
    <t>BENSIN TEDI</t>
  </si>
  <si>
    <t>TOP UP FLASH E-TOL</t>
  </si>
  <si>
    <t>KASBON COK ALIT</t>
  </si>
  <si>
    <t>ONGKIR BPKB TIKI</t>
  </si>
  <si>
    <t>OLI KOMPRESOR</t>
  </si>
  <si>
    <t>BENSIN VRZ</t>
  </si>
  <si>
    <t>BENSIN CRV</t>
  </si>
  <si>
    <t>AYU BANTEN</t>
  </si>
  <si>
    <t>SERVICE PLAT VRZ</t>
  </si>
  <si>
    <t>BENSIN MAZDA CX60</t>
  </si>
  <si>
    <t>BAWA PART GLADIATOR</t>
  </si>
  <si>
    <t>LAWAR KUIR OWNER</t>
  </si>
  <si>
    <t>DUPA AYU</t>
  </si>
  <si>
    <t>PINJAM DI KOPI</t>
  </si>
  <si>
    <t>FEE TOWING MAZDA CX-5</t>
  </si>
  <si>
    <t>BENSIN XENIA 2012</t>
  </si>
  <si>
    <t>LAKBAN</t>
  </si>
  <si>
    <t>BONGKAR BAN</t>
  </si>
  <si>
    <t>BENSIN CX-5</t>
  </si>
  <si>
    <t>FEE SAMPAH BARAT</t>
  </si>
  <si>
    <t>FEE SAMPAH TIMUR</t>
  </si>
  <si>
    <t>UANG SAMPAH</t>
  </si>
  <si>
    <t>BENSIN LEXUS</t>
  </si>
  <si>
    <t>GAJI NGURAH HASTA</t>
  </si>
  <si>
    <t>SAMPAH BARITO APRIL</t>
  </si>
  <si>
    <t>SAMPAH BARITO MEI</t>
  </si>
  <si>
    <t>PARKIR SANUR</t>
  </si>
  <si>
    <t>SERVICE RUBICON JL &amp; MINI ELEKTRIK</t>
  </si>
  <si>
    <t>E-TOL satrio</t>
  </si>
  <si>
    <t>BENSIN X5</t>
  </si>
  <si>
    <t>FEE AMBIL BPKB CAYMAN</t>
  </si>
  <si>
    <t>BIAYA ADMIN</t>
  </si>
  <si>
    <t>KASBON YAN LANUS</t>
  </si>
  <si>
    <t>PASANG LISTRIK BARITO + MERAPIKAN KABEL FO TIMUR</t>
  </si>
  <si>
    <t>LAMPU FLASH</t>
  </si>
  <si>
    <t>SPIDOL HITAM, MERAH</t>
  </si>
  <si>
    <t>CAT PILOX</t>
  </si>
  <si>
    <t>STOP KONTAK</t>
  </si>
  <si>
    <t>KABEL HDMI</t>
  </si>
  <si>
    <t>PARKIR BENDEGA</t>
  </si>
  <si>
    <t>BENSIN YARIS CROSS</t>
  </si>
  <si>
    <t>BOLA TENIS</t>
  </si>
  <si>
    <t>CANANG DETAILING</t>
  </si>
  <si>
    <t>MAKAN MAHA</t>
  </si>
  <si>
    <t>ARAK + BREM</t>
  </si>
  <si>
    <t>DIPINJAM DETAILING</t>
  </si>
  <si>
    <t>MAKELAR OWNER makan</t>
  </si>
  <si>
    <t>GOJEK PANCA FERRARI MERAH</t>
  </si>
  <si>
    <t>GOJEK PANCA FERRARI KUNING</t>
  </si>
  <si>
    <t>CEK MAZDA CX60</t>
  </si>
  <si>
    <t>KERTAS GESEK</t>
  </si>
  <si>
    <t>FEE TOWING FJ CRUISER</t>
  </si>
  <si>
    <t>CUP-L WULING ALMAZ</t>
  </si>
  <si>
    <t>GULA</t>
  </si>
  <si>
    <t>BUAT KUNCI BARITO</t>
  </si>
  <si>
    <t>BENSIN FERRARI MERAH</t>
  </si>
  <si>
    <t>SELANG WASHTAPLE</t>
  </si>
  <si>
    <t>BENSIN NMAX DEPUR</t>
  </si>
  <si>
    <t>HAMPERS BUAH PAK RENO</t>
  </si>
  <si>
    <t>KABLE TIS</t>
  </si>
  <si>
    <t>PULSA KANTOR</t>
  </si>
  <si>
    <t>KASBON ARI</t>
  </si>
  <si>
    <t>BENSIN HRV mang tri</t>
  </si>
  <si>
    <t>ROTI DAN ROKOK BANTEN</t>
  </si>
  <si>
    <t>GOSEND BPKB MAZDA CX5</t>
  </si>
  <si>
    <t>PASANG BAN MINI PUTIH</t>
  </si>
  <si>
    <t>KEDEWATAN BU COK</t>
  </si>
  <si>
    <t>KIRIM BPKB</t>
  </si>
  <si>
    <t>AMBILAN OWNER KURANG</t>
  </si>
  <si>
    <t>NASI PADANG MAHA</t>
  </si>
  <si>
    <t>TIARA DEWATA</t>
  </si>
  <si>
    <t>JEMURAN DETAILING</t>
  </si>
  <si>
    <t xml:space="preserve">GENERAL CHECK UP KURANG </t>
  </si>
  <si>
    <t>BENSIN MINI PUTIH</t>
  </si>
  <si>
    <t>BENSIN MINI B 1482HFK</t>
  </si>
  <si>
    <t>BENSIN DK 1902 FBF</t>
  </si>
  <si>
    <t>GOJEK BUDI Ambil xenia 2012 (DK 1737 CU) ke rony cat</t>
  </si>
  <si>
    <t>GOJEK BUDI Dari pak mangku infinity, bawa  Jeep Wrangler ke rumahnya</t>
  </si>
  <si>
    <t>BENSIN ARI</t>
  </si>
  <si>
    <t>BENSIN MINI BIRU 5DOOR</t>
  </si>
  <si>
    <t>MAKAN COK ALIT, PANCA</t>
  </si>
  <si>
    <t>BENSIN MINI ISLAND BLUE COK ALIT</t>
  </si>
  <si>
    <t>GOJEK BUDI Ambil BMW X3 Pak Yakob ke BMW astra</t>
  </si>
  <si>
    <t>CEK LEXUS NX JKT</t>
  </si>
  <si>
    <t>ROTI LEMO</t>
  </si>
  <si>
    <t>APAR DETAILIING</t>
  </si>
  <si>
    <t>BENSIN GLE 450</t>
  </si>
  <si>
    <t>BENSIN XENIA 2020</t>
  </si>
  <si>
    <t>BENSIN SCOOPY ILHAM</t>
  </si>
  <si>
    <t>ISI ANGIN BK 1339</t>
  </si>
  <si>
    <t>AGUNG AMBIL BENSIN HR-V</t>
  </si>
  <si>
    <t>OBAT ANTI RAYAP AGENDA</t>
  </si>
  <si>
    <t>KUAS DAN SEMPROTAN</t>
  </si>
  <si>
    <t>GOJEK BUDI Service jeep (DK 1380 QN) ke Aldo</t>
  </si>
  <si>
    <t>PENGAMBILAN OWNER</t>
  </si>
  <si>
    <t>BENSIN INNOVA</t>
  </si>
  <si>
    <t>SERVICE PLAT FJ CRUISER</t>
  </si>
  <si>
    <t>KASBON ADIT</t>
  </si>
  <si>
    <t>TISSUE</t>
  </si>
  <si>
    <t>GOJEK BUDI Angkut plafon porsche macan (W 1349 ZQ) ke Auto Family</t>
  </si>
  <si>
    <t>PEMASUKKAN DETAILING</t>
  </si>
  <si>
    <t>BUCKET BUNGA CUST RINI</t>
  </si>
  <si>
    <t xml:space="preserve"> BANTEN AYU</t>
  </si>
  <si>
    <t>AMPLOP BPKB</t>
  </si>
  <si>
    <t>BUKU SERVICE PALISADE</t>
  </si>
  <si>
    <t>GOJEK BUKU SERVICE</t>
  </si>
  <si>
    <t>TOWING BMW X5</t>
  </si>
  <si>
    <t>TOFICO</t>
  </si>
  <si>
    <t>BENSIN JEEP WRANGLER</t>
  </si>
  <si>
    <t>SERVICE PLAT BMW Z4</t>
  </si>
  <si>
    <t>GOJEK BUDI Ambil Vellfire 2021 ke Rony cat</t>
  </si>
  <si>
    <t>BENSIN DIOR, MAKAN DEPUR, SNACK &amp; MINUM</t>
  </si>
  <si>
    <t>PAK BAGUS AMBIL RACUN TIKUS</t>
  </si>
  <si>
    <t>FEE TOWING Z4</t>
  </si>
  <si>
    <t>SERVICE LISTRIK BARITO, AC BARITO, AC CAR</t>
  </si>
  <si>
    <t>DEPUR KASBON</t>
  </si>
  <si>
    <t>COK ALIT KASBON</t>
  </si>
  <si>
    <t>OWNER AMBIL</t>
  </si>
  <si>
    <t>STIKER JEEP WRANGLER HIJAU</t>
  </si>
  <si>
    <t>CUCI MOBIL JEEP</t>
  </si>
  <si>
    <t>FEE TUKANG CUCI</t>
  </si>
  <si>
    <t>ES CUBE DIBAYAR AFIFAH</t>
  </si>
  <si>
    <t>BENSIN NMAX ILHAM BELI</t>
  </si>
  <si>
    <t>BUBUR OWNER</t>
  </si>
  <si>
    <t>BENSIN CX-30 KO FERI</t>
  </si>
  <si>
    <t>SOTO SSB MAHA</t>
  </si>
  <si>
    <t>SERVICE DK</t>
  </si>
  <si>
    <t>BENSIN PAJERO CUST RINI</t>
  </si>
  <si>
    <t>BENSIN JEEP IJO</t>
  </si>
  <si>
    <t>GOJEK DEPUR</t>
  </si>
  <si>
    <t>UANG ROKOK TEGUH</t>
  </si>
  <si>
    <t>BIAYA TOKEN</t>
  </si>
  <si>
    <t>BAKMI GM</t>
  </si>
  <si>
    <t>KEDAI BIBI LIN</t>
  </si>
  <si>
    <t>BOFHI LEAF</t>
  </si>
  <si>
    <t>PARKIR LEVEL 21</t>
  </si>
  <si>
    <t>KEMBALI DARI COK ALIT</t>
  </si>
  <si>
    <t>BENSIN HARLEY ROADGLIDE</t>
  </si>
  <si>
    <t>JAJAN PAK YOGA</t>
  </si>
  <si>
    <t>RONY CAT</t>
  </si>
  <si>
    <t>GANTI LAMPU XENIA</t>
  </si>
  <si>
    <t>SATE +TEMPE DAN SISA</t>
  </si>
  <si>
    <t>JAJAN KONTEN KREATOR DI CANDI NARMADA</t>
  </si>
  <si>
    <t>TOTAL</t>
  </si>
  <si>
    <t>BENSIN NX</t>
  </si>
  <si>
    <t>SSB</t>
  </si>
  <si>
    <t>CEK MINI ORANGE 2015</t>
  </si>
  <si>
    <t>RIK</t>
  </si>
  <si>
    <t>ADIT</t>
  </si>
  <si>
    <t>BENSIN Z4</t>
  </si>
  <si>
    <t>KEMBALI DARI DETALING</t>
  </si>
  <si>
    <t>KUAS ETERNA</t>
  </si>
  <si>
    <t>GLOBART MART</t>
  </si>
  <si>
    <t>LAMPU PUTIH</t>
  </si>
  <si>
    <t>BENSIN ILHAM</t>
  </si>
  <si>
    <t>UANG BENSIN WAYAN</t>
  </si>
  <si>
    <t>SABUN WINAS</t>
  </si>
  <si>
    <t>BENSIN ILHAM 09MEI2024</t>
  </si>
  <si>
    <t>BENSIN ILHAM 24MEI2024</t>
  </si>
  <si>
    <t>GAJI GEBI CASH</t>
  </si>
  <si>
    <t>UANG SAMPAH CAR</t>
  </si>
  <si>
    <t>GOBOX PLAFON PORSCHE MACAN</t>
  </si>
  <si>
    <t>GOJEK BUDI Dari astra bmw, cek keluhan X5 (D 1420 HA)</t>
  </si>
  <si>
    <t>CONATO UNTUK TARMIDI</t>
  </si>
  <si>
    <t>BENSIN CX 5&amp; 60</t>
  </si>
  <si>
    <t>ISI ANGIN GLA</t>
  </si>
  <si>
    <t>KOPI &amp;^ GULA</t>
  </si>
  <si>
    <t>ONGKIR PAYUNG</t>
  </si>
  <si>
    <t>BENSIN CAYMAN</t>
  </si>
  <si>
    <t>BENSIN VELFIER PUTIH</t>
  </si>
  <si>
    <t>FEE TOWING MACAN MEREAH</t>
  </si>
  <si>
    <t>NASI BUNGKUS TUKANG BARITO</t>
  </si>
  <si>
    <t>JAJAN + ES + KOPI CONTENT</t>
  </si>
  <si>
    <t>TISSUE TOILET</t>
  </si>
  <si>
    <t>Gobox ambil ban jeep rubicon merah</t>
  </si>
  <si>
    <t>BIAYA SAMSAT BUKA BLOKIR BMW Z4 MANG TRI</t>
  </si>
  <si>
    <t>SERVICE ATAP FERRARI MERAH</t>
  </si>
  <si>
    <t>GOJEK PANCA DARI GATSU</t>
  </si>
  <si>
    <t>GOJEK PANCA DARI CEMERLANG</t>
  </si>
  <si>
    <t>GOJEK PANCA KE BENOA</t>
  </si>
  <si>
    <t>SERVICE NMAX MANG TRI</t>
  </si>
  <si>
    <t>BAUT PANGKON PLAT</t>
  </si>
  <si>
    <t>BUAT PANGKON PLAT FERRARI</t>
  </si>
  <si>
    <t>GOJEK BUDI Ambil BMW X5 (D 1420 HA)</t>
  </si>
  <si>
    <t>BUNGA ANGGREK CUST P. BAGUS</t>
  </si>
  <si>
    <t>GULA SACHET</t>
  </si>
  <si>
    <t>PAK BAGUS AMBIL BENSIN XENIA</t>
  </si>
  <si>
    <t>depur ambil bensin jymni</t>
  </si>
  <si>
    <t>TUKANG PASANG BESI, CAT RANTAI, BUAT LOBANG PENJOR</t>
  </si>
  <si>
    <t>LAKLAK</t>
  </si>
  <si>
    <t>BENSIN RUBICON MERAH</t>
  </si>
  <si>
    <t>PDR MACAN MERAH</t>
  </si>
  <si>
    <t>PDR MACAN PUTIH</t>
  </si>
  <si>
    <t>NASI SABO NABE</t>
  </si>
  <si>
    <t>SEMANGKA</t>
  </si>
  <si>
    <t>APOTEK AUSI FARMA</t>
  </si>
  <si>
    <t>TEH POCI</t>
  </si>
  <si>
    <t>SARI MANGKU</t>
  </si>
  <si>
    <t>LAP PEL REFIL</t>
  </si>
  <si>
    <t>AMPLOP COKLAT</t>
  </si>
  <si>
    <t>depur ambil bensin macan</t>
  </si>
  <si>
    <t>SOTO SSB OWNER</t>
  </si>
  <si>
    <t>LONTONG</t>
  </si>
  <si>
    <t xml:space="preserve">LONTONG </t>
  </si>
  <si>
    <t>LEBIH</t>
  </si>
  <si>
    <t>CUCI MOBIL PAK MAN SUMANADA</t>
  </si>
  <si>
    <t>LAS GAGANG PINTU HARMONIKA TENGAH</t>
  </si>
  <si>
    <t>SERVICE DK CX-5</t>
  </si>
  <si>
    <t>BENSIN NMAX MANG TRI</t>
  </si>
  <si>
    <t>GRILL CRV 2019</t>
  </si>
  <si>
    <t>BENSIN JEEP MERAH</t>
  </si>
  <si>
    <t>SUSU GRANDFIELD</t>
  </si>
  <si>
    <t>ROTI LEMO + PARKIR</t>
  </si>
  <si>
    <t>ONGKIR BERKAS PAK FAISAL</t>
  </si>
  <si>
    <t>BIAYA RTGS PELUNASAN MAZDA MX5</t>
  </si>
  <si>
    <t>ISOLASI KERTAS</t>
  </si>
  <si>
    <t>PEMINJAMAN DI ADIT</t>
  </si>
  <si>
    <t>BUNGA JEPUN DAN TERATAI</t>
  </si>
  <si>
    <t>TOWING HARTONO ABIDIN</t>
  </si>
  <si>
    <t>CEK GLE</t>
  </si>
  <si>
    <t>GOJEK BUDI Dari mercy, pasang spare part GLA 2022</t>
  </si>
  <si>
    <t>GOJEK BUDI Service plafon ke auto family jok</t>
  </si>
  <si>
    <t>BENSIN GLA 2022</t>
  </si>
  <si>
    <t>BAN GLA 2022 KENA PAKU</t>
  </si>
  <si>
    <t>LEM TIKUS</t>
  </si>
  <si>
    <t>FEE TOWING MAZDA MX-5</t>
  </si>
  <si>
    <t>BENSIN MAZDA MX-5 PANCA AMBIL</t>
  </si>
  <si>
    <t>KASBON SATRIYA</t>
  </si>
  <si>
    <t>BENSIN  NMAX</t>
  </si>
  <si>
    <t>PIPA</t>
  </si>
  <si>
    <t>INDOMARET ADIT</t>
  </si>
  <si>
    <t>TIKET DENPASAR - IA</t>
  </si>
  <si>
    <t>ADMIN</t>
  </si>
  <si>
    <t>HOTEL</t>
  </si>
  <si>
    <t>GOJEK STASIUN-CLIPAN</t>
  </si>
  <si>
    <t>KONSUMSI PANCA</t>
  </si>
  <si>
    <t>GOJEK HOTEL-STASIUN</t>
  </si>
  <si>
    <t>TIKET IA-DENPASAR</t>
  </si>
  <si>
    <t>PARKIR BANDARA</t>
  </si>
  <si>
    <t>KERETA TIKET TUGU-BANDARA</t>
  </si>
  <si>
    <t>TIKET KERETA BANDARA-TUGU</t>
  </si>
  <si>
    <t>GOJEK PANCA BAWA JEEP MERAH</t>
  </si>
  <si>
    <t>GOJEK PANCA BAWA MERCY E250</t>
  </si>
  <si>
    <t>TERBAYAR</t>
  </si>
  <si>
    <t>PAKET HERMAWAN</t>
  </si>
  <si>
    <t>TANG DETAILING</t>
  </si>
  <si>
    <t>SABUN WINGS</t>
  </si>
  <si>
    <t>GOJEK BUDI Ambil Plafon Porsche Macan (B 93 SST) dari Auto Family Jok</t>
  </si>
  <si>
    <t>Akunting</t>
  </si>
  <si>
    <t>Marketing</t>
  </si>
  <si>
    <t>Inspeksi</t>
  </si>
  <si>
    <t>Total</t>
  </si>
  <si>
    <t>KERTAS CORNCODE</t>
  </si>
  <si>
    <t>ARI AMBIL BENSIN ACCORD</t>
  </si>
  <si>
    <t>PROPAN AQUA</t>
  </si>
  <si>
    <t>LEM G</t>
  </si>
  <si>
    <t>KEMBALI DARI TOKOPEDIA</t>
  </si>
  <si>
    <t>DIVISI</t>
  </si>
  <si>
    <t>AKUNTING</t>
  </si>
  <si>
    <t>INSPEKSI</t>
  </si>
  <si>
    <t>NO</t>
  </si>
  <si>
    <t>HARGA</t>
  </si>
  <si>
    <t>TALANG AIR CRV</t>
  </si>
  <si>
    <t>GOJEK BUDI Dari Rony cat, bawa bmw x3 hitam</t>
  </si>
  <si>
    <t>KLIP</t>
  </si>
  <si>
    <t>.</t>
  </si>
  <si>
    <t>UD. DANAA MERTHA</t>
  </si>
  <si>
    <t>MADU PAK YOGA</t>
  </si>
  <si>
    <t>BENSIN JIMNY</t>
  </si>
  <si>
    <t>BENSIN MACAN MERAH</t>
  </si>
  <si>
    <t>NASI CAMPUR 3</t>
  </si>
  <si>
    <t>NASI AYAM</t>
  </si>
  <si>
    <t>PEMINJAMAN DI ARIK</t>
  </si>
  <si>
    <t>ONGKIR PAKET BU COK</t>
  </si>
  <si>
    <t>FEE TEDI</t>
  </si>
  <si>
    <t>SOTO SSB OWNER TEDI</t>
  </si>
  <si>
    <t>BENSIN NMAX TEDI</t>
  </si>
  <si>
    <t>GO BOX BUDI</t>
  </si>
  <si>
    <t>DP FILTER AIR BARITO</t>
  </si>
  <si>
    <t>CEK FIAT PANCA</t>
  </si>
  <si>
    <t xml:space="preserve">PEJATI </t>
  </si>
  <si>
    <t xml:space="preserve">SEGEHAN </t>
  </si>
  <si>
    <t>SUSU FRESHMILK BLI COK</t>
  </si>
  <si>
    <t>NASI LAWAR KUWIR</t>
  </si>
  <si>
    <t>PARKIR ADHI GUNA</t>
  </si>
  <si>
    <t>BENSIN JEEP MERAH COK ALIT</t>
  </si>
  <si>
    <t>BENSIN PORSCHE MACAN</t>
  </si>
  <si>
    <t>ADIGUNA PHARMA</t>
  </si>
  <si>
    <t>WIFI ADAPTOR</t>
  </si>
  <si>
    <t>bensin bmw x3 cok alit</t>
  </si>
  <si>
    <t>TEKNIK LISTRIK CAR</t>
  </si>
  <si>
    <t>KEMBALI KE ADIT</t>
  </si>
  <si>
    <t>DEPUR AMBIL BENSIN NMAX</t>
  </si>
  <si>
    <t>PANCA AMBIL ONGKIR</t>
  </si>
  <si>
    <t>PANCA AMBIL BENSIN FERRAR</t>
  </si>
  <si>
    <t>BENSIN PORSCHE BOXTER</t>
  </si>
  <si>
    <t>ISI ANGIN MERCY E250</t>
  </si>
  <si>
    <t>GOJEK BUDI Dari Rony, cat Lexus NX 300 putih (B 1 ALN)</t>
  </si>
  <si>
    <t>GOJEK BUDI Ambil BMW X3 (DK 1902 FBF) ke astra BMW</t>
  </si>
  <si>
    <t>BUNGA ANGGREK CUST RINI</t>
  </si>
  <si>
    <t>LEKESAN</t>
  </si>
  <si>
    <t>ADMIN SERVICE DK</t>
  </si>
  <si>
    <t>TUBLESS FERRARI MERAH</t>
  </si>
  <si>
    <t>KONSUMSI PANCA, SATRIO, RAH ASTA</t>
  </si>
  <si>
    <t>IURAN SAMPAH CAR</t>
  </si>
  <si>
    <t>PANCA TOL ULUWATU</t>
  </si>
  <si>
    <t>DP CEK MINI</t>
  </si>
  <si>
    <t>PDR  FJ CRUISER</t>
  </si>
  <si>
    <t>RENOVASI DETAILING</t>
  </si>
  <si>
    <t>FEE TOWING MINI CLUBMAN</t>
  </si>
  <si>
    <t>FEE TOWING ALPHARD</t>
  </si>
  <si>
    <t>BENSIN MX5</t>
  </si>
  <si>
    <t>COVER BMW X3</t>
  </si>
  <si>
    <t>KUE CUST RINI</t>
  </si>
  <si>
    <t>BENSIN NMAX HITAM</t>
  </si>
  <si>
    <t>PARKIR JAGATNATA</t>
  </si>
  <si>
    <t>BENSIN CAYMAN MERAH</t>
  </si>
  <si>
    <t>PEMAKAIAN AIR UNIT N320</t>
  </si>
  <si>
    <t>BENSIN MACAN PUTIH</t>
  </si>
  <si>
    <t>GOJEK BUDI DARI RONY, CAT DOP WRANGLER PUTIH</t>
  </si>
  <si>
    <t>GOSEND BU COK</t>
  </si>
  <si>
    <t>IURAN SAMPAH BARITO JUNI, JULI, AGUSTUS</t>
  </si>
  <si>
    <t>GRAPER KUNCI FERRARI</t>
  </si>
  <si>
    <t>SEPATU RESTU</t>
  </si>
  <si>
    <t>SEPATU ILHAM</t>
  </si>
  <si>
    <t>SEPATU TEDI</t>
  </si>
  <si>
    <t>KABEL LAN</t>
  </si>
  <si>
    <t>PDAM, PLN, BPJS, Indihome</t>
  </si>
  <si>
    <t>BUNGA INVESTASI BU ESHA</t>
  </si>
  <si>
    <t>BUNGA INVESTASI BU EKA</t>
  </si>
  <si>
    <t>KOPERASI PANCA MERTA</t>
  </si>
  <si>
    <t>BIAYA MACAN DI ALDO</t>
  </si>
  <si>
    <t>BELI SELANG FILTER UDARA GLA 200 &amp; PEREDAM KAP MESIN RUBICON MERAH</t>
  </si>
  <si>
    <t>PAJAK SUZUKI JIMNY</t>
  </si>
  <si>
    <t>AKI BMW X1</t>
  </si>
  <si>
    <t>TOWING 3 MOBIL (RUBICON 2, CX30</t>
  </si>
  <si>
    <t>JASA PASANG KACA MOBIL FJ CRUISER</t>
  </si>
  <si>
    <t>KARET WIPER RUBICON MERAH</t>
  </si>
  <si>
    <t>SERVIE PORSCHE CAYMAN</t>
  </si>
  <si>
    <t>MARKETING</t>
  </si>
  <si>
    <t>FB BOOSTER NATALI</t>
  </si>
  <si>
    <t>FB BOOSTER COK ALIT</t>
  </si>
  <si>
    <t>FB BOOSTER P. BAGUS</t>
  </si>
  <si>
    <t>FB BOOSTER RINI</t>
  </si>
  <si>
    <t>PASANG KACA FILM FERRARI MERAH DAN E250</t>
  </si>
  <si>
    <t>UD DANA MERTHA</t>
  </si>
  <si>
    <t>PARKIR RAJAWALI LISTRIK</t>
  </si>
  <si>
    <t>OLI COMPRESSOR</t>
  </si>
  <si>
    <t>CUTTER</t>
  </si>
  <si>
    <t>JASA PENGECEKAN POMPA DAN BONGKAR PASANG POMPA SHIMIZU JET 108</t>
  </si>
  <si>
    <t>BELANJA BU COK</t>
  </si>
  <si>
    <t>PANCA TOL NUSA DUA FERRARI</t>
  </si>
  <si>
    <t>BENSIN BMW CX5</t>
  </si>
  <si>
    <t>ARI AMBIL BENSIN MX,5</t>
  </si>
  <si>
    <t>ANGGREK CUST NATALI</t>
  </si>
  <si>
    <t>SPIDOL</t>
  </si>
  <si>
    <t>POPULAR EXPRESS</t>
  </si>
  <si>
    <t>PARKIR PANTAI SANUR</t>
  </si>
  <si>
    <t>SERVICE PLAT DK 88 ALPHARD</t>
  </si>
  <si>
    <t>MAKAN PAK YOGA</t>
  </si>
  <si>
    <t>CV SUMBER JAYA</t>
  </si>
  <si>
    <t>PARKIR CV SUMBER JAYA</t>
  </si>
  <si>
    <t>KERTAS HVS</t>
  </si>
  <si>
    <t>FEE TOWING  JEEP WRANGLER RUBICON B 1454 EUY</t>
  </si>
  <si>
    <t>SERVICE PALISADE</t>
  </si>
  <si>
    <t>BENSIN BMW X3</t>
  </si>
  <si>
    <t>STAPOL</t>
  </si>
  <si>
    <t>BUNGA INVESTASI BU MANG</t>
  </si>
  <si>
    <t>BUNGA INVESTASI PAK BAYU</t>
  </si>
  <si>
    <t>HUTANG PAJAK PPH 25(ANGS)</t>
  </si>
  <si>
    <t>BUNGA KO TITI FJ CRUISES 1.3M</t>
  </si>
  <si>
    <t>BUNGA KO TITI MINI ELECTRIC 900JT</t>
  </si>
  <si>
    <t>BUNGA KO TITI CX60 740JT</t>
  </si>
  <si>
    <t>CEK MINI S ICE BLUE</t>
  </si>
  <si>
    <t>TOWING MINI ORANGE</t>
  </si>
  <si>
    <t>BUAT PLAT CELEBRITY</t>
  </si>
  <si>
    <t>BENERIN LOCK FERRARI</t>
  </si>
  <si>
    <t>PLANG DILARANG PARKIR</t>
  </si>
  <si>
    <t>ADS IG, FB</t>
  </si>
  <si>
    <t>LEMO BEACH</t>
  </si>
  <si>
    <t>SERVICE PLAT B 1207 JFA</t>
  </si>
  <si>
    <t>ARI KASBON</t>
  </si>
  <si>
    <t>FEE SOPIR TOWING</t>
  </si>
  <si>
    <t>JAGA BAYA</t>
  </si>
  <si>
    <t>PARKIR ATLAS (FINNS) SATRIA</t>
  </si>
  <si>
    <t>KASBON RINI</t>
  </si>
  <si>
    <t>PEJATI SEGEHAN LEKESAN</t>
  </si>
  <si>
    <t>ONGKIR FOTO PAK YOGA</t>
  </si>
  <si>
    <t>PARKIR TIKI</t>
  </si>
  <si>
    <t>KUE PAK DE KARI</t>
  </si>
  <si>
    <t>DP DRONE</t>
  </si>
  <si>
    <t>DP DRONE CABRIOLET OLEH ARI</t>
  </si>
  <si>
    <t>FEE SOPIR TOWING MINI BLUE</t>
  </si>
  <si>
    <t>BENSIN NMAX HITAM UANG</t>
  </si>
  <si>
    <t>GOJEK BUDI Ambil jeep Gladiator (cust natalie), pasang sensor manipulasi belakang</t>
  </si>
  <si>
    <t>GOJEK BUDI BERANGKAT Ambil jeep Gladiator (cust natalie), pasang sensor manipulasi belakang</t>
  </si>
  <si>
    <t>ONGKIR PELEX GLA 2017 HITAM</t>
  </si>
  <si>
    <t>BUKA BAN</t>
  </si>
  <si>
    <t>TOWING MINI ICE BLUE</t>
  </si>
  <si>
    <t>BIAYA GLADIATOR</t>
  </si>
  <si>
    <t>CAT RONI(MINI, LEXUS PUTIH, RUBICON, GLA)</t>
  </si>
  <si>
    <t>ANGS. APARTMENT HANABANK</t>
  </si>
  <si>
    <t>ANGS. BCA BU COK</t>
  </si>
  <si>
    <t>SERVICE PLAT DK 1684 CE &amp; B 1740 dkl</t>
  </si>
  <si>
    <t>BEA CUKAI BUDI</t>
  </si>
  <si>
    <t>BUNGA SEMBAHYANG</t>
  </si>
  <si>
    <t>ILHAM AMBIL BENSIN NMAX</t>
  </si>
  <si>
    <t>SODAN DAN SEGEHAN</t>
  </si>
  <si>
    <t>CEK MINI ICE BLUE</t>
  </si>
  <si>
    <t>AMPLAS</t>
  </si>
  <si>
    <t>CB DEWALT810</t>
  </si>
  <si>
    <t>KUETART BAGUS BRAHMANTRA</t>
  </si>
  <si>
    <t>UANG DARI CASHDRAWER KOPI</t>
  </si>
  <si>
    <t>PEJATI 6</t>
  </si>
  <si>
    <t>BUNGA INVESTASI PAK MANG ASTAWA</t>
  </si>
  <si>
    <t>PAK DE KARI</t>
  </si>
  <si>
    <t>KUR BNI</t>
  </si>
  <si>
    <t>LPD TEMBAWU</t>
  </si>
  <si>
    <t>BUNGA PAK FAISAL</t>
  </si>
  <si>
    <t>HANABANK RC</t>
  </si>
  <si>
    <t>BUNGA KO TITI BMW Z4</t>
  </si>
  <si>
    <t>BUNGA KO TITI MAZDA MX-5</t>
  </si>
  <si>
    <t>BIAYA SERVICE &amp; GANTI PART MERCY E250 HITAM</t>
  </si>
  <si>
    <t>DEPUR AMBIL BENSIN MERCY 2018 PUTIH</t>
  </si>
  <si>
    <t>PAK BAGUS AMBIL BENSIN MERCY 2018 PUTIH</t>
  </si>
  <si>
    <t>ROTI BANTEN &amp; SEGEHAN</t>
  </si>
  <si>
    <t>BUNGA MIZUHO</t>
  </si>
  <si>
    <t>KPR BARITO</t>
  </si>
  <si>
    <t>BUNGA BRI RC</t>
  </si>
  <si>
    <t>SAMSAT NMAX</t>
  </si>
  <si>
    <t>SAMSAT RUBICON</t>
  </si>
  <si>
    <t>CAT VELG GLA</t>
  </si>
  <si>
    <t>CABUT BERKAS MIRAGE</t>
  </si>
  <si>
    <t>BBN PAJERO</t>
  </si>
  <si>
    <t>PICK UP HIDROLIK</t>
  </si>
  <si>
    <t>CAT ALPHARD KT888 RM</t>
  </si>
  <si>
    <t>CAT GLA PUTIH DK 1238 FBX</t>
  </si>
  <si>
    <t>CAT PALISADE DB 1 RV</t>
  </si>
  <si>
    <t>DOBEL TIP</t>
  </si>
  <si>
    <t>ONGKIR DOKUMEN</t>
  </si>
  <si>
    <t>GOJEK PANCA DARI RONY</t>
  </si>
  <si>
    <t>GOJEK PANCA DAR BMW</t>
  </si>
  <si>
    <t>GOJEK PANCA KE FINNS</t>
  </si>
  <si>
    <t>GOJEK PANCA DARI ABIDIN</t>
  </si>
  <si>
    <t>DARI RONY</t>
  </si>
  <si>
    <t>SERVICE PLAT B 1548 SME MINI ICE BLUE</t>
  </si>
  <si>
    <t>GOJEK BUDI Dari aldo, pasang spare part ferrari merah</t>
  </si>
  <si>
    <t>ONGKIR BERKAS RUBICON</t>
  </si>
  <si>
    <t>ONGKIR VELG GLA</t>
  </si>
  <si>
    <t>ROTI UNTUK RONI</t>
  </si>
  <si>
    <t>OLX COK ALIT</t>
  </si>
  <si>
    <t>CASH DARI KOPI</t>
  </si>
  <si>
    <t>GOJEK BUDI Ambil ferrari merah ke Aldo</t>
  </si>
  <si>
    <t>AGUNG AMBIL BENSIN MAZDA CX-3</t>
  </si>
  <si>
    <t>BUNGA BUCKET CUST NATALI</t>
  </si>
  <si>
    <t>KONSUMSI AMBIL BANTEN DI MUNDUK PAKU</t>
  </si>
  <si>
    <t>ILHAM AMBIL NASI</t>
  </si>
  <si>
    <t>GANTUNGAN</t>
  </si>
  <si>
    <t>JAMUR KELILING</t>
  </si>
  <si>
    <t>PASANG BAN GLA200 2017</t>
  </si>
  <si>
    <t>PARKIR BANK MANDIRI</t>
  </si>
  <si>
    <t>PPN 1,1%</t>
  </si>
  <si>
    <t>Fee Konsultan Pajak</t>
  </si>
  <si>
    <t>Perpanjangan Sistem Jurnal</t>
  </si>
  <si>
    <t>Bunga Cimb Ferrari</t>
  </si>
  <si>
    <t>Bunga Cimb Palisade</t>
  </si>
  <si>
    <t>Bunga Cimb BMW X5</t>
  </si>
  <si>
    <t>Patty Cash</t>
  </si>
  <si>
    <t>Biaya Cabut Berkas Alphard</t>
  </si>
  <si>
    <t>Biaya Cat Rony</t>
  </si>
  <si>
    <t>Biaya Ferrari Merah</t>
  </si>
  <si>
    <t>DETAILING</t>
  </si>
  <si>
    <t>AFIFAH AMBIL GAJIH DI DEPAN</t>
  </si>
  <si>
    <t>LILIN SPIRAL</t>
  </si>
  <si>
    <t>PEJATI UNTUK GAYA</t>
  </si>
  <si>
    <t>FEE TOWING GLC SURABAYA</t>
  </si>
  <si>
    <t>GOJEK BUDI Dari aldo, cek keluhan ferrari merah</t>
  </si>
  <si>
    <t>GOJEK BUDI Ambil jazz abu ke rony</t>
  </si>
  <si>
    <t>NASI PAK NUR</t>
  </si>
  <si>
    <t>PEJATI 2 + JERIGEN 2</t>
  </si>
  <si>
    <t>EQUIL CUST NATAILI</t>
  </si>
  <si>
    <t>BUAH CUST NATALI</t>
  </si>
  <si>
    <t>GOJEK NATALI AMBIL BUNGA</t>
  </si>
  <si>
    <t>TIKET PESAWAT UPG-DPS</t>
  </si>
  <si>
    <t>GRAB BANDARA-KOPI SHOP</t>
  </si>
  <si>
    <t>DARI KOPI-RUMAH CUST</t>
  </si>
  <si>
    <t>GRAB-PANTAI LOSARI</t>
  </si>
  <si>
    <t>OJEK-HOTEL</t>
  </si>
  <si>
    <t>GRAB HOTEL-BANDARA UPG</t>
  </si>
  <si>
    <t>SARAPAN</t>
  </si>
  <si>
    <t>MAKAN SIANG</t>
  </si>
  <si>
    <t>PARKIR MCD</t>
  </si>
  <si>
    <t>TOL MAKASSAR</t>
  </si>
  <si>
    <t>PARKIR BANDARA BALI</t>
  </si>
  <si>
    <t>TOL BALI</t>
  </si>
  <si>
    <t>MAKAN MALAM HOTEL</t>
  </si>
  <si>
    <t>SARAPAN HOTEL</t>
  </si>
  <si>
    <t>MAKAN BANDARA</t>
  </si>
  <si>
    <t>MAKAN SIANG BALI</t>
  </si>
  <si>
    <t>BALI MEDIA JAZZ ABU</t>
  </si>
  <si>
    <t>GOJEK BUDI Ambil voxy ke dunia mobil</t>
  </si>
  <si>
    <t>STIKER RUBICON HITAM</t>
  </si>
  <si>
    <t>BENSIN ALPHARD 2024 PUTIH</t>
  </si>
  <si>
    <t xml:space="preserve">GOJEK NATALI DARI BULAN </t>
  </si>
  <si>
    <t>GOJEK PANCA DARI NGANTAR VOXY</t>
  </si>
  <si>
    <t>ONGKIR BPKB DAN STNK VOXY</t>
  </si>
  <si>
    <t>SPOORING VOXY</t>
  </si>
  <si>
    <t>BELI TROTEL BODY CLEANER UNTUK JAZZ</t>
  </si>
  <si>
    <t>Bunga Mizuho</t>
  </si>
  <si>
    <t>Pasang Modul Transmisi GLE 450</t>
  </si>
  <si>
    <t>Service Kaki-kaki Voxy</t>
  </si>
  <si>
    <t>Pajak Jimny</t>
  </si>
  <si>
    <t>Program Kunci Duplikat</t>
  </si>
  <si>
    <t>Towing BMW Z4</t>
  </si>
  <si>
    <t>Surat Jalan 3 Mobil</t>
  </si>
  <si>
    <t>Samsat Yaris Cross</t>
  </si>
  <si>
    <t>Service Ferrari Merah</t>
  </si>
  <si>
    <t>GOJEK BUDI Dari Rony, cat bmw z4 merah</t>
  </si>
  <si>
    <t>GOJEK BUDI Dari Vkool, pasang anti karat Jeep Putih</t>
  </si>
  <si>
    <t>Service Door Trim Ferrari Merah</t>
  </si>
  <si>
    <t>BUKET CUST PAK BAGUS</t>
  </si>
  <si>
    <t>BENSIN FERRARI MERAH PANCA</t>
  </si>
  <si>
    <t>TOP UP E-TOL PANCA</t>
  </si>
  <si>
    <t>SOL SANDAL PAK MAN</t>
  </si>
  <si>
    <t>FEE TOWING BMW Z4</t>
  </si>
  <si>
    <t>BENSIN ALPHARD KT 888FM</t>
  </si>
  <si>
    <t>CLEO BOTOL 220ML</t>
  </si>
  <si>
    <t>BENSIN MERCY GLC</t>
  </si>
  <si>
    <t>BENSIN BMW Z4 MRAH</t>
  </si>
  <si>
    <t>BENSIN BMW Z4 BIRU</t>
  </si>
  <si>
    <t>PINDAH BUKU KE BCA ADITYA</t>
  </si>
  <si>
    <t>BENSIN MAZDA ABU</t>
  </si>
  <si>
    <t>KOREK API</t>
  </si>
  <si>
    <t>PLN, PDAM, BPJS, INDIEHOME</t>
  </si>
  <si>
    <t>FEE MAZDA MX-5</t>
  </si>
  <si>
    <t>OPERASIONAL EVENT</t>
  </si>
  <si>
    <t>PAJAK WRANGLER PUTIH DK 1906 ACK</t>
  </si>
  <si>
    <t>PAJAK AVANZA OM ANTO</t>
  </si>
  <si>
    <t>ANTI KARAT WRANGLER PUTIH DK 1906 ACK</t>
  </si>
  <si>
    <t>KERTAS GESEK CEK FISIK</t>
  </si>
  <si>
    <t>SERVICE AUDIO HARLEY HITAM</t>
  </si>
  <si>
    <t>UANG JALAN UDIN JKT</t>
  </si>
  <si>
    <t>Z</t>
  </si>
  <si>
    <t>BENSIN XENIA SILVEER</t>
  </si>
  <si>
    <t>BENDERA TEMPEL</t>
  </si>
  <si>
    <t>PARKIR SATRIA</t>
  </si>
  <si>
    <t>BENDERA MERAH PUTIH</t>
  </si>
  <si>
    <t>CAMILAN</t>
  </si>
  <si>
    <t>AIR MINERAL</t>
  </si>
  <si>
    <t>AMPLAS BULAT</t>
  </si>
  <si>
    <t>LEM BESI</t>
  </si>
  <si>
    <t>KOPI TUKANG BARITO</t>
  </si>
  <si>
    <t>BETUTU LIKU TUKANG BARITO</t>
  </si>
  <si>
    <t>TUKANG LAS TIANG BENDERA</t>
  </si>
  <si>
    <t>BENSIN NMAX DAN TOP UP TOL</t>
  </si>
  <si>
    <t>SISA GAJI NATALI</t>
  </si>
  <si>
    <t>BENSIN NMAX HITAM DAN LEM G</t>
  </si>
  <si>
    <t>SISA GAJI AFIFAH JULI 2024</t>
  </si>
  <si>
    <t>GOSEND NATALI</t>
  </si>
  <si>
    <t>BUNGA NATALI</t>
  </si>
  <si>
    <t>AHLI KUNCI</t>
  </si>
  <si>
    <t>MOTOR LIPAT SPION</t>
  </si>
  <si>
    <t>OLI MESIN &amp; FILTER OLI</t>
  </si>
  <si>
    <t>GOJEK BUDI DARI V-KOOL</t>
  </si>
  <si>
    <t>SERVICE GLC200</t>
  </si>
  <si>
    <t>BENSIN MERCY GLC 2021</t>
  </si>
  <si>
    <t>BUTIRAN GABUS</t>
  </si>
  <si>
    <t>AQUARIUM BULAT</t>
  </si>
  <si>
    <t>BMW Z4 S 888 MM</t>
  </si>
  <si>
    <t>CETAK BROSUR SPONSOR</t>
  </si>
  <si>
    <t>PAPERBAG</t>
  </si>
  <si>
    <t>KASBON WAYAN LANUS</t>
  </si>
  <si>
    <t>FEE SOPIR TOWING MINI COOPER S</t>
  </si>
  <si>
    <t>BENSIN AVANZA COK ALIT</t>
  </si>
  <si>
    <t>GOJEK BUDI DARI JALAN DEWATA NO. 25XX</t>
  </si>
  <si>
    <t>GOJEK BUDI KE CELEBRITY CAR</t>
  </si>
  <si>
    <t>DANA PUNIA</t>
  </si>
  <si>
    <t>SARI CANANG DI MERU</t>
  </si>
  <si>
    <t>PATWAL</t>
  </si>
  <si>
    <t>FEE PATWAL</t>
  </si>
  <si>
    <t>PELUNASAN LUNA</t>
  </si>
  <si>
    <t>GOSEND NATALI BERKAS JEEP PUTIH 2012 DK 1906 ACK</t>
  </si>
  <si>
    <t>AMWAY</t>
  </si>
  <si>
    <t>SUSU POWER PLANT</t>
  </si>
  <si>
    <t>MADU 2KG</t>
  </si>
  <si>
    <t>PARKIR POST KANTOR</t>
  </si>
  <si>
    <t>LEKESAN DAN ROTI</t>
  </si>
  <si>
    <t>E-TOL CABRIOLETE FREEDOM</t>
  </si>
  <si>
    <t>SISA UANG TOL DI PANCA</t>
  </si>
  <si>
    <t>GOJEK COK ALIT KIRIM BETUTU KE PAK FAISAL</t>
  </si>
  <si>
    <t>PIE SUSU CUST COK ALIT</t>
  </si>
  <si>
    <t>COK ALIT BENSIN HARLEY HITAM</t>
  </si>
  <si>
    <t>SERVICE PLAT AB 1687 YJ MINI ORANGE 3DOOR</t>
  </si>
  <si>
    <t>GOJEK BUDI Ambil mini oren (AB 99 DI) ke Rony</t>
  </si>
  <si>
    <t>ONGKIR BPKB DAN STNK SURABAYA</t>
  </si>
  <si>
    <t>PARKIR LEMO BEACH</t>
  </si>
  <si>
    <t>ANGS. APARTMENT LAVAYA</t>
  </si>
  <si>
    <t>ANGS. BCA CV (I/L)</t>
  </si>
  <si>
    <t>TIANG UMBUL-UMBUL</t>
  </si>
  <si>
    <t>ANGS. PAJAK</t>
  </si>
  <si>
    <t>SAMSAT MAZDA B 1781 ZKW</t>
  </si>
  <si>
    <t>SAMSAT LEXUS NX300 B 1 ALN</t>
  </si>
  <si>
    <t>CAT RONY MINI S ORANGE AB 1687 YJ</t>
  </si>
  <si>
    <t>TOWING RUBICON JKT-DPS B 1780 BJT</t>
  </si>
  <si>
    <t>GANTI OLI CRV PUTIH DK 1418 BG</t>
  </si>
  <si>
    <t xml:space="preserve">COVER BAN SEREP JEEP RUBICON 2015 B 1454 EUY </t>
  </si>
  <si>
    <t>DP PART FERRARI MERAH</t>
  </si>
  <si>
    <t>BELI DONGKRAK HARLEY 2 PCS</t>
  </si>
  <si>
    <t>PARKIR BETUTU BU NIA</t>
  </si>
  <si>
    <t>BETUTU BU NIA</t>
  </si>
  <si>
    <t>KASBON PANCA</t>
  </si>
  <si>
    <t>KERAMIK BARITO</t>
  </si>
  <si>
    <t>BERSIH FILTER AIR PURIFIER OWNER</t>
  </si>
  <si>
    <t>ISOLASI KERTAS DETAILING</t>
  </si>
  <si>
    <t>ENGSEL BARITO LT.4</t>
  </si>
  <si>
    <t>KUNCI DEKSON BARITO LT. 4</t>
  </si>
  <si>
    <t xml:space="preserve">TIANG BENDERA </t>
  </si>
  <si>
    <t xml:space="preserve">BENSIN NMAX ILHAM </t>
  </si>
  <si>
    <t>PLASTIK SAMPAH</t>
  </si>
  <si>
    <t>BENSIN XENIA SILVER DK 1737 CU</t>
  </si>
  <si>
    <t>ONGKIR BERKAS MINI COOPER SAYU SUSHI</t>
  </si>
  <si>
    <t>CEK RUBICON 2017 HIJAU MECANIC PRO PANCA</t>
  </si>
  <si>
    <t>PANDE PUTRI</t>
  </si>
  <si>
    <t xml:space="preserve">KONSUMSI ILHAM &amp; ILHAM </t>
  </si>
  <si>
    <t>FEE TOWING JEEP RUBICON</t>
  </si>
  <si>
    <t>CAT PILOK DETAILING</t>
  </si>
  <si>
    <t>BENSIN JEEP RUBICON</t>
  </si>
  <si>
    <t>ILHAM BENSIN LEXUS NX300</t>
  </si>
  <si>
    <t>BUKET CUST PAK BAGUS MERCY E250</t>
  </si>
  <si>
    <t>BENSIN TOYOTA FJ</t>
  </si>
  <si>
    <t>GANTI CAKRAM NMAX PUTIH</t>
  </si>
  <si>
    <t>SERVICE PLAT JEEP RUBICON B 1454 EUY</t>
  </si>
  <si>
    <t>KASBON ARYO</t>
  </si>
  <si>
    <t>BENSIN YAN LANUS AMBIL JEEP RUBICON TUT HENDIK</t>
  </si>
  <si>
    <t>BUNGA BRI RC (Cek saldo BRI)</t>
  </si>
  <si>
    <t>ANGSURAN HANABANK</t>
  </si>
  <si>
    <t>PROFIT PAK FAISAL</t>
  </si>
  <si>
    <t>BUNGA HANABANK RC</t>
  </si>
  <si>
    <t>BUNGA CIMB NIAGA GLE 450</t>
  </si>
  <si>
    <t>GOJEK SURAT AGUNG</t>
  </si>
  <si>
    <t>Towing Mercy C300 DT 888</t>
  </si>
  <si>
    <t>Cek Rubicon 2011 Orange BH 1408 WM</t>
  </si>
  <si>
    <t>Cek rubicon 2011 Hitam B 568 ALD</t>
  </si>
  <si>
    <t>Item PTC 913</t>
  </si>
  <si>
    <t>Towing Mercy C300 Hitam 2023 DT 888</t>
  </si>
  <si>
    <t>Lampu Godox</t>
  </si>
  <si>
    <t>ILHAM BENSIN NMAX HITAM</t>
  </si>
  <si>
    <t>FROZEN FRUIT</t>
  </si>
  <si>
    <t>CEK MEKANIC PRO</t>
  </si>
  <si>
    <t>ONGKIR SURAT AGUNG</t>
  </si>
  <si>
    <t>BENSIN BMW X5 PUTIH</t>
  </si>
  <si>
    <t>MAKAN BERSAMA (PANCA D0AN NGURAH)</t>
  </si>
  <si>
    <t>HOTEL KENDARI ZAHRA</t>
  </si>
  <si>
    <t>MAKAN SIANG (PANCA DAN NGURAH)</t>
  </si>
  <si>
    <t>GOJEK STNK</t>
  </si>
  <si>
    <t>MAKAN MALAM (PANCA DAN NGURAH)</t>
  </si>
  <si>
    <t>SARAPAN (NGURAH DAN PANCA)</t>
  </si>
  <si>
    <t>GOCAR TO BANDARA</t>
  </si>
  <si>
    <t>MAKAN DI BANDARA</t>
  </si>
  <si>
    <t>MAKAN</t>
  </si>
  <si>
    <t>DP CEK CAYMAN</t>
  </si>
  <si>
    <t>GRAB MCD - WIXEL</t>
  </si>
  <si>
    <t>GRAB ZAHRA - MCD</t>
  </si>
  <si>
    <t>UANG SAKU SUPARMAN</t>
  </si>
  <si>
    <t>OLI NMAX HITAM</t>
  </si>
  <si>
    <t>SERVICE YARIS CROSS</t>
  </si>
  <si>
    <t>SERVICE PLAT DK 5171 OR</t>
  </si>
  <si>
    <t>GOJEK BUDI Dari aldo, service Rubicon short 2015 (B 1780 BJT)</t>
  </si>
  <si>
    <t xml:space="preserve">ONGKIR BPKB </t>
  </si>
  <si>
    <t xml:space="preserve">RAJAWALI LISTRIK </t>
  </si>
  <si>
    <t>GERGAJI BESI</t>
  </si>
  <si>
    <t>SERVICE MESIN POLES</t>
  </si>
  <si>
    <t xml:space="preserve">PARKIR RAJAWALI </t>
  </si>
  <si>
    <t>BENSIN JEEP RUBICON B1454EUY</t>
  </si>
  <si>
    <t>JASA WHEEL JEEP RUBICON B1454EUY</t>
  </si>
  <si>
    <t>JASA ROTASI BAN JEEP RUBICON B1454EUY</t>
  </si>
  <si>
    <t>PARKIR BANDARA DPS</t>
  </si>
  <si>
    <t>BENSIN MAZDA CX-60 BUDI</t>
  </si>
  <si>
    <t>KANTONG SAMPAH</t>
  </si>
  <si>
    <t>BUNGA KO TITI</t>
  </si>
  <si>
    <t>PPN JULI 2024</t>
  </si>
  <si>
    <t>FEE KONSULTAN MASA JULI 24</t>
  </si>
  <si>
    <t>TOWING RUBICON 2011 JKT-DPS</t>
  </si>
  <si>
    <t>SISA SERVICE FERRARI CALIFORNIA MERAH TRANSMISI MOUNTING</t>
  </si>
  <si>
    <t>CABUT BERKAS TOYOTA VOXY</t>
  </si>
  <si>
    <t>CABUT BERKAS SUZUKI X-OVER OM ANTO</t>
  </si>
  <si>
    <t>BELI PIA</t>
  </si>
  <si>
    <t>GOJEK BUDI  Service kaki2 jeep Rubicon 2015 (B 1454 EUY)</t>
  </si>
  <si>
    <t>BENSIN XENIA DK 1737 CU</t>
  </si>
  <si>
    <t>GANTI BATRE REMOTE VELLFIRE</t>
  </si>
  <si>
    <t>CAT FERRARI CALIFORNIA MERAH</t>
  </si>
  <si>
    <t>CAT PORSCHE FAISAL</t>
  </si>
  <si>
    <t>GANTI OLI JEEP B1454EUY</t>
  </si>
  <si>
    <t>SURAT JLN (ALPHARD PAK RENO, JEEP B1454EUY)</t>
  </si>
  <si>
    <t>PULSA KANTOR(ADMIN MARKETING)</t>
  </si>
  <si>
    <t>KOMPUTER ADMIN MARKETING</t>
  </si>
  <si>
    <t>LAWAR KUWIR</t>
  </si>
  <si>
    <t>BEBEK CINCANG</t>
  </si>
  <si>
    <t>SAYUR BELIMBING</t>
  </si>
  <si>
    <t>SATE AYAM TUSUK</t>
  </si>
  <si>
    <t>SATE PAN BINGIN</t>
  </si>
  <si>
    <t>ONGKIR  BPKB</t>
  </si>
  <si>
    <t>SERVICE AC YARIS CROSS</t>
  </si>
  <si>
    <t>BENSIN LEXUS NX HITAM</t>
  </si>
  <si>
    <t>AGUNG BENSIN HARLEY CVO</t>
  </si>
  <si>
    <t>APOTEK ADIGUNA</t>
  </si>
  <si>
    <t>BENSIN ADITYA</t>
  </si>
  <si>
    <t>NATALI REMBES MAKAN</t>
  </si>
  <si>
    <t>SINTA REMBES MAKAN</t>
  </si>
  <si>
    <t>PARKIR MR.DIY</t>
  </si>
  <si>
    <t>PARKIR APOTEK ADIGUNA</t>
  </si>
  <si>
    <t>MAXIM OM JO</t>
  </si>
  <si>
    <t>PANCA STIKER RUBICON B 568 ALD</t>
  </si>
  <si>
    <t>PARKIR LIVING WORLD ILHAM</t>
  </si>
  <si>
    <t>BENSIN NGURAH NGANTER MAHA BASKET</t>
  </si>
  <si>
    <t>BENSIN NMAX HITAM TEDI BELI KE LW 15/09/2024</t>
  </si>
  <si>
    <t>PARKIR TEDI LW</t>
  </si>
  <si>
    <t>KUE HUT OM JO</t>
  </si>
  <si>
    <t>BATRE ABC</t>
  </si>
  <si>
    <t>PARKIR LIVING WORLD SINTA</t>
  </si>
  <si>
    <t>ES THE TUKANG</t>
  </si>
  <si>
    <t>FEE KIRIM KWITANSI PEMBELIAN FORD MUSTANG</t>
  </si>
  <si>
    <t xml:space="preserve">FEE DAN ONGKIR SPARE PART JEEP SHORT </t>
  </si>
  <si>
    <t>CLEO CAR</t>
  </si>
  <si>
    <t>CLEO BARITO</t>
  </si>
  <si>
    <t>BENSIN NMAX PUTIH</t>
  </si>
  <si>
    <t>NX HITAM</t>
  </si>
  <si>
    <t>NX PUTIH</t>
  </si>
  <si>
    <t>BENSIN XENIA SILVER</t>
  </si>
  <si>
    <t>TISU BASAH</t>
  </si>
  <si>
    <t>UANG MAKAN NATALI</t>
  </si>
  <si>
    <t>PARKIR NGURAH</t>
  </si>
  <si>
    <t>TH A BINTANG</t>
  </si>
  <si>
    <t xml:space="preserve">KUAS </t>
  </si>
  <si>
    <t>BENSIN FJ SATRIO</t>
  </si>
  <si>
    <t>GOJEK BUDI Dari stiker tabanan, wrapping mini electric</t>
  </si>
  <si>
    <t>BELI KERTAS GESEK</t>
  </si>
  <si>
    <t>CUCI MOBIL MACAN HITAM</t>
  </si>
  <si>
    <t>ONIEKA CAR</t>
  </si>
  <si>
    <t>PANCA AMBIIL</t>
  </si>
  <si>
    <t>BUNGA PROFIT BU MANG</t>
  </si>
  <si>
    <t>ANGS BCA CV</t>
  </si>
  <si>
    <t>BUNGA PROFIT PAK PANG ASTAWA</t>
  </si>
  <si>
    <t>ANGS APARTMENT LAVAYA</t>
  </si>
  <si>
    <t>ANGS BCA BU COK</t>
  </si>
  <si>
    <t>ANGS HANABANK</t>
  </si>
  <si>
    <t>BUNGA HANABANK</t>
  </si>
  <si>
    <t xml:space="preserve">PPN 1.1% </t>
  </si>
  <si>
    <t>ANGS PAJAK FINAL AGUSTUS</t>
  </si>
  <si>
    <t>BUNGA MERCY GLE CIMB</t>
  </si>
  <si>
    <t>BUNGA FERRARI CIMB</t>
  </si>
  <si>
    <t>BIAYA BBN VOXY HITAM</t>
  </si>
  <si>
    <t>BIAYA PASANG BUMPER JEEP SHORT 2015</t>
  </si>
  <si>
    <t>SAMSAT MINI ELEKTRIK</t>
  </si>
  <si>
    <t>SAMSAT LEXUS DK 1166 AF</t>
  </si>
  <si>
    <t>GANTI SENSOR ABS JEEP PAK MANGKU</t>
  </si>
  <si>
    <t>BIAYA CAT RAIZE DAN RUSH HITAM</t>
  </si>
  <si>
    <t>BELI PART JEEP SHORT 2015</t>
  </si>
  <si>
    <t>SERVICE PORSCHE CAYMAN</t>
  </si>
  <si>
    <t>BIAYA JEEP SHORT 2015</t>
  </si>
  <si>
    <t>BUAT DUPLIKAT KUNCI HONDA ACCORD</t>
  </si>
  <si>
    <t>SERVICE MOBIL JEEP BU OCHA</t>
  </si>
  <si>
    <t>SAMSAT PALISADE DB 1 RV</t>
  </si>
  <si>
    <t>PARTISI SHOWROOM CELEBRITY CAR</t>
  </si>
  <si>
    <t>OLX KANTOR</t>
  </si>
  <si>
    <t>ANGS KEB HANA</t>
  </si>
  <si>
    <t>PPN 1.1%</t>
  </si>
  <si>
    <t>ANGS PAJAK FINAL</t>
  </si>
  <si>
    <t>BUNGA MERCY GLE</t>
  </si>
  <si>
    <t>BUNGA FERRARI</t>
  </si>
  <si>
    <t>PARTISI CAR</t>
  </si>
  <si>
    <t>part jeep short 2015</t>
  </si>
  <si>
    <t xml:space="preserve">BENSIN GLC DD </t>
  </si>
  <si>
    <t>PDR CX5, RAIZE, HIACE</t>
  </si>
  <si>
    <t>GOJEK BUDI Dari mercy ke TAF</t>
  </si>
  <si>
    <t>GOJEK BUDI DARI TAF KE SHOWROOM</t>
  </si>
  <si>
    <t>BUNGA ANGGREK CUST TUKAK WAH</t>
  </si>
  <si>
    <t>BUNGA ANGGREK CUST PAK MANGKU</t>
  </si>
  <si>
    <t>BUNGA ANGGREK CUST PAK MANG ASTAWA</t>
  </si>
  <si>
    <t>TELUR ASIN</t>
  </si>
  <si>
    <t>HOT LATTE KONTEN NX300PUTIH</t>
  </si>
  <si>
    <t>IURAN SAMPAH DETAILING</t>
  </si>
  <si>
    <t>UANG MAKAN COK ALIT</t>
  </si>
  <si>
    <t>TABUNGAN ARIK DAN ADIT</t>
  </si>
  <si>
    <t>GOSEND ARIK HAMPERS PAK DE KARI</t>
  </si>
  <si>
    <t>GOSEND ARIK HAMPERS PAK MANGMING &amp; BU ESA</t>
  </si>
  <si>
    <t>SATRIO ART PAPER LAMINASI GLOSSI</t>
  </si>
  <si>
    <t>BANYAN SINGLE ROBE</t>
  </si>
  <si>
    <t>PARKIR CV SUMBER AYU</t>
  </si>
  <si>
    <t>CV SUMBER AYU</t>
  </si>
  <si>
    <t>BENSIN MAZDA CX5 KURO B ZKW</t>
  </si>
  <si>
    <t>NITROGEN PORSCHE MACAN HITAM</t>
  </si>
  <si>
    <t>GOJEK BUDI Ambil Macan (M 828) ke Aldo</t>
  </si>
  <si>
    <t>TEDI GOJEK DARI BANDARA KE CAR</t>
  </si>
  <si>
    <t>KONTEN ICE AMERICANO MOBIL VELLFIRE</t>
  </si>
  <si>
    <t>WASTRA PLANGKIRAN</t>
  </si>
  <si>
    <t>BANDO PLANGKIRAN</t>
  </si>
  <si>
    <t>BENSIN CX 5 COKLAT</t>
  </si>
  <si>
    <t>TIKAR PLANGKIRAN, CANGKIR, MANGKOK</t>
  </si>
  <si>
    <t>OR PROYEK BARITO</t>
  </si>
  <si>
    <t>CABUT BERKAS JEEP B 1454 EUY</t>
  </si>
  <si>
    <t>SERVICE PLAFON MACAN M 828</t>
  </si>
  <si>
    <t xml:space="preserve">SERVICE MACAN ABS M 828 </t>
  </si>
  <si>
    <t>SERVICE MACAN 2014 L 1434 EN</t>
  </si>
  <si>
    <t>BBN SUZUKI OM ANTO X-OVER</t>
  </si>
  <si>
    <t>BOOSTER NATALI (C300 3034, X3 2021, GLC 2024)</t>
  </si>
  <si>
    <t>BOOSTER DIAN (C300 3034, X3 2021, GLC 2024)</t>
  </si>
  <si>
    <t>BOOSTER P. BAGUS (c300 2019, mini 2020, bmw z4 2019)</t>
  </si>
  <si>
    <t>GOBOX BUDI Ambil plafon macan (M 828) ke Demaster</t>
  </si>
  <si>
    <t>GOJEK BUDI Bawa Vellfire ke RS Garage</t>
  </si>
  <si>
    <t>BENSIN ADITYA KE SERAYA OLEH2</t>
  </si>
  <si>
    <t>SERVICE PLAT DK 1084 ALZ, W 41 RAA, L 1434 EN</t>
  </si>
  <si>
    <t>AYU BANTEN(SODAN, SEGEHAN)</t>
  </si>
  <si>
    <t>BENSIN LEXUS NX PUTIH</t>
  </si>
  <si>
    <t>PAK BAGUS AMBIL BENSIN CX5 B 1848 CFJ</t>
  </si>
  <si>
    <t>BUKET BUNGA CUST MUSTANG ECOBOOST</t>
  </si>
  <si>
    <t>CUCI HELM OWNER</t>
  </si>
  <si>
    <t>PARKIR SAKURA KURIR</t>
  </si>
  <si>
    <t>NITROGEN MOBIL XENIA SILVER</t>
  </si>
  <si>
    <t>KARDUS</t>
  </si>
  <si>
    <t>ONGKIR PELEK C300 2019</t>
  </si>
  <si>
    <t>BONGKAR PELEK C300 2019</t>
  </si>
  <si>
    <t>DOUBLE TIPE</t>
  </si>
  <si>
    <t>BENSIN CRV PUTIH</t>
  </si>
  <si>
    <t>TOWING MUSTANG ECOBOOST</t>
  </si>
  <si>
    <t>OMDI BALI SATRIO KONTEN LEXUS NX PUTIH</t>
  </si>
  <si>
    <t>BENSIN C300 2023</t>
  </si>
  <si>
    <t>PARKIR PERTOKOAN UDAYANA</t>
  </si>
  <si>
    <t>BENSIN MAZDA CX-3</t>
  </si>
  <si>
    <t>TEDI BENSIN NMAX PUTIH</t>
  </si>
  <si>
    <t>POWER PLANT PROTEIN POWDER</t>
  </si>
  <si>
    <t>natali ambil ongkir ke gogo</t>
  </si>
  <si>
    <t>COD PAKET BU COK</t>
  </si>
  <si>
    <t>BENSIN Z4 BIRU</t>
  </si>
  <si>
    <t>SERVICE PLAT LEXUS NX HITAM</t>
  </si>
  <si>
    <t>GOJEK BUDI Dari astra bmw, service z4 biru</t>
  </si>
  <si>
    <t>GOJEK BUDI Ambil vellfire ke RS Garage</t>
  </si>
  <si>
    <t>GRAB DARI RUMAH KE BANDARA</t>
  </si>
  <si>
    <t>KIRIM PLAT STNK KE PAK RENO</t>
  </si>
  <si>
    <t>PELUNASAN SISA BCA VELLFIRE</t>
  </si>
  <si>
    <t>NATALI BENSIN MINI HIJAU</t>
  </si>
  <si>
    <t xml:space="preserve">MAKAN SIANG GOJEK </t>
  </si>
  <si>
    <t>HOTEL PANCA</t>
  </si>
  <si>
    <t>TIKET PESAWAT SUB-DPS</t>
  </si>
  <si>
    <t xml:space="preserve">BUNGA CIMB </t>
  </si>
  <si>
    <t>PDAM, PLN, INDIEHOME</t>
  </si>
  <si>
    <t>INSTALASI LISTRIK DETAILING, GAYA, RMH BARITO</t>
  </si>
  <si>
    <t>ILHAM BUBUR BU COK</t>
  </si>
  <si>
    <t>SAMSAT FJ CRUISER</t>
  </si>
  <si>
    <t>SAMSAT BMW Z4</t>
  </si>
  <si>
    <t>SAMSAT CRV</t>
  </si>
  <si>
    <t>CAT RUBICON SHORT B 1780 BJT</t>
  </si>
  <si>
    <t>CEK MERCY GLS</t>
  </si>
  <si>
    <t>CAT 4 VELG MERCY C300 2019</t>
  </si>
  <si>
    <t>BELI LAMPU LED JEEP JK B 1780 BJT</t>
  </si>
  <si>
    <t>PDR LEXUM LM</t>
  </si>
  <si>
    <t>PDR CRV</t>
  </si>
  <si>
    <t>NATALI AMBIL ONGKIR MINI</t>
  </si>
  <si>
    <t>OWNER SUMBANGAN DUKA AYAH LUKAS MENINGGAL</t>
  </si>
  <si>
    <t>SERVICE BMW X5 D 1420 HA</t>
  </si>
  <si>
    <t>RTGS PELUNASAN MACAN LIE CHIE GIN</t>
  </si>
  <si>
    <t>MAKAN BANDARA DPS</t>
  </si>
  <si>
    <t>MAKAN BANDARA SUB</t>
  </si>
  <si>
    <t>MAKAN SIANG PANCA</t>
  </si>
  <si>
    <t>BENSIN MAKELAR</t>
  </si>
  <si>
    <t>MINUMAN, SNACK</t>
  </si>
  <si>
    <t>MAKAN PANCA</t>
  </si>
  <si>
    <t>GOJEK BUDI Ambil bmw z4 ke astra bmw</t>
  </si>
  <si>
    <t>HOTEL 1</t>
  </si>
  <si>
    <t>HOTEL 2</t>
  </si>
  <si>
    <t>DARI HOTEL -&gt; BANDARA</t>
  </si>
  <si>
    <t>HOTEL-&gt;CUST</t>
  </si>
  <si>
    <t>MAKAN MALAM</t>
  </si>
  <si>
    <t>BANDARA -&gt; HOTEL</t>
  </si>
  <si>
    <t>CMM-&gt;HOTEL</t>
  </si>
  <si>
    <t>HOTEL-&gt;CMM</t>
  </si>
  <si>
    <t>MAKAN SIANG BANDARA</t>
  </si>
  <si>
    <t>BAGI HASIL GRANMAX 2017 DK 1708 LD</t>
  </si>
  <si>
    <t>FEE KONSULTAN PAJAK MASA AGUSTUS</t>
  </si>
  <si>
    <t>CAT VELLFIRE 2015</t>
  </si>
  <si>
    <t>BAN MERCY GLC 2021 DD 1908</t>
  </si>
  <si>
    <t xml:space="preserve">PANCA REMBES 4.084.364 </t>
  </si>
  <si>
    <t>SURAT PERJANJIAN KERJASAMA</t>
  </si>
  <si>
    <t>INSTALASI LISTRIK DETAILING, RMH BARITO</t>
  </si>
  <si>
    <t>DEPUR BENSIN MERCY GLA UIM</t>
  </si>
  <si>
    <t>JAJA BALI CAMPUR</t>
  </si>
  <si>
    <t>ANGGUR</t>
  </si>
  <si>
    <t>IURAN SAMPAH TIMUR</t>
  </si>
  <si>
    <t>sinta rembes case waterproof</t>
  </si>
  <si>
    <t>SISA GAJI WAYAN</t>
  </si>
  <si>
    <t>ONGKIR VELG MERCY C300</t>
  </si>
  <si>
    <t>PASANG BAN MERCY C300</t>
  </si>
  <si>
    <t>GOJEK BUDI Dari RS Garage, bawa mercy C300 2019</t>
  </si>
  <si>
    <t xml:space="preserve">CAPCUT CONTENT </t>
  </si>
  <si>
    <t>KEMBALI DARI GAYA BAYAR CANANG</t>
  </si>
  <si>
    <t>LAMPU NEON + SEKRING + LAMPU 8W</t>
  </si>
  <si>
    <t>BENSIN GLC DD 1908 FL</t>
  </si>
  <si>
    <t>BENSIN C300 DK 1084 ACZ</t>
  </si>
  <si>
    <t>GOJEK BUDI Ambil mercy C300 (DK 1084 ACZ) ke RS Garage</t>
  </si>
  <si>
    <t>SUSU GREENDFIELD</t>
  </si>
  <si>
    <t>KEIRA AMBIL BENSIN NMAX HITAM</t>
  </si>
  <si>
    <t>BENSIN GLC DK 88</t>
  </si>
  <si>
    <t>PARKIR RENON COUNTRYMAN</t>
  </si>
  <si>
    <t>MCD COUNTRYMAN</t>
  </si>
  <si>
    <t>SERVICE PRINTER</t>
  </si>
  <si>
    <t>PARKIR EKAPRINT</t>
  </si>
  <si>
    <t>BENSIN FJ CRUISER</t>
  </si>
  <si>
    <t>JEEP SHORT B 1780 BJT</t>
  </si>
  <si>
    <t>SPOORING JEEP SHORT</t>
  </si>
  <si>
    <t>STIKER SHORT</t>
  </si>
  <si>
    <t>GOJEK BUDI Ambil macan 2017 (M 828)</t>
  </si>
  <si>
    <t>GOJEK BUDI Dari Mercy, General checkup C300 2023 (DT 888)</t>
  </si>
  <si>
    <t>GOJEK BUDI Ambil lexus LM 350</t>
  </si>
  <si>
    <t>DETAILING LEM CASTOL</t>
  </si>
  <si>
    <t>BENSIN GLA 2017</t>
  </si>
  <si>
    <t>ISOLASI LISTRIK INSPEKSI</t>
  </si>
  <si>
    <t>PROFIT BU EKA</t>
  </si>
  <si>
    <t>PROFIT BU ESHA</t>
  </si>
  <si>
    <t>HUTANG PAJAK (ANGSURAN) PPH FINAL</t>
  </si>
  <si>
    <t>REMBES FOOTSTEP JEEP SHORT B 1780 BJT</t>
  </si>
  <si>
    <t>KUNCI SEREP PORSCHE MACAN</t>
  </si>
  <si>
    <t>SAMSAT MERCY GLA</t>
  </si>
  <si>
    <t>SAMSAT BMW X3</t>
  </si>
  <si>
    <t>FAKTUR BMW</t>
  </si>
  <si>
    <t>SAMSAT MERCY GLC 2021 DD 1908 FL</t>
  </si>
  <si>
    <t>Dana Urgent</t>
  </si>
  <si>
    <t>FOOTSTEP JEEP B 1780 BJT</t>
  </si>
  <si>
    <t>BENSIN MINI ORANGE B 1207 JFA</t>
  </si>
  <si>
    <t>GOBOX BUDI Angkut 1 plafon macan S, jok GLA 1, jok Vellfire 2 ke Demaster</t>
  </si>
  <si>
    <t>GANTI BATRE KUNCI MERCY C300 2023</t>
  </si>
  <si>
    <t>GANTI BATRE KUNCI GLA 200 2017</t>
  </si>
  <si>
    <t>UANG ROKOK PAK PUTU MERCY</t>
  </si>
  <si>
    <t>UANG ONGKOS VOIN</t>
  </si>
  <si>
    <t>GOJEK MINI ELEKTRIK NOTICE STNK</t>
  </si>
  <si>
    <t>SURAT JALAN FORD MUSTANG BIRU</t>
  </si>
  <si>
    <t>UANG ONGKOS UDIN</t>
  </si>
  <si>
    <t>GOJEK BUNGA BU COK</t>
  </si>
  <si>
    <t>ONGKIR MAKAN BU COK</t>
  </si>
  <si>
    <t xml:space="preserve">BENSIN NGURAH </t>
  </si>
  <si>
    <t xml:space="preserve">    </t>
  </si>
  <si>
    <t>TOKO KUE SEKAR AYU</t>
  </si>
  <si>
    <t>KOPI LUWAK</t>
  </si>
  <si>
    <t>BENSIN AVANSA COK ALIT (KE CANGGU DAN TABANAN)</t>
  </si>
  <si>
    <t>BENSIN MERCY C300 2023</t>
  </si>
  <si>
    <t>GOJEK BUDI Dari aldo, service xenia 2012</t>
  </si>
  <si>
    <t>PARKIR AMBARA CAFÉ</t>
  </si>
  <si>
    <t>TIPAT BU COK</t>
  </si>
  <si>
    <t>SERVICE PLAT DK 5000 BER vespa dragon</t>
  </si>
  <si>
    <t>ONGKIR MESIN POLES</t>
  </si>
  <si>
    <t>ANGS HUTANG PAJAK</t>
  </si>
  <si>
    <t>BIAYA CAT CX-5 ABU, MACAN S, MACAN 2.0, YARIS CROSS, LEXUS LM 350</t>
  </si>
  <si>
    <t>BIAYA GANTI AKI C300 DK 1084 ACZ</t>
  </si>
  <si>
    <t>REMBES CHROME LEXUS LM 350</t>
  </si>
  <si>
    <t>PDR MACAN 2.0 &amp; RUBICON SHORT</t>
  </si>
  <si>
    <t>SAMSAT BMW X5</t>
  </si>
  <si>
    <t>CEK BMX M4</t>
  </si>
  <si>
    <t>BIAYA SERVICE PLAFON MACAN S, JOK GLA 200, JOK VELLFIRE 2015</t>
  </si>
  <si>
    <t>BUAT KUNCI SEREP MACAN M828</t>
  </si>
  <si>
    <t>UD BERKAT IBU</t>
  </si>
  <si>
    <t>UD PUTRI JAYA</t>
  </si>
  <si>
    <t>BENSIN PAK KADEK</t>
  </si>
  <si>
    <t>gojek owner terima sepatu</t>
  </si>
  <si>
    <t>BENSIN HARLEY PAK BAGUS</t>
  </si>
  <si>
    <t>pak bagus bensin z4</t>
  </si>
  <si>
    <t>pak kadek ambil</t>
  </si>
  <si>
    <t>KERTAS FORMULIR CEK FISIK</t>
  </si>
  <si>
    <t>agung ambil uang</t>
  </si>
  <si>
    <t>ilham bensin nmax putih</t>
  </si>
  <si>
    <t>tf ke agam</t>
  </si>
  <si>
    <t>ARYOK KASBON</t>
  </si>
  <si>
    <t>GOJEK BUDI Ambil plafon macam S dari Demaster</t>
  </si>
  <si>
    <t>ONGKOS JALAN UDIN</t>
  </si>
  <si>
    <t>THINER OWNER</t>
  </si>
  <si>
    <t>GOJEK BUDI Dari aldo, cek indikator Macan S</t>
  </si>
  <si>
    <t>BENSIN MAZDA CX-60</t>
  </si>
  <si>
    <t>OBAT PEL</t>
  </si>
  <si>
    <t>PARKIR NASI LAWAR KUWIR</t>
  </si>
  <si>
    <t>CAPPUCINO HOT</t>
  </si>
  <si>
    <t>AMERICANO HOT</t>
  </si>
  <si>
    <t>TAB ARIK DAN ADIT</t>
  </si>
  <si>
    <t>BENSIN NX 300 DK 1166 AF</t>
  </si>
  <si>
    <t>ES THE PAK ANDI</t>
  </si>
  <si>
    <t>ONGKIR KIRIM BERKAS KE BU EHSA</t>
  </si>
  <si>
    <t>KFC</t>
  </si>
  <si>
    <t>FORE COFFEE</t>
  </si>
  <si>
    <t>TIKET PESAWAT JKT-DPS PANCA</t>
  </si>
  <si>
    <t>GRAB BSD-EMERALD TREE</t>
  </si>
  <si>
    <t>GOCAR TIMI-BSD PLAZA</t>
  </si>
  <si>
    <t>GOCAR TIMI-BSD PLAZA-PORSCHE</t>
  </si>
  <si>
    <t>GOCAR PAPANDAYAN-TIMI</t>
  </si>
  <si>
    <t>GRAB RONY-CELEB</t>
  </si>
  <si>
    <t>CEK CRV</t>
  </si>
  <si>
    <t>PROFIT INVESTASI PAK MANG ASTAWA</t>
  </si>
  <si>
    <t>ANGS. HANABANK</t>
  </si>
  <si>
    <t>OR BARITO</t>
  </si>
  <si>
    <t xml:space="preserve">SERVICE XENIA DK CU dan Lexus NX 300 </t>
  </si>
  <si>
    <t>REMBES COVER BAN SEREP RUBICON</t>
  </si>
  <si>
    <t>BIAYA CAT RONY BMW X5 D 1420 HA</t>
  </si>
  <si>
    <t>SENTER</t>
  </si>
  <si>
    <t>FB BOOSTER DIAN</t>
  </si>
  <si>
    <t>CONTENT CREATOR</t>
  </si>
  <si>
    <t>IKLAN IG DETAILING</t>
  </si>
  <si>
    <t>MONITOR MSI PRO MP252 24.5 FHD IPS 100 H2 1 MS BLAC</t>
  </si>
  <si>
    <t>HARDISK EXTERNAL 8+13 WD MYBOOK</t>
  </si>
  <si>
    <t>BENSIN LEXUS LM 350</t>
  </si>
  <si>
    <t>PASANG CROME LM 350</t>
  </si>
  <si>
    <t>KASBON ARYOK</t>
  </si>
  <si>
    <t>SABUN CUCI TANGAN</t>
  </si>
  <si>
    <t>BUDI BENSIN VESPA</t>
  </si>
  <si>
    <t>PANCA FEE TOWING</t>
  </si>
  <si>
    <t>REMBES ILHAM (SARAPAN KEIRA MAHA, OWNER, LAWAR KUWIR OWNER, LAWAR KUWIR OWNER</t>
  </si>
  <si>
    <t>BUKET BUNGA COK ALIT</t>
  </si>
  <si>
    <t>BENSIN GLC DD 1908 FL HITAM</t>
  </si>
  <si>
    <t>BENSIN VELLFIRE</t>
  </si>
  <si>
    <t>BENSIN GLC</t>
  </si>
  <si>
    <t>BENSIN X3 DK 1902 FBF</t>
  </si>
  <si>
    <t>SPIDOL KEIRA</t>
  </si>
  <si>
    <t>VAS BUNGA KEIRA</t>
  </si>
  <si>
    <t>CUTER</t>
  </si>
  <si>
    <t>DEPUR BENSIN APRILA</t>
  </si>
  <si>
    <t>GOJEK BUDI Dari aldo, servis berkala FJ Cruiser</t>
  </si>
  <si>
    <t>WIZZME NGUKUR TANAH DI JL MAHENDRADATA ADIT DAN ARIK</t>
  </si>
  <si>
    <t>PIAYA PEMBUATAN RAK BARANG CAR +DETAILING</t>
  </si>
  <si>
    <t>BIAYA PINJAMAN OWNER</t>
  </si>
  <si>
    <t>BELI BAN MINI CABRIO 2017</t>
  </si>
  <si>
    <t>BIAYA CAT TOYOTA FJ CRUISER</t>
  </si>
  <si>
    <t>OLX NATALI</t>
  </si>
  <si>
    <t>OLX DIAN</t>
  </si>
  <si>
    <t>BENSIN M4</t>
  </si>
  <si>
    <t>ISI ANGIN FJ CRUISER</t>
  </si>
  <si>
    <t>ONGKOS PAK UDIN</t>
  </si>
  <si>
    <t>PELUNASAN CEK CRV</t>
  </si>
  <si>
    <t>GRAB ALDO-CELEB</t>
  </si>
  <si>
    <t>GRAB MALBORO-CELEB</t>
  </si>
  <si>
    <t>BENSIN MINI ORANGE B 1807 BIU</t>
  </si>
  <si>
    <t>BUDI CEK BMW 520i 2018</t>
  </si>
  <si>
    <t>GOJEK BUDI Dari Rony, Bawa GLA200 2017</t>
  </si>
  <si>
    <t xml:space="preserve">AIR MINERAL </t>
  </si>
  <si>
    <t>MIE KOBER DEPUR DAN TEDI AMBIL BANTEN DI TABANAN</t>
  </si>
  <si>
    <t xml:space="preserve">CLEO CAR </t>
  </si>
  <si>
    <t>UANG SAMPAH CAR (OKT-NOV)</t>
  </si>
  <si>
    <t>LAUNDRY KAMEN OWNER,SPRAI AGUNG</t>
  </si>
  <si>
    <t>OBAT OWNER</t>
  </si>
  <si>
    <t>BENSIN NGURAH JEMPUT MAHA</t>
  </si>
  <si>
    <t>MODUS OWNER</t>
  </si>
  <si>
    <t>NASI CAMPUR OWNER</t>
  </si>
  <si>
    <t>BENSIN TOYOTA FORTUNER VRZ</t>
  </si>
  <si>
    <t>depur ambil bensin nmax ke ubud</t>
  </si>
  <si>
    <t>WINE CSUT COK ALIT</t>
  </si>
  <si>
    <t>BENSIN MINI B 2848 CBE</t>
  </si>
  <si>
    <t>KELAPA MULUNG</t>
  </si>
  <si>
    <t>BOTOL TABUH</t>
  </si>
  <si>
    <t>PROYEK BARITO BANYUNING 3525000</t>
  </si>
  <si>
    <t>BUNGA CIMB BMW X5</t>
  </si>
  <si>
    <t>PROFIT INVESTASI BU EKA</t>
  </si>
  <si>
    <t xml:space="preserve">ANGSURAN PAJAK PPH 25 </t>
  </si>
  <si>
    <t>FEE KONSULTAN PAJAK MASA SEPT 2024</t>
  </si>
  <si>
    <t>PROYEK BARITO</t>
  </si>
  <si>
    <t>BIAYA SERVICE DI ALDO (FJ CRUISER &amp; GLA 200 2017</t>
  </si>
  <si>
    <t>BIAYA BUAT KUNCI SEREP FORTUNER VRZ</t>
  </si>
  <si>
    <t>BIAYA SERVICE FORTUNER VRZ</t>
  </si>
  <si>
    <t>BUAT SAMSAT &amp; STNK APRILIA</t>
  </si>
  <si>
    <t>BIAYA BBN MINI COOPER ORANGE</t>
  </si>
  <si>
    <t>BIAYA PDR MINI COOPER ORANGE B1807 BIU</t>
  </si>
  <si>
    <t>BIAYA SANSAT MAZDA CX-60</t>
  </si>
  <si>
    <t>ADAM GRAPHENE SPRAY</t>
  </si>
  <si>
    <t>JASA GANTI BAN MINI B 2848 CBE</t>
  </si>
  <si>
    <t>GOJEK BUDI Ambil GLA 2017 ke Rony</t>
  </si>
  <si>
    <t>NASI KAYANA</t>
  </si>
  <si>
    <t>CONATO BAKERY</t>
  </si>
  <si>
    <t>BENSIN LEXUS HITAM</t>
  </si>
  <si>
    <t>BENSIN GLC 200 DK 1198 YO</t>
  </si>
  <si>
    <t>NATALI BENSIN MINI ORANGE B 1207 JFA</t>
  </si>
  <si>
    <t>BENSIN VELLFIRE HITAM</t>
  </si>
  <si>
    <t>KEMBALI CANANG GAYA</t>
  </si>
  <si>
    <t>CENDOL</t>
  </si>
  <si>
    <t>KABEL DETAILING</t>
  </si>
  <si>
    <t>panca ambil macan putih</t>
  </si>
  <si>
    <t>BUKU</t>
  </si>
  <si>
    <t>RAPIKAN BUMPER RUSH PAK MAN SUMANADA</t>
  </si>
  <si>
    <t>GOJEK PAK BAGUS kirim surat jalan ke customer mini cooper club man</t>
  </si>
  <si>
    <t>MAKAN LAUK BU COK</t>
  </si>
  <si>
    <t>DORAYA</t>
  </si>
  <si>
    <t>PARKIR PRIMA MEDIKA</t>
  </si>
  <si>
    <t>BENSIN MOBIL NATALI KE ECOS LIVING PLAZA KUTA</t>
  </si>
  <si>
    <t>RTGS</t>
  </si>
  <si>
    <t>BENSIN LEXUS PUTIH</t>
  </si>
  <si>
    <t>GOJEK BUDI Dari Rony, pengecatan VW Beetle</t>
  </si>
  <si>
    <t>BENSIN BOXTER LAVA ORANGE</t>
  </si>
  <si>
    <t>KARET PLAT</t>
  </si>
  <si>
    <t>DIKA PARKIR</t>
  </si>
  <si>
    <t>GOJEK BUDI Dari muji, klaim asuransi GLC (DK 1198 YO)</t>
  </si>
  <si>
    <t>dana untuk konten dewi</t>
  </si>
  <si>
    <t>KPR BCA</t>
  </si>
  <si>
    <t>ANGS. LAVAYA</t>
  </si>
  <si>
    <t>BUNGA CIMB PORSCHE MACAN</t>
  </si>
  <si>
    <t>BUNGA CIMB LEXUS NX 300</t>
  </si>
  <si>
    <t>REMBES KACA FILM MINI (B 2848 CBE)</t>
  </si>
  <si>
    <t>REMBES PART MINI ORANGE (B 1807 BIU)</t>
  </si>
  <si>
    <t>SERVICE GLC 200 DAN GLA</t>
  </si>
  <si>
    <t>SERVICE LEXUS NX B 2028 PBY</t>
  </si>
  <si>
    <t>CAT MINI BIRU B 2848 CBE, VRZ, GLA 2017, XENIA 2012</t>
  </si>
  <si>
    <t>TOWING PAJERO BN 89 BOS DAN HARLEY B 4378 BK</t>
  </si>
  <si>
    <t>SERVICE HARLEY B 4444 DV</t>
  </si>
  <si>
    <t>pulsa pak man</t>
  </si>
  <si>
    <t>KONSUMSI KONTEN DEWI</t>
  </si>
  <si>
    <t>CLEO GALON BARITO</t>
  </si>
  <si>
    <t>DANA PUNIA KE BANJAR KERTASARI</t>
  </si>
  <si>
    <t>BUNGA BUCKET CUST PAK BAGUS</t>
  </si>
  <si>
    <t>ILHAM AMBIL BENSIN BMW X3</t>
  </si>
  <si>
    <t>BENSIN PORSHCE MACAN PUTIH</t>
  </si>
  <si>
    <t>GOJEK BUDI Ambil Porsche Macan S ke Aldo</t>
  </si>
  <si>
    <t>GOJEK BUDI Balik ke showroom</t>
  </si>
  <si>
    <t>GOJEK BUDIAmbil ke BMW</t>
  </si>
  <si>
    <t>SABUN PEL DAN CUCI TANGAN</t>
  </si>
  <si>
    <t>GOJEK PAK BAGUS AMBIL BMW 320i</t>
  </si>
  <si>
    <t>PARKIR RS PRIMA MEDIAK</t>
  </si>
  <si>
    <t>ONGKIR BERKAS MINI B 1807 BIU</t>
  </si>
  <si>
    <t>ONGKOS PAK UDIN CEK BMW X1</t>
  </si>
  <si>
    <t>CEK MINI COOPER ZESTY YELLOW</t>
  </si>
  <si>
    <t>THREEPOINT COFFEE MAHA</t>
  </si>
  <si>
    <t>GULA PASIR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</si>
</sst>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-[$Rp-421]* #,##0.00_-;\-[$Rp-421]* #,##0.00_-;_-[$Rp-421]* &quot;-&quot;??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8525C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1" xfId="0" applyBorder="1"/>
    <xf numFmtId="0" fontId="2" fillId="0" borderId="0" xfId="0" applyFont="1"/>
    <xf numFmtId="165" fontId="0" fillId="0" borderId="0" xfId="0" applyNumberFormat="1"/>
    <xf numFmtId="164" fontId="0" fillId="3" borderId="6" xfId="0" applyNumberFormat="1" applyFill="1" applyBorder="1" applyAlignment="1">
      <alignment horizontal="center" vertical="center"/>
    </xf>
    <xf numFmtId="0" fontId="0" fillId="3" borderId="1" xfId="0" applyFill="1" applyBorder="1"/>
    <xf numFmtId="165" fontId="0" fillId="3" borderId="1" xfId="0" applyNumberFormat="1" applyFill="1" applyBorder="1"/>
    <xf numFmtId="165" fontId="3" fillId="3" borderId="1" xfId="0" applyNumberFormat="1" applyFont="1" applyFill="1" applyBorder="1"/>
    <xf numFmtId="165" fontId="0" fillId="2" borderId="1" xfId="0" applyNumberFormat="1" applyFill="1" applyBorder="1"/>
    <xf numFmtId="165" fontId="3" fillId="2" borderId="1" xfId="0" applyNumberFormat="1" applyFont="1" applyFill="1" applyBorder="1"/>
    <xf numFmtId="0" fontId="0" fillId="4" borderId="1" xfId="0" applyFill="1" applyBorder="1"/>
    <xf numFmtId="165" fontId="0" fillId="4" borderId="1" xfId="0" applyNumberFormat="1" applyFill="1" applyBorder="1"/>
    <xf numFmtId="165" fontId="3" fillId="4" borderId="1" xfId="0" applyNumberFormat="1" applyFont="1" applyFill="1" applyBorder="1"/>
    <xf numFmtId="0" fontId="0" fillId="3" borderId="10" xfId="0" applyFill="1" applyBorder="1"/>
    <xf numFmtId="0" fontId="0" fillId="3" borderId="6" xfId="0" applyFill="1" applyBorder="1"/>
    <xf numFmtId="165" fontId="0" fillId="3" borderId="6" xfId="0" applyNumberFormat="1" applyFill="1" applyBorder="1"/>
    <xf numFmtId="164" fontId="0" fillId="2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165" fontId="0" fillId="2" borderId="10" xfId="0" applyNumberFormat="1" applyFill="1" applyBorder="1"/>
    <xf numFmtId="165" fontId="7" fillId="3" borderId="1" xfId="0" applyNumberFormat="1" applyFont="1" applyFill="1" applyBorder="1"/>
    <xf numFmtId="165" fontId="0" fillId="2" borderId="0" xfId="0" applyNumberFormat="1" applyFill="1"/>
    <xf numFmtId="0" fontId="8" fillId="3" borderId="1" xfId="0" applyFont="1" applyFill="1" applyBorder="1"/>
    <xf numFmtId="165" fontId="8" fillId="3" borderId="1" xfId="0" applyNumberFormat="1" applyFont="1" applyFill="1" applyBorder="1"/>
    <xf numFmtId="165" fontId="1" fillId="3" borderId="1" xfId="0" applyNumberFormat="1" applyFont="1" applyFill="1" applyBorder="1"/>
    <xf numFmtId="165" fontId="9" fillId="3" borderId="1" xfId="0" applyNumberFormat="1" applyFont="1" applyFill="1" applyBorder="1"/>
    <xf numFmtId="0" fontId="0" fillId="3" borderId="1" xfId="0" applyFill="1" applyBorder="1" applyAlignment="1">
      <alignment horizontal="left" vertical="top"/>
    </xf>
    <xf numFmtId="0" fontId="0" fillId="3" borderId="0" xfId="0" applyFill="1"/>
    <xf numFmtId="165" fontId="0" fillId="3" borderId="0" xfId="0" applyNumberFormat="1" applyFill="1"/>
    <xf numFmtId="0" fontId="0" fillId="0" borderId="1" xfId="0" applyBorder="1" applyAlignment="1">
      <alignment vertical="center"/>
    </xf>
    <xf numFmtId="0" fontId="0" fillId="0" borderId="14" xfId="0" applyBorder="1"/>
    <xf numFmtId="0" fontId="0" fillId="0" borderId="10" xfId="0" applyBorder="1"/>
    <xf numFmtId="165" fontId="9" fillId="2" borderId="1" xfId="0" applyNumberFormat="1" applyFont="1" applyFill="1" applyBorder="1"/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/>
    <xf numFmtId="164" fontId="0" fillId="3" borderId="1" xfId="0" applyNumberForma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" xfId="0" applyFill="1" applyBorder="1"/>
    <xf numFmtId="164" fontId="0" fillId="2" borderId="6" xfId="0" applyNumberFormat="1" applyFill="1" applyBorder="1" applyAlignment="1">
      <alignment vertical="center"/>
    </xf>
    <xf numFmtId="165" fontId="0" fillId="0" borderId="1" xfId="0" applyNumberFormat="1" applyBorder="1"/>
    <xf numFmtId="0" fontId="0" fillId="0" borderId="12" xfId="0" applyBorder="1" applyAlignment="1">
      <alignment vertical="center"/>
    </xf>
    <xf numFmtId="0" fontId="0" fillId="0" borderId="13" xfId="0" applyBorder="1"/>
    <xf numFmtId="0" fontId="12" fillId="0" borderId="9" xfId="0" applyFont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 wrapText="1"/>
    </xf>
    <xf numFmtId="164" fontId="0" fillId="3" borderId="8" xfId="0" applyNumberFormat="1" applyFill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164" fontId="0" fillId="2" borderId="9" xfId="0" applyNumberFormat="1" applyFill="1" applyBorder="1" applyAlignment="1">
      <alignment horizontal="center" vertical="center" wrapText="1"/>
    </xf>
    <xf numFmtId="164" fontId="0" fillId="2" borderId="6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65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5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microsoft.com/office/2017/10/relationships/person" Target="persons/person33.xml"/><Relationship Id="rId47" Type="http://schemas.microsoft.com/office/2017/10/relationships/person" Target="persons/person37.xml"/><Relationship Id="rId63" Type="http://schemas.microsoft.com/office/2017/10/relationships/person" Target="persons/person52.xml"/><Relationship Id="rId68" Type="http://schemas.microsoft.com/office/2017/10/relationships/person" Target="persons/person57.xml"/><Relationship Id="rId84" Type="http://schemas.microsoft.com/office/2017/10/relationships/person" Target="persons/person11.xml"/><Relationship Id="rId89" Type="http://schemas.microsoft.com/office/2017/10/relationships/person" Target="persons/person16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sheetMetadata" Target="metadata.xml"/><Relationship Id="rId37" Type="http://schemas.microsoft.com/office/2017/10/relationships/person" Target="persons/person29.xml"/><Relationship Id="rId53" Type="http://schemas.microsoft.com/office/2017/10/relationships/person" Target="persons/person45.xml"/><Relationship Id="rId58" Type="http://schemas.microsoft.com/office/2017/10/relationships/person" Target="persons/person1.xml"/><Relationship Id="rId74" Type="http://schemas.microsoft.com/office/2017/10/relationships/person" Target="persons/person63.xml"/><Relationship Id="rId79" Type="http://schemas.microsoft.com/office/2017/10/relationships/person" Target="persons/person7.xml"/><Relationship Id="rId5" Type="http://schemas.openxmlformats.org/officeDocument/2006/relationships/worksheet" Target="worksheets/sheet5.xml"/><Relationship Id="rId90" Type="http://schemas.microsoft.com/office/2017/10/relationships/person" Target="persons/person24.xml"/><Relationship Id="rId95" Type="http://schemas.microsoft.com/office/2017/10/relationships/person" Target="persons/person2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69" Type="http://schemas.microsoft.com/office/2017/10/relationships/person" Target="persons/person8.xml"/><Relationship Id="rId48" Type="http://schemas.microsoft.com/office/2017/10/relationships/person" Target="persons/person41.xml"/><Relationship Id="rId43" Type="http://schemas.microsoft.com/office/2017/10/relationships/person" Target="persons/person39.xml"/><Relationship Id="rId64" Type="http://schemas.microsoft.com/office/2017/10/relationships/person" Target="persons/person54.xml"/><Relationship Id="rId85" Type="http://schemas.microsoft.com/office/2017/10/relationships/person" Target="persons/person17.xml"/><Relationship Id="rId80" Type="http://schemas.microsoft.com/office/2017/10/relationships/person" Target="persons/person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67" Type="http://schemas.microsoft.com/office/2017/10/relationships/person" Target="persons/person58.xml"/><Relationship Id="rId59" Type="http://schemas.microsoft.com/office/2017/10/relationships/person" Target="persons/person4.xml"/><Relationship Id="rId46" Type="http://schemas.microsoft.com/office/2017/10/relationships/person" Target="persons/person38.xml"/><Relationship Id="rId38" Type="http://schemas.microsoft.com/office/2017/10/relationships/person" Target="persons/person31.xml"/><Relationship Id="rId20" Type="http://schemas.openxmlformats.org/officeDocument/2006/relationships/worksheet" Target="worksheets/sheet20.xml"/><Relationship Id="rId96" Type="http://schemas.microsoft.com/office/2017/10/relationships/person" Target="persons/person26.xml"/><Relationship Id="rId91" Type="http://schemas.microsoft.com/office/2017/10/relationships/person" Target="persons/person18.xml"/><Relationship Id="rId83" Type="http://schemas.microsoft.com/office/2017/10/relationships/person" Target="persons/person13.xml"/><Relationship Id="rId75" Type="http://schemas.microsoft.com/office/2017/10/relationships/person" Target="persons/person3.xml"/><Relationship Id="rId70" Type="http://schemas.microsoft.com/office/2017/10/relationships/person" Target="persons/person60.xml"/><Relationship Id="rId62" Type="http://schemas.microsoft.com/office/2017/10/relationships/person" Target="persons/person53.xml"/><Relationship Id="rId41" Type="http://schemas.microsoft.com/office/2017/10/relationships/person" Target="persons/person34.xml"/><Relationship Id="rId54" Type="http://schemas.microsoft.com/office/2017/10/relationships/person" Target="persons/person46.xml"/><Relationship Id="rId88" Type="http://schemas.microsoft.com/office/2017/10/relationships/person" Target="persons/person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57" Type="http://schemas.microsoft.com/office/2017/10/relationships/person" Target="persons/person48.xml"/><Relationship Id="rId36" Type="http://schemas.microsoft.com/office/2017/10/relationships/person" Target="persons/person28.xml"/><Relationship Id="rId49" Type="http://schemas.microsoft.com/office/2017/10/relationships/person" Target="persons/person40.xml"/><Relationship Id="rId10" Type="http://schemas.openxmlformats.org/officeDocument/2006/relationships/worksheet" Target="worksheets/sheet10.xml"/><Relationship Id="rId31" Type="http://schemas.openxmlformats.org/officeDocument/2006/relationships/sharedStrings" Target="sharedStrings.xml"/><Relationship Id="rId86" Type="http://schemas.microsoft.com/office/2017/10/relationships/person" Target="persons/person15.xml"/><Relationship Id="rId81" Type="http://schemas.microsoft.com/office/2017/10/relationships/person" Target="persons/person10.xml"/><Relationship Id="rId78" Type="http://schemas.microsoft.com/office/2017/10/relationships/person" Target="persons/person5.xml"/><Relationship Id="rId65" Type="http://schemas.microsoft.com/office/2017/10/relationships/person" Target="persons/person56.xml"/><Relationship Id="rId60" Type="http://schemas.microsoft.com/office/2017/10/relationships/person" Target="persons/person50.xml"/><Relationship Id="rId94" Type="http://schemas.microsoft.com/office/2017/10/relationships/person" Target="persons/person23.xml"/><Relationship Id="rId44" Type="http://schemas.microsoft.com/office/2017/10/relationships/person" Target="persons/person35.xml"/><Relationship Id="rId52" Type="http://schemas.microsoft.com/office/2017/10/relationships/person" Target="persons/person44.xml"/><Relationship Id="rId73" Type="http://schemas.microsoft.com/office/2017/10/relationships/person" Target="persons/person6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32.xml"/><Relationship Id="rId97" Type="http://schemas.microsoft.com/office/2017/10/relationships/person" Target="persons/person19.xml"/><Relationship Id="rId76" Type="http://schemas.microsoft.com/office/2017/10/relationships/person" Target="persons/person9.xml"/><Relationship Id="rId34" Type="http://schemas.microsoft.com/office/2017/10/relationships/person" Target="persons/person27.xml"/><Relationship Id="rId50" Type="http://schemas.microsoft.com/office/2017/10/relationships/person" Target="persons/person42.xml"/><Relationship Id="rId55" Type="http://schemas.microsoft.com/office/2017/10/relationships/person" Target="persons/person47.xml"/><Relationship Id="rId7" Type="http://schemas.openxmlformats.org/officeDocument/2006/relationships/worksheet" Target="worksheets/sheet7.xml"/><Relationship Id="rId92" Type="http://schemas.microsoft.com/office/2017/10/relationships/person" Target="persons/person20.xml"/><Relationship Id="rId71" Type="http://schemas.microsoft.com/office/2017/10/relationships/person" Target="persons/person2.xml"/><Relationship Id="rId2" Type="http://schemas.openxmlformats.org/officeDocument/2006/relationships/worksheet" Target="worksheets/sheet2.xml"/><Relationship Id="rId29" Type="http://schemas.openxmlformats.org/officeDocument/2006/relationships/theme" Target="theme/theme1.xml"/><Relationship Id="rId24" Type="http://schemas.openxmlformats.org/officeDocument/2006/relationships/worksheet" Target="worksheets/sheet24.xml"/><Relationship Id="rId87" Type="http://schemas.microsoft.com/office/2017/10/relationships/person" Target="persons/person22.xml"/><Relationship Id="rId40" Type="http://schemas.microsoft.com/office/2017/10/relationships/person" Target="persons/person0.xml"/><Relationship Id="rId45" Type="http://schemas.microsoft.com/office/2017/10/relationships/person" Target="persons/person36.xml"/><Relationship Id="rId66" Type="http://schemas.microsoft.com/office/2017/10/relationships/person" Target="persons/person55.xml"/><Relationship Id="rId61" Type="http://schemas.microsoft.com/office/2017/10/relationships/person" Target="persons/person49.xml"/><Relationship Id="rId82" Type="http://schemas.microsoft.com/office/2017/10/relationships/person" Target="persons/person59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styles" Target="styles.xml"/><Relationship Id="rId56" Type="http://schemas.microsoft.com/office/2017/10/relationships/person" Target="persons/person51.xml"/><Relationship Id="rId35" Type="http://schemas.microsoft.com/office/2017/10/relationships/person" Target="persons/person30.xml"/><Relationship Id="rId77" Type="http://schemas.microsoft.com/office/2017/10/relationships/person" Target="persons/person.xml"/><Relationship Id="rId8" Type="http://schemas.openxmlformats.org/officeDocument/2006/relationships/worksheet" Target="worksheets/sheet8.xml"/><Relationship Id="rId98" Type="http://schemas.microsoft.com/office/2017/10/relationships/person" Target="persons/person25.xml"/><Relationship Id="rId51" Type="http://schemas.microsoft.com/office/2017/10/relationships/person" Target="persons/person43.xml"/><Relationship Id="rId72" Type="http://schemas.microsoft.com/office/2017/10/relationships/person" Target="persons/person61.xml"/><Relationship Id="rId93" Type="http://schemas.microsoft.com/office/2017/10/relationships/person" Target="persons/person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I808"/>
  <sheetViews>
    <sheetView topLeftCell="A580" zoomScaleNormal="100" workbookViewId="0">
      <selection activeCell="B791" sqref="B791:E808"/>
    </sheetView>
  </sheetViews>
  <sheetFormatPr defaultRowHeight="15" x14ac:dyDescent="0.25"/>
  <cols>
    <col min="2" max="2" width="29.5703125" customWidth="1"/>
    <col min="3" max="3" width="27.28515625" customWidth="1"/>
    <col min="4" max="4" width="18" customWidth="1"/>
    <col min="5" max="5" width="18.5703125" customWidth="1"/>
    <col min="6" max="6" width="20.7109375" customWidth="1"/>
    <col min="7" max="7" width="18" customWidth="1"/>
    <col min="8" max="8" width="16.5703125" bestFit="1" customWidth="1"/>
    <col min="9" max="9" width="15.5703125" customWidth="1"/>
  </cols>
  <sheetData>
    <row r="1" spans="2:8" x14ac:dyDescent="0.25">
      <c r="B1" s="62" t="s">
        <v>0</v>
      </c>
      <c r="C1" s="64" t="s">
        <v>5</v>
      </c>
      <c r="D1" s="64" t="s">
        <v>1</v>
      </c>
      <c r="E1" s="64" t="s">
        <v>2</v>
      </c>
      <c r="F1" s="64" t="s">
        <v>3</v>
      </c>
      <c r="G1" s="60" t="s">
        <v>4</v>
      </c>
    </row>
    <row r="2" spans="2:8" x14ac:dyDescent="0.25">
      <c r="B2" s="63"/>
      <c r="C2" s="65"/>
      <c r="D2" s="65"/>
      <c r="E2" s="65"/>
      <c r="F2" s="65"/>
      <c r="G2" s="61"/>
    </row>
    <row r="3" spans="2:8" ht="15.75" x14ac:dyDescent="0.25">
      <c r="B3" s="4">
        <v>45243</v>
      </c>
      <c r="C3" s="5" t="s">
        <v>3</v>
      </c>
      <c r="D3" s="6">
        <v>162259</v>
      </c>
      <c r="E3" s="6"/>
      <c r="F3" s="7">
        <f>IF(OR(D3&lt;&gt;0,E3&lt;&gt;0),SUM(D$3:D3)-SUM(E$3:E3),0)</f>
        <v>162259</v>
      </c>
      <c r="G3" s="1"/>
      <c r="H3" s="2"/>
    </row>
    <row r="4" spans="2:8" ht="15.75" x14ac:dyDescent="0.25">
      <c r="B4" s="56">
        <v>45244</v>
      </c>
      <c r="C4" s="5" t="s">
        <v>7</v>
      </c>
      <c r="D4" s="6">
        <v>1500000</v>
      </c>
      <c r="E4" s="6"/>
      <c r="F4" s="7">
        <f>IF(OR(D4&lt;&gt;0,E4&lt;&gt;0),SUM(D$3:D4)-SUM(E$3:E4),0)</f>
        <v>1662259</v>
      </c>
      <c r="G4" s="1"/>
    </row>
    <row r="5" spans="2:8" ht="15.75" x14ac:dyDescent="0.25">
      <c r="B5" s="57"/>
      <c r="C5" s="5" t="s">
        <v>6</v>
      </c>
      <c r="D5" s="6"/>
      <c r="E5" s="6">
        <v>18800</v>
      </c>
      <c r="F5" s="7">
        <f>IF(OR(D5&lt;&gt;0,E5&lt;&gt;0),SUM(D$3:D5)-SUM(E$3:E5),0)</f>
        <v>1643459</v>
      </c>
      <c r="G5" s="1"/>
    </row>
    <row r="6" spans="2:8" ht="15.75" x14ac:dyDescent="0.25">
      <c r="B6" s="57"/>
      <c r="C6" s="5" t="s">
        <v>8</v>
      </c>
      <c r="D6" s="6"/>
      <c r="E6" s="6">
        <v>121890</v>
      </c>
      <c r="F6" s="7">
        <f>IF(OR(D6&lt;&gt;0,E6&lt;&gt;0),SUM(D$3:D6)-SUM(E$3:E6),0)</f>
        <v>1521569</v>
      </c>
      <c r="G6" s="1"/>
    </row>
    <row r="7" spans="2:8" ht="15.75" x14ac:dyDescent="0.25">
      <c r="B7" s="57"/>
      <c r="C7" s="5" t="s">
        <v>9</v>
      </c>
      <c r="D7" s="6"/>
      <c r="E7" s="6">
        <v>360000</v>
      </c>
      <c r="F7" s="7">
        <f>IF(OR(D7&lt;&gt;0,E7&lt;&gt;0),SUM(D$3:D7)-SUM(E$3:E7),0)</f>
        <v>1161569</v>
      </c>
      <c r="G7" s="1"/>
    </row>
    <row r="8" spans="2:8" ht="15.75" x14ac:dyDescent="0.25">
      <c r="B8" s="57"/>
      <c r="C8" s="5" t="s">
        <v>10</v>
      </c>
      <c r="D8" s="6"/>
      <c r="E8" s="6">
        <v>200000</v>
      </c>
      <c r="F8" s="7">
        <f>IF(OR(D8&lt;&gt;0,E8&lt;&gt;0),SUM(D$3:D8)-SUM(E$3:E8),0)</f>
        <v>961569</v>
      </c>
      <c r="G8" s="1"/>
    </row>
    <row r="9" spans="2:8" ht="15.75" x14ac:dyDescent="0.25">
      <c r="B9" s="57"/>
      <c r="C9" s="5" t="s">
        <v>11</v>
      </c>
      <c r="D9" s="6"/>
      <c r="E9" s="6">
        <v>25500</v>
      </c>
      <c r="F9" s="7">
        <f>IF(OR(D9&lt;&gt;0,E9&lt;&gt;0),SUM(D$3:D9)-SUM(E$3:E9),0)</f>
        <v>936069</v>
      </c>
      <c r="G9" s="1"/>
    </row>
    <row r="10" spans="2:8" ht="15.75" x14ac:dyDescent="0.25">
      <c r="B10" s="57"/>
      <c r="C10" s="5" t="s">
        <v>12</v>
      </c>
      <c r="D10" s="6"/>
      <c r="E10" s="6">
        <v>25000</v>
      </c>
      <c r="F10" s="7">
        <f>IF(OR(D10&lt;&gt;0,E10&lt;&gt;0),SUM(D$3:D10)-SUM(E$3:E10),0)</f>
        <v>911069</v>
      </c>
      <c r="G10" s="1"/>
    </row>
    <row r="11" spans="2:8" ht="15.75" x14ac:dyDescent="0.25">
      <c r="B11" s="57"/>
      <c r="C11" s="5" t="s">
        <v>13</v>
      </c>
      <c r="D11" s="6"/>
      <c r="E11" s="6">
        <v>200000</v>
      </c>
      <c r="F11" s="7">
        <f>IF(OR(D11&lt;&gt;0,E11&lt;&gt;0),SUM(D$3:D11)-SUM(E$3:E11),0)</f>
        <v>711069</v>
      </c>
      <c r="G11" s="1"/>
    </row>
    <row r="12" spans="2:8" ht="15.75" x14ac:dyDescent="0.25">
      <c r="B12" s="57"/>
      <c r="C12" s="5" t="s">
        <v>14</v>
      </c>
      <c r="D12" s="6"/>
      <c r="E12" s="6">
        <v>30000</v>
      </c>
      <c r="F12" s="7">
        <f>IF(OR(D12&lt;&gt;0,E12&lt;&gt;0),SUM(D$3:D12)-SUM(E$3:E12),0)</f>
        <v>681069</v>
      </c>
      <c r="G12" s="1"/>
    </row>
    <row r="13" spans="2:8" ht="15.75" x14ac:dyDescent="0.25">
      <c r="B13" s="57"/>
      <c r="C13" s="5" t="s">
        <v>15</v>
      </c>
      <c r="D13" s="6"/>
      <c r="E13" s="6">
        <v>50000</v>
      </c>
      <c r="F13" s="7">
        <f>IF(OR(D13&lt;&gt;0,E13&lt;&gt;0),SUM(D$3:D13)-SUM(E$3:E13),0)</f>
        <v>631069</v>
      </c>
      <c r="G13" s="1"/>
    </row>
    <row r="14" spans="2:8" ht="15.75" x14ac:dyDescent="0.25">
      <c r="B14" s="58"/>
      <c r="C14" s="5" t="s">
        <v>16</v>
      </c>
      <c r="D14" s="6"/>
      <c r="E14" s="6">
        <v>125000</v>
      </c>
      <c r="F14" s="7">
        <f>IF(OR(D14&lt;&gt;0,E14&lt;&gt;0),SUM(D$3:D14)-SUM(E$3:E14),0)</f>
        <v>506069</v>
      </c>
      <c r="G14" s="1"/>
    </row>
    <row r="15" spans="2:8" ht="15.75" x14ac:dyDescent="0.25">
      <c r="B15" s="56">
        <v>45245</v>
      </c>
      <c r="C15" s="5" t="s">
        <v>17</v>
      </c>
      <c r="D15" s="6"/>
      <c r="E15" s="6">
        <v>200000</v>
      </c>
      <c r="F15" s="7">
        <f>IF(OR(D15&lt;&gt;0,E15&lt;&gt;0),SUM(D$3:D15)-SUM(E$3:E15),0)</f>
        <v>306069</v>
      </c>
      <c r="G15" s="1"/>
    </row>
    <row r="16" spans="2:8" ht="15.75" x14ac:dyDescent="0.25">
      <c r="B16" s="57"/>
      <c r="C16" s="5" t="s">
        <v>18</v>
      </c>
      <c r="D16" s="6"/>
      <c r="E16" s="6">
        <v>15000</v>
      </c>
      <c r="F16" s="7">
        <f>IF(OR(D16&lt;&gt;0,E16&lt;&gt;0),SUM(D$3:D16)-SUM(E$3:E16),0)</f>
        <v>291069</v>
      </c>
      <c r="G16" s="1"/>
    </row>
    <row r="17" spans="2:7" ht="15.75" x14ac:dyDescent="0.25">
      <c r="B17" s="57"/>
      <c r="C17" s="5" t="s">
        <v>7</v>
      </c>
      <c r="D17" s="6">
        <v>1000000</v>
      </c>
      <c r="E17" s="6"/>
      <c r="F17" s="7">
        <f>IF(OR(D17&lt;&gt;0,E17&lt;&gt;0),SUM(D$3:D17)-SUM(E$3:E17),0)</f>
        <v>1291069</v>
      </c>
      <c r="G17" s="1"/>
    </row>
    <row r="18" spans="2:7" ht="15.75" x14ac:dyDescent="0.25">
      <c r="B18" s="59">
        <v>45246</v>
      </c>
      <c r="C18" s="5" t="s">
        <v>19</v>
      </c>
      <c r="D18" s="5"/>
      <c r="E18" s="6">
        <v>60000</v>
      </c>
      <c r="F18" s="7">
        <f>IF(OR(D18&lt;&gt;0,E18&lt;&gt;0),SUM(D$3:D18)-SUM(E$3:E18),0)</f>
        <v>1231069</v>
      </c>
      <c r="G18" s="1"/>
    </row>
    <row r="19" spans="2:7" ht="15.75" x14ac:dyDescent="0.25">
      <c r="B19" s="59"/>
      <c r="C19" s="5" t="s">
        <v>20</v>
      </c>
      <c r="D19" s="5"/>
      <c r="E19" s="6">
        <v>185000</v>
      </c>
      <c r="F19" s="7">
        <f>IF(OR(D19&lt;&gt;0,E19&lt;&gt;0),SUM(D$3:D19)-SUM(E$3:E19),0)</f>
        <v>1046069</v>
      </c>
      <c r="G19" s="1"/>
    </row>
    <row r="20" spans="2:7" ht="15.75" x14ac:dyDescent="0.25">
      <c r="B20" s="59"/>
      <c r="C20" s="5" t="s">
        <v>21</v>
      </c>
      <c r="D20" s="5"/>
      <c r="E20" s="6">
        <v>65000</v>
      </c>
      <c r="F20" s="7">
        <f>IF(OR(D20&lt;&gt;0,E20&lt;&gt;0),SUM(D$3:D20)-SUM(E$3:E20),0)</f>
        <v>981069</v>
      </c>
      <c r="G20" s="1"/>
    </row>
    <row r="21" spans="2:7" ht="15.75" x14ac:dyDescent="0.25">
      <c r="B21" s="59"/>
      <c r="C21" s="5" t="s">
        <v>22</v>
      </c>
      <c r="D21" s="5"/>
      <c r="E21" s="6">
        <v>120000</v>
      </c>
      <c r="F21" s="7">
        <f>IF(OR(D21&lt;&gt;0,E21&lt;&gt;0),SUM(D$3:D21)-SUM(E$3:E21),0)</f>
        <v>861069</v>
      </c>
      <c r="G21" s="1"/>
    </row>
    <row r="22" spans="2:7" ht="15.75" x14ac:dyDescent="0.25">
      <c r="B22" s="59"/>
      <c r="C22" s="5" t="s">
        <v>23</v>
      </c>
      <c r="D22" s="5"/>
      <c r="E22" s="6">
        <v>5000</v>
      </c>
      <c r="F22" s="7">
        <f>IF(OR(D22&lt;&gt;0,E22&lt;&gt;0),SUM(D$3:D22)-SUM(E$3:E22),0)</f>
        <v>856069</v>
      </c>
      <c r="G22" s="1"/>
    </row>
    <row r="23" spans="2:7" ht="15.75" x14ac:dyDescent="0.25">
      <c r="B23" s="59"/>
      <c r="C23" s="5" t="s">
        <v>24</v>
      </c>
      <c r="D23" s="5"/>
      <c r="E23" s="6">
        <v>30000</v>
      </c>
      <c r="F23" s="7">
        <f>IF(OR(D23&lt;&gt;0,E23&lt;&gt;0),SUM(D$3:D23)-SUM(E$3:E23),0)</f>
        <v>826069</v>
      </c>
      <c r="G23" s="1"/>
    </row>
    <row r="24" spans="2:7" ht="15.75" x14ac:dyDescent="0.25">
      <c r="B24" s="59"/>
      <c r="C24" s="5" t="s">
        <v>25</v>
      </c>
      <c r="D24" s="5"/>
      <c r="E24" s="6">
        <v>110000</v>
      </c>
      <c r="F24" s="7">
        <f>IF(OR(D24&lt;&gt;0,E24&lt;&gt;0),SUM(D$3:D24)-SUM(E$3:E24),0)</f>
        <v>716069</v>
      </c>
      <c r="G24" s="1"/>
    </row>
    <row r="25" spans="2:7" ht="15.75" x14ac:dyDescent="0.25">
      <c r="B25" s="59"/>
      <c r="C25" s="5" t="s">
        <v>26</v>
      </c>
      <c r="D25" s="5"/>
      <c r="E25" s="6">
        <v>32500</v>
      </c>
      <c r="F25" s="7">
        <f>IF(OR(D25&lt;&gt;0,E25&lt;&gt;0),SUM(D$3:D25)-SUM(E$3:E25),0)</f>
        <v>683569</v>
      </c>
      <c r="G25" s="1"/>
    </row>
    <row r="26" spans="2:7" ht="15.75" x14ac:dyDescent="0.25">
      <c r="B26" s="59"/>
      <c r="C26" s="5" t="s">
        <v>27</v>
      </c>
      <c r="D26" s="5"/>
      <c r="E26" s="6">
        <v>200000</v>
      </c>
      <c r="F26" s="7">
        <f>IF(OR(D26&lt;&gt;0,E26&lt;&gt;0),SUM(D$3:D26)-SUM(E$3:E26),0)</f>
        <v>483569</v>
      </c>
      <c r="G26" s="1"/>
    </row>
    <row r="27" spans="2:7" ht="15.75" x14ac:dyDescent="0.25">
      <c r="B27" s="59"/>
      <c r="C27" s="5" t="s">
        <v>14</v>
      </c>
      <c r="D27" s="5"/>
      <c r="E27" s="6">
        <v>20000</v>
      </c>
      <c r="F27" s="7">
        <f>IF(OR(D27&lt;&gt;0,E27&lt;&gt;0),SUM(D$3:D27)-SUM(E$3:E27),0)</f>
        <v>463569</v>
      </c>
      <c r="G27" s="1"/>
    </row>
    <row r="28" spans="2:7" ht="15.75" x14ac:dyDescent="0.25">
      <c r="B28" s="56">
        <v>45247</v>
      </c>
      <c r="C28" s="5" t="s">
        <v>28</v>
      </c>
      <c r="D28" s="5"/>
      <c r="E28" s="6">
        <v>6000</v>
      </c>
      <c r="F28" s="7">
        <f>IF(OR(D28&lt;&gt;0,E28&lt;&gt;0),SUM(D$3:D28)-SUM(E$3:E28),0)</f>
        <v>457569</v>
      </c>
      <c r="G28" s="1"/>
    </row>
    <row r="29" spans="2:7" ht="15.75" x14ac:dyDescent="0.25">
      <c r="B29" s="57"/>
      <c r="C29" s="5" t="s">
        <v>29</v>
      </c>
      <c r="D29" s="5"/>
      <c r="E29" s="6">
        <v>100000</v>
      </c>
      <c r="F29" s="7">
        <f>IF(OR(D29&lt;&gt;0,E29&lt;&gt;0),SUM(D$3:D29)-SUM(E$3:E29),0)</f>
        <v>357569</v>
      </c>
      <c r="G29" s="1"/>
    </row>
    <row r="30" spans="2:7" ht="15.75" x14ac:dyDescent="0.25">
      <c r="B30" s="57"/>
      <c r="C30" s="5" t="s">
        <v>34</v>
      </c>
      <c r="D30" s="5"/>
      <c r="E30" s="6">
        <v>10000</v>
      </c>
      <c r="F30" s="7">
        <f>IF(OR(D30&lt;&gt;0,E30&lt;&gt;0),SUM(D$3:D30)-SUM(E$3:E30),0)</f>
        <v>347569</v>
      </c>
      <c r="G30" s="1"/>
    </row>
    <row r="31" spans="2:7" ht="15.75" x14ac:dyDescent="0.25">
      <c r="B31" s="58"/>
      <c r="C31" s="5" t="s">
        <v>14</v>
      </c>
      <c r="D31" s="5"/>
      <c r="E31" s="6">
        <v>30000</v>
      </c>
      <c r="F31" s="7">
        <f>IF(OR(D31&lt;&gt;0,E31&lt;&gt;0),SUM(D$3:D31)-SUM(E$3:E31),0)</f>
        <v>317569</v>
      </c>
      <c r="G31" s="1"/>
    </row>
    <row r="32" spans="2:7" ht="15.75" x14ac:dyDescent="0.25">
      <c r="B32" s="59">
        <v>45248</v>
      </c>
      <c r="C32" s="5" t="s">
        <v>30</v>
      </c>
      <c r="D32" s="5"/>
      <c r="E32" s="6">
        <v>150000</v>
      </c>
      <c r="F32" s="7">
        <f>IF(OR(D32&lt;&gt;0,E32&lt;&gt;0),SUM(D$3:D32)-SUM(E$3:E32),0)</f>
        <v>167569</v>
      </c>
      <c r="G32" s="1"/>
    </row>
    <row r="33" spans="2:9" ht="15.75" x14ac:dyDescent="0.25">
      <c r="B33" s="59"/>
      <c r="C33" s="5" t="s">
        <v>39</v>
      </c>
      <c r="D33" s="5"/>
      <c r="E33" s="6">
        <v>45750</v>
      </c>
      <c r="F33" s="7">
        <f>IF(OR(D33&lt;&gt;0,E33&lt;&gt;0),SUM(D$3:D33)-SUM(E$3:E33),0)</f>
        <v>121819</v>
      </c>
      <c r="G33" s="1"/>
    </row>
    <row r="34" spans="2:9" ht="15.75" x14ac:dyDescent="0.25">
      <c r="B34" s="59"/>
      <c r="C34" s="5" t="s">
        <v>31</v>
      </c>
      <c r="D34" s="5"/>
      <c r="E34" s="6">
        <v>26500</v>
      </c>
      <c r="F34" s="7">
        <f>IF(OR(D34&lt;&gt;0,E34&lt;&gt;0),SUM(D$3:D34)-SUM(E$3:E34),0)</f>
        <v>95319</v>
      </c>
      <c r="G34" s="1"/>
    </row>
    <row r="35" spans="2:9" ht="15.75" x14ac:dyDescent="0.25">
      <c r="B35" s="59"/>
      <c r="C35" s="5" t="s">
        <v>32</v>
      </c>
      <c r="D35" s="5"/>
      <c r="E35" s="6">
        <v>300000</v>
      </c>
      <c r="F35" s="7">
        <f>IF(OR(D35&lt;&gt;0,E35&lt;&gt;0),SUM(D$3:D35)-SUM(E$3:E35),0)</f>
        <v>-204681</v>
      </c>
      <c r="G35" s="1"/>
    </row>
    <row r="36" spans="2:9" ht="15.75" x14ac:dyDescent="0.25">
      <c r="B36" s="59"/>
      <c r="C36" s="5" t="s">
        <v>7</v>
      </c>
      <c r="D36" s="6">
        <v>1000000</v>
      </c>
      <c r="E36" s="6"/>
      <c r="F36" s="7">
        <f>IF(OR(D36&lt;&gt;0,E36&lt;&gt;0),SUM(D$3:D36)-SUM(E$3:E36),0)</f>
        <v>795319</v>
      </c>
      <c r="G36" s="1"/>
    </row>
    <row r="37" spans="2:9" ht="15.75" x14ac:dyDescent="0.25">
      <c r="B37" s="59"/>
      <c r="C37" s="5" t="s">
        <v>33</v>
      </c>
      <c r="D37" s="6"/>
      <c r="E37" s="6">
        <v>100000</v>
      </c>
      <c r="F37" s="7">
        <f>IF(OR(D37&lt;&gt;0,E37&lt;&gt;0),SUM(D$3:D37)-SUM(E$3:E37),0)</f>
        <v>695319</v>
      </c>
      <c r="G37" s="1"/>
    </row>
    <row r="38" spans="2:9" ht="15.75" x14ac:dyDescent="0.25">
      <c r="B38" s="59"/>
      <c r="C38" s="5" t="s">
        <v>35</v>
      </c>
      <c r="D38" s="6"/>
      <c r="E38" s="6">
        <v>50000</v>
      </c>
      <c r="F38" s="7">
        <f>IF(OR(D38&lt;&gt;0,E38&lt;&gt;0),SUM(D$3:D38)-SUM(E$3:E38),0)</f>
        <v>645319</v>
      </c>
      <c r="G38" s="1"/>
    </row>
    <row r="39" spans="2:9" ht="15.75" x14ac:dyDescent="0.25">
      <c r="B39" s="59"/>
      <c r="C39" s="5" t="s">
        <v>14</v>
      </c>
      <c r="D39" s="6"/>
      <c r="E39" s="6">
        <v>30000</v>
      </c>
      <c r="F39" s="7">
        <f>IF(OR(D39&lt;&gt;0,E39&lt;&gt;0),SUM(D$3:D39)-SUM(E$3:E39),0)</f>
        <v>615319</v>
      </c>
      <c r="G39" s="1"/>
    </row>
    <row r="40" spans="2:9" ht="15.75" x14ac:dyDescent="0.25">
      <c r="B40" s="59"/>
      <c r="C40" s="5" t="s">
        <v>36</v>
      </c>
      <c r="D40" s="6"/>
      <c r="E40" s="6">
        <v>80000</v>
      </c>
      <c r="F40" s="7">
        <f>IF(OR(D40&lt;&gt;0,E40&lt;&gt;0),SUM(D$3:D40)-SUM(E$3:E40),0)</f>
        <v>535319</v>
      </c>
      <c r="G40" s="1"/>
    </row>
    <row r="41" spans="2:9" ht="15.75" x14ac:dyDescent="0.25">
      <c r="B41" s="59"/>
      <c r="C41" s="5" t="s">
        <v>38</v>
      </c>
      <c r="D41" s="5"/>
      <c r="E41" s="6">
        <v>45750</v>
      </c>
      <c r="F41" s="7">
        <f>IF(OR(D41&lt;&gt;0,E41&lt;&gt;0),SUM(D$3:D41)-SUM(E$3:E41),0)</f>
        <v>489569</v>
      </c>
      <c r="G41" s="1"/>
    </row>
    <row r="42" spans="2:9" ht="15.75" x14ac:dyDescent="0.25">
      <c r="B42" s="56">
        <v>45250</v>
      </c>
      <c r="C42" s="5" t="s">
        <v>37</v>
      </c>
      <c r="D42" s="5"/>
      <c r="E42" s="6">
        <v>100000</v>
      </c>
      <c r="F42" s="7">
        <f>IF(OR(D42&lt;&gt;0,E42&lt;&gt;0),SUM(D$3:D42)-SUM(E$3:E42),0)</f>
        <v>389569</v>
      </c>
      <c r="G42" s="1"/>
    </row>
    <row r="43" spans="2:9" ht="15.75" x14ac:dyDescent="0.25">
      <c r="B43" s="57"/>
      <c r="C43" s="5" t="s">
        <v>7</v>
      </c>
      <c r="D43" s="6">
        <v>1000000</v>
      </c>
      <c r="E43" s="6"/>
      <c r="F43" s="7">
        <f>IF(OR(D43&lt;&gt;0,E43&lt;&gt;0),SUM(D$3:D43)-SUM(E$3:E43),0)</f>
        <v>1389569</v>
      </c>
      <c r="G43" s="1"/>
    </row>
    <row r="44" spans="2:9" ht="15.75" x14ac:dyDescent="0.25">
      <c r="B44" s="57"/>
      <c r="C44" s="5" t="s">
        <v>40</v>
      </c>
      <c r="D44" s="5"/>
      <c r="E44" s="6">
        <v>475000</v>
      </c>
      <c r="F44" s="7">
        <f>IF(OR(D44&lt;&gt;0,E44&lt;&gt;0),SUM(D$3:D44)-SUM(E$3:E44),0)</f>
        <v>914569</v>
      </c>
      <c r="G44" s="1"/>
    </row>
    <row r="45" spans="2:9" ht="15.75" x14ac:dyDescent="0.25">
      <c r="B45" s="57"/>
      <c r="C45" s="5" t="s">
        <v>41</v>
      </c>
      <c r="D45" s="5"/>
      <c r="E45" s="6">
        <v>200000</v>
      </c>
      <c r="F45" s="7">
        <f>IF(OR(D45&lt;&gt;0,E45&lt;&gt;0),SUM(D$3:D45)-SUM(E$3:E45),0)</f>
        <v>714569</v>
      </c>
      <c r="G45" s="1"/>
      <c r="H45" s="3"/>
      <c r="I45" s="3"/>
    </row>
    <row r="46" spans="2:9" ht="15.75" x14ac:dyDescent="0.25">
      <c r="B46" s="57"/>
      <c r="C46" s="5" t="s">
        <v>42</v>
      </c>
      <c r="D46" s="6"/>
      <c r="E46" s="6">
        <v>38000</v>
      </c>
      <c r="F46" s="7">
        <f>IF(OR(D46&lt;&gt;0,E46&lt;&gt;0),SUM(D$3:D46)-SUM(E$3:E46),0)</f>
        <v>676569</v>
      </c>
      <c r="G46" s="1"/>
    </row>
    <row r="47" spans="2:9" ht="15.75" x14ac:dyDescent="0.25">
      <c r="B47" s="57"/>
      <c r="C47" s="5" t="s">
        <v>43</v>
      </c>
      <c r="D47" s="6"/>
      <c r="E47" s="6">
        <v>100000</v>
      </c>
      <c r="F47" s="7">
        <f>IF(OR(D47&lt;&gt;0,E47&lt;&gt;0),SUM(D$3:D47)-SUM(E$3:E47),0)</f>
        <v>576569</v>
      </c>
      <c r="G47" s="1"/>
    </row>
    <row r="48" spans="2:9" ht="15.75" x14ac:dyDescent="0.25">
      <c r="B48" s="58"/>
      <c r="C48" s="5" t="s">
        <v>14</v>
      </c>
      <c r="D48" s="6"/>
      <c r="E48" s="6">
        <v>40000</v>
      </c>
      <c r="F48" s="7">
        <f>IF(OR(D48&lt;&gt;0,E48&lt;&gt;0),SUM(D$3:D48)-SUM(E$3:E48),0)</f>
        <v>536569</v>
      </c>
      <c r="G48" s="1"/>
    </row>
    <row r="49" spans="2:8" ht="15.75" x14ac:dyDescent="0.25">
      <c r="B49" s="59">
        <v>45251</v>
      </c>
      <c r="C49" s="5" t="s">
        <v>44</v>
      </c>
      <c r="D49" s="6">
        <v>540000</v>
      </c>
      <c r="E49" s="6"/>
      <c r="F49" s="7">
        <f>IF(OR(D49&lt;&gt;0,E49&lt;&gt;0),SUM(D$3:D49)-SUM(E$3:E49),0)</f>
        <v>1076569</v>
      </c>
      <c r="G49" s="1"/>
      <c r="H49" s="3"/>
    </row>
    <row r="50" spans="2:8" ht="15.75" x14ac:dyDescent="0.25">
      <c r="B50" s="59"/>
      <c r="C50" s="5" t="s">
        <v>45</v>
      </c>
      <c r="D50" s="5"/>
      <c r="E50" s="6">
        <v>165165</v>
      </c>
      <c r="F50" s="7">
        <f>IF(OR(D50&lt;&gt;0,E50&lt;&gt;0),SUM(D$3:D50)-SUM(E$3:E50),0)</f>
        <v>911404</v>
      </c>
      <c r="G50" s="1"/>
    </row>
    <row r="51" spans="2:8" ht="15.75" x14ac:dyDescent="0.25">
      <c r="B51" s="59"/>
      <c r="C51" s="5" t="s">
        <v>7</v>
      </c>
      <c r="D51" s="6">
        <v>200000</v>
      </c>
      <c r="E51" s="6"/>
      <c r="F51" s="7">
        <f>IF(OR(D51&lt;&gt;0,E51&lt;&gt;0),SUM(D$3:D51)-SUM(E$3:E51),0)</f>
        <v>1111404</v>
      </c>
      <c r="G51" s="1"/>
    </row>
    <row r="52" spans="2:8" ht="15.75" x14ac:dyDescent="0.25">
      <c r="B52" s="59"/>
      <c r="C52" s="5" t="s">
        <v>46</v>
      </c>
      <c r="D52" s="6"/>
      <c r="E52" s="6">
        <v>30000</v>
      </c>
      <c r="F52" s="7">
        <f>IF(OR(D52&lt;&gt;0,E52&lt;&gt;0),SUM(D$3:D52)-SUM(E$3:E52),0)</f>
        <v>1081404</v>
      </c>
      <c r="G52" s="1"/>
    </row>
    <row r="53" spans="2:8" ht="15.75" x14ac:dyDescent="0.25">
      <c r="B53" s="59"/>
      <c r="C53" s="5" t="s">
        <v>47</v>
      </c>
      <c r="D53" s="6"/>
      <c r="E53" s="6">
        <v>29800</v>
      </c>
      <c r="F53" s="7">
        <f>IF(OR(D53&lt;&gt;0,E53&lt;&gt;0),SUM(D$3:D53)-SUM(E$3:E53),0)</f>
        <v>1051604</v>
      </c>
      <c r="G53" s="1"/>
    </row>
    <row r="54" spans="2:8" ht="15.75" x14ac:dyDescent="0.25">
      <c r="B54" s="59"/>
      <c r="C54" s="5" t="s">
        <v>50</v>
      </c>
      <c r="D54" s="6"/>
      <c r="E54" s="6">
        <v>2000</v>
      </c>
      <c r="F54" s="7">
        <f>IF(OR(D54&lt;&gt;0,E54&lt;&gt;0),SUM(D$3:D54)-SUM(E$3:E54),0)</f>
        <v>1049604</v>
      </c>
      <c r="G54" s="1"/>
    </row>
    <row r="55" spans="2:8" ht="15.75" x14ac:dyDescent="0.25">
      <c r="B55" s="59"/>
      <c r="C55" s="5" t="s">
        <v>48</v>
      </c>
      <c r="D55" s="5"/>
      <c r="E55" s="6">
        <v>1000</v>
      </c>
      <c r="F55" s="7">
        <f>IF(OR(D55&lt;&gt;0,E55&lt;&gt;0),SUM(D$3:D55)-SUM(E$3:E55),0)</f>
        <v>1048604</v>
      </c>
      <c r="G55" s="1"/>
    </row>
    <row r="56" spans="2:8" ht="15.75" x14ac:dyDescent="0.25">
      <c r="B56" s="59"/>
      <c r="C56" s="5" t="s">
        <v>49</v>
      </c>
      <c r="D56" s="5"/>
      <c r="E56" s="6">
        <v>200000</v>
      </c>
      <c r="F56" s="7">
        <f>IF(OR(D56&lt;&gt;0,E56&lt;&gt;0),SUM(D$3:D56)-SUM(E$3:E56),0)</f>
        <v>848604</v>
      </c>
      <c r="G56" s="1"/>
    </row>
    <row r="57" spans="2:8" ht="15.75" x14ac:dyDescent="0.25">
      <c r="B57" s="59"/>
      <c r="C57" s="5" t="s">
        <v>51</v>
      </c>
      <c r="D57" s="5"/>
      <c r="E57" s="6">
        <v>150000</v>
      </c>
      <c r="F57" s="7">
        <f>IF(OR(D57&lt;&gt;0,E57&lt;&gt;0),SUM(D$3:D57)-SUM(E$3:E57),0)</f>
        <v>698604</v>
      </c>
      <c r="G57" s="1"/>
    </row>
    <row r="58" spans="2:8" ht="15.75" x14ac:dyDescent="0.25">
      <c r="B58" s="59"/>
      <c r="C58" s="5" t="s">
        <v>14</v>
      </c>
      <c r="D58" s="5"/>
      <c r="E58" s="6">
        <v>30000</v>
      </c>
      <c r="F58" s="7">
        <f>IF(OR(D58&lt;&gt;0,E58&lt;&gt;0),SUM(D$3:D58)-SUM(E$3:E58),0)</f>
        <v>668604</v>
      </c>
      <c r="G58" s="1"/>
    </row>
    <row r="59" spans="2:8" ht="15.75" x14ac:dyDescent="0.25">
      <c r="B59" s="59"/>
      <c r="C59" s="5" t="s">
        <v>52</v>
      </c>
      <c r="D59" s="5"/>
      <c r="E59" s="6">
        <v>25000</v>
      </c>
      <c r="F59" s="7">
        <f>IF(OR(D59&lt;&gt;0,E59&lt;&gt;0),SUM(D$3:D59)-SUM(E$3:E59),0)</f>
        <v>643604</v>
      </c>
      <c r="G59" s="1"/>
    </row>
    <row r="60" spans="2:8" ht="15.75" x14ac:dyDescent="0.25">
      <c r="B60" s="59"/>
      <c r="C60" s="5" t="s">
        <v>53</v>
      </c>
      <c r="D60" s="5"/>
      <c r="E60" s="6">
        <v>25000</v>
      </c>
      <c r="F60" s="7">
        <f>IF(OR(D60&lt;&gt;0,E60&lt;&gt;0),SUM(D$3:D60)-SUM(E$3:E60),0)</f>
        <v>618604</v>
      </c>
      <c r="G60" s="1"/>
    </row>
    <row r="61" spans="2:8" ht="15.75" x14ac:dyDescent="0.25">
      <c r="B61" s="56">
        <v>45252</v>
      </c>
      <c r="C61" s="5" t="s">
        <v>54</v>
      </c>
      <c r="D61" s="6"/>
      <c r="E61" s="6">
        <v>600000</v>
      </c>
      <c r="F61" s="7">
        <f>IF(OR(D61&lt;&gt;0,E61&lt;&gt;0),SUM(D$3:D61)-SUM(E$3:E61),0)</f>
        <v>18604</v>
      </c>
      <c r="G61" s="1"/>
    </row>
    <row r="62" spans="2:8" ht="15.75" x14ac:dyDescent="0.25">
      <c r="B62" s="57"/>
      <c r="C62" s="5" t="s">
        <v>56</v>
      </c>
      <c r="D62" s="5"/>
      <c r="E62" s="6">
        <v>87000</v>
      </c>
      <c r="F62" s="7">
        <f>IF(OR(D62&lt;&gt;0,E62&lt;&gt;0),SUM(D$3:D62)-SUM(E$3:E62),0)</f>
        <v>-68396</v>
      </c>
      <c r="G62" s="1"/>
    </row>
    <row r="63" spans="2:8" ht="15.75" x14ac:dyDescent="0.25">
      <c r="B63" s="57"/>
      <c r="C63" s="5" t="s">
        <v>55</v>
      </c>
      <c r="D63" s="6"/>
      <c r="E63" s="6">
        <v>150700</v>
      </c>
      <c r="F63" s="7">
        <f>IF(OR(D63&lt;&gt;0,E63&lt;&gt;0),SUM(D$3:D63)-SUM(E$3:E63),0)</f>
        <v>-219096</v>
      </c>
      <c r="G63" s="1"/>
    </row>
    <row r="64" spans="2:8" ht="15.75" x14ac:dyDescent="0.25">
      <c r="B64" s="57"/>
      <c r="C64" s="5" t="s">
        <v>7</v>
      </c>
      <c r="D64" s="6">
        <v>1800000</v>
      </c>
      <c r="E64" s="6"/>
      <c r="F64" s="7">
        <f>IF(OR(D64&lt;&gt;0,E64&lt;&gt;0),SUM(D$3:D64)-SUM(E$3:E64),0)</f>
        <v>1580904</v>
      </c>
      <c r="G64" s="1"/>
      <c r="H64" s="3"/>
    </row>
    <row r="65" spans="2:8" ht="15.75" x14ac:dyDescent="0.25">
      <c r="B65" s="57"/>
      <c r="C65" s="5" t="s">
        <v>33</v>
      </c>
      <c r="D65" s="5"/>
      <c r="E65" s="6">
        <v>500000</v>
      </c>
      <c r="F65" s="7">
        <f>IF(OR(D65&lt;&gt;0,E65&lt;&gt;0),SUM(D$3:D65)-SUM(E$3:E65),0)</f>
        <v>1080904</v>
      </c>
      <c r="G65" s="1"/>
    </row>
    <row r="66" spans="2:8" ht="15.75" x14ac:dyDescent="0.25">
      <c r="B66" s="59">
        <v>45253</v>
      </c>
      <c r="C66" s="5" t="s">
        <v>57</v>
      </c>
      <c r="D66" s="6"/>
      <c r="E66" s="6">
        <v>76000</v>
      </c>
      <c r="F66" s="7">
        <f>IF(OR(D66&lt;&gt;0,E66&lt;&gt;0),SUM(D$3:D66)-SUM(E$3:E66),0)</f>
        <v>1004904</v>
      </c>
      <c r="G66" s="1"/>
    </row>
    <row r="67" spans="2:8" ht="15.75" x14ac:dyDescent="0.25">
      <c r="B67" s="59"/>
      <c r="C67" s="5" t="s">
        <v>58</v>
      </c>
      <c r="D67" s="5"/>
      <c r="E67" s="6">
        <v>1000</v>
      </c>
      <c r="F67" s="7">
        <f>IF(OR(D67&lt;&gt;0,E67&lt;&gt;0),SUM(D$3:D67)-SUM(E$3:E67),0)</f>
        <v>1003904</v>
      </c>
      <c r="G67" s="1"/>
    </row>
    <row r="68" spans="2:8" ht="15.75" x14ac:dyDescent="0.25">
      <c r="B68" s="59"/>
      <c r="C68" s="5" t="s">
        <v>59</v>
      </c>
      <c r="D68" s="6"/>
      <c r="E68" s="6">
        <v>120000</v>
      </c>
      <c r="F68" s="7">
        <f>IF(OR(D68&lt;&gt;0,E68&lt;&gt;0),SUM(D$3:D68)-SUM(E$3:E68),0)</f>
        <v>883904</v>
      </c>
      <c r="G68" s="1"/>
    </row>
    <row r="69" spans="2:8" ht="15.75" x14ac:dyDescent="0.25">
      <c r="B69" s="59"/>
      <c r="C69" s="5" t="s">
        <v>60</v>
      </c>
      <c r="D69" s="6"/>
      <c r="E69" s="6">
        <v>177000</v>
      </c>
      <c r="F69" s="7">
        <f>IF(OR(D69&lt;&gt;0,E69&lt;&gt;0),SUM(D$3:D69)-SUM(E$3:E69),0)</f>
        <v>706904</v>
      </c>
      <c r="G69" s="1"/>
      <c r="H69" s="3"/>
    </row>
    <row r="70" spans="2:8" ht="15.75" x14ac:dyDescent="0.25">
      <c r="B70" s="59"/>
      <c r="C70" s="5" t="s">
        <v>7</v>
      </c>
      <c r="D70" s="6">
        <v>1000000</v>
      </c>
      <c r="E70" s="6"/>
      <c r="F70" s="7">
        <f>IF(OR(D70&lt;&gt;0,E70&lt;&gt;0),SUM(D$3:D70)-SUM(E$3:E70),0)</f>
        <v>1706904</v>
      </c>
      <c r="G70" s="1"/>
    </row>
    <row r="71" spans="2:8" ht="15.75" x14ac:dyDescent="0.25">
      <c r="B71" s="59"/>
      <c r="C71" s="5" t="s">
        <v>61</v>
      </c>
      <c r="D71" s="5"/>
      <c r="E71" s="6">
        <v>662000</v>
      </c>
      <c r="F71" s="7">
        <f>IF(OR(D71&lt;&gt;0,E71&lt;&gt;0),SUM(D$3:D71)-SUM(E$3:E71),0)</f>
        <v>1044904</v>
      </c>
      <c r="G71" s="1"/>
    </row>
    <row r="72" spans="2:8" ht="15.75" x14ac:dyDescent="0.25">
      <c r="B72" s="59"/>
      <c r="C72" s="5" t="s">
        <v>62</v>
      </c>
      <c r="D72" s="5"/>
      <c r="E72" s="6">
        <v>177000</v>
      </c>
      <c r="F72" s="7">
        <f>IF(OR(D72&lt;&gt;0,E72&lt;&gt;0),SUM(D$3:D72)-SUM(E$3:E72),0)</f>
        <v>867904</v>
      </c>
      <c r="G72" s="1"/>
      <c r="H72" s="3"/>
    </row>
    <row r="73" spans="2:8" ht="15.75" x14ac:dyDescent="0.25">
      <c r="B73" s="59"/>
      <c r="C73" s="5" t="s">
        <v>63</v>
      </c>
      <c r="D73" s="5"/>
      <c r="E73" s="6">
        <v>497000</v>
      </c>
      <c r="F73" s="7">
        <f>IF(OR(D73&lt;&gt;0,E73&lt;&gt;0),SUM(D$3:D73)-SUM(E$3:E73),0)</f>
        <v>370904</v>
      </c>
      <c r="G73" s="1"/>
    </row>
    <row r="74" spans="2:8" ht="15.75" x14ac:dyDescent="0.25">
      <c r="B74" s="59"/>
      <c r="C74" s="5" t="s">
        <v>64</v>
      </c>
      <c r="D74" s="5"/>
      <c r="E74" s="6">
        <v>1000</v>
      </c>
      <c r="F74" s="7">
        <f>IF(OR(D74&lt;&gt;0,E74&lt;&gt;0),SUM(D$3:D74)-SUM(E$3:E74),0)</f>
        <v>369904</v>
      </c>
      <c r="G74" s="1"/>
    </row>
    <row r="75" spans="2:8" ht="15.75" x14ac:dyDescent="0.25">
      <c r="B75" s="56">
        <v>45254</v>
      </c>
      <c r="C75" s="5" t="s">
        <v>7</v>
      </c>
      <c r="D75" s="6">
        <v>3000000</v>
      </c>
      <c r="E75" s="6"/>
      <c r="F75" s="7">
        <f>IF(OR(D75&lt;&gt;0,E75&lt;&gt;0),SUM(D$3:D75)-SUM(E$3:E75),0)</f>
        <v>3369904</v>
      </c>
      <c r="G75" s="1"/>
    </row>
    <row r="76" spans="2:8" ht="15.75" x14ac:dyDescent="0.25">
      <c r="B76" s="57"/>
      <c r="C76" s="5" t="s">
        <v>65</v>
      </c>
      <c r="D76" s="6"/>
      <c r="E76" s="6">
        <v>300000</v>
      </c>
      <c r="F76" s="7">
        <f>IF(OR(D76&lt;&gt;0,E76&lt;&gt;0),SUM(D$3:D76)-SUM(E$3:E76),0)</f>
        <v>3069904</v>
      </c>
      <c r="G76" s="1"/>
    </row>
    <row r="77" spans="2:8" ht="15.75" x14ac:dyDescent="0.25">
      <c r="B77" s="57"/>
      <c r="C77" s="5" t="s">
        <v>66</v>
      </c>
      <c r="D77" s="6"/>
      <c r="E77" s="6">
        <v>115200</v>
      </c>
      <c r="F77" s="7">
        <f>IF(OR(D77&lt;&gt;0,E77&lt;&gt;0),SUM(D$3:D77)-SUM(E$3:E77),0)</f>
        <v>2954704</v>
      </c>
      <c r="G77" s="1"/>
    </row>
    <row r="78" spans="2:8" ht="15.75" x14ac:dyDescent="0.25">
      <c r="B78" s="57"/>
      <c r="C78" s="5" t="s">
        <v>67</v>
      </c>
      <c r="D78" s="5"/>
      <c r="E78" s="6">
        <v>32000</v>
      </c>
      <c r="F78" s="7">
        <f>IF(OR(D78&lt;&gt;0,E78&lt;&gt;0),SUM(D$3:D78)-SUM(E$3:E78),0)</f>
        <v>2922704</v>
      </c>
      <c r="G78" s="1"/>
    </row>
    <row r="79" spans="2:8" ht="15.75" x14ac:dyDescent="0.25">
      <c r="B79" s="57"/>
      <c r="C79" s="5" t="s">
        <v>68</v>
      </c>
      <c r="D79" s="5"/>
      <c r="E79" s="6">
        <v>36000</v>
      </c>
      <c r="F79" s="7">
        <f>IF(OR(D79&lt;&gt;0,E79&lt;&gt;0),SUM(D$3:D79)-SUM(E$3:E79),0)</f>
        <v>2886704</v>
      </c>
      <c r="G79" s="1"/>
    </row>
    <row r="80" spans="2:8" ht="15.75" x14ac:dyDescent="0.25">
      <c r="B80" s="57"/>
      <c r="C80" s="5" t="s">
        <v>69</v>
      </c>
      <c r="D80" s="5"/>
      <c r="E80" s="6">
        <v>5500</v>
      </c>
      <c r="F80" s="7">
        <f>IF(OR(D80&lt;&gt;0,E80&lt;&gt;0),SUM(D$3:D80)-SUM(E$3:E80),0)</f>
        <v>2881204</v>
      </c>
      <c r="G80" s="1"/>
    </row>
    <row r="81" spans="2:8" ht="15.75" x14ac:dyDescent="0.25">
      <c r="B81" s="57"/>
      <c r="C81" s="5" t="s">
        <v>70</v>
      </c>
      <c r="D81" s="5"/>
      <c r="E81" s="6">
        <v>1000</v>
      </c>
      <c r="F81" s="7">
        <f>IF(OR(D81&lt;&gt;0,E81&lt;&gt;0),SUM(D$3:D81)-SUM(E$3:E81),0)</f>
        <v>2880204</v>
      </c>
      <c r="G81" s="1"/>
    </row>
    <row r="82" spans="2:8" ht="15.75" x14ac:dyDescent="0.25">
      <c r="B82" s="57"/>
      <c r="C82" s="5" t="s">
        <v>64</v>
      </c>
      <c r="D82" s="5"/>
      <c r="E82" s="6">
        <v>1000</v>
      </c>
      <c r="F82" s="7">
        <f>IF(OR(D82&lt;&gt;0,E82&lt;&gt;0),SUM(D$3:D82)-SUM(E$3:E82),0)</f>
        <v>2879204</v>
      </c>
      <c r="G82" s="1"/>
    </row>
    <row r="83" spans="2:8" ht="15.75" x14ac:dyDescent="0.25">
      <c r="B83" s="57"/>
      <c r="C83" s="5" t="s">
        <v>71</v>
      </c>
      <c r="D83" s="5"/>
      <c r="E83" s="6">
        <v>2500000</v>
      </c>
      <c r="F83" s="7">
        <f>IF(OR(D83&lt;&gt;0,E83&lt;&gt;0),SUM(D$3:D83)-SUM(E$3:E83),0)</f>
        <v>379204</v>
      </c>
      <c r="G83" s="1"/>
      <c r="H83" s="3"/>
    </row>
    <row r="84" spans="2:8" ht="15.75" x14ac:dyDescent="0.25">
      <c r="B84" s="58"/>
      <c r="C84" s="5" t="s">
        <v>31</v>
      </c>
      <c r="D84" s="5" t="s">
        <v>72</v>
      </c>
      <c r="E84" s="6">
        <v>71500</v>
      </c>
      <c r="F84" s="7">
        <f>IF(OR(D84&lt;&gt;0,E84&lt;&gt;0),SUM(D$3:D84)-SUM(E$3:E84),0)</f>
        <v>307704</v>
      </c>
      <c r="G84" s="1"/>
    </row>
    <row r="85" spans="2:8" ht="15.75" x14ac:dyDescent="0.25">
      <c r="B85" s="56">
        <v>45255</v>
      </c>
      <c r="C85" s="5" t="s">
        <v>77</v>
      </c>
      <c r="D85" s="6"/>
      <c r="E85" s="6">
        <v>100000</v>
      </c>
      <c r="F85" s="7">
        <f>IF(OR(D85&lt;&gt;0,E85&lt;&gt;0),SUM(D$3:D85)-SUM(E$3:E85),0)</f>
        <v>207704</v>
      </c>
      <c r="G85" s="1"/>
    </row>
    <row r="86" spans="2:8" ht="15.75" x14ac:dyDescent="0.25">
      <c r="B86" s="57"/>
      <c r="C86" s="5" t="s">
        <v>76</v>
      </c>
      <c r="D86" s="6"/>
      <c r="E86" s="6">
        <v>30000</v>
      </c>
      <c r="F86" s="7">
        <f>IF(OR(D86&lt;&gt;0,E86&lt;&gt;0),SUM(D$3:D86)-SUM(E$3:E86),0)</f>
        <v>177704</v>
      </c>
      <c r="G86" s="1"/>
    </row>
    <row r="87" spans="2:8" ht="15.75" x14ac:dyDescent="0.25">
      <c r="B87" s="57"/>
      <c r="C87" s="5" t="s">
        <v>78</v>
      </c>
      <c r="D87" s="6"/>
      <c r="E87" s="6">
        <v>77000</v>
      </c>
      <c r="F87" s="7">
        <f>IF(OR(D87&lt;&gt;0,E87&lt;&gt;0),SUM(D$3:D87)-SUM(E$3:E87),0)</f>
        <v>100704</v>
      </c>
      <c r="G87" s="1"/>
    </row>
    <row r="88" spans="2:8" ht="15.75" x14ac:dyDescent="0.25">
      <c r="B88" s="56">
        <v>45256</v>
      </c>
      <c r="C88" s="5" t="s">
        <v>79</v>
      </c>
      <c r="D88" s="6"/>
      <c r="E88" s="6">
        <v>750000</v>
      </c>
      <c r="F88" s="7">
        <f>IF(OR(D88&lt;&gt;0,E88&lt;&gt;0),SUM(D$3:D88)-SUM(E$3:E88),0)</f>
        <v>-649296</v>
      </c>
      <c r="G88" s="1"/>
    </row>
    <row r="89" spans="2:8" ht="15.75" x14ac:dyDescent="0.25">
      <c r="B89" s="57"/>
      <c r="C89" s="5" t="s">
        <v>80</v>
      </c>
      <c r="D89" s="6"/>
      <c r="E89" s="6">
        <v>245000</v>
      </c>
      <c r="F89" s="7">
        <f>IF(OR(D89&lt;&gt;0,E89&lt;&gt;0),SUM(D$3:D89)-SUM(E$3:E89),0)</f>
        <v>-894296</v>
      </c>
      <c r="G89" s="1"/>
    </row>
    <row r="90" spans="2:8" ht="15.75" x14ac:dyDescent="0.25">
      <c r="B90" s="56">
        <v>45257</v>
      </c>
      <c r="C90" s="5" t="s">
        <v>46</v>
      </c>
      <c r="D90" s="6"/>
      <c r="E90" s="6">
        <v>30000</v>
      </c>
      <c r="F90" s="7">
        <f>IF(OR(D90&lt;&gt;0,E90&lt;&gt;0),SUM(D$3:D90)-SUM(E$3:E90),0)</f>
        <v>-924296</v>
      </c>
      <c r="G90" s="1"/>
    </row>
    <row r="91" spans="2:8" ht="15.75" x14ac:dyDescent="0.25">
      <c r="B91" s="57"/>
      <c r="C91" s="5" t="s">
        <v>7</v>
      </c>
      <c r="D91" s="6">
        <v>1000000</v>
      </c>
      <c r="E91" s="6"/>
      <c r="F91" s="7">
        <f>IF(OR(D91&lt;&gt;0,E91&lt;&gt;0),SUM(D$3:D91)-SUM(E$3:E91),0)</f>
        <v>75704</v>
      </c>
      <c r="G91" s="1"/>
    </row>
    <row r="92" spans="2:8" ht="15.75" x14ac:dyDescent="0.25">
      <c r="B92" s="57"/>
      <c r="C92" s="5" t="s">
        <v>14</v>
      </c>
      <c r="D92" s="6"/>
      <c r="E92" s="6">
        <v>50000</v>
      </c>
      <c r="F92" s="7">
        <f>IF(OR(D92&lt;&gt;0,E92&lt;&gt;0),SUM(D$3:D92)-SUM(E$3:E92),0)</f>
        <v>25704</v>
      </c>
      <c r="G92" s="1"/>
    </row>
    <row r="93" spans="2:8" ht="15.75" x14ac:dyDescent="0.25">
      <c r="B93" s="57"/>
      <c r="C93" s="5" t="s">
        <v>73</v>
      </c>
      <c r="D93" s="5"/>
      <c r="E93" s="6">
        <v>50000</v>
      </c>
      <c r="F93" s="7">
        <f>IF(OR(D93&lt;&gt;0,E93&lt;&gt;0),SUM(D$3:D93)-SUM(E$3:E93),0)</f>
        <v>-24296</v>
      </c>
      <c r="G93" s="1"/>
    </row>
    <row r="94" spans="2:8" ht="15.75" x14ac:dyDescent="0.25">
      <c r="B94" s="57"/>
      <c r="C94" s="5" t="s">
        <v>27</v>
      </c>
      <c r="D94" s="5"/>
      <c r="E94" s="6">
        <v>200000</v>
      </c>
      <c r="F94" s="7">
        <f>IF(OR(D94&lt;&gt;0,E94&lt;&gt;0),SUM(D$3:D94)-SUM(E$3:E94),0)</f>
        <v>-224296</v>
      </c>
      <c r="G94" s="1"/>
      <c r="H94" s="3"/>
    </row>
    <row r="95" spans="2:8" ht="15.75" x14ac:dyDescent="0.25">
      <c r="B95" s="57"/>
      <c r="C95" s="5" t="s">
        <v>74</v>
      </c>
      <c r="D95" s="5"/>
      <c r="E95" s="6">
        <v>45000</v>
      </c>
      <c r="F95" s="7">
        <f>IF(OR(D95&lt;&gt;0,E95&lt;&gt;0),SUM(D$3:D95)-SUM(E$3:E95),0)</f>
        <v>-269296</v>
      </c>
      <c r="G95" s="1"/>
    </row>
    <row r="96" spans="2:8" ht="15.75" x14ac:dyDescent="0.25">
      <c r="B96" s="57"/>
      <c r="C96" s="5" t="s">
        <v>75</v>
      </c>
      <c r="D96" s="5"/>
      <c r="E96" s="6">
        <v>30000</v>
      </c>
      <c r="F96" s="7">
        <f>IF(OR(D96&lt;&gt;0,E96&lt;&gt;0),SUM(D$3:D96)-SUM(E$3:E96),0)</f>
        <v>-299296</v>
      </c>
      <c r="G96" s="1"/>
    </row>
    <row r="97" spans="2:8" ht="15.75" x14ac:dyDescent="0.25">
      <c r="B97" s="57"/>
      <c r="C97" s="5" t="s">
        <v>53</v>
      </c>
      <c r="D97" s="5"/>
      <c r="E97" s="6">
        <v>30000</v>
      </c>
      <c r="F97" s="7">
        <f>IF(OR(D97&lt;&gt;0,E97&lt;&gt;0),SUM(D$3:D97)-SUM(E$3:E97),0)</f>
        <v>-329296</v>
      </c>
      <c r="G97" s="1"/>
    </row>
    <row r="98" spans="2:8" ht="15.75" x14ac:dyDescent="0.25">
      <c r="B98" s="57"/>
      <c r="C98" s="5" t="s">
        <v>7</v>
      </c>
      <c r="D98" s="6">
        <v>3500000</v>
      </c>
      <c r="E98" s="6"/>
      <c r="F98" s="7">
        <f>IF(OR(D98&lt;&gt;0,E98&lt;&gt;0),SUM(D$3:D98)-SUM(E$3:E98),0)</f>
        <v>3170704</v>
      </c>
      <c r="G98" s="1"/>
    </row>
    <row r="99" spans="2:8" ht="15.75" x14ac:dyDescent="0.25">
      <c r="B99" s="57"/>
      <c r="C99" s="5" t="s">
        <v>81</v>
      </c>
      <c r="D99" s="5"/>
      <c r="E99" s="6">
        <v>1777000</v>
      </c>
      <c r="F99" s="7">
        <f>IF(OR(D99&lt;&gt;0,E99&lt;&gt;0),SUM(D$3:D99)-SUM(E$3:E99),0)</f>
        <v>1393704</v>
      </c>
      <c r="G99" s="1"/>
      <c r="H99" s="3"/>
    </row>
    <row r="100" spans="2:8" ht="15.75" x14ac:dyDescent="0.25">
      <c r="B100" s="57"/>
      <c r="C100" s="5" t="s">
        <v>83</v>
      </c>
      <c r="D100" s="5"/>
      <c r="E100" s="6">
        <v>200000</v>
      </c>
      <c r="F100" s="7">
        <f>IF(OR(D100&lt;&gt;0,E100&lt;&gt;0),SUM(D$3:D100)-SUM(E$3:E100),0)</f>
        <v>1193704</v>
      </c>
      <c r="G100" s="1"/>
    </row>
    <row r="101" spans="2:8" ht="15.75" x14ac:dyDescent="0.25">
      <c r="B101" s="58"/>
      <c r="C101" s="5" t="s">
        <v>82</v>
      </c>
      <c r="D101" s="5"/>
      <c r="E101" s="6">
        <v>100000</v>
      </c>
      <c r="F101" s="7">
        <f>IF(OR(D101&lt;&gt;0,E101&lt;&gt;0),SUM(D$3:D101)-SUM(E$3:E101),0)</f>
        <v>1093704</v>
      </c>
      <c r="G101" s="1"/>
    </row>
    <row r="102" spans="2:8" ht="15.75" x14ac:dyDescent="0.25">
      <c r="B102" s="59">
        <v>45258</v>
      </c>
      <c r="C102" s="5" t="s">
        <v>84</v>
      </c>
      <c r="D102" s="6"/>
      <c r="E102" s="6">
        <v>67600</v>
      </c>
      <c r="F102" s="7">
        <f>IF(OR(D102&lt;&gt;0,E102&lt;&gt;0),SUM(D$3:D102)-SUM(E$3:E102),0)</f>
        <v>1026104</v>
      </c>
      <c r="G102" s="1"/>
    </row>
    <row r="103" spans="2:8" ht="15.75" x14ac:dyDescent="0.25">
      <c r="B103" s="59"/>
      <c r="C103" s="5" t="s">
        <v>85</v>
      </c>
      <c r="D103" s="6"/>
      <c r="E103" s="6">
        <v>15000</v>
      </c>
      <c r="F103" s="7">
        <f>IF(OR(D103&lt;&gt;0,E103&lt;&gt;0),SUM(D$3:D103)-SUM(E$3:E103),0)</f>
        <v>1011104</v>
      </c>
      <c r="G103" s="1"/>
    </row>
    <row r="104" spans="2:8" ht="15.75" x14ac:dyDescent="0.25">
      <c r="B104" s="59"/>
      <c r="C104" s="5" t="s">
        <v>62</v>
      </c>
      <c r="D104" s="6"/>
      <c r="E104" s="6">
        <v>60000</v>
      </c>
      <c r="F104" s="7">
        <f>IF(OR(D104&lt;&gt;0,E104&lt;&gt;0),SUM(D$3:D104)-SUM(E$3:E104),0)</f>
        <v>951104</v>
      </c>
      <c r="G104" s="1"/>
    </row>
    <row r="105" spans="2:8" ht="15.75" x14ac:dyDescent="0.25">
      <c r="B105" s="59"/>
      <c r="C105" s="5" t="s">
        <v>86</v>
      </c>
      <c r="D105" s="5"/>
      <c r="E105" s="6">
        <v>1000</v>
      </c>
      <c r="F105" s="7">
        <f>IF(OR(D105&lt;&gt;0,E105&lt;&gt;0),SUM(D$3:D105)-SUM(E$3:E105),0)</f>
        <v>950104</v>
      </c>
      <c r="G105" s="1"/>
    </row>
    <row r="106" spans="2:8" ht="15.75" x14ac:dyDescent="0.25">
      <c r="B106" s="59">
        <v>45259</v>
      </c>
      <c r="C106" s="5" t="s">
        <v>67</v>
      </c>
      <c r="D106" s="5"/>
      <c r="E106" s="6">
        <v>190000</v>
      </c>
      <c r="F106" s="7">
        <f>IF(OR(D106&lt;&gt;0,E106&lt;&gt;0),SUM(D$3:D106)-SUM(E$3:E106),0)</f>
        <v>760104</v>
      </c>
      <c r="G106" s="1"/>
    </row>
    <row r="107" spans="2:8" ht="15.75" x14ac:dyDescent="0.25">
      <c r="B107" s="59"/>
      <c r="C107" s="5" t="s">
        <v>14</v>
      </c>
      <c r="D107" s="5"/>
      <c r="E107" s="6">
        <v>30000</v>
      </c>
      <c r="F107" s="7">
        <f>IF(OR(D107&lt;&gt;0,E107&lt;&gt;0),SUM(D$3:D107)-SUM(E$3:E107),0)</f>
        <v>730104</v>
      </c>
      <c r="G107" s="1"/>
    </row>
    <row r="108" spans="2:8" ht="15.75" x14ac:dyDescent="0.25">
      <c r="B108" s="59"/>
      <c r="C108" s="5" t="s">
        <v>87</v>
      </c>
      <c r="D108" s="5"/>
      <c r="E108" s="6">
        <v>206000</v>
      </c>
      <c r="F108" s="7">
        <f>IF(OR(D108&lt;&gt;0,E108&lt;&gt;0),SUM(D$3:D108)-SUM(E$3:E108),0)</f>
        <v>524104</v>
      </c>
      <c r="G108" s="1"/>
    </row>
    <row r="109" spans="2:8" ht="15.75" x14ac:dyDescent="0.25">
      <c r="B109" s="59"/>
      <c r="C109" s="5" t="s">
        <v>7</v>
      </c>
      <c r="D109" s="6">
        <v>3000000</v>
      </c>
      <c r="E109" s="6"/>
      <c r="F109" s="7">
        <f>IF(OR(D109&lt;&gt;0,E109&lt;&gt;0),SUM(D$3:D109)-SUM(E$3:E109),0)</f>
        <v>3524104</v>
      </c>
      <c r="G109" s="1"/>
    </row>
    <row r="110" spans="2:8" ht="15.75" x14ac:dyDescent="0.25">
      <c r="B110" s="59"/>
      <c r="C110" s="5" t="s">
        <v>88</v>
      </c>
      <c r="D110" s="6"/>
      <c r="E110" s="6">
        <v>200000</v>
      </c>
      <c r="F110" s="7">
        <f>IF(OR(D110&lt;&gt;0,E110&lt;&gt;0),SUM(D$3:D110)-SUM(E$3:E110),0)</f>
        <v>3324104</v>
      </c>
      <c r="G110" s="1"/>
    </row>
    <row r="111" spans="2:8" ht="15.75" x14ac:dyDescent="0.25">
      <c r="B111" s="59"/>
      <c r="C111" s="5" t="s">
        <v>89</v>
      </c>
      <c r="D111" s="5"/>
      <c r="E111" s="6">
        <v>100000</v>
      </c>
      <c r="F111" s="7">
        <f>IF(OR(D111&lt;&gt;0,E111&lt;&gt;0),SUM(D$3:D111)-SUM(E$3:E111),0)</f>
        <v>3224104</v>
      </c>
      <c r="G111" s="1"/>
    </row>
    <row r="112" spans="2:8" ht="15.75" x14ac:dyDescent="0.25">
      <c r="B112" s="59"/>
      <c r="C112" s="5" t="s">
        <v>90</v>
      </c>
      <c r="D112" s="5"/>
      <c r="E112" s="6">
        <v>500000</v>
      </c>
      <c r="F112" s="7">
        <f>IF(OR(D112&lt;&gt;0,E112&lt;&gt;0),SUM(D$3:D112)-SUM(E$3:E112),0)</f>
        <v>2724104</v>
      </c>
      <c r="G112" s="1"/>
    </row>
    <row r="113" spans="2:8" ht="15.75" x14ac:dyDescent="0.25">
      <c r="B113" s="59"/>
      <c r="C113" s="5" t="s">
        <v>91</v>
      </c>
      <c r="D113" s="5"/>
      <c r="E113" s="6">
        <v>300000</v>
      </c>
      <c r="F113" s="7">
        <f>IF(OR(D113&lt;&gt;0,E113&lt;&gt;0),SUM(D$3:D113)-SUM(E$3:E113),0)</f>
        <v>2424104</v>
      </c>
      <c r="G113" s="1"/>
    </row>
    <row r="114" spans="2:8" ht="15.75" x14ac:dyDescent="0.25">
      <c r="B114" s="59"/>
      <c r="C114" s="5" t="s">
        <v>92</v>
      </c>
      <c r="D114" s="5"/>
      <c r="E114" s="6">
        <v>491500</v>
      </c>
      <c r="F114" s="7">
        <f>IF(OR(D114&lt;&gt;0,E114&lt;&gt;0),SUM(D$3:D114)-SUM(E$3:E114),0)</f>
        <v>1932604</v>
      </c>
      <c r="G114" s="1"/>
    </row>
    <row r="115" spans="2:8" ht="15.75" x14ac:dyDescent="0.25">
      <c r="B115" s="59"/>
      <c r="C115" s="5" t="s">
        <v>92</v>
      </c>
      <c r="D115" s="5"/>
      <c r="E115" s="6">
        <v>740500</v>
      </c>
      <c r="F115" s="7">
        <f>IF(OR(D115&lt;&gt;0,E115&lt;&gt;0),SUM(D$3:D115)-SUM(E$3:E115),0)</f>
        <v>1192104</v>
      </c>
      <c r="G115" s="1"/>
    </row>
    <row r="116" spans="2:8" ht="15.75" x14ac:dyDescent="0.25">
      <c r="B116" s="59"/>
      <c r="C116" s="5" t="s">
        <v>93</v>
      </c>
      <c r="D116" s="5"/>
      <c r="E116" s="6">
        <v>5000</v>
      </c>
      <c r="F116" s="7">
        <f>IF(OR(D116&lt;&gt;0,E116&lt;&gt;0),SUM(D$3:D116)-SUM(E$3:E116),0)</f>
        <v>1187104</v>
      </c>
      <c r="G116" s="1"/>
    </row>
    <row r="117" spans="2:8" ht="15.75" x14ac:dyDescent="0.25">
      <c r="B117" s="59"/>
      <c r="C117" s="5" t="s">
        <v>58</v>
      </c>
      <c r="D117" s="5"/>
      <c r="E117" s="6">
        <v>2000</v>
      </c>
      <c r="F117" s="7">
        <f>IF(OR(D117&lt;&gt;0,E117&lt;&gt;0),SUM(D$3:D117)-SUM(E$3:E117),0)</f>
        <v>1185104</v>
      </c>
      <c r="G117" s="1"/>
    </row>
    <row r="118" spans="2:8" ht="15.75" x14ac:dyDescent="0.25">
      <c r="B118" s="59"/>
      <c r="C118" s="5" t="s">
        <v>94</v>
      </c>
      <c r="D118" s="5"/>
      <c r="E118" s="6">
        <v>100000</v>
      </c>
      <c r="F118" s="7">
        <f>IF(OR(D118&lt;&gt;0,E118&lt;&gt;0),SUM(D$3:D118)-SUM(E$3:E118),0)</f>
        <v>1085104</v>
      </c>
      <c r="G118" s="1"/>
    </row>
    <row r="119" spans="2:8" ht="15.75" x14ac:dyDescent="0.25">
      <c r="B119" s="59"/>
      <c r="C119" s="5" t="s">
        <v>95</v>
      </c>
      <c r="D119" s="5"/>
      <c r="E119" s="6">
        <v>95000</v>
      </c>
      <c r="F119" s="7">
        <f>IF(OR(D119&lt;&gt;0,E119&lt;&gt;0),SUM(D$3:D119)-SUM(E$3:E119),0)</f>
        <v>990104</v>
      </c>
      <c r="G119" s="1"/>
      <c r="H119" s="3"/>
    </row>
    <row r="120" spans="2:8" ht="15.75" x14ac:dyDescent="0.25">
      <c r="B120" s="59"/>
      <c r="C120" s="5" t="s">
        <v>32</v>
      </c>
      <c r="D120" s="5"/>
      <c r="E120" s="6">
        <v>100000</v>
      </c>
      <c r="F120" s="7">
        <f>IF(OR(D120&lt;&gt;0,E120&lt;&gt;0),SUM(D$3:D120)-SUM(E$3:E120),0)</f>
        <v>890104</v>
      </c>
      <c r="G120" s="1"/>
      <c r="H120" s="3"/>
    </row>
    <row r="121" spans="2:8" ht="15.75" x14ac:dyDescent="0.25">
      <c r="B121" s="59"/>
      <c r="C121" s="5" t="s">
        <v>53</v>
      </c>
      <c r="D121" s="5"/>
      <c r="E121" s="6">
        <v>30000</v>
      </c>
      <c r="F121" s="7">
        <f>IF(OR(D121&lt;&gt;0,E121&lt;&gt;0),SUM(D$3:D121)-SUM(E$3:E121),0)</f>
        <v>860104</v>
      </c>
      <c r="G121" s="1"/>
    </row>
    <row r="122" spans="2:8" ht="15.75" x14ac:dyDescent="0.25">
      <c r="B122" s="56">
        <v>45260</v>
      </c>
      <c r="C122" s="5" t="s">
        <v>96</v>
      </c>
      <c r="D122" s="5"/>
      <c r="E122" s="6">
        <v>400000</v>
      </c>
      <c r="F122" s="7">
        <f>IF(OR(D122&lt;&gt;0,E122&lt;&gt;0),SUM(D$3:D122)-SUM(E$3:E122),0)</f>
        <v>460104</v>
      </c>
      <c r="G122" s="1"/>
    </row>
    <row r="123" spans="2:8" ht="15.75" x14ac:dyDescent="0.25">
      <c r="B123" s="57"/>
      <c r="C123" s="5" t="s">
        <v>98</v>
      </c>
      <c r="D123" s="5"/>
      <c r="E123" s="6">
        <v>37000</v>
      </c>
      <c r="F123" s="7">
        <f>IF(OR(D123&lt;&gt;0,E123&lt;&gt;0),SUM(D$3:D123)-SUM(E$3:E123),0)</f>
        <v>423104</v>
      </c>
      <c r="G123" s="1"/>
    </row>
    <row r="124" spans="2:8" ht="15.75" x14ac:dyDescent="0.25">
      <c r="B124" s="57"/>
      <c r="C124" s="5" t="s">
        <v>99</v>
      </c>
      <c r="D124" s="5"/>
      <c r="E124" s="6">
        <v>10000</v>
      </c>
      <c r="F124" s="7">
        <f>IF(OR(D124&lt;&gt;0,E124&lt;&gt;0),SUM(D$3:D124)-SUM(E$3:E124),0)</f>
        <v>413104</v>
      </c>
      <c r="G124" s="1"/>
    </row>
    <row r="125" spans="2:8" ht="15.75" x14ac:dyDescent="0.25">
      <c r="B125" s="57"/>
      <c r="C125" s="5" t="s">
        <v>97</v>
      </c>
      <c r="D125" s="6"/>
      <c r="E125" s="6">
        <v>52200</v>
      </c>
      <c r="F125" s="7">
        <f>IF(OR(D125&lt;&gt;0,E125&lt;&gt;0),SUM(D$3:D125)-SUM(E$3:E125),0)</f>
        <v>360904</v>
      </c>
      <c r="G125" s="1"/>
    </row>
    <row r="126" spans="2:8" ht="15.75" x14ac:dyDescent="0.25">
      <c r="B126" s="57"/>
      <c r="C126" s="5" t="s">
        <v>7</v>
      </c>
      <c r="D126" s="6">
        <v>1000000</v>
      </c>
      <c r="E126" s="6"/>
      <c r="F126" s="7">
        <f>IF(OR(D126&lt;&gt;0,E126&lt;&gt;0),SUM(D$3:D126)-SUM(E$3:E126),0)</f>
        <v>1360904</v>
      </c>
      <c r="G126" s="1"/>
      <c r="H126" s="3"/>
    </row>
    <row r="127" spans="2:8" ht="15.75" x14ac:dyDescent="0.25">
      <c r="B127" s="59">
        <v>45261</v>
      </c>
      <c r="C127" s="5" t="s">
        <v>18</v>
      </c>
      <c r="D127" s="5"/>
      <c r="E127" s="6">
        <v>20000</v>
      </c>
      <c r="F127" s="7">
        <f>IF(OR(D127&lt;&gt;0,E127&lt;&gt;0),SUM(D$3:D127)-SUM(E$3:E127),0)</f>
        <v>1340904</v>
      </c>
      <c r="G127" s="5"/>
    </row>
    <row r="128" spans="2:8" ht="15.75" x14ac:dyDescent="0.25">
      <c r="B128" s="59"/>
      <c r="C128" s="5" t="s">
        <v>14</v>
      </c>
      <c r="D128" s="5"/>
      <c r="E128" s="6">
        <v>30000</v>
      </c>
      <c r="F128" s="7">
        <f>IF(OR(D128&lt;&gt;0,E128&lt;&gt;0),SUM(D$3:D128)-SUM(E$3:E128),0)</f>
        <v>1310904</v>
      </c>
      <c r="G128" s="5"/>
    </row>
    <row r="129" spans="2:8" ht="15.75" x14ac:dyDescent="0.25">
      <c r="B129" s="59"/>
      <c r="C129" s="5" t="s">
        <v>83</v>
      </c>
      <c r="D129" s="6"/>
      <c r="E129" s="6">
        <v>200000</v>
      </c>
      <c r="F129" s="7">
        <f>IF(OR(D129&lt;&gt;0,E129&lt;&gt;0),SUM(D$3:D129)-SUM(E$3:E129),0)</f>
        <v>1110904</v>
      </c>
      <c r="G129" s="5"/>
    </row>
    <row r="130" spans="2:8" ht="15.75" x14ac:dyDescent="0.25">
      <c r="B130" s="59"/>
      <c r="C130" s="5" t="s">
        <v>100</v>
      </c>
      <c r="D130" s="5"/>
      <c r="E130" s="6">
        <v>110000</v>
      </c>
      <c r="F130" s="7">
        <f>IF(OR(D130&lt;&gt;0,E130&lt;&gt;0),SUM(D$3:D130)-SUM(E$3:E130),0)</f>
        <v>1000904</v>
      </c>
      <c r="G130" s="5"/>
    </row>
    <row r="131" spans="2:8" ht="15.75" x14ac:dyDescent="0.25">
      <c r="B131" s="59"/>
      <c r="C131" s="5" t="s">
        <v>101</v>
      </c>
      <c r="D131" s="5"/>
      <c r="E131" s="6">
        <v>20000</v>
      </c>
      <c r="F131" s="7">
        <f>IF(OR(D131&lt;&gt;0,E131&lt;&gt;0),SUM(D$3:D131)-SUM(E$3:E131),0)</f>
        <v>980904</v>
      </c>
      <c r="G131" s="5"/>
      <c r="H131" s="3"/>
    </row>
    <row r="132" spans="2:8" ht="15.75" x14ac:dyDescent="0.25">
      <c r="B132" s="59"/>
      <c r="C132" s="5" t="s">
        <v>102</v>
      </c>
      <c r="D132" s="5"/>
      <c r="E132" s="6">
        <v>200000</v>
      </c>
      <c r="F132" s="7">
        <f>IF(OR(D132&lt;&gt;0,E132&lt;&gt;0),SUM(D$3:D132)-SUM(E$3:E132),0)</f>
        <v>780904</v>
      </c>
      <c r="G132" s="5"/>
    </row>
    <row r="133" spans="2:8" ht="15.75" x14ac:dyDescent="0.25">
      <c r="B133" s="59"/>
      <c r="C133" s="5" t="s">
        <v>103</v>
      </c>
      <c r="D133" s="5"/>
      <c r="E133" s="6">
        <v>480000</v>
      </c>
      <c r="F133" s="7">
        <f>IF(OR(D133&lt;&gt;0,E133&lt;&gt;0),SUM(D$3:D133)-SUM(E$3:E133),0)</f>
        <v>300904</v>
      </c>
      <c r="G133" s="5"/>
    </row>
    <row r="134" spans="2:8" ht="15.75" x14ac:dyDescent="0.25">
      <c r="B134" s="59"/>
      <c r="C134" s="5" t="s">
        <v>104</v>
      </c>
      <c r="D134" s="5"/>
      <c r="E134" s="6">
        <v>68000</v>
      </c>
      <c r="F134" s="7">
        <f>IF(OR(D134&lt;&gt;0,E134&lt;&gt;0),SUM(D$3:D134)-SUM(E$3:E134),0)</f>
        <v>232904</v>
      </c>
      <c r="G134" s="5"/>
    </row>
    <row r="135" spans="2:8" ht="15.75" x14ac:dyDescent="0.25">
      <c r="B135" s="59"/>
      <c r="C135" s="5" t="s">
        <v>105</v>
      </c>
      <c r="D135" s="5"/>
      <c r="E135" s="6">
        <v>24000</v>
      </c>
      <c r="F135" s="7">
        <f>IF(OR(D135&lt;&gt;0,E135&lt;&gt;0),SUM(D$3:D135)-SUM(E$3:E135),0)</f>
        <v>208904</v>
      </c>
      <c r="G135" s="5"/>
    </row>
    <row r="136" spans="2:8" ht="15.75" x14ac:dyDescent="0.25">
      <c r="B136" s="59"/>
      <c r="C136" s="5" t="s">
        <v>48</v>
      </c>
      <c r="D136" s="5"/>
      <c r="E136" s="6">
        <v>1000</v>
      </c>
      <c r="F136" s="7">
        <f>IF(OR(D136&lt;&gt;0,E136&lt;&gt;0),SUM(D$3:D136)-SUM(E$3:E136),0)</f>
        <v>207904</v>
      </c>
      <c r="G136" s="5"/>
    </row>
    <row r="137" spans="2:8" ht="15.75" x14ac:dyDescent="0.25">
      <c r="B137" s="59"/>
      <c r="C137" s="5" t="s">
        <v>7</v>
      </c>
      <c r="D137" s="6">
        <v>1000000</v>
      </c>
      <c r="E137" s="6"/>
      <c r="F137" s="7">
        <f>IF(OR(D137&lt;&gt;0,E137&lt;&gt;0),SUM(D$3:D137)-SUM(E$3:E137),0)</f>
        <v>1207904</v>
      </c>
      <c r="G137" s="5"/>
    </row>
    <row r="138" spans="2:8" ht="15.75" x14ac:dyDescent="0.25">
      <c r="B138" s="59"/>
      <c r="C138" s="5" t="s">
        <v>106</v>
      </c>
      <c r="D138" s="5"/>
      <c r="E138" s="6">
        <v>120000</v>
      </c>
      <c r="F138" s="7">
        <f>IF(OR(D138&lt;&gt;0,E138&lt;&gt;0),SUM(D$3:D138)-SUM(E$3:E138),0)</f>
        <v>1087904</v>
      </c>
      <c r="G138" s="5"/>
    </row>
    <row r="139" spans="2:8" ht="15.75" x14ac:dyDescent="0.25">
      <c r="B139" s="59"/>
      <c r="C139" s="5" t="s">
        <v>107</v>
      </c>
      <c r="D139" s="5"/>
      <c r="E139" s="6">
        <v>100000</v>
      </c>
      <c r="F139" s="7">
        <f>IF(OR(D139&lt;&gt;0,E139&lt;&gt;0),SUM(D$3:D139)-SUM(E$3:E139),0)</f>
        <v>987904</v>
      </c>
      <c r="G139" s="5"/>
    </row>
    <row r="140" spans="2:8" ht="15.75" x14ac:dyDescent="0.25">
      <c r="B140" s="56">
        <v>45262</v>
      </c>
      <c r="C140" s="5" t="s">
        <v>33</v>
      </c>
      <c r="D140" s="5"/>
      <c r="E140" s="6">
        <v>10000</v>
      </c>
      <c r="F140" s="7">
        <f>IF(OR(D140&lt;&gt;0,E140&lt;&gt;0),SUM(D$3:D140)-SUM(E$3:E140),0)</f>
        <v>977904</v>
      </c>
      <c r="G140" s="5"/>
    </row>
    <row r="141" spans="2:8" ht="15.75" x14ac:dyDescent="0.25">
      <c r="B141" s="57"/>
      <c r="C141" s="5" t="s">
        <v>108</v>
      </c>
      <c r="D141" s="5"/>
      <c r="E141" s="6">
        <v>50500</v>
      </c>
      <c r="F141" s="7">
        <f>IF(OR(D141&lt;&gt;0,E141&lt;&gt;0),SUM(D$3:D141)-SUM(E$3:E141),0)</f>
        <v>927404</v>
      </c>
      <c r="G141" s="5"/>
      <c r="H141" s="3">
        <f>858000-F141</f>
        <v>-69404</v>
      </c>
    </row>
    <row r="142" spans="2:8" ht="15.75" x14ac:dyDescent="0.25">
      <c r="B142" s="57"/>
      <c r="C142" s="5" t="s">
        <v>109</v>
      </c>
      <c r="D142" s="6"/>
      <c r="E142" s="6">
        <v>100000</v>
      </c>
      <c r="F142" s="7">
        <f>IF(OR(D142&lt;&gt;0,E142&lt;&gt;0),SUM(D$3:D142)-SUM(E$3:E142),0)</f>
        <v>827404</v>
      </c>
      <c r="G142" s="5"/>
    </row>
    <row r="143" spans="2:8" ht="15.75" x14ac:dyDescent="0.25">
      <c r="B143" s="57"/>
      <c r="C143" s="5" t="s">
        <v>11</v>
      </c>
      <c r="D143" s="5"/>
      <c r="E143" s="6">
        <v>34500</v>
      </c>
      <c r="F143" s="7">
        <f>IF(OR(D143&lt;&gt;0,E143&lt;&gt;0),SUM(D$3:D143)-SUM(E$3:E143),0)</f>
        <v>792904</v>
      </c>
      <c r="G143" s="5"/>
    </row>
    <row r="144" spans="2:8" ht="15.75" x14ac:dyDescent="0.25">
      <c r="B144" s="57"/>
      <c r="C144" s="5" t="s">
        <v>113</v>
      </c>
      <c r="D144" s="5"/>
      <c r="E144" s="6">
        <v>120000</v>
      </c>
      <c r="F144" s="7">
        <f>IF(OR(D144&lt;&gt;0,E144&lt;&gt;0),SUM(D$3:D144)-SUM(E$3:E144),0)</f>
        <v>672904</v>
      </c>
      <c r="G144" s="5"/>
    </row>
    <row r="145" spans="2:7" ht="15.75" x14ac:dyDescent="0.25">
      <c r="B145" s="57"/>
      <c r="C145" s="5" t="s">
        <v>7</v>
      </c>
      <c r="D145" s="6">
        <v>2000000</v>
      </c>
      <c r="E145" s="6"/>
      <c r="F145" s="7">
        <f>IF(OR(D145&lt;&gt;0,E145&lt;&gt;0),SUM(D$3:D145)-SUM(E$3:E145),0)</f>
        <v>2672904</v>
      </c>
      <c r="G145" s="5"/>
    </row>
    <row r="146" spans="2:7" ht="15.75" x14ac:dyDescent="0.25">
      <c r="B146" s="57"/>
      <c r="C146" s="5" t="s">
        <v>110</v>
      </c>
      <c r="D146" s="5"/>
      <c r="E146" s="6">
        <v>450000</v>
      </c>
      <c r="F146" s="7">
        <f>IF(OR(D146&lt;&gt;0,E146&lt;&gt;0),SUM(D$3:D146)-SUM(E$3:E146),0)</f>
        <v>2222904</v>
      </c>
      <c r="G146" s="5"/>
    </row>
    <row r="147" spans="2:7" ht="15.75" x14ac:dyDescent="0.25">
      <c r="B147" s="57"/>
      <c r="C147" s="5" t="s">
        <v>111</v>
      </c>
      <c r="D147" s="5"/>
      <c r="E147" s="6">
        <v>250000</v>
      </c>
      <c r="F147" s="7">
        <f>IF(OR(D147&lt;&gt;0,E147&lt;&gt;0),SUM(D$3:D147)-SUM(E$3:E147),0)</f>
        <v>1972904</v>
      </c>
      <c r="G147" s="5"/>
    </row>
    <row r="148" spans="2:7" ht="15.75" x14ac:dyDescent="0.25">
      <c r="B148" s="57"/>
      <c r="C148" s="5" t="s">
        <v>99</v>
      </c>
      <c r="D148" s="5"/>
      <c r="E148" s="6">
        <v>25000</v>
      </c>
      <c r="F148" s="7">
        <f>IF(OR(D148&lt;&gt;0,E148&lt;&gt;0),SUM(D$3:D148)-SUM(E$3:E148),0)</f>
        <v>1947904</v>
      </c>
      <c r="G148" s="5"/>
    </row>
    <row r="149" spans="2:7" ht="15.75" x14ac:dyDescent="0.25">
      <c r="B149" s="58"/>
      <c r="C149" s="5" t="s">
        <v>112</v>
      </c>
      <c r="D149" s="5"/>
      <c r="E149" s="6">
        <v>400000</v>
      </c>
      <c r="F149" s="7">
        <f>IF(OR(D149&lt;&gt;0,E149&lt;&gt;0),SUM(D$3:D149)-SUM(E$3:E149),0)</f>
        <v>1547904</v>
      </c>
      <c r="G149" s="5"/>
    </row>
    <row r="150" spans="2:7" ht="15.75" x14ac:dyDescent="0.25">
      <c r="B150" s="52">
        <v>45263</v>
      </c>
      <c r="C150" s="5" t="s">
        <v>114</v>
      </c>
      <c r="D150" s="5"/>
      <c r="E150" s="6">
        <v>138750</v>
      </c>
      <c r="F150" s="7">
        <f>IF(OR(D150&lt;&gt;0,E150&lt;&gt;0),SUM(D$3:D150)-SUM(E$3:E150),0)</f>
        <v>1409154</v>
      </c>
      <c r="G150" s="5"/>
    </row>
    <row r="151" spans="2:7" ht="15.75" x14ac:dyDescent="0.25">
      <c r="B151" s="53"/>
      <c r="C151" s="5" t="s">
        <v>115</v>
      </c>
      <c r="D151" s="5"/>
      <c r="E151" s="6">
        <v>25000</v>
      </c>
      <c r="F151" s="7">
        <f>IF(OR(D151&lt;&gt;0,E151&lt;&gt;0),SUM(D$3:D151)-SUM(E$3:E151),0)</f>
        <v>1384154</v>
      </c>
      <c r="G151" s="5"/>
    </row>
    <row r="152" spans="2:7" ht="15.75" x14ac:dyDescent="0.25">
      <c r="B152" s="53"/>
      <c r="C152" s="5" t="s">
        <v>43</v>
      </c>
      <c r="D152" s="6"/>
      <c r="E152" s="6">
        <v>100000</v>
      </c>
      <c r="F152" s="7">
        <f>IF(OR(D152&lt;&gt;0,E152&lt;&gt;0),SUM(D$3:D152)-SUM(E$3:E152),0)</f>
        <v>1284154</v>
      </c>
      <c r="G152" s="5"/>
    </row>
    <row r="153" spans="2:7" ht="15.75" x14ac:dyDescent="0.25">
      <c r="B153" s="53"/>
      <c r="C153" s="5" t="s">
        <v>116</v>
      </c>
      <c r="D153" s="5"/>
      <c r="E153" s="6">
        <v>500000</v>
      </c>
      <c r="F153" s="7">
        <f>IF(OR(D153&lt;&gt;0,E153&lt;&gt;0),SUM(D$3:D153)-SUM(E$3:E153),0)</f>
        <v>784154</v>
      </c>
      <c r="G153" s="5"/>
    </row>
    <row r="154" spans="2:7" ht="15.75" x14ac:dyDescent="0.25">
      <c r="B154" s="53"/>
      <c r="C154" s="5" t="s">
        <v>117</v>
      </c>
      <c r="D154" s="5"/>
      <c r="E154" s="6">
        <v>26000</v>
      </c>
      <c r="F154" s="7">
        <f>IF(OR(D154&lt;&gt;0,E154&lt;&gt;0),SUM(D$3:D154)-SUM(E$3:E154),0)</f>
        <v>758154</v>
      </c>
      <c r="G154" s="5"/>
    </row>
    <row r="155" spans="2:7" ht="15.75" x14ac:dyDescent="0.25">
      <c r="B155" s="53"/>
      <c r="C155" s="5" t="s">
        <v>7</v>
      </c>
      <c r="D155" s="6">
        <v>2000000</v>
      </c>
      <c r="E155" s="6"/>
      <c r="F155" s="7">
        <f>IF(OR(D155&lt;&gt;0,E155&lt;&gt;0),SUM(D$3:D155)-SUM(E$3:E155),0)</f>
        <v>2758154</v>
      </c>
      <c r="G155" s="5"/>
    </row>
    <row r="156" spans="2:7" ht="15.75" x14ac:dyDescent="0.25">
      <c r="B156" s="54"/>
      <c r="C156" s="5" t="s">
        <v>118</v>
      </c>
      <c r="D156" s="5"/>
      <c r="E156" s="6">
        <v>80000</v>
      </c>
      <c r="F156" s="7">
        <f>IF(OR(D156&lt;&gt;0,E156&lt;&gt;0),SUM(D$3:D156)-SUM(E$3:E156),0)</f>
        <v>2678154</v>
      </c>
      <c r="G156" s="5"/>
    </row>
    <row r="157" spans="2:7" ht="15.75" x14ac:dyDescent="0.25">
      <c r="B157" s="55">
        <v>45264</v>
      </c>
      <c r="C157" s="5" t="s">
        <v>14</v>
      </c>
      <c r="D157" s="6"/>
      <c r="E157" s="6">
        <v>20000</v>
      </c>
      <c r="F157" s="7">
        <f>IF(OR(D157&lt;&gt;0,E157&lt;&gt;0),SUM(D$3:D157)-SUM(E$3:E157),0)</f>
        <v>2658154</v>
      </c>
      <c r="G157" s="5"/>
    </row>
    <row r="158" spans="2:7" ht="15.75" x14ac:dyDescent="0.25">
      <c r="B158" s="55"/>
      <c r="C158" s="5" t="s">
        <v>120</v>
      </c>
      <c r="D158" s="5"/>
      <c r="E158" s="6">
        <v>950000</v>
      </c>
      <c r="F158" s="7">
        <f>IF(OR(D158&lt;&gt;0,E158&lt;&gt;0),SUM(D$3:D158)-SUM(E$3:E158),0)</f>
        <v>1708154</v>
      </c>
      <c r="G158" s="5"/>
    </row>
    <row r="159" spans="2:7" ht="15.75" x14ac:dyDescent="0.25">
      <c r="B159" s="55"/>
      <c r="C159" s="5" t="s">
        <v>121</v>
      </c>
      <c r="D159" s="5"/>
      <c r="E159" s="6">
        <v>30000</v>
      </c>
      <c r="F159" s="7">
        <f>IF(OR(D159&lt;&gt;0,E159&lt;&gt;0),SUM(D$3:D159)-SUM(E$3:E159),0)</f>
        <v>1678154</v>
      </c>
      <c r="G159" s="5"/>
    </row>
    <row r="160" spans="2:7" ht="15.75" x14ac:dyDescent="0.25">
      <c r="B160" s="55"/>
      <c r="C160" s="5" t="s">
        <v>77</v>
      </c>
      <c r="D160" s="5"/>
      <c r="E160" s="6">
        <v>100000</v>
      </c>
      <c r="F160" s="7">
        <f>IF(OR(D160&lt;&gt;0,E160&lt;&gt;0),SUM(D$3:D160)-SUM(E$3:E160),0)</f>
        <v>1578154</v>
      </c>
      <c r="G160" s="5"/>
    </row>
    <row r="161" spans="2:8" ht="15.75" x14ac:dyDescent="0.25">
      <c r="B161" s="55"/>
      <c r="C161" s="5" t="s">
        <v>7</v>
      </c>
      <c r="D161" s="6">
        <v>2000000</v>
      </c>
      <c r="E161" s="6"/>
      <c r="F161" s="7">
        <f>IF(OR(D161&lt;&gt;0,E161&lt;&gt;0),SUM(D$3:D161)-SUM(E$3:E161),0)</f>
        <v>3578154</v>
      </c>
      <c r="G161" s="5"/>
    </row>
    <row r="162" spans="2:8" ht="15.75" x14ac:dyDescent="0.25">
      <c r="B162" s="55">
        <v>45265</v>
      </c>
      <c r="C162" s="5" t="s">
        <v>119</v>
      </c>
      <c r="D162" s="5"/>
      <c r="E162" s="6">
        <v>100000</v>
      </c>
      <c r="F162" s="7">
        <f>IF(OR(D162&lt;&gt;0,E162&lt;&gt;0),SUM(D$3:D162)-SUM(E$3:E162),0)</f>
        <v>3478154</v>
      </c>
      <c r="G162" s="5"/>
    </row>
    <row r="163" spans="2:8" ht="15.75" x14ac:dyDescent="0.25">
      <c r="B163" s="55"/>
      <c r="C163" s="5" t="s">
        <v>82</v>
      </c>
      <c r="D163" s="5"/>
      <c r="E163" s="6">
        <v>200000</v>
      </c>
      <c r="F163" s="7">
        <f>IF(OR(D163&lt;&gt;0,E163&lt;&gt;0),SUM(D$3:D163)-SUM(E$3:E163),0)</f>
        <v>3278154</v>
      </c>
      <c r="G163" s="5"/>
    </row>
    <row r="164" spans="2:8" ht="15.75" x14ac:dyDescent="0.25">
      <c r="B164" s="55"/>
      <c r="C164" s="5" t="s">
        <v>14</v>
      </c>
      <c r="D164" s="5"/>
      <c r="E164" s="6">
        <v>30000</v>
      </c>
      <c r="F164" s="7">
        <f>IF(OR(D164&lt;&gt;0,E164&lt;&gt;0),SUM(D$3:D164)-SUM(E$3:E164),0)</f>
        <v>3248154</v>
      </c>
      <c r="G164" s="5"/>
    </row>
    <row r="165" spans="2:8" ht="15.75" x14ac:dyDescent="0.25">
      <c r="B165" s="55"/>
      <c r="C165" s="5" t="s">
        <v>17</v>
      </c>
      <c r="D165" s="5"/>
      <c r="E165" s="6">
        <v>200000</v>
      </c>
      <c r="F165" s="7">
        <f>IF(OR(D165&lt;&gt;0,E165&lt;&gt;0),SUM(D$3:D165)-SUM(E$3:E165),0)</f>
        <v>3048154</v>
      </c>
      <c r="G165" s="5"/>
    </row>
    <row r="166" spans="2:8" ht="15.75" x14ac:dyDescent="0.25">
      <c r="B166" s="55"/>
      <c r="C166" s="5" t="s">
        <v>122</v>
      </c>
      <c r="D166" s="5"/>
      <c r="E166" s="6">
        <v>100000</v>
      </c>
      <c r="F166" s="7">
        <f>IF(OR(D166&lt;&gt;0,E166&lt;&gt;0),SUM(D$3:D166)-SUM(E$3:E166),0)</f>
        <v>2948154</v>
      </c>
      <c r="G166" s="5"/>
    </row>
    <row r="167" spans="2:8" ht="15.75" x14ac:dyDescent="0.25">
      <c r="B167" s="55"/>
      <c r="C167" s="5" t="s">
        <v>122</v>
      </c>
      <c r="D167" s="5"/>
      <c r="E167" s="6">
        <v>200000</v>
      </c>
      <c r="F167" s="7">
        <f>IF(OR(D167&lt;&gt;0,E167&lt;&gt;0),SUM(D$3:D167)-SUM(E$3:E167),0)</f>
        <v>2748154</v>
      </c>
      <c r="G167" s="5"/>
    </row>
    <row r="168" spans="2:8" ht="15.75" x14ac:dyDescent="0.25">
      <c r="B168" s="55"/>
      <c r="C168" s="5" t="s">
        <v>123</v>
      </c>
      <c r="D168" s="5"/>
      <c r="E168" s="6">
        <v>50000</v>
      </c>
      <c r="F168" s="7">
        <f>IF(OR(D168&lt;&gt;0,E168&lt;&gt;0),SUM(D$3:D168)-SUM(E$3:E168),0)</f>
        <v>2698154</v>
      </c>
      <c r="G168" s="5"/>
    </row>
    <row r="169" spans="2:8" ht="15.75" x14ac:dyDescent="0.25">
      <c r="B169" s="52">
        <v>45266</v>
      </c>
      <c r="C169" s="5" t="s">
        <v>124</v>
      </c>
      <c r="D169" s="5"/>
      <c r="E169" s="6">
        <v>44000</v>
      </c>
      <c r="F169" s="7">
        <f>IF(OR(D169&lt;&gt;0,E169&lt;&gt;0),SUM(D$3:D169)-SUM(E$3:E169),0)</f>
        <v>2654154</v>
      </c>
      <c r="G169" s="5"/>
    </row>
    <row r="170" spans="2:8" ht="15.75" x14ac:dyDescent="0.25">
      <c r="B170" s="53"/>
      <c r="C170" s="5" t="s">
        <v>124</v>
      </c>
      <c r="D170" s="5"/>
      <c r="E170" s="6">
        <v>120000</v>
      </c>
      <c r="F170" s="7">
        <f>IF(OR(D170&lt;&gt;0,E170&lt;&gt;0),SUM(D$3:D170)-SUM(E$3:E170),0)</f>
        <v>2534154</v>
      </c>
      <c r="G170" s="5"/>
    </row>
    <row r="171" spans="2:8" ht="15.75" x14ac:dyDescent="0.25">
      <c r="B171" s="53"/>
      <c r="C171" s="5" t="s">
        <v>124</v>
      </c>
      <c r="D171" s="5"/>
      <c r="E171" s="6">
        <v>10000</v>
      </c>
      <c r="F171" s="7">
        <f>IF(OR(D171&lt;&gt;0,E171&lt;&gt;0),SUM(D$3:D171)-SUM(E$3:E171),0)</f>
        <v>2524154</v>
      </c>
      <c r="G171" s="5"/>
    </row>
    <row r="172" spans="2:8" ht="15.75" x14ac:dyDescent="0.25">
      <c r="B172" s="54"/>
      <c r="C172" s="5" t="s">
        <v>77</v>
      </c>
      <c r="D172" s="5"/>
      <c r="E172" s="6">
        <v>150000</v>
      </c>
      <c r="F172" s="7">
        <f>IF(OR(D172&lt;&gt;0,E172&lt;&gt;0),SUM(D$3:D172)-SUM(E$3:E172),0)</f>
        <v>2374154</v>
      </c>
      <c r="G172" s="5"/>
    </row>
    <row r="173" spans="2:8" ht="15.75" x14ac:dyDescent="0.25">
      <c r="B173" s="52">
        <v>45267</v>
      </c>
      <c r="C173" s="5" t="s">
        <v>125</v>
      </c>
      <c r="D173" s="5"/>
      <c r="E173" s="6">
        <v>5000</v>
      </c>
      <c r="F173" s="7">
        <f>IF(OR(D173&lt;&gt;0,E173&lt;&gt;0),SUM(D$3:D173)-SUM(E$3:E173),0)</f>
        <v>2369154</v>
      </c>
      <c r="G173" s="5"/>
      <c r="H173" s="3">
        <f>F172-1826000</f>
        <v>548154</v>
      </c>
    </row>
    <row r="174" spans="2:8" ht="15.75" x14ac:dyDescent="0.25">
      <c r="B174" s="53"/>
      <c r="C174" s="5" t="s">
        <v>126</v>
      </c>
      <c r="D174" s="5"/>
      <c r="E174" s="6">
        <v>200000</v>
      </c>
      <c r="F174" s="7">
        <f>IF(OR(D174&lt;&gt;0,E174&lt;&gt;0),SUM(D$3:D174)-SUM(E$3:E174),0)</f>
        <v>2169154</v>
      </c>
      <c r="G174" s="5"/>
    </row>
    <row r="175" spans="2:8" ht="15.75" x14ac:dyDescent="0.25">
      <c r="B175" s="53"/>
      <c r="C175" s="5" t="s">
        <v>127</v>
      </c>
      <c r="D175" s="5"/>
      <c r="E175" s="6">
        <v>100000</v>
      </c>
      <c r="F175" s="7">
        <f>IF(OR(D175&lt;&gt;0,E175&lt;&gt;0),SUM(D$3:D175)-SUM(E$3:E175),0)</f>
        <v>2069154</v>
      </c>
      <c r="G175" s="5"/>
    </row>
    <row r="176" spans="2:8" ht="15.75" x14ac:dyDescent="0.25">
      <c r="B176" s="53"/>
      <c r="C176" s="5" t="s">
        <v>76</v>
      </c>
      <c r="D176" s="5"/>
      <c r="E176" s="6">
        <v>25000</v>
      </c>
      <c r="F176" s="7">
        <f>IF(OR(D176&lt;&gt;0,E176&lt;&gt;0),SUM(D$3:D176)-SUM(E$3:E176),0)</f>
        <v>2044154</v>
      </c>
      <c r="G176" s="5"/>
    </row>
    <row r="177" spans="2:7" ht="15.75" x14ac:dyDescent="0.25">
      <c r="B177" s="53"/>
      <c r="C177" s="5" t="s">
        <v>128</v>
      </c>
      <c r="D177" s="5"/>
      <c r="E177" s="6">
        <v>50000</v>
      </c>
      <c r="F177" s="7">
        <f>IF(OR(D177&lt;&gt;0,E177&lt;&gt;0),SUM(D$3:D177)-SUM(E$3:E177),0)</f>
        <v>1994154</v>
      </c>
      <c r="G177" s="5"/>
    </row>
    <row r="178" spans="2:7" ht="15.75" x14ac:dyDescent="0.25">
      <c r="B178" s="53"/>
      <c r="C178" s="5" t="s">
        <v>129</v>
      </c>
      <c r="D178" s="5"/>
      <c r="E178" s="6">
        <v>308000</v>
      </c>
      <c r="F178" s="7">
        <f>IF(OR(D178&lt;&gt;0,E178&lt;&gt;0),SUM(D$3:D178)-SUM(E$3:E178),0)</f>
        <v>1686154</v>
      </c>
      <c r="G178" s="5"/>
    </row>
    <row r="179" spans="2:7" ht="15.75" x14ac:dyDescent="0.25">
      <c r="B179" s="53"/>
      <c r="C179" s="5" t="s">
        <v>131</v>
      </c>
      <c r="D179" s="5"/>
      <c r="E179" s="6">
        <v>207000</v>
      </c>
      <c r="F179" s="7">
        <f>IF(OR(D179&lt;&gt;0,E179&lt;&gt;0),SUM(D$3:D179)-SUM(E$3:E179),0)</f>
        <v>1479154</v>
      </c>
      <c r="G179" s="5"/>
    </row>
    <row r="180" spans="2:7" ht="15.75" x14ac:dyDescent="0.25">
      <c r="B180" s="53"/>
      <c r="C180" s="5" t="s">
        <v>32</v>
      </c>
      <c r="D180" s="5"/>
      <c r="E180" s="6">
        <v>200000</v>
      </c>
      <c r="F180" s="7">
        <f>IF(OR(D180&lt;&gt;0,E180&lt;&gt;0),SUM(D$3:D180)-SUM(E$3:E180),0)</f>
        <v>1279154</v>
      </c>
      <c r="G180" s="5"/>
    </row>
    <row r="181" spans="2:7" ht="15.75" x14ac:dyDescent="0.25">
      <c r="B181" s="53"/>
      <c r="C181" s="5" t="s">
        <v>130</v>
      </c>
      <c r="D181" s="5"/>
      <c r="E181" s="6">
        <v>500000</v>
      </c>
      <c r="F181" s="7">
        <f>IF(OR(D181&lt;&gt;0,E181&lt;&gt;0),SUM(D$3:D181)-SUM(E$3:E181),0)</f>
        <v>779154</v>
      </c>
      <c r="G181" s="5"/>
    </row>
    <row r="182" spans="2:7" ht="15.75" x14ac:dyDescent="0.25">
      <c r="B182" s="53"/>
      <c r="C182" s="5" t="s">
        <v>132</v>
      </c>
      <c r="D182" s="5"/>
      <c r="E182" s="6">
        <v>275000</v>
      </c>
      <c r="F182" s="7">
        <f>IF(OR(D182&lt;&gt;0,E182&lt;&gt;0),SUM(D$3:D182)-SUM(E$3:E182),0)</f>
        <v>504154</v>
      </c>
      <c r="G182" s="5"/>
    </row>
    <row r="183" spans="2:7" ht="15.75" x14ac:dyDescent="0.25">
      <c r="B183" s="53"/>
      <c r="C183" s="5" t="s">
        <v>43</v>
      </c>
      <c r="D183" s="5"/>
      <c r="E183" s="6">
        <v>100000</v>
      </c>
      <c r="F183" s="7">
        <f>IF(OR(D183&lt;&gt;0,E183&lt;&gt;0),SUM(D$3:D183)-SUM(E$3:E183),0)</f>
        <v>404154</v>
      </c>
      <c r="G183" s="5"/>
    </row>
    <row r="184" spans="2:7" ht="15.75" x14ac:dyDescent="0.25">
      <c r="B184" s="54"/>
      <c r="C184" s="5" t="s">
        <v>133</v>
      </c>
      <c r="D184" s="5"/>
      <c r="E184" s="6">
        <v>87600</v>
      </c>
      <c r="F184" s="7">
        <f>IF(OR(D184&lt;&gt;0,E184&lt;&gt;0),SUM(D$3:D184)-SUM(E$3:E184),0)</f>
        <v>316554</v>
      </c>
      <c r="G184" s="5"/>
    </row>
    <row r="185" spans="2:7" ht="15.75" x14ac:dyDescent="0.25">
      <c r="B185" s="55">
        <v>45268</v>
      </c>
      <c r="C185" s="5" t="s">
        <v>46</v>
      </c>
      <c r="D185" s="5"/>
      <c r="E185" s="6">
        <v>30000</v>
      </c>
      <c r="F185" s="7">
        <f>IF(OR(D185&lt;&gt;0,E185&lt;&gt;0),SUM(D$3:D185)-SUM(E$3:E185),0)</f>
        <v>286554</v>
      </c>
      <c r="G185" s="5"/>
    </row>
    <row r="186" spans="2:7" ht="15.75" x14ac:dyDescent="0.25">
      <c r="B186" s="55"/>
      <c r="C186" s="5" t="s">
        <v>67</v>
      </c>
      <c r="D186" s="5"/>
      <c r="E186" s="6">
        <v>105000</v>
      </c>
      <c r="F186" s="7">
        <f>IF(OR(D186&lt;&gt;0,E186&lt;&gt;0),SUM(D$3:D186)-SUM(E$3:E186),0)</f>
        <v>181554</v>
      </c>
      <c r="G186" s="5"/>
    </row>
    <row r="187" spans="2:7" ht="15.75" x14ac:dyDescent="0.25">
      <c r="B187" s="55"/>
      <c r="C187" s="5" t="s">
        <v>134</v>
      </c>
      <c r="D187" s="5"/>
      <c r="E187" s="6">
        <v>23000</v>
      </c>
      <c r="F187" s="7">
        <f>IF(OR(D187&lt;&gt;0,E187&lt;&gt;0),SUM(D$3:D187)-SUM(E$3:E187),0)</f>
        <v>158554</v>
      </c>
      <c r="G187" s="5"/>
    </row>
    <row r="188" spans="2:7" ht="15.75" x14ac:dyDescent="0.25">
      <c r="B188" s="55"/>
      <c r="C188" s="5" t="s">
        <v>135</v>
      </c>
      <c r="D188" s="5"/>
      <c r="E188" s="6">
        <v>88000</v>
      </c>
      <c r="F188" s="7">
        <f>IF(OR(D188&lt;&gt;0,E188&lt;&gt;0),SUM(D$3:D188)-SUM(E$3:E188),0)</f>
        <v>70554</v>
      </c>
      <c r="G188" s="5"/>
    </row>
    <row r="189" spans="2:7" ht="15.75" x14ac:dyDescent="0.25">
      <c r="B189" s="55"/>
      <c r="C189" s="5" t="s">
        <v>43</v>
      </c>
      <c r="D189" s="5"/>
      <c r="E189" s="6">
        <v>200000</v>
      </c>
      <c r="F189" s="7">
        <f>IF(OR(D189&lt;&gt;0,E189&lt;&gt;0),SUM(D$3:D189)-SUM(E$3:E189),0)</f>
        <v>-129446</v>
      </c>
      <c r="G189" s="5"/>
    </row>
    <row r="190" spans="2:7" ht="15.75" x14ac:dyDescent="0.25">
      <c r="B190" s="55"/>
      <c r="C190" s="5" t="s">
        <v>136</v>
      </c>
      <c r="D190" s="5"/>
      <c r="E190" s="6">
        <v>200000</v>
      </c>
      <c r="F190" s="7">
        <f>IF(OR(D190&lt;&gt;0,E190&lt;&gt;0),SUM(D$3:D190)-SUM(E$3:E190),0)</f>
        <v>-329446</v>
      </c>
      <c r="G190" s="5"/>
    </row>
    <row r="191" spans="2:7" ht="15.75" x14ac:dyDescent="0.25">
      <c r="B191" s="55"/>
      <c r="C191" s="5" t="s">
        <v>137</v>
      </c>
      <c r="D191" s="5"/>
      <c r="E191" s="6">
        <v>50000</v>
      </c>
      <c r="F191" s="7">
        <f>IF(OR(D191&lt;&gt;0,E191&lt;&gt;0),SUM(D$3:D191)-SUM(E$3:E191),0)</f>
        <v>-379446</v>
      </c>
      <c r="G191" s="5"/>
    </row>
    <row r="192" spans="2:7" ht="15.75" x14ac:dyDescent="0.25">
      <c r="B192" s="52">
        <v>45269</v>
      </c>
      <c r="C192" s="5" t="s">
        <v>14</v>
      </c>
      <c r="D192" s="5"/>
      <c r="E192" s="6">
        <v>50000</v>
      </c>
      <c r="F192" s="7">
        <f>IF(OR(D192&lt;&gt;0,E192&lt;&gt;0),SUM(D$3:D192)-SUM(E$3:E192),0)</f>
        <v>-429446</v>
      </c>
      <c r="G192" s="5"/>
    </row>
    <row r="193" spans="2:8" ht="15.75" x14ac:dyDescent="0.25">
      <c r="B193" s="53"/>
      <c r="C193" s="5" t="s">
        <v>138</v>
      </c>
      <c r="D193" s="5"/>
      <c r="E193" s="6">
        <v>16600</v>
      </c>
      <c r="F193" s="7">
        <f>IF(OR(D193&lt;&gt;0,E193&lt;&gt;0),SUM(D$3:D193)-SUM(E$3:E193),0)</f>
        <v>-446046</v>
      </c>
      <c r="G193" s="5"/>
    </row>
    <row r="194" spans="2:8" ht="15.75" x14ac:dyDescent="0.25">
      <c r="B194" s="53"/>
      <c r="C194" s="5" t="s">
        <v>7</v>
      </c>
      <c r="D194" s="6">
        <v>1800000</v>
      </c>
      <c r="E194" s="6"/>
      <c r="F194" s="7">
        <f>IF(OR(D194&lt;&gt;0,E194&lt;&gt;0),SUM(D$3:D194)-SUM(E$3:E194),0)</f>
        <v>1353954</v>
      </c>
      <c r="G194" s="5"/>
    </row>
    <row r="195" spans="2:8" ht="15.75" x14ac:dyDescent="0.25">
      <c r="B195" s="53"/>
      <c r="C195" s="5" t="s">
        <v>139</v>
      </c>
      <c r="D195" s="5"/>
      <c r="E195" s="6">
        <v>16000</v>
      </c>
      <c r="F195" s="7">
        <f>IF(OR(D195&lt;&gt;0,E195&lt;&gt;0),SUM(D$3:D195)-SUM(E$3:E195),0)</f>
        <v>1337954</v>
      </c>
      <c r="G195" s="5"/>
    </row>
    <row r="196" spans="2:8" ht="15.75" x14ac:dyDescent="0.25">
      <c r="B196" s="52">
        <v>45271</v>
      </c>
      <c r="C196" s="5" t="s">
        <v>140</v>
      </c>
      <c r="D196" s="5"/>
      <c r="E196" s="6">
        <v>200000</v>
      </c>
      <c r="F196" s="7">
        <f>IF(OR(D196&lt;&gt;0,E196&lt;&gt;0),SUM(D$3:D196)-SUM(E$3:E196),0)</f>
        <v>1137954</v>
      </c>
      <c r="G196" s="5"/>
      <c r="H196" s="3"/>
    </row>
    <row r="197" spans="2:8" ht="15.75" x14ac:dyDescent="0.25">
      <c r="B197" s="53"/>
      <c r="C197" s="5" t="s">
        <v>141</v>
      </c>
      <c r="D197" s="5"/>
      <c r="E197" s="6">
        <v>85000</v>
      </c>
      <c r="F197" s="7">
        <f>IF(OR(D197&lt;&gt;0,E197&lt;&gt;0),SUM(D$3:D197)-SUM(E$3:E197),0)</f>
        <v>1052954</v>
      </c>
      <c r="G197" s="5"/>
    </row>
    <row r="198" spans="2:8" ht="15.75" x14ac:dyDescent="0.25">
      <c r="B198" s="53"/>
      <c r="C198" s="5" t="s">
        <v>142</v>
      </c>
      <c r="D198" s="5"/>
      <c r="E198" s="6">
        <v>15000</v>
      </c>
      <c r="F198" s="7">
        <f>IF(OR(D198&lt;&gt;0,E198&lt;&gt;0),SUM(D$3:D198)-SUM(E$3:E198),0)</f>
        <v>1037954</v>
      </c>
      <c r="G198" s="5"/>
    </row>
    <row r="199" spans="2:8" ht="15.75" x14ac:dyDescent="0.25">
      <c r="B199" s="53"/>
      <c r="C199" s="5" t="s">
        <v>16</v>
      </c>
      <c r="D199" s="5"/>
      <c r="E199" s="6">
        <v>125000</v>
      </c>
      <c r="F199" s="7">
        <f>IF(OR(D199&lt;&gt;0,E199&lt;&gt;0),SUM(D$3:D199)-SUM(E$3:E199),0)</f>
        <v>912954</v>
      </c>
      <c r="G199" s="5"/>
    </row>
    <row r="200" spans="2:8" ht="15.75" x14ac:dyDescent="0.25">
      <c r="B200" s="53"/>
      <c r="C200" s="5" t="s">
        <v>143</v>
      </c>
      <c r="D200" s="5"/>
      <c r="E200" s="6">
        <v>46000</v>
      </c>
      <c r="F200" s="7">
        <f>IF(OR(D200&lt;&gt;0,E200&lt;&gt;0),SUM(D$3:D200)-SUM(E$3:E200),0)</f>
        <v>866954</v>
      </c>
      <c r="G200" s="5"/>
    </row>
    <row r="201" spans="2:8" ht="15.75" x14ac:dyDescent="0.25">
      <c r="B201" s="53"/>
      <c r="C201" s="10" t="s">
        <v>144</v>
      </c>
      <c r="D201" s="11">
        <v>1900000</v>
      </c>
      <c r="E201" s="10"/>
      <c r="F201" s="12">
        <f>IF(OR(D201&lt;&gt;0,E201&lt;&gt;0),SUM(D$3:D201)-SUM(E$3:E201),0)</f>
        <v>2766954</v>
      </c>
      <c r="G201" s="5"/>
    </row>
    <row r="202" spans="2:8" ht="15.75" x14ac:dyDescent="0.25">
      <c r="B202" s="53"/>
      <c r="C202" s="5" t="s">
        <v>145</v>
      </c>
      <c r="D202" s="5"/>
      <c r="E202" s="6">
        <v>200000</v>
      </c>
      <c r="F202" s="7">
        <f>IF(OR(D202&lt;&gt;0,E202&lt;&gt;0),SUM(D$3:D202)-SUM(E$3:E202),0)</f>
        <v>2566954</v>
      </c>
      <c r="G202" s="5"/>
    </row>
    <row r="203" spans="2:8" ht="15.75" x14ac:dyDescent="0.25">
      <c r="B203" s="53"/>
      <c r="C203" s="5" t="s">
        <v>146</v>
      </c>
      <c r="D203" s="5"/>
      <c r="E203" s="6">
        <v>200000</v>
      </c>
      <c r="F203" s="7">
        <f>IF(OR(D203&lt;&gt;0,E203&lt;&gt;0),SUM(D$3:D203)-SUM(E$3:E203),0)</f>
        <v>2366954</v>
      </c>
      <c r="G203" s="5"/>
    </row>
    <row r="204" spans="2:8" ht="15.75" x14ac:dyDescent="0.25">
      <c r="B204" s="53"/>
      <c r="C204" s="5" t="s">
        <v>147</v>
      </c>
      <c r="D204" s="5"/>
      <c r="E204" s="6">
        <v>418000</v>
      </c>
      <c r="F204" s="7">
        <f>IF(OR(D204&lt;&gt;0,E204&lt;&gt;0),SUM(D$3:D204)-SUM(E$3:E204),0)</f>
        <v>1948954</v>
      </c>
      <c r="G204" s="5"/>
    </row>
    <row r="205" spans="2:8" ht="15.75" x14ac:dyDescent="0.25">
      <c r="B205" s="53"/>
      <c r="C205" s="5" t="s">
        <v>148</v>
      </c>
      <c r="D205" s="5"/>
      <c r="E205" s="6">
        <v>375000</v>
      </c>
      <c r="F205" s="7">
        <f>IF(OR(D205&lt;&gt;0,E205&lt;&gt;0),SUM(D$3:D205)-SUM(E$3:E205),0)</f>
        <v>1573954</v>
      </c>
      <c r="G205" s="5"/>
      <c r="H205" s="3"/>
    </row>
    <row r="206" spans="2:8" ht="15.75" x14ac:dyDescent="0.25">
      <c r="B206" s="54"/>
      <c r="C206" s="5" t="s">
        <v>149</v>
      </c>
      <c r="D206" s="5"/>
      <c r="E206" s="6">
        <v>23500</v>
      </c>
      <c r="F206" s="7">
        <f>IF(OR(D206&lt;&gt;0,E206&lt;&gt;0),SUM(D$3:D206)-SUM(E$3:E206),0)</f>
        <v>1550454</v>
      </c>
      <c r="G206" s="5"/>
    </row>
    <row r="207" spans="2:8" ht="15.75" x14ac:dyDescent="0.25">
      <c r="B207" s="55">
        <v>45272</v>
      </c>
      <c r="C207" s="5" t="s">
        <v>151</v>
      </c>
      <c r="D207" s="5"/>
      <c r="E207" s="6">
        <v>100000</v>
      </c>
      <c r="F207" s="7">
        <f>IF(OR(D207&lt;&gt;0,E207&lt;&gt;0),SUM(D$3:D207)-SUM(E$3:E207),0)</f>
        <v>1450454</v>
      </c>
      <c r="G207" s="5"/>
    </row>
    <row r="208" spans="2:8" ht="15.75" x14ac:dyDescent="0.25">
      <c r="B208" s="55"/>
      <c r="C208" s="5" t="s">
        <v>150</v>
      </c>
      <c r="D208" s="6"/>
      <c r="E208" s="6">
        <v>350000</v>
      </c>
      <c r="F208" s="7">
        <f>IF(OR(D208&lt;&gt;0,E208&lt;&gt;0),SUM(D$3:D208)-SUM(E$3:E208),0)</f>
        <v>1100454</v>
      </c>
      <c r="G208" s="5"/>
    </row>
    <row r="209" spans="2:8" ht="15.75" x14ac:dyDescent="0.25">
      <c r="B209" s="55"/>
      <c r="C209" s="5" t="s">
        <v>27</v>
      </c>
      <c r="D209" s="5"/>
      <c r="E209" s="6">
        <v>200000</v>
      </c>
      <c r="F209" s="7">
        <f>IF(OR(D209&lt;&gt;0,E209&lt;&gt;0),SUM(D$3:D209)-SUM(E$3:E209),0)</f>
        <v>900454</v>
      </c>
      <c r="G209" s="5"/>
    </row>
    <row r="210" spans="2:8" ht="15.75" x14ac:dyDescent="0.25">
      <c r="B210" s="55"/>
      <c r="C210" s="5" t="s">
        <v>133</v>
      </c>
      <c r="D210" s="5"/>
      <c r="E210" s="6">
        <v>79040</v>
      </c>
      <c r="F210" s="7">
        <f>IF(OR(D210&lt;&gt;0,E210&lt;&gt;0),SUM(D$3:D210)-SUM(E$3:E210),0)</f>
        <v>821414</v>
      </c>
      <c r="G210" s="5"/>
    </row>
    <row r="211" spans="2:8" ht="15.75" x14ac:dyDescent="0.25">
      <c r="B211" s="55"/>
      <c r="C211" s="5" t="s">
        <v>152</v>
      </c>
      <c r="D211" s="5"/>
      <c r="E211" s="6">
        <v>34400</v>
      </c>
      <c r="F211" s="7">
        <f>IF(OR(D211&lt;&gt;0,E211&lt;&gt;0),SUM(D$3:D211)-SUM(E$3:E211),0)</f>
        <v>787014</v>
      </c>
      <c r="G211" s="5"/>
    </row>
    <row r="212" spans="2:8" ht="15.75" x14ac:dyDescent="0.25">
      <c r="B212" s="55"/>
      <c r="C212" s="5" t="s">
        <v>86</v>
      </c>
      <c r="D212" s="6"/>
      <c r="E212" s="6">
        <v>1000</v>
      </c>
      <c r="F212" s="7">
        <f>IF(OR(D212&lt;&gt;0,E212&lt;&gt;0),SUM(D$3:D212)-SUM(E$3:E212),0)</f>
        <v>786014</v>
      </c>
      <c r="G212" s="5"/>
    </row>
    <row r="213" spans="2:8" ht="15.75" x14ac:dyDescent="0.25">
      <c r="B213" s="55"/>
      <c r="C213" s="5" t="s">
        <v>153</v>
      </c>
      <c r="D213" s="5"/>
      <c r="E213" s="6">
        <v>1000</v>
      </c>
      <c r="F213" s="7">
        <f>IF(OR(D213&lt;&gt;0,E213&lt;&gt;0),SUM(D$3:D213)-SUM(E$3:E213),0)</f>
        <v>785014</v>
      </c>
      <c r="G213" s="5"/>
      <c r="H213" s="3"/>
    </row>
    <row r="214" spans="2:8" ht="15.75" x14ac:dyDescent="0.25">
      <c r="B214" s="55"/>
      <c r="C214" s="5" t="s">
        <v>154</v>
      </c>
      <c r="D214" s="5"/>
      <c r="E214" s="6">
        <v>40000</v>
      </c>
      <c r="F214" s="7">
        <f>IF(OR(D214&lt;&gt;0,E214&lt;&gt;0),SUM(D$3:D214)-SUM(E$3:E214),0)</f>
        <v>745014</v>
      </c>
      <c r="G214" s="5"/>
    </row>
    <row r="215" spans="2:8" ht="15.75" x14ac:dyDescent="0.25">
      <c r="B215" s="55"/>
      <c r="C215" s="5" t="s">
        <v>155</v>
      </c>
      <c r="D215" s="5"/>
      <c r="E215" s="6">
        <v>200000</v>
      </c>
      <c r="F215" s="7">
        <f>IF(OR(D215&lt;&gt;0,E215&lt;&gt;0),SUM(D$3:D215)-SUM(E$3:E215),0)</f>
        <v>545014</v>
      </c>
      <c r="G215" s="5"/>
    </row>
    <row r="216" spans="2:8" ht="15.75" x14ac:dyDescent="0.25">
      <c r="B216" s="55"/>
      <c r="C216" s="5" t="s">
        <v>35</v>
      </c>
      <c r="D216" s="5"/>
      <c r="E216" s="6">
        <v>150000</v>
      </c>
      <c r="F216" s="7">
        <f>IF(OR(D216&lt;&gt;0,E216&lt;&gt;0),SUM(D$3:D216)-SUM(E$3:E216),0)</f>
        <v>395014</v>
      </c>
      <c r="G216" s="5"/>
    </row>
    <row r="217" spans="2:8" ht="15.75" x14ac:dyDescent="0.25">
      <c r="B217" s="52">
        <v>45273</v>
      </c>
      <c r="C217" s="5" t="s">
        <v>161</v>
      </c>
      <c r="D217" s="5"/>
      <c r="E217" s="6">
        <v>500000</v>
      </c>
      <c r="F217" s="7">
        <f>IF(OR(D217&lt;&gt;0,E217&lt;&gt;0),SUM(D$3:D217)-SUM(E$3:E217),0)</f>
        <v>-104986</v>
      </c>
      <c r="G217" s="5"/>
    </row>
    <row r="218" spans="2:8" ht="15.75" x14ac:dyDescent="0.25">
      <c r="B218" s="53"/>
      <c r="C218" s="5" t="s">
        <v>156</v>
      </c>
      <c r="D218" s="6"/>
      <c r="E218" s="6">
        <v>200000</v>
      </c>
      <c r="F218" s="7">
        <f>IF(OR(D218&lt;&gt;0,E218&lt;&gt;0),SUM(D$3:D218)-SUM(E$3:E218),0)</f>
        <v>-304986</v>
      </c>
      <c r="G218" s="5"/>
    </row>
    <row r="219" spans="2:8" ht="15.75" x14ac:dyDescent="0.25">
      <c r="B219" s="53"/>
      <c r="C219" s="5" t="s">
        <v>157</v>
      </c>
      <c r="D219" s="5"/>
      <c r="E219" s="6">
        <v>500000</v>
      </c>
      <c r="F219" s="7">
        <f>IF(OR(D219&lt;&gt;0,E219&lt;&gt;0),SUM(D$3:D219)-SUM(E$3:E219),0)</f>
        <v>-804986</v>
      </c>
      <c r="G219" s="5"/>
    </row>
    <row r="220" spans="2:8" ht="15.75" x14ac:dyDescent="0.25">
      <c r="B220" s="53"/>
      <c r="C220" s="5" t="s">
        <v>158</v>
      </c>
      <c r="D220" s="5"/>
      <c r="E220" s="6">
        <v>40000</v>
      </c>
      <c r="F220" s="7">
        <f>IF(OR(D220&lt;&gt;0,E220&lt;&gt;0),SUM(D$3:D220)-SUM(E$3:E220),0)</f>
        <v>-844986</v>
      </c>
      <c r="G220" s="5"/>
    </row>
    <row r="221" spans="2:8" ht="15.75" x14ac:dyDescent="0.25">
      <c r="B221" s="53"/>
      <c r="C221" s="5" t="s">
        <v>7</v>
      </c>
      <c r="D221" s="6">
        <v>2000000</v>
      </c>
      <c r="E221" s="6"/>
      <c r="F221" s="7">
        <f>IF(OR(D221&lt;&gt;0,E221&lt;&gt;0),SUM(D$3:D221)-SUM(E$3:E221),0)</f>
        <v>1155014</v>
      </c>
      <c r="G221" s="5"/>
    </row>
    <row r="222" spans="2:8" ht="15.75" x14ac:dyDescent="0.25">
      <c r="B222" s="53"/>
      <c r="C222" s="5" t="s">
        <v>159</v>
      </c>
      <c r="D222" s="6"/>
      <c r="E222" s="6">
        <v>20000</v>
      </c>
      <c r="F222" s="7">
        <f>IF(OR(D222&lt;&gt;0,E222&lt;&gt;0),SUM(D$3:D222)-SUM(E$3:E222),0)</f>
        <v>1135014</v>
      </c>
      <c r="G222" s="5"/>
      <c r="H222" s="3">
        <f>204000-F234</f>
        <v>-77414</v>
      </c>
    </row>
    <row r="223" spans="2:8" ht="15.75" x14ac:dyDescent="0.25">
      <c r="B223" s="53"/>
      <c r="C223" s="5" t="s">
        <v>160</v>
      </c>
      <c r="D223" s="5"/>
      <c r="E223" s="6">
        <v>100000</v>
      </c>
      <c r="F223" s="7">
        <f>IF(OR(D223&lt;&gt;0,E223&lt;&gt;0),SUM(D$3:D223)-SUM(E$3:E223),0)</f>
        <v>1035014</v>
      </c>
      <c r="G223" s="5"/>
    </row>
    <row r="224" spans="2:8" ht="15.75" x14ac:dyDescent="0.25">
      <c r="B224" s="53"/>
      <c r="C224" s="5" t="s">
        <v>162</v>
      </c>
      <c r="D224" s="5"/>
      <c r="E224" s="6">
        <v>60000</v>
      </c>
      <c r="F224" s="7">
        <f>IF(OR(D224&lt;&gt;0,E224&lt;&gt;0),SUM(D$3:D224)-SUM(E$3:E224),0)</f>
        <v>975014</v>
      </c>
      <c r="G224" s="5"/>
    </row>
    <row r="225" spans="2:7" ht="15.75" x14ac:dyDescent="0.25">
      <c r="B225" s="54"/>
      <c r="C225" s="5" t="s">
        <v>14</v>
      </c>
      <c r="D225" s="5"/>
      <c r="E225" s="6">
        <v>30000</v>
      </c>
      <c r="F225" s="7">
        <f>IF(OR(D225&lt;&gt;0,E225&lt;&gt;0),SUM(D$3:D225)-SUM(E$3:E225),0)</f>
        <v>945014</v>
      </c>
      <c r="G225" s="5"/>
    </row>
    <row r="226" spans="2:7" ht="15.75" x14ac:dyDescent="0.25">
      <c r="B226" s="52">
        <v>45274</v>
      </c>
      <c r="C226" s="5" t="s">
        <v>156</v>
      </c>
      <c r="D226" s="5"/>
      <c r="E226" s="6">
        <v>100000</v>
      </c>
      <c r="F226" s="7">
        <f>IF(OR(D226&lt;&gt;0,E226&lt;&gt;0),SUM(D$3:D226)-SUM(E$3:E226),0)</f>
        <v>845014</v>
      </c>
      <c r="G226" s="5"/>
    </row>
    <row r="227" spans="2:7" ht="15.75" x14ac:dyDescent="0.25">
      <c r="B227" s="53"/>
      <c r="C227" s="5" t="s">
        <v>59</v>
      </c>
      <c r="D227" s="5"/>
      <c r="E227" s="6">
        <v>50000</v>
      </c>
      <c r="F227" s="7">
        <f>IF(OR(D227&lt;&gt;0,E227&lt;&gt;0),SUM(D$3:D227)-SUM(E$3:E227),0)</f>
        <v>795014</v>
      </c>
      <c r="G227" s="5"/>
    </row>
    <row r="228" spans="2:7" ht="15.75" x14ac:dyDescent="0.25">
      <c r="B228" s="53"/>
      <c r="C228" s="5" t="s">
        <v>163</v>
      </c>
      <c r="D228" s="6"/>
      <c r="E228" s="6">
        <v>146000</v>
      </c>
      <c r="F228" s="7">
        <f>IF(OR(D228&lt;&gt;0,E228&lt;&gt;0),SUM(D$3:D228)-SUM(E$3:E228),0)</f>
        <v>649014</v>
      </c>
      <c r="G228" s="5"/>
    </row>
    <row r="229" spans="2:7" ht="15.75" x14ac:dyDescent="0.25">
      <c r="B229" s="53"/>
      <c r="C229" s="5" t="s">
        <v>164</v>
      </c>
      <c r="D229" s="5"/>
      <c r="E229" s="6">
        <v>40600</v>
      </c>
      <c r="F229" s="7">
        <f>IF(OR(D229&lt;&gt;0,E229&lt;&gt;0),SUM(D$3:D229)-SUM(E$3:E229),0)</f>
        <v>608414</v>
      </c>
      <c r="G229" s="5"/>
    </row>
    <row r="230" spans="2:7" ht="15.75" x14ac:dyDescent="0.25">
      <c r="B230" s="53"/>
      <c r="C230" s="5" t="s">
        <v>165</v>
      </c>
      <c r="D230" s="6"/>
      <c r="E230" s="6">
        <v>120000</v>
      </c>
      <c r="F230" s="7">
        <f>IF(OR(D230&lt;&gt;0,E230&lt;&gt;0),SUM(D$3:D230)-SUM(E$3:E230),0)</f>
        <v>488414</v>
      </c>
      <c r="G230" s="5"/>
    </row>
    <row r="231" spans="2:7" ht="15.75" x14ac:dyDescent="0.25">
      <c r="B231" s="53"/>
      <c r="C231" s="5" t="s">
        <v>172</v>
      </c>
      <c r="D231" s="6"/>
      <c r="E231" s="6">
        <v>6000</v>
      </c>
      <c r="F231" s="7">
        <f>IF(OR(D231&lt;&gt;0,E231&lt;&gt;0),SUM(D$3:D231)-SUM(E$3:E231),0)</f>
        <v>482414</v>
      </c>
      <c r="G231" s="5"/>
    </row>
    <row r="232" spans="2:7" ht="15.75" x14ac:dyDescent="0.25">
      <c r="B232" s="53"/>
      <c r="C232" s="5" t="s">
        <v>166</v>
      </c>
      <c r="D232" s="6"/>
      <c r="E232" s="6">
        <v>1000</v>
      </c>
      <c r="F232" s="7">
        <f>IF(OR(D232&lt;&gt;0,E232&lt;&gt;0),SUM(D$3:D232)-SUM(E$3:E232),0)</f>
        <v>481414</v>
      </c>
      <c r="G232" s="5"/>
    </row>
    <row r="233" spans="2:7" ht="15.75" x14ac:dyDescent="0.25">
      <c r="B233" s="53"/>
      <c r="C233" s="5" t="s">
        <v>127</v>
      </c>
      <c r="D233" s="5"/>
      <c r="E233" s="6">
        <v>100000</v>
      </c>
      <c r="F233" s="7">
        <f>IF(OR(D233&lt;&gt;0,E233&lt;&gt;0),SUM(D$3:D233)-SUM(E$3:E233),0)</f>
        <v>381414</v>
      </c>
      <c r="G233" s="5"/>
    </row>
    <row r="234" spans="2:7" ht="15.75" x14ac:dyDescent="0.25">
      <c r="B234" s="54"/>
      <c r="C234" s="5" t="s">
        <v>167</v>
      </c>
      <c r="D234" s="5"/>
      <c r="E234" s="6">
        <v>100000</v>
      </c>
      <c r="F234" s="7">
        <f>IF(OR(D234&lt;&gt;0,E234&lt;&gt;0),SUM(D$3:D234)-SUM(E$3:E234),0)</f>
        <v>281414</v>
      </c>
      <c r="G234" s="5"/>
    </row>
    <row r="235" spans="2:7" ht="15.75" x14ac:dyDescent="0.25">
      <c r="B235" s="52">
        <v>45275</v>
      </c>
      <c r="C235" s="5" t="s">
        <v>168</v>
      </c>
      <c r="D235" s="5"/>
      <c r="E235" s="6">
        <v>81000</v>
      </c>
      <c r="F235" s="7">
        <f>IF(OR(D235&lt;&gt;0,E235&lt;&gt;0),SUM(D$3:D235)-SUM(E$3:E235),0)</f>
        <v>200414</v>
      </c>
      <c r="G235" s="5"/>
    </row>
    <row r="236" spans="2:7" ht="15.75" x14ac:dyDescent="0.25">
      <c r="B236" s="53"/>
      <c r="C236" s="5" t="s">
        <v>169</v>
      </c>
      <c r="D236" s="6"/>
      <c r="E236" s="6">
        <v>9450</v>
      </c>
      <c r="F236" s="7">
        <f>IF(OR(D236&lt;&gt;0,E236&lt;&gt;0),SUM(D$3:D236)-SUM(E$3:E236),0)</f>
        <v>190964</v>
      </c>
      <c r="G236" s="5"/>
    </row>
    <row r="237" spans="2:7" ht="15.75" x14ac:dyDescent="0.25">
      <c r="B237" s="53"/>
      <c r="C237" s="5" t="s">
        <v>170</v>
      </c>
      <c r="D237" s="6"/>
      <c r="E237" s="6">
        <v>25000</v>
      </c>
      <c r="F237" s="7">
        <f>IF(OR(D237&lt;&gt;0,E237&lt;&gt;0),SUM(D$3:D237)-SUM(E$3:E237),0)</f>
        <v>165964</v>
      </c>
      <c r="G237" s="5"/>
    </row>
    <row r="238" spans="2:7" ht="15.75" x14ac:dyDescent="0.25">
      <c r="B238" s="53"/>
      <c r="C238" s="5" t="s">
        <v>171</v>
      </c>
      <c r="D238" s="5"/>
      <c r="E238" s="6">
        <v>1000</v>
      </c>
      <c r="F238" s="7">
        <f>IF(OR(D238&lt;&gt;0,E238&lt;&gt;0),SUM(D$3:D238)-SUM(E$3:E238),0)</f>
        <v>164964</v>
      </c>
      <c r="G238" s="5"/>
    </row>
    <row r="239" spans="2:7" ht="15.75" x14ac:dyDescent="0.25">
      <c r="B239" s="53"/>
      <c r="C239" s="5" t="s">
        <v>173</v>
      </c>
      <c r="D239" s="5"/>
      <c r="E239" s="6">
        <v>210000</v>
      </c>
      <c r="F239" s="7">
        <f>IF(OR(D239&lt;&gt;0,E239&lt;&gt;0),SUM(D$3:D239)-SUM(E$3:E239),0)</f>
        <v>-45036</v>
      </c>
      <c r="G239" s="5"/>
    </row>
    <row r="240" spans="2:7" ht="15.75" x14ac:dyDescent="0.25">
      <c r="B240" s="53"/>
      <c r="C240" s="5" t="s">
        <v>16</v>
      </c>
      <c r="D240" s="5"/>
      <c r="E240" s="6">
        <v>75000</v>
      </c>
      <c r="F240" s="7">
        <f>IF(OR(D240&lt;&gt;0,E240&lt;&gt;0),SUM(D$3:D240)-SUM(E$3:E240),0)</f>
        <v>-120036</v>
      </c>
      <c r="G240" s="5"/>
    </row>
    <row r="241" spans="2:8" ht="15.75" x14ac:dyDescent="0.25">
      <c r="B241" s="53"/>
      <c r="C241" s="5" t="s">
        <v>174</v>
      </c>
      <c r="D241" s="5"/>
      <c r="E241" s="6">
        <v>50000</v>
      </c>
      <c r="F241" s="7">
        <f>IF(OR(D241&lt;&gt;0,E241&lt;&gt;0),SUM(D$3:D241)-SUM(E$3:E241),0)</f>
        <v>-170036</v>
      </c>
      <c r="G241" s="5"/>
    </row>
    <row r="242" spans="2:8" ht="15.75" x14ac:dyDescent="0.25">
      <c r="B242" s="53"/>
      <c r="C242" s="5" t="s">
        <v>175</v>
      </c>
      <c r="D242" s="5"/>
      <c r="E242" s="6">
        <v>150000</v>
      </c>
      <c r="F242" s="7">
        <f>IF(OR(D242&lt;&gt;0,E242&lt;&gt;0),SUM(D$3:D242)-SUM(E$3:E242),0)</f>
        <v>-320036</v>
      </c>
      <c r="G242" s="5"/>
    </row>
    <row r="243" spans="2:8" ht="15.75" x14ac:dyDescent="0.25">
      <c r="B243" s="53"/>
      <c r="C243" s="5" t="s">
        <v>178</v>
      </c>
      <c r="D243" s="5"/>
      <c r="E243" s="6">
        <v>40000</v>
      </c>
      <c r="F243" s="7">
        <f>IF(OR(D243&lt;&gt;0,E243&lt;&gt;0),SUM(D$3:D243)-SUM(E$3:E243),0)</f>
        <v>-360036</v>
      </c>
      <c r="G243" s="5"/>
    </row>
    <row r="244" spans="2:8" ht="15.75" x14ac:dyDescent="0.25">
      <c r="B244" s="54"/>
      <c r="C244" s="5" t="s">
        <v>7</v>
      </c>
      <c r="D244" s="6">
        <v>1000000</v>
      </c>
      <c r="E244" s="5"/>
      <c r="F244" s="7">
        <f>IF(OR(D244&lt;&gt;0,E244&lt;&gt;0),SUM(D$3:D244)-SUM(E$3:E244),0)</f>
        <v>639964</v>
      </c>
      <c r="G244" s="5"/>
    </row>
    <row r="245" spans="2:8" ht="15.75" x14ac:dyDescent="0.25">
      <c r="B245" s="52">
        <v>45276</v>
      </c>
      <c r="C245" s="5" t="s">
        <v>176</v>
      </c>
      <c r="D245" s="5"/>
      <c r="E245" s="6">
        <v>100000</v>
      </c>
      <c r="F245" s="7">
        <f>IF(OR(D245&lt;&gt;0,E245&lt;&gt;0),SUM(D$3:D245)-SUM(E$3:E245),0)</f>
        <v>539964</v>
      </c>
      <c r="G245" s="5"/>
    </row>
    <row r="246" spans="2:8" ht="15.75" x14ac:dyDescent="0.25">
      <c r="B246" s="53"/>
      <c r="C246" s="5" t="s">
        <v>177</v>
      </c>
      <c r="D246" s="5"/>
      <c r="E246" s="6">
        <v>200000</v>
      </c>
      <c r="F246" s="7">
        <f>IF(OR(D246&lt;&gt;0,E246&lt;&gt;0),SUM(D$3:D246)-SUM(E$3:E246),0)</f>
        <v>339964</v>
      </c>
      <c r="G246" s="5"/>
    </row>
    <row r="247" spans="2:8" ht="15.75" x14ac:dyDescent="0.25">
      <c r="B247" s="53"/>
      <c r="C247" s="5" t="s">
        <v>140</v>
      </c>
      <c r="D247" s="5"/>
      <c r="E247" s="6">
        <v>150000</v>
      </c>
      <c r="F247" s="7">
        <f>IF(OR(D247&lt;&gt;0,E247&lt;&gt;0),SUM(D$3:D247)-SUM(E$3:E247),0)</f>
        <v>189964</v>
      </c>
      <c r="G247" s="5"/>
    </row>
    <row r="248" spans="2:8" ht="15.75" x14ac:dyDescent="0.25">
      <c r="B248" s="53"/>
      <c r="C248" s="5" t="s">
        <v>179</v>
      </c>
      <c r="D248" s="5"/>
      <c r="E248" s="6">
        <v>15000</v>
      </c>
      <c r="F248" s="7">
        <f>IF(OR(D248&lt;&gt;0,E248&lt;&gt;0),SUM(D$3:D248)-SUM(E$3:E248),0)</f>
        <v>174964</v>
      </c>
      <c r="G248" s="5"/>
      <c r="H248" s="3"/>
    </row>
    <row r="249" spans="2:8" ht="15.75" x14ac:dyDescent="0.25">
      <c r="B249" s="53"/>
      <c r="C249" s="5" t="s">
        <v>180</v>
      </c>
      <c r="D249" s="5"/>
      <c r="E249" s="6">
        <v>84000</v>
      </c>
      <c r="F249" s="7">
        <f>IF(OR(D249&lt;&gt;0,E249&lt;&gt;0),SUM(D$3:D249)-SUM(E$3:E249),0)</f>
        <v>90964</v>
      </c>
      <c r="G249" s="5"/>
    </row>
    <row r="250" spans="2:8" ht="15.75" x14ac:dyDescent="0.25">
      <c r="B250" s="53"/>
      <c r="C250" s="5" t="s">
        <v>181</v>
      </c>
      <c r="D250" s="5"/>
      <c r="E250" s="6">
        <v>10000</v>
      </c>
      <c r="F250" s="7">
        <f>IF(OR(D250&lt;&gt;0,E250&lt;&gt;0),SUM(D$3:D250)-SUM(E$3:E250),0)</f>
        <v>80964</v>
      </c>
      <c r="G250" s="5"/>
    </row>
    <row r="251" spans="2:8" ht="15.75" x14ac:dyDescent="0.25">
      <c r="B251" s="53"/>
      <c r="C251" s="5" t="s">
        <v>182</v>
      </c>
      <c r="D251" s="5"/>
      <c r="E251" s="6">
        <v>26000</v>
      </c>
      <c r="F251" s="7">
        <f>IF(OR(D251&lt;&gt;0,E251&lt;&gt;0),SUM(D$3:D251)-SUM(E$3:E251),0)</f>
        <v>54964</v>
      </c>
      <c r="G251" s="5"/>
    </row>
    <row r="252" spans="2:8" ht="15.75" x14ac:dyDescent="0.25">
      <c r="B252" s="53"/>
      <c r="C252" s="5" t="s">
        <v>14</v>
      </c>
      <c r="D252" s="5"/>
      <c r="E252" s="6">
        <v>30000</v>
      </c>
      <c r="F252" s="7">
        <f>IF(OR(D252&lt;&gt;0,E252&lt;&gt;0),SUM(D$3:D252)-SUM(E$3:E252),0)</f>
        <v>24964</v>
      </c>
      <c r="G252" s="5"/>
    </row>
    <row r="253" spans="2:8" ht="15.75" x14ac:dyDescent="0.25">
      <c r="B253" s="53"/>
      <c r="C253" s="5" t="s">
        <v>7</v>
      </c>
      <c r="D253" s="6">
        <v>1000000</v>
      </c>
      <c r="E253" s="6"/>
      <c r="F253" s="7">
        <f>IF(OR(D253&lt;&gt;0,E253&lt;&gt;0),SUM(D$3:D253)-SUM(E$3:E253),0)</f>
        <v>1024964</v>
      </c>
      <c r="G253" s="5"/>
      <c r="H253" s="3">
        <f>967000-F253</f>
        <v>-57964</v>
      </c>
    </row>
    <row r="254" spans="2:8" ht="15.75" x14ac:dyDescent="0.25">
      <c r="B254" s="54"/>
      <c r="C254" s="5" t="s">
        <v>183</v>
      </c>
      <c r="D254" s="5"/>
      <c r="E254" s="6">
        <v>100000</v>
      </c>
      <c r="F254" s="7">
        <f>IF(OR(D254&lt;&gt;0,E254&lt;&gt;0),SUM(D$3:D254)-SUM(E$3:E254),0)</f>
        <v>924964</v>
      </c>
      <c r="G254" s="5"/>
    </row>
    <row r="255" spans="2:8" ht="15.75" x14ac:dyDescent="0.25">
      <c r="B255" s="52">
        <v>45278</v>
      </c>
      <c r="C255" s="5" t="s">
        <v>184</v>
      </c>
      <c r="D255" s="5"/>
      <c r="E255" s="6">
        <v>400000</v>
      </c>
      <c r="F255" s="7">
        <f>IF(OR(D255&lt;&gt;0,E255&lt;&gt;0),SUM(D$3:D255)-SUM(E$3:E255),0)</f>
        <v>524964</v>
      </c>
      <c r="G255" s="5"/>
    </row>
    <row r="256" spans="2:8" ht="15.75" x14ac:dyDescent="0.25">
      <c r="B256" s="53"/>
      <c r="C256" s="5" t="s">
        <v>77</v>
      </c>
      <c r="D256" s="5"/>
      <c r="E256" s="6">
        <v>100000</v>
      </c>
      <c r="F256" s="7">
        <f>IF(OR(D256&lt;&gt;0,E256&lt;&gt;0),SUM(D$3:D256)-SUM(E$3:E256),0)</f>
        <v>424964</v>
      </c>
      <c r="G256" s="5"/>
    </row>
    <row r="257" spans="2:8" ht="15.75" x14ac:dyDescent="0.25">
      <c r="B257" s="53"/>
      <c r="C257" s="5" t="s">
        <v>77</v>
      </c>
      <c r="D257" s="5"/>
      <c r="E257" s="6">
        <v>200000</v>
      </c>
      <c r="F257" s="7">
        <f>IF(OR(D257&lt;&gt;0,E257&lt;&gt;0),SUM(D$3:D257)-SUM(E$3:E257),0)</f>
        <v>224964</v>
      </c>
      <c r="G257" s="5"/>
    </row>
    <row r="258" spans="2:8" ht="15.75" x14ac:dyDescent="0.25">
      <c r="B258" s="53"/>
      <c r="C258" s="5" t="s">
        <v>185</v>
      </c>
      <c r="D258" s="5"/>
      <c r="E258" s="6">
        <v>70000</v>
      </c>
      <c r="F258" s="7">
        <f>IF(OR(D258&lt;&gt;0,E258&lt;&gt;0),SUM(D$3:D258)-SUM(E$3:E258),0)</f>
        <v>154964</v>
      </c>
      <c r="G258" s="5"/>
    </row>
    <row r="259" spans="2:8" ht="15.75" x14ac:dyDescent="0.25">
      <c r="B259" s="53"/>
      <c r="C259" s="5" t="s">
        <v>186</v>
      </c>
      <c r="D259" s="5"/>
      <c r="E259" s="6">
        <v>1000000</v>
      </c>
      <c r="F259" s="7">
        <f>IF(OR(D259&lt;&gt;0,E259&lt;&gt;0),SUM(D$3:D259)-SUM(E$3:E259),0)</f>
        <v>-845036</v>
      </c>
      <c r="G259" s="5"/>
    </row>
    <row r="260" spans="2:8" ht="15.75" x14ac:dyDescent="0.25">
      <c r="B260" s="53"/>
      <c r="C260" s="5" t="s">
        <v>32</v>
      </c>
      <c r="D260" s="5"/>
      <c r="E260" s="6">
        <v>300000</v>
      </c>
      <c r="F260" s="7">
        <f>IF(OR(D260&lt;&gt;0,E260&lt;&gt;0),SUM(D$3:D260)-SUM(E$3:E260),0)</f>
        <v>-1145036</v>
      </c>
      <c r="G260" s="5"/>
    </row>
    <row r="261" spans="2:8" ht="15.75" x14ac:dyDescent="0.25">
      <c r="B261" s="53"/>
      <c r="C261" s="5" t="s">
        <v>187</v>
      </c>
      <c r="D261" s="5"/>
      <c r="E261" s="6">
        <v>20000</v>
      </c>
      <c r="F261" s="7">
        <f>IF(OR(D261&lt;&gt;0,E261&lt;&gt;0),SUM(D$3:D261)-SUM(E$3:E261),0)</f>
        <v>-1165036</v>
      </c>
      <c r="G261" s="5"/>
    </row>
    <row r="262" spans="2:8" ht="15.75" x14ac:dyDescent="0.25">
      <c r="B262" s="53"/>
      <c r="C262" s="5" t="s">
        <v>188</v>
      </c>
      <c r="D262" s="5"/>
      <c r="E262" s="6">
        <v>2000</v>
      </c>
      <c r="F262" s="7">
        <f>IF(OR(D262&lt;&gt;0,E262&lt;&gt;0),SUM(D$3:D262)-SUM(E$3:E262),0)</f>
        <v>-1167036</v>
      </c>
      <c r="G262" s="5"/>
    </row>
    <row r="263" spans="2:8" ht="15.75" x14ac:dyDescent="0.25">
      <c r="B263" s="53"/>
      <c r="C263" s="5" t="s">
        <v>189</v>
      </c>
      <c r="D263" s="6"/>
      <c r="E263" s="6">
        <v>40000</v>
      </c>
      <c r="F263" s="7">
        <f>IF(OR(D263&lt;&gt;0,E263&lt;&gt;0),SUM(D$3:D263)-SUM(E$3:E263),0)</f>
        <v>-1207036</v>
      </c>
      <c r="G263" s="5"/>
    </row>
    <row r="264" spans="2:8" ht="15.75" x14ac:dyDescent="0.25">
      <c r="B264" s="54"/>
      <c r="C264" s="5" t="s">
        <v>157</v>
      </c>
      <c r="D264" s="6"/>
      <c r="E264" s="6">
        <v>300000</v>
      </c>
      <c r="F264" s="7">
        <f>IF(OR(D264&lt;&gt;0,E264&lt;&gt;0),SUM(D$3:D264)-SUM(E$3:E264),0)</f>
        <v>-1507036</v>
      </c>
      <c r="G264" s="5"/>
    </row>
    <row r="265" spans="2:8" ht="15.75" x14ac:dyDescent="0.25">
      <c r="B265" s="55">
        <v>45279</v>
      </c>
      <c r="C265" s="5" t="s">
        <v>7</v>
      </c>
      <c r="D265" s="6">
        <v>4500000</v>
      </c>
      <c r="E265" s="6"/>
      <c r="F265" s="7">
        <f>IF(OR(D265&lt;&gt;0,E265&lt;&gt;0),SUM(D$3:D265)-SUM(E$3:E265),0)</f>
        <v>2992964</v>
      </c>
      <c r="G265" s="5"/>
      <c r="H265" s="3">
        <f>F265-2885000</f>
        <v>107964</v>
      </c>
    </row>
    <row r="266" spans="2:8" ht="15.75" x14ac:dyDescent="0.25">
      <c r="B266" s="55"/>
      <c r="C266" s="5" t="s">
        <v>190</v>
      </c>
      <c r="D266" s="5"/>
      <c r="E266" s="6">
        <v>35000</v>
      </c>
      <c r="F266" s="7">
        <f>IF(OR(D266&lt;&gt;0,E266&lt;&gt;0),SUM(D$3:D266)-SUM(E$3:E266),0)</f>
        <v>2957964</v>
      </c>
      <c r="G266" s="5"/>
    </row>
    <row r="267" spans="2:8" ht="15.75" x14ac:dyDescent="0.25">
      <c r="B267" s="55"/>
      <c r="C267" s="5" t="s">
        <v>191</v>
      </c>
      <c r="D267" s="5"/>
      <c r="E267" s="6">
        <v>100000</v>
      </c>
      <c r="F267" s="7">
        <f>IF(OR(D267&lt;&gt;0,E267&lt;&gt;0),SUM(D$3:D267)-SUM(E$3:E267),0)</f>
        <v>2857964</v>
      </c>
      <c r="G267" s="5"/>
    </row>
    <row r="268" spans="2:8" ht="15.75" x14ac:dyDescent="0.25">
      <c r="B268" s="55"/>
      <c r="C268" s="5" t="s">
        <v>192</v>
      </c>
      <c r="D268" s="5"/>
      <c r="E268" s="6">
        <v>126135</v>
      </c>
      <c r="F268" s="7">
        <f>IF(OR(D268&lt;&gt;0,E268&lt;&gt;0),SUM(D$3:D268)-SUM(E$3:E268),0)</f>
        <v>2731829</v>
      </c>
      <c r="G268" s="5"/>
    </row>
    <row r="269" spans="2:8" ht="15.75" x14ac:dyDescent="0.25">
      <c r="B269" s="55"/>
      <c r="C269" s="5" t="s">
        <v>193</v>
      </c>
      <c r="D269" s="5"/>
      <c r="E269" s="6">
        <v>150000</v>
      </c>
      <c r="F269" s="7">
        <f>IF(OR(D269&lt;&gt;0,E269&lt;&gt;0),SUM(D$3:D269)-SUM(E$3:E269),0)</f>
        <v>2581829</v>
      </c>
      <c r="G269" s="5"/>
    </row>
    <row r="270" spans="2:8" ht="15.75" x14ac:dyDescent="0.25">
      <c r="B270" s="55"/>
      <c r="C270" s="5" t="s">
        <v>195</v>
      </c>
      <c r="D270" s="6">
        <v>658000</v>
      </c>
      <c r="E270" s="6"/>
      <c r="F270" s="7">
        <f>IF(OR(D270&lt;&gt;0,E270&lt;&gt;0),SUM(D$3:D270)-SUM(E$3:E270),0)</f>
        <v>3239829</v>
      </c>
      <c r="G270" s="5"/>
    </row>
    <row r="271" spans="2:8" ht="15.75" x14ac:dyDescent="0.25">
      <c r="B271" s="55"/>
      <c r="C271" s="5" t="s">
        <v>196</v>
      </c>
      <c r="D271" s="5"/>
      <c r="E271" s="6">
        <v>600000</v>
      </c>
      <c r="F271" s="7">
        <f>IF(OR(D271&lt;&gt;0,E271&lt;&gt;0),SUM(D$3:D271)-SUM(E$3:E271),0)</f>
        <v>2639829</v>
      </c>
      <c r="G271" s="5"/>
    </row>
    <row r="272" spans="2:8" ht="15.75" x14ac:dyDescent="0.25">
      <c r="B272" s="55"/>
      <c r="C272" s="5" t="s">
        <v>197</v>
      </c>
      <c r="D272" s="6"/>
      <c r="E272" s="6">
        <v>24000</v>
      </c>
      <c r="F272" s="7">
        <f>IF(OR(D272&lt;&gt;0,E272&lt;&gt;0),SUM(D$3:D272)-SUM(E$3:E272),0)</f>
        <v>2615829</v>
      </c>
      <c r="G272" s="5"/>
    </row>
    <row r="273" spans="2:8" ht="15.75" x14ac:dyDescent="0.25">
      <c r="B273" s="55"/>
      <c r="C273" s="5" t="s">
        <v>198</v>
      </c>
      <c r="D273" s="5"/>
      <c r="E273" s="6">
        <v>11000</v>
      </c>
      <c r="F273" s="7">
        <f>IF(OR(D273&lt;&gt;0,E273&lt;&gt;0),SUM(D$3:D273)-SUM(E$3:E273),0)</f>
        <v>2604829</v>
      </c>
      <c r="G273" s="5"/>
    </row>
    <row r="274" spans="2:8" ht="15.75" x14ac:dyDescent="0.25">
      <c r="B274" s="55"/>
      <c r="C274" s="5" t="s">
        <v>58</v>
      </c>
      <c r="D274" s="5"/>
      <c r="E274" s="6">
        <v>1000</v>
      </c>
      <c r="F274" s="7">
        <f>IF(OR(D274&lt;&gt;0,E274&lt;&gt;0),SUM(D$3:D274)-SUM(E$3:E274),0)</f>
        <v>2603829</v>
      </c>
      <c r="G274" s="5"/>
    </row>
    <row r="275" spans="2:8" ht="15.75" x14ac:dyDescent="0.25">
      <c r="B275" s="55"/>
      <c r="C275" s="5" t="s">
        <v>199</v>
      </c>
      <c r="D275" s="5"/>
      <c r="E275" s="6">
        <v>30000</v>
      </c>
      <c r="F275" s="7">
        <f>IF(OR(D275&lt;&gt;0,E275&lt;&gt;0),SUM(D$3:D275)-SUM(E$3:E275),0)</f>
        <v>2573829</v>
      </c>
      <c r="G275" s="5"/>
    </row>
    <row r="276" spans="2:8" ht="15.75" x14ac:dyDescent="0.25">
      <c r="B276" s="55"/>
      <c r="C276" s="5" t="s">
        <v>14</v>
      </c>
      <c r="D276" s="5"/>
      <c r="E276" s="6">
        <v>50000</v>
      </c>
      <c r="F276" s="7">
        <f>IF(OR(D276&lt;&gt;0,E276&lt;&gt;0),SUM(D$3:D276)-SUM(E$3:E276),0)</f>
        <v>2523829</v>
      </c>
      <c r="G276" s="5"/>
    </row>
    <row r="277" spans="2:8" ht="15.75" x14ac:dyDescent="0.25">
      <c r="B277" s="55"/>
      <c r="C277" s="5" t="s">
        <v>200</v>
      </c>
      <c r="D277" s="5"/>
      <c r="E277" s="6">
        <v>50000</v>
      </c>
      <c r="F277" s="7">
        <f>IF(OR(D277&lt;&gt;0,E277&lt;&gt;0),SUM(D$3:D277)-SUM(E$3:E277),0)</f>
        <v>2473829</v>
      </c>
      <c r="G277" s="5"/>
    </row>
    <row r="278" spans="2:8" ht="15.75" x14ac:dyDescent="0.25">
      <c r="B278" s="55"/>
      <c r="C278" s="5" t="s">
        <v>187</v>
      </c>
      <c r="D278" s="5"/>
      <c r="E278" s="6">
        <v>20000</v>
      </c>
      <c r="F278" s="7">
        <f>IF(OR(D278&lt;&gt;0,E278&lt;&gt;0),SUM(D$3:D278)-SUM(E$3:E278),0)</f>
        <v>2453829</v>
      </c>
      <c r="G278" s="5"/>
      <c r="H278" s="3"/>
    </row>
    <row r="279" spans="2:8" ht="15.75" x14ac:dyDescent="0.25">
      <c r="B279" s="52">
        <v>45280</v>
      </c>
      <c r="C279" s="5" t="s">
        <v>201</v>
      </c>
      <c r="D279" s="5"/>
      <c r="E279" s="6">
        <v>120000</v>
      </c>
      <c r="F279" s="7">
        <f>IF(OR(D279&lt;&gt;0,E279&lt;&gt;0),SUM(D$3:D279)-SUM(E$3:E279),0)</f>
        <v>2333829</v>
      </c>
      <c r="G279" s="5"/>
    </row>
    <row r="280" spans="2:8" ht="15.75" x14ac:dyDescent="0.25">
      <c r="B280" s="53"/>
      <c r="C280" s="5" t="s">
        <v>202</v>
      </c>
      <c r="D280" s="5"/>
      <c r="E280" s="6">
        <v>35000</v>
      </c>
      <c r="F280" s="7">
        <f>IF(OR(D280&lt;&gt;0,E280&lt;&gt;0),SUM(D$3:D280)-SUM(E$3:E280),0)</f>
        <v>2298829</v>
      </c>
      <c r="G280" s="5"/>
    </row>
    <row r="281" spans="2:8" ht="15.75" x14ac:dyDescent="0.25">
      <c r="B281" s="54"/>
      <c r="C281" s="5" t="s">
        <v>133</v>
      </c>
      <c r="D281" s="5"/>
      <c r="E281" s="6">
        <v>100400</v>
      </c>
      <c r="F281" s="7">
        <f>IF(OR(D281&lt;&gt;0,E281&lt;&gt;0),SUM(D$3:D281)-SUM(E$3:E281),0)</f>
        <v>2198429</v>
      </c>
      <c r="G281" s="5"/>
    </row>
    <row r="282" spans="2:8" ht="15.75" x14ac:dyDescent="0.25">
      <c r="B282" s="52">
        <v>45281</v>
      </c>
      <c r="C282" s="5" t="s">
        <v>17</v>
      </c>
      <c r="D282" s="5"/>
      <c r="E282" s="6">
        <v>150000</v>
      </c>
      <c r="F282" s="7">
        <f>IF(OR(D282&lt;&gt;0,E282&lt;&gt;0),SUM(D$3:D282)-SUM(E$3:E282),0)</f>
        <v>2048429</v>
      </c>
      <c r="G282" s="5"/>
    </row>
    <row r="283" spans="2:8" ht="15.75" x14ac:dyDescent="0.25">
      <c r="B283" s="53"/>
      <c r="C283" s="5" t="s">
        <v>83</v>
      </c>
      <c r="D283" s="5"/>
      <c r="E283" s="6">
        <v>200000</v>
      </c>
      <c r="F283" s="7">
        <f>IF(OR(D283&lt;&gt;0,E283&lt;&gt;0),SUM(D$3:D283)-SUM(E$3:E283),0)</f>
        <v>1848429</v>
      </c>
      <c r="G283" s="5"/>
    </row>
    <row r="284" spans="2:8" ht="15.75" x14ac:dyDescent="0.25">
      <c r="B284" s="53"/>
      <c r="C284" s="5" t="s">
        <v>203</v>
      </c>
      <c r="D284" s="5"/>
      <c r="E284" s="6">
        <v>200000</v>
      </c>
      <c r="F284" s="7">
        <f>IF(OR(D284&lt;&gt;0,E284&lt;&gt;0),SUM(D$3:D284)-SUM(E$3:E284),0)</f>
        <v>1648429</v>
      </c>
      <c r="G284" s="5"/>
    </row>
    <row r="285" spans="2:8" ht="15.75" x14ac:dyDescent="0.25">
      <c r="B285" s="53"/>
      <c r="C285" s="5" t="s">
        <v>204</v>
      </c>
      <c r="D285" s="5"/>
      <c r="E285" s="6">
        <v>200000</v>
      </c>
      <c r="F285" s="7">
        <f>IF(OR(D285&lt;&gt;0,E285&lt;&gt;0),SUM(D$3:D285)-SUM(E$3:E285),0)</f>
        <v>1448429</v>
      </c>
      <c r="G285" s="5"/>
    </row>
    <row r="286" spans="2:8" ht="15.75" x14ac:dyDescent="0.25">
      <c r="B286" s="53"/>
      <c r="C286" s="5" t="s">
        <v>30</v>
      </c>
      <c r="D286" s="5"/>
      <c r="E286" s="6">
        <v>200000</v>
      </c>
      <c r="F286" s="7">
        <f>IF(OR(D286&lt;&gt;0,E286&lt;&gt;0),SUM(D$3:D286)-SUM(E$3:E286),0)</f>
        <v>1248429</v>
      </c>
      <c r="G286" s="5"/>
      <c r="H286" s="3"/>
    </row>
    <row r="287" spans="2:8" ht="15.75" x14ac:dyDescent="0.25">
      <c r="B287" s="53"/>
      <c r="C287" s="5" t="s">
        <v>205</v>
      </c>
      <c r="D287" s="5"/>
      <c r="E287" s="6">
        <v>20000</v>
      </c>
      <c r="F287" s="7">
        <f>IF(OR(D287&lt;&gt;0,E287&lt;&gt;0),SUM(D$3:D287)-SUM(E$3:E287),0)</f>
        <v>1228429</v>
      </c>
      <c r="G287" s="5"/>
    </row>
    <row r="288" spans="2:8" ht="15.75" x14ac:dyDescent="0.25">
      <c r="B288" s="53"/>
      <c r="C288" s="5" t="s">
        <v>206</v>
      </c>
      <c r="D288" s="5"/>
      <c r="E288" s="6">
        <v>20000</v>
      </c>
      <c r="F288" s="7">
        <f>IF(OR(D288&lt;&gt;0,E288&lt;&gt;0),SUM(D$3:D288)-SUM(E$3:E288),0)</f>
        <v>1208429</v>
      </c>
      <c r="G288" s="5"/>
    </row>
    <row r="289" spans="2:8" ht="15.75" x14ac:dyDescent="0.25">
      <c r="B289" s="54"/>
      <c r="C289" s="5" t="s">
        <v>27</v>
      </c>
      <c r="D289" s="5"/>
      <c r="E289" s="6">
        <v>300000</v>
      </c>
      <c r="F289" s="7">
        <f>IF(OR(D289&lt;&gt;0,E289&lt;&gt;0),SUM(D$3:D289)-SUM(E$3:E289),0)</f>
        <v>908429</v>
      </c>
      <c r="G289" s="5"/>
    </row>
    <row r="290" spans="2:8" ht="15.75" x14ac:dyDescent="0.25">
      <c r="B290" s="52">
        <v>45282</v>
      </c>
      <c r="C290" s="5" t="s">
        <v>43</v>
      </c>
      <c r="D290" s="5"/>
      <c r="E290" s="6">
        <v>100000</v>
      </c>
      <c r="F290" s="7">
        <f>IF(OR(D290&lt;&gt;0,E290&lt;&gt;0),SUM(D$3:D290)-SUM(E$3:E290),0)</f>
        <v>808429</v>
      </c>
      <c r="G290" s="5"/>
    </row>
    <row r="291" spans="2:8" ht="15.75" x14ac:dyDescent="0.25">
      <c r="B291" s="53"/>
      <c r="C291" s="5" t="s">
        <v>207</v>
      </c>
      <c r="D291" s="5"/>
      <c r="E291" s="6">
        <v>244200</v>
      </c>
      <c r="F291" s="7">
        <f>IF(OR(D291&lt;&gt;0,E291&lt;&gt;0),SUM(D$3:D291)-SUM(E$3:E291),0)</f>
        <v>564229</v>
      </c>
      <c r="G291" s="5"/>
    </row>
    <row r="292" spans="2:8" ht="15.75" x14ac:dyDescent="0.25">
      <c r="B292" s="53"/>
      <c r="C292" s="5" t="s">
        <v>217</v>
      </c>
      <c r="D292" s="5"/>
      <c r="E292" s="6">
        <v>150000</v>
      </c>
      <c r="F292" s="7">
        <f>IF(OR(D292&lt;&gt;0,E292&lt;&gt;0),SUM(D$3:D292)-SUM(E$3:E292),0)</f>
        <v>414229</v>
      </c>
      <c r="G292" s="5"/>
    </row>
    <row r="293" spans="2:8" ht="15.75" x14ac:dyDescent="0.25">
      <c r="B293" s="53"/>
      <c r="C293" s="5" t="s">
        <v>7</v>
      </c>
      <c r="D293" s="6">
        <v>1500000</v>
      </c>
      <c r="E293" s="6"/>
      <c r="F293" s="7">
        <f>IF(OR(D293&lt;&gt;0,E293&lt;&gt;0),SUM(D$3:D293)-SUM(E$3:E293),0)</f>
        <v>1914229</v>
      </c>
      <c r="G293" s="5"/>
      <c r="H293" s="3">
        <f>F293-1659000</f>
        <v>255229</v>
      </c>
    </row>
    <row r="294" spans="2:8" ht="15.75" x14ac:dyDescent="0.25">
      <c r="B294" s="53"/>
      <c r="C294" s="5" t="s">
        <v>208</v>
      </c>
      <c r="D294" s="5"/>
      <c r="E294" s="6">
        <v>150000</v>
      </c>
      <c r="F294" s="7">
        <f>IF(OR(D294&lt;&gt;0,E294&lt;&gt;0),SUM(D$3:D294)-SUM(E$3:E294),0)</f>
        <v>1764229</v>
      </c>
      <c r="G294" s="5"/>
    </row>
    <row r="295" spans="2:8" ht="15.75" x14ac:dyDescent="0.25">
      <c r="B295" s="53"/>
      <c r="C295" s="5" t="s">
        <v>194</v>
      </c>
      <c r="D295" s="5"/>
      <c r="E295" s="6">
        <v>200000</v>
      </c>
      <c r="F295" s="7">
        <f>IF(OR(D295&lt;&gt;0,E295&lt;&gt;0),SUM(D$3:D295)-SUM(E$3:E295),0)</f>
        <v>1564229</v>
      </c>
      <c r="G295" s="5"/>
    </row>
    <row r="296" spans="2:8" ht="15.75" x14ac:dyDescent="0.25">
      <c r="B296" s="53"/>
      <c r="C296" s="5" t="s">
        <v>75</v>
      </c>
      <c r="D296" s="5"/>
      <c r="E296" s="6">
        <v>20000</v>
      </c>
      <c r="F296" s="7">
        <f>IF(OR(D296&lt;&gt;0,E296&lt;&gt;0),SUM(D$3:D296)-SUM(E$3:E296),0)</f>
        <v>1544229</v>
      </c>
      <c r="G296" s="5"/>
    </row>
    <row r="297" spans="2:8" ht="15.75" x14ac:dyDescent="0.25">
      <c r="B297" s="53"/>
      <c r="C297" s="5" t="s">
        <v>12</v>
      </c>
      <c r="D297" s="5"/>
      <c r="E297" s="6">
        <v>25000</v>
      </c>
      <c r="F297" s="7">
        <f>IF(OR(D297&lt;&gt;0,E297&lt;&gt;0),SUM(D$3:D297)-SUM(E$3:E297),0)</f>
        <v>1519229</v>
      </c>
      <c r="G297" s="5"/>
    </row>
    <row r="298" spans="2:8" ht="15.75" x14ac:dyDescent="0.25">
      <c r="B298" s="53"/>
      <c r="C298" s="5" t="s">
        <v>12</v>
      </c>
      <c r="D298" s="5"/>
      <c r="E298" s="6">
        <v>24000</v>
      </c>
      <c r="F298" s="7">
        <f>IF(OR(D298&lt;&gt;0,E298&lt;&gt;0),SUM(D$3:D298)-SUM(E$3:E298),0)</f>
        <v>1495229</v>
      </c>
      <c r="G298" s="5"/>
    </row>
    <row r="299" spans="2:8" ht="15.75" x14ac:dyDescent="0.25">
      <c r="B299" s="53"/>
      <c r="C299" s="5" t="s">
        <v>12</v>
      </c>
      <c r="D299" s="5"/>
      <c r="E299" s="6">
        <v>20000</v>
      </c>
      <c r="F299" s="7">
        <f>IF(OR(D299&lt;&gt;0,E299&lt;&gt;0),SUM(D$3:D299)-SUM(E$3:E299),0)</f>
        <v>1475229</v>
      </c>
      <c r="G299" s="5"/>
    </row>
    <row r="300" spans="2:8" ht="15.75" x14ac:dyDescent="0.25">
      <c r="B300" s="53"/>
      <c r="C300" s="5" t="s">
        <v>104</v>
      </c>
      <c r="D300" s="5"/>
      <c r="E300" s="6">
        <v>107000</v>
      </c>
      <c r="F300" s="7">
        <f>IF(OR(D300&lt;&gt;0,E300&lt;&gt;0),SUM(D$3:D300)-SUM(E$3:E300),0)</f>
        <v>1368229</v>
      </c>
      <c r="G300" s="5"/>
    </row>
    <row r="301" spans="2:8" ht="15.75" x14ac:dyDescent="0.25">
      <c r="B301" s="53"/>
      <c r="C301" s="5" t="s">
        <v>209</v>
      </c>
      <c r="D301" s="5"/>
      <c r="E301" s="6">
        <v>200000</v>
      </c>
      <c r="F301" s="7">
        <f>IF(OR(D301&lt;&gt;0,E301&lt;&gt;0),SUM(D$3:D301)-SUM(E$3:E301),0)</f>
        <v>1168229</v>
      </c>
      <c r="G301" s="5"/>
    </row>
    <row r="302" spans="2:8" ht="15.75" x14ac:dyDescent="0.25">
      <c r="B302" s="53"/>
      <c r="C302" s="5" t="s">
        <v>219</v>
      </c>
      <c r="D302" s="5"/>
      <c r="E302" s="6">
        <v>27000</v>
      </c>
      <c r="F302" s="7">
        <f>IF(OR(D302&lt;&gt;0,E302&lt;&gt;0),SUM(D$3:D302)-SUM(E$3:E302),0)</f>
        <v>1141229</v>
      </c>
      <c r="G302" s="5"/>
    </row>
    <row r="303" spans="2:8" ht="15.75" x14ac:dyDescent="0.25">
      <c r="B303" s="53"/>
      <c r="C303" s="5" t="s">
        <v>220</v>
      </c>
      <c r="D303" s="5"/>
      <c r="E303" s="6">
        <v>21500</v>
      </c>
      <c r="F303" s="7">
        <f>IF(OR(D303&lt;&gt;0,E303&lt;&gt;0),SUM(D$3:D303)-SUM(E$3:E303),0)</f>
        <v>1119729</v>
      </c>
      <c r="G303" s="5"/>
    </row>
    <row r="304" spans="2:8" ht="15.75" x14ac:dyDescent="0.25">
      <c r="B304" s="53"/>
      <c r="C304" s="5" t="s">
        <v>215</v>
      </c>
      <c r="D304" s="5"/>
      <c r="E304" s="6">
        <v>50000</v>
      </c>
      <c r="F304" s="7">
        <f>IF(OR(D304&lt;&gt;0,E304&lt;&gt;0),SUM(D$3:D304)-SUM(E$3:E304),0)</f>
        <v>1069729</v>
      </c>
      <c r="G304" s="5"/>
    </row>
    <row r="305" spans="2:8" ht="15.75" x14ac:dyDescent="0.25">
      <c r="B305" s="53"/>
      <c r="C305" s="5" t="s">
        <v>43</v>
      </c>
      <c r="D305" s="5"/>
      <c r="E305" s="6">
        <v>200000</v>
      </c>
      <c r="F305" s="7">
        <f>IF(OR(D305&lt;&gt;0,E305&lt;&gt;0),SUM(D$3:D305)-SUM(E$3:E305),0)</f>
        <v>869729</v>
      </c>
      <c r="G305" s="5"/>
    </row>
    <row r="306" spans="2:8" ht="15.75" x14ac:dyDescent="0.25">
      <c r="B306" s="53"/>
      <c r="C306" s="5" t="s">
        <v>216</v>
      </c>
      <c r="D306" s="5"/>
      <c r="E306" s="6">
        <v>40500</v>
      </c>
      <c r="F306" s="7">
        <f>IF(OR(D306&lt;&gt;0,E306&lt;&gt;0),SUM(D$3:D306)-SUM(E$3:E306),0)</f>
        <v>829229</v>
      </c>
      <c r="G306" s="5"/>
    </row>
    <row r="307" spans="2:8" ht="15.75" x14ac:dyDescent="0.25">
      <c r="B307" s="53"/>
      <c r="C307" s="5" t="s">
        <v>216</v>
      </c>
      <c r="D307" s="5"/>
      <c r="E307" s="6">
        <v>15000</v>
      </c>
      <c r="F307" s="7">
        <f>IF(OR(D307&lt;&gt;0,E307&lt;&gt;0),SUM(D$3:D307)-SUM(E$3:E307),0)</f>
        <v>814229</v>
      </c>
      <c r="G307" s="5"/>
    </row>
    <row r="308" spans="2:8" ht="15.75" x14ac:dyDescent="0.25">
      <c r="B308" s="53"/>
      <c r="C308" s="5" t="s">
        <v>119</v>
      </c>
      <c r="D308" s="5"/>
      <c r="E308" s="6">
        <v>100000</v>
      </c>
      <c r="F308" s="7">
        <f>IF(OR(D308&lt;&gt;0,E308&lt;&gt;0),SUM(D$3:D308)-SUM(E$3:E308),0)</f>
        <v>714229</v>
      </c>
      <c r="G308" s="5"/>
    </row>
    <row r="309" spans="2:8" ht="15.75" x14ac:dyDescent="0.25">
      <c r="B309" s="53"/>
      <c r="C309" s="5" t="s">
        <v>210</v>
      </c>
      <c r="D309" s="5"/>
      <c r="E309" s="6">
        <v>20000</v>
      </c>
      <c r="F309" s="7">
        <f>IF(OR(D309&lt;&gt;0,E309&lt;&gt;0),SUM(D$3:D309)-SUM(E$3:E309),0)</f>
        <v>694229</v>
      </c>
      <c r="G309" s="5"/>
    </row>
    <row r="310" spans="2:8" ht="15.75" x14ac:dyDescent="0.25">
      <c r="B310" s="54"/>
      <c r="C310" s="5" t="s">
        <v>218</v>
      </c>
      <c r="D310" s="5"/>
      <c r="E310" s="6">
        <v>19900</v>
      </c>
      <c r="F310" s="7">
        <f>IF(OR(D310&lt;&gt;0,E310&lt;&gt;0),SUM(D$3:D310)-SUM(E$3:E310),0)</f>
        <v>674329</v>
      </c>
      <c r="G310" s="5"/>
    </row>
    <row r="311" spans="2:8" ht="15.75" x14ac:dyDescent="0.25">
      <c r="B311" s="52">
        <v>45283</v>
      </c>
      <c r="C311" s="5" t="s">
        <v>211</v>
      </c>
      <c r="D311" s="5"/>
      <c r="E311" s="6">
        <v>300000</v>
      </c>
      <c r="F311" s="7">
        <f>IF(OR(D311&lt;&gt;0,E311&lt;&gt;0),SUM(D$3:D311)-SUM(E$3:E311),0)</f>
        <v>374329</v>
      </c>
      <c r="G311" s="5"/>
    </row>
    <row r="312" spans="2:8" ht="15.75" x14ac:dyDescent="0.25">
      <c r="B312" s="53"/>
      <c r="C312" s="5" t="s">
        <v>7</v>
      </c>
      <c r="D312" s="6">
        <v>1000000</v>
      </c>
      <c r="E312" s="6"/>
      <c r="F312" s="7">
        <f>IF(OR(D312&lt;&gt;0,E312&lt;&gt;0),SUM(D$3:D312)-SUM(E$3:E312),0)</f>
        <v>1374329</v>
      </c>
      <c r="G312" s="5"/>
    </row>
    <row r="313" spans="2:8" ht="15.75" x14ac:dyDescent="0.25">
      <c r="B313" s="53"/>
      <c r="C313" s="5" t="s">
        <v>212</v>
      </c>
      <c r="D313" s="5"/>
      <c r="E313" s="6">
        <v>60000</v>
      </c>
      <c r="F313" s="7">
        <f>IF(OR(D313&lt;&gt;0,E313&lt;&gt;0),SUM(D$3:D313)-SUM(E$3:E313),0)</f>
        <v>1314329</v>
      </c>
      <c r="G313" s="5"/>
    </row>
    <row r="314" spans="2:8" ht="15.75" x14ac:dyDescent="0.25">
      <c r="B314" s="53"/>
      <c r="C314" s="5" t="s">
        <v>212</v>
      </c>
      <c r="D314" s="5"/>
      <c r="E314" s="6">
        <v>60000</v>
      </c>
      <c r="F314" s="7">
        <f>IF(OR(D314&lt;&gt;0,E314&lt;&gt;0),SUM(D$3:D314)-SUM(E$3:E314),0)</f>
        <v>1254329</v>
      </c>
      <c r="G314" s="5"/>
    </row>
    <row r="315" spans="2:8" ht="15.75" x14ac:dyDescent="0.25">
      <c r="B315" s="53"/>
      <c r="C315" s="5" t="s">
        <v>213</v>
      </c>
      <c r="D315" s="5"/>
      <c r="E315" s="6">
        <v>370000</v>
      </c>
      <c r="F315" s="7">
        <f>IF(OR(D315&lt;&gt;0,E315&lt;&gt;0),SUM(D$3:D315)-SUM(E$3:E315),0)</f>
        <v>884329</v>
      </c>
      <c r="G315" s="5"/>
    </row>
    <row r="316" spans="2:8" ht="15.75" x14ac:dyDescent="0.25">
      <c r="B316" s="53"/>
      <c r="C316" s="5" t="s">
        <v>11</v>
      </c>
      <c r="D316" s="5"/>
      <c r="E316" s="6">
        <v>21000</v>
      </c>
      <c r="F316" s="7">
        <f>IF(OR(D316&lt;&gt;0,E316&lt;&gt;0),SUM(D$3:D316)-SUM(E$3:E316),0)</f>
        <v>863329</v>
      </c>
      <c r="G316" s="5"/>
    </row>
    <row r="317" spans="2:8" ht="15.75" x14ac:dyDescent="0.25">
      <c r="B317" s="53"/>
      <c r="C317" s="5" t="s">
        <v>214</v>
      </c>
      <c r="D317" s="5"/>
      <c r="E317" s="6">
        <v>4000</v>
      </c>
      <c r="F317" s="7">
        <f>IF(OR(D317&lt;&gt;0,E317&lt;&gt;0),SUM(D$3:D317)-SUM(E$3:E317),0)</f>
        <v>859329</v>
      </c>
      <c r="G317" s="5"/>
    </row>
    <row r="318" spans="2:8" ht="15.75" x14ac:dyDescent="0.25">
      <c r="B318" s="53"/>
      <c r="C318" s="5" t="s">
        <v>187</v>
      </c>
      <c r="D318" s="5"/>
      <c r="E318" s="6">
        <v>20000</v>
      </c>
      <c r="F318" s="7">
        <f>IF(OR(D318&lt;&gt;0,E318&lt;&gt;0),SUM(D$3:D318)-SUM(E$3:E318),0)</f>
        <v>839329</v>
      </c>
      <c r="G318" s="5"/>
      <c r="H318" s="3"/>
    </row>
    <row r="319" spans="2:8" ht="15.75" x14ac:dyDescent="0.25">
      <c r="B319" s="54"/>
      <c r="C319" s="5" t="s">
        <v>14</v>
      </c>
      <c r="D319" s="5"/>
      <c r="E319" s="6">
        <v>50000</v>
      </c>
      <c r="F319" s="7">
        <f>IF(OR(D319&lt;&gt;0,E319&lt;&gt;0),SUM(D$3:D319)-SUM(E$3:E319),0)</f>
        <v>789329</v>
      </c>
      <c r="G319" s="5"/>
      <c r="H319" s="3"/>
    </row>
    <row r="320" spans="2:8" ht="15.75" x14ac:dyDescent="0.25">
      <c r="B320" s="52">
        <v>45285</v>
      </c>
      <c r="C320" s="5" t="s">
        <v>44</v>
      </c>
      <c r="D320" s="6">
        <v>550000</v>
      </c>
      <c r="E320" s="6"/>
      <c r="F320" s="7">
        <f>IF(OR(D320&lt;&gt;0,E320&lt;&gt;0),SUM(D$3:D320)-SUM(E$3:E320),0)</f>
        <v>1339329</v>
      </c>
      <c r="G320" s="5"/>
    </row>
    <row r="321" spans="2:8" ht="15.75" x14ac:dyDescent="0.25">
      <c r="B321" s="53"/>
      <c r="C321" s="5" t="s">
        <v>221</v>
      </c>
      <c r="D321" s="6"/>
      <c r="E321" s="6">
        <v>200000</v>
      </c>
      <c r="F321" s="7">
        <f>IF(OR(D321&lt;&gt;0,E321&lt;&gt;0),SUM(D$3:D321)-SUM(E$3:E321),0)</f>
        <v>1139329</v>
      </c>
      <c r="G321" s="5"/>
    </row>
    <row r="322" spans="2:8" ht="15.75" x14ac:dyDescent="0.25">
      <c r="B322" s="53"/>
      <c r="C322" s="5" t="s">
        <v>222</v>
      </c>
      <c r="D322" s="6"/>
      <c r="E322" s="6">
        <v>25000</v>
      </c>
      <c r="F322" s="7">
        <f>IF(OR(D322&lt;&gt;0,E322&lt;&gt;0),SUM(D$3:D322)-SUM(E$3:E322),0)</f>
        <v>1114329</v>
      </c>
      <c r="G322" s="5"/>
    </row>
    <row r="323" spans="2:8" ht="15.75" x14ac:dyDescent="0.25">
      <c r="B323" s="53"/>
      <c r="C323" s="5" t="s">
        <v>223</v>
      </c>
      <c r="D323" s="6"/>
      <c r="E323" s="6">
        <v>25000</v>
      </c>
      <c r="F323" s="7">
        <f>IF(OR(D323&lt;&gt;0,E323&lt;&gt;0),SUM(D$3:D323)-SUM(E$3:E323),0)</f>
        <v>1089329</v>
      </c>
      <c r="G323" s="5"/>
    </row>
    <row r="324" spans="2:8" ht="15.75" x14ac:dyDescent="0.25">
      <c r="B324" s="53"/>
      <c r="C324" s="5" t="s">
        <v>224</v>
      </c>
      <c r="D324" s="6"/>
      <c r="E324" s="6">
        <v>20000</v>
      </c>
      <c r="F324" s="7">
        <f>IF(OR(D324&lt;&gt;0,E324&lt;&gt;0),SUM(D$3:D324)-SUM(E$3:E324),0)</f>
        <v>1069329</v>
      </c>
      <c r="G324" s="5"/>
    </row>
    <row r="325" spans="2:8" ht="15.75" x14ac:dyDescent="0.25">
      <c r="B325" s="53"/>
      <c r="C325" s="5" t="s">
        <v>127</v>
      </c>
      <c r="D325" s="6"/>
      <c r="E325" s="6">
        <v>100000</v>
      </c>
      <c r="F325" s="7">
        <f>IF(OR(D325&lt;&gt;0,E325&lt;&gt;0),SUM(D$3:D325)-SUM(E$3:E325),0)</f>
        <v>969329</v>
      </c>
      <c r="G325" s="5"/>
    </row>
    <row r="326" spans="2:8" ht="15.75" x14ac:dyDescent="0.25">
      <c r="B326" s="54"/>
      <c r="C326" s="5" t="s">
        <v>83</v>
      </c>
      <c r="D326" s="6"/>
      <c r="E326" s="6">
        <v>450000</v>
      </c>
      <c r="F326" s="7">
        <f>IF(OR(D326&lt;&gt;0,E326&lt;&gt;0),SUM(D$3:D326)-SUM(E$3:E326),0)</f>
        <v>519329</v>
      </c>
      <c r="G326" s="5"/>
    </row>
    <row r="327" spans="2:8" ht="15.75" x14ac:dyDescent="0.25">
      <c r="B327" s="52">
        <v>45286</v>
      </c>
      <c r="C327" s="5" t="s">
        <v>225</v>
      </c>
      <c r="D327" s="6"/>
      <c r="E327" s="6">
        <v>20000</v>
      </c>
      <c r="F327" s="7">
        <f>IF(OR(D327&lt;&gt;0,E327&lt;&gt;0),SUM(D$3:D327)-SUM(E$3:E327),0)</f>
        <v>499329</v>
      </c>
      <c r="G327" s="5"/>
      <c r="H327" s="3"/>
    </row>
    <row r="328" spans="2:8" ht="15.75" x14ac:dyDescent="0.25">
      <c r="B328" s="53"/>
      <c r="C328" s="5" t="s">
        <v>230</v>
      </c>
      <c r="D328" s="6"/>
      <c r="E328" s="6">
        <v>40000</v>
      </c>
      <c r="F328" s="7">
        <f>IF(OR(D328&lt;&gt;0,E328&lt;&gt;0),SUM(D$3:D328)-SUM(E$3:E328),0)</f>
        <v>459329</v>
      </c>
      <c r="G328" s="5"/>
      <c r="H328" s="3"/>
    </row>
    <row r="329" spans="2:8" ht="15.75" x14ac:dyDescent="0.25">
      <c r="B329" s="53"/>
      <c r="C329" s="5" t="s">
        <v>228</v>
      </c>
      <c r="D329" s="6"/>
      <c r="E329" s="6">
        <v>30000</v>
      </c>
      <c r="F329" s="7">
        <f>IF(OR(D329&lt;&gt;0,E329&lt;&gt;0),SUM(D$3:D329)-SUM(E$3:E329),0)</f>
        <v>429329</v>
      </c>
      <c r="G329" s="5"/>
      <c r="H329" s="3"/>
    </row>
    <row r="330" spans="2:8" ht="15.75" x14ac:dyDescent="0.25">
      <c r="B330" s="54"/>
      <c r="C330" s="5" t="s">
        <v>187</v>
      </c>
      <c r="D330" s="6"/>
      <c r="E330" s="6">
        <v>20000</v>
      </c>
      <c r="F330" s="7">
        <f>IF(OR(D330&lt;&gt;0,E330&lt;&gt;0),SUM(D$3:D330)-SUM(E$3:E330),0)</f>
        <v>409329</v>
      </c>
      <c r="G330" s="5"/>
      <c r="H330" s="3"/>
    </row>
    <row r="331" spans="2:8" ht="15.75" x14ac:dyDescent="0.25">
      <c r="B331" s="55">
        <v>45287</v>
      </c>
      <c r="C331" s="5" t="s">
        <v>7</v>
      </c>
      <c r="D331" s="6">
        <v>1000000</v>
      </c>
      <c r="E331" s="6"/>
      <c r="F331" s="7">
        <f>IF(OR(D331&lt;&gt;0,E331&lt;&gt;0),SUM(D$3:D331)-SUM(E$3:E331),0)</f>
        <v>1409329</v>
      </c>
      <c r="G331" s="5"/>
    </row>
    <row r="332" spans="2:8" ht="15.75" x14ac:dyDescent="0.25">
      <c r="B332" s="55"/>
      <c r="C332" s="5" t="s">
        <v>226</v>
      </c>
      <c r="D332" s="6">
        <v>100000</v>
      </c>
      <c r="E332" s="6"/>
      <c r="F332" s="7">
        <f>IF(OR(D332&lt;&gt;0,E332&lt;&gt;0),SUM(D$3:D332)-SUM(E$3:E332),0)</f>
        <v>1509329</v>
      </c>
      <c r="G332" s="5"/>
    </row>
    <row r="333" spans="2:8" ht="15.75" x14ac:dyDescent="0.25">
      <c r="B333" s="55"/>
      <c r="C333" s="5" t="s">
        <v>227</v>
      </c>
      <c r="D333" s="6"/>
      <c r="E333" s="6">
        <v>73800</v>
      </c>
      <c r="F333" s="7">
        <f>IF(OR(D333&lt;&gt;0,E333&lt;&gt;0),SUM(D$3:D333)-SUM(E$3:E333),0)</f>
        <v>1435529</v>
      </c>
      <c r="G333" s="5"/>
    </row>
    <row r="334" spans="2:8" ht="15.75" x14ac:dyDescent="0.25">
      <c r="B334" s="55"/>
      <c r="C334" s="5" t="s">
        <v>229</v>
      </c>
      <c r="D334" s="6"/>
      <c r="E334" s="6">
        <v>16300</v>
      </c>
      <c r="F334" s="7">
        <f>IF(OR(D334&lt;&gt;0,E334&lt;&gt;0),SUM(D$3:D334)-SUM(E$3:E334),0)</f>
        <v>1419229</v>
      </c>
      <c r="G334" s="5"/>
    </row>
    <row r="335" spans="2:8" ht="15.75" x14ac:dyDescent="0.25">
      <c r="B335" s="55"/>
      <c r="C335" s="5" t="s">
        <v>166</v>
      </c>
      <c r="D335" s="6"/>
      <c r="E335" s="6">
        <v>1000</v>
      </c>
      <c r="F335" s="7">
        <f>IF(OR(D335&lt;&gt;0,E335&lt;&gt;0),SUM(D$3:D335)-SUM(E$3:E335),0)</f>
        <v>1418229</v>
      </c>
      <c r="G335" s="5"/>
      <c r="H335" s="3"/>
    </row>
    <row r="336" spans="2:8" ht="15.75" x14ac:dyDescent="0.25">
      <c r="B336" s="55"/>
      <c r="C336" s="5" t="s">
        <v>187</v>
      </c>
      <c r="D336" s="6"/>
      <c r="E336" s="6">
        <v>20000</v>
      </c>
      <c r="F336" s="7">
        <f>IF(OR(D336&lt;&gt;0,E336&lt;&gt;0),SUM(D$3:D336)-SUM(E$3:E336),0)</f>
        <v>1398229</v>
      </c>
      <c r="G336" s="5"/>
    </row>
    <row r="337" spans="2:8" ht="15.75" x14ac:dyDescent="0.25">
      <c r="B337" s="55"/>
      <c r="C337" s="5" t="s">
        <v>231</v>
      </c>
      <c r="D337" s="6"/>
      <c r="E337" s="6">
        <v>150000</v>
      </c>
      <c r="F337" s="7">
        <f>IF(OR(D337&lt;&gt;0,E337&lt;&gt;0),SUM(D$3:D337)-SUM(E$3:E337),0)</f>
        <v>1248229</v>
      </c>
      <c r="G337" s="5"/>
    </row>
    <row r="338" spans="2:8" ht="15.75" x14ac:dyDescent="0.25">
      <c r="B338" s="55"/>
      <c r="C338" s="5" t="s">
        <v>232</v>
      </c>
      <c r="D338" s="6"/>
      <c r="E338" s="6">
        <v>50000</v>
      </c>
      <c r="F338" s="7">
        <f>IF(OR(D338&lt;&gt;0,E338&lt;&gt;0),SUM(D$3:D338)-SUM(E$3:E338),0)</f>
        <v>1198229</v>
      </c>
      <c r="G338" s="5"/>
    </row>
    <row r="339" spans="2:8" ht="15.75" x14ac:dyDescent="0.25">
      <c r="B339" s="55"/>
      <c r="C339" s="5" t="s">
        <v>233</v>
      </c>
      <c r="D339" s="6"/>
      <c r="E339" s="6">
        <v>200000</v>
      </c>
      <c r="F339" s="7">
        <f>IF(OR(D339&lt;&gt;0,E339&lt;&gt;0),SUM(D$3:D339)-SUM(E$3:E339),0)</f>
        <v>998229</v>
      </c>
      <c r="G339" s="5"/>
    </row>
    <row r="340" spans="2:8" ht="15.75" x14ac:dyDescent="0.25">
      <c r="B340" s="52">
        <v>45288</v>
      </c>
      <c r="C340" s="5" t="s">
        <v>234</v>
      </c>
      <c r="D340" s="6"/>
      <c r="E340" s="6">
        <v>400000</v>
      </c>
      <c r="F340" s="7">
        <f>IF(OR(D340&lt;&gt;0,E340&lt;&gt;0),SUM(D$3:D340)-SUM(E$3:E340),0)</f>
        <v>598229</v>
      </c>
      <c r="G340" s="5"/>
    </row>
    <row r="341" spans="2:8" ht="15.75" x14ac:dyDescent="0.25">
      <c r="B341" s="53"/>
      <c r="C341" s="5" t="s">
        <v>27</v>
      </c>
      <c r="D341" s="5"/>
      <c r="E341" s="6">
        <v>200000</v>
      </c>
      <c r="F341" s="7">
        <f>IF(OR(D341&lt;&gt;0,E341&lt;&gt;0),SUM(D$3:D341)-SUM(E$3:E341),0)</f>
        <v>398229</v>
      </c>
      <c r="G341" s="5"/>
      <c r="H341" s="3">
        <f>F341-104000</f>
        <v>294229</v>
      </c>
    </row>
    <row r="342" spans="2:8" ht="15.75" x14ac:dyDescent="0.25">
      <c r="B342" s="53"/>
      <c r="C342" s="5" t="s">
        <v>7</v>
      </c>
      <c r="D342" s="6">
        <v>500000</v>
      </c>
      <c r="E342" s="5"/>
      <c r="F342" s="7">
        <f>IF(OR(D342&lt;&gt;0,E342&lt;&gt;0),SUM(D$3:D342)-SUM(E$3:E342),0)</f>
        <v>898229</v>
      </c>
      <c r="G342" s="5"/>
    </row>
    <row r="343" spans="2:8" ht="15.75" x14ac:dyDescent="0.25">
      <c r="B343" s="53"/>
      <c r="C343" s="5" t="s">
        <v>14</v>
      </c>
      <c r="D343" s="5"/>
      <c r="E343" s="6">
        <v>30000</v>
      </c>
      <c r="F343" s="7">
        <f>IF(OR(D343&lt;&gt;0,E343&lt;&gt;0),SUM(D$3:D343)-SUM(E$3:E343),0)</f>
        <v>868229</v>
      </c>
      <c r="G343" s="5"/>
    </row>
    <row r="344" spans="2:8" ht="15.75" x14ac:dyDescent="0.25">
      <c r="B344" s="53"/>
      <c r="C344" s="5" t="s">
        <v>235</v>
      </c>
      <c r="D344" s="5"/>
      <c r="E344" s="6">
        <v>30000</v>
      </c>
      <c r="F344" s="7">
        <f>IF(OR(D344&lt;&gt;0,E344&lt;&gt;0),SUM(D$3:D344)-SUM(E$3:E344),0)</f>
        <v>838229</v>
      </c>
      <c r="G344" s="5"/>
    </row>
    <row r="345" spans="2:8" ht="15.75" x14ac:dyDescent="0.25">
      <c r="B345" s="53"/>
      <c r="C345" s="5" t="s">
        <v>236</v>
      </c>
      <c r="D345" s="5"/>
      <c r="E345" s="6">
        <v>40000</v>
      </c>
      <c r="F345" s="7">
        <f>IF(OR(D345&lt;&gt;0,E345&lt;&gt;0),SUM(D$3:D345)-SUM(E$3:E345),0)</f>
        <v>798229</v>
      </c>
      <c r="G345" s="5"/>
    </row>
    <row r="346" spans="2:8" ht="15.75" x14ac:dyDescent="0.25">
      <c r="B346" s="53"/>
      <c r="C346" s="5" t="s">
        <v>237</v>
      </c>
      <c r="D346" s="5"/>
      <c r="E346" s="6">
        <v>35000</v>
      </c>
      <c r="F346" s="7">
        <f>IF(OR(D346&lt;&gt;0,E346&lt;&gt;0),SUM(D$3:D346)-SUM(E$3:E346),0)</f>
        <v>763229</v>
      </c>
      <c r="G346" s="5"/>
    </row>
    <row r="347" spans="2:8" ht="15.75" x14ac:dyDescent="0.25">
      <c r="B347" s="54"/>
      <c r="C347" s="5" t="s">
        <v>238</v>
      </c>
      <c r="D347" s="5"/>
      <c r="E347" s="6">
        <v>1000</v>
      </c>
      <c r="F347" s="7">
        <f>IF(OR(D347&lt;&gt;0,E347&lt;&gt;0),SUM(D$3:D347)-SUM(E$3:E347),0)</f>
        <v>762229</v>
      </c>
      <c r="G347" s="5"/>
      <c r="H347" s="3"/>
    </row>
    <row r="348" spans="2:8" ht="15.75" x14ac:dyDescent="0.25">
      <c r="B348" s="52">
        <v>45289</v>
      </c>
      <c r="C348" s="5" t="s">
        <v>7</v>
      </c>
      <c r="D348" s="6">
        <v>1000000</v>
      </c>
      <c r="E348" s="6"/>
      <c r="F348" s="7">
        <f>IF(OR(D348&lt;&gt;0,E348&lt;&gt;0),SUM(D$3:D348)-SUM(E$3:E348),0)</f>
        <v>1762229</v>
      </c>
      <c r="G348" s="5"/>
    </row>
    <row r="349" spans="2:8" ht="15.75" x14ac:dyDescent="0.25">
      <c r="B349" s="53"/>
      <c r="C349" s="5" t="s">
        <v>171</v>
      </c>
      <c r="D349" s="6"/>
      <c r="E349" s="6">
        <v>1000</v>
      </c>
      <c r="F349" s="7">
        <f>IF(OR(D349&lt;&gt;0,E349&lt;&gt;0),SUM(D$3:D349)-SUM(E$3:E349),0)</f>
        <v>1761229</v>
      </c>
      <c r="G349" s="5"/>
    </row>
    <row r="350" spans="2:8" ht="15.75" x14ac:dyDescent="0.25">
      <c r="B350" s="53"/>
      <c r="C350" s="5" t="s">
        <v>239</v>
      </c>
      <c r="D350" s="5"/>
      <c r="E350" s="6">
        <v>138600</v>
      </c>
      <c r="F350" s="7">
        <f>IF(OR(D350&lt;&gt;0,E350&lt;&gt;0),SUM(D$3:D350)-SUM(E$3:E350),0)</f>
        <v>1622629</v>
      </c>
      <c r="G350" s="5"/>
    </row>
    <row r="351" spans="2:8" ht="15.75" x14ac:dyDescent="0.25">
      <c r="B351" s="53"/>
      <c r="C351" s="5" t="s">
        <v>240</v>
      </c>
      <c r="D351" s="5"/>
      <c r="E351" s="6">
        <v>9450</v>
      </c>
      <c r="F351" s="7">
        <f>IF(OR(D351&lt;&gt;0,E351&lt;&gt;0),SUM(D$3:D351)-SUM(E$3:E351),0)</f>
        <v>1613179</v>
      </c>
      <c r="G351" s="5"/>
    </row>
    <row r="352" spans="2:8" ht="15.75" x14ac:dyDescent="0.25">
      <c r="B352" s="53"/>
      <c r="C352" s="5" t="s">
        <v>43</v>
      </c>
      <c r="D352" s="5"/>
      <c r="E352" s="6">
        <v>150000</v>
      </c>
      <c r="F352" s="7">
        <f>IF(OR(D352&lt;&gt;0,E352&lt;&gt;0),SUM(D$3:D352)-SUM(E$3:E352),0)</f>
        <v>1463179</v>
      </c>
      <c r="G352" s="5"/>
    </row>
    <row r="353" spans="2:8" ht="15.75" x14ac:dyDescent="0.25">
      <c r="B353" s="53"/>
      <c r="C353" s="5" t="s">
        <v>241</v>
      </c>
      <c r="D353" s="5"/>
      <c r="E353" s="6">
        <v>100000</v>
      </c>
      <c r="F353" s="7">
        <f>IF(OR(D353&lt;&gt;0,E353&lt;&gt;0),SUM(D$3:D353)-SUM(E$3:E353),0)</f>
        <v>1363179</v>
      </c>
      <c r="G353" s="5"/>
      <c r="H353" s="3"/>
    </row>
    <row r="354" spans="2:8" ht="15.75" x14ac:dyDescent="0.25">
      <c r="B354" s="53"/>
      <c r="C354" s="5" t="s">
        <v>187</v>
      </c>
      <c r="D354" s="5"/>
      <c r="E354" s="6">
        <v>20000</v>
      </c>
      <c r="F354" s="7">
        <f>IF(OR(D354&lt;&gt;0,E354&lt;&gt;0),SUM(D$3:D354)-SUM(E$3:E354),0)</f>
        <v>1343179</v>
      </c>
      <c r="G354" s="5"/>
    </row>
    <row r="355" spans="2:8" ht="15.75" x14ac:dyDescent="0.25">
      <c r="B355" s="53"/>
      <c r="C355" s="5" t="s">
        <v>242</v>
      </c>
      <c r="D355" s="5"/>
      <c r="E355" s="6">
        <v>29500</v>
      </c>
      <c r="F355" s="7">
        <f>IF(OR(D355&lt;&gt;0,E355&lt;&gt;0),SUM(D$3:D355)-SUM(E$3:E355),0)</f>
        <v>1313679</v>
      </c>
      <c r="G355" s="5"/>
    </row>
    <row r="356" spans="2:8" ht="15.75" x14ac:dyDescent="0.25">
      <c r="B356" s="53"/>
      <c r="C356" s="5" t="s">
        <v>243</v>
      </c>
      <c r="D356" s="5"/>
      <c r="E356" s="6">
        <v>250000</v>
      </c>
      <c r="F356" s="7">
        <f>IF(OR(D356&lt;&gt;0,E356&lt;&gt;0),SUM(D$3:D356)-SUM(E$3:E356),0)</f>
        <v>1063679</v>
      </c>
      <c r="G356" s="5"/>
    </row>
    <row r="357" spans="2:8" ht="15.75" x14ac:dyDescent="0.25">
      <c r="B357" s="54"/>
      <c r="C357" s="5" t="s">
        <v>244</v>
      </c>
      <c r="D357" s="5"/>
      <c r="E357" s="6">
        <v>56000</v>
      </c>
      <c r="F357" s="7">
        <f>IF(OR(D357&lt;&gt;0,E357&lt;&gt;0),SUM(D$3:D357)-SUM(E$3:E357),0)</f>
        <v>1007679</v>
      </c>
      <c r="G357" s="5"/>
    </row>
    <row r="358" spans="2:8" ht="15.75" x14ac:dyDescent="0.25">
      <c r="B358" s="52">
        <v>45290</v>
      </c>
      <c r="C358" s="5" t="s">
        <v>187</v>
      </c>
      <c r="D358" s="6"/>
      <c r="E358" s="6">
        <v>20000</v>
      </c>
      <c r="F358" s="7">
        <f>IF(OR(D358&lt;&gt;0,E358&lt;&gt;0),SUM(D$3:D358)-SUM(E$3:E358),0)</f>
        <v>987679</v>
      </c>
      <c r="G358" s="5"/>
    </row>
    <row r="359" spans="2:8" ht="15.75" x14ac:dyDescent="0.25">
      <c r="B359" s="53"/>
      <c r="C359" s="5" t="s">
        <v>245</v>
      </c>
      <c r="D359" s="6"/>
      <c r="E359" s="6">
        <v>198000</v>
      </c>
      <c r="F359" s="7">
        <f>IF(OR(D359&lt;&gt;0,E359&lt;&gt;0),SUM(D$3:D359)-SUM(E$3:E359),0)</f>
        <v>789679</v>
      </c>
      <c r="G359" s="5"/>
    </row>
    <row r="360" spans="2:8" ht="15.75" x14ac:dyDescent="0.25">
      <c r="B360" s="53"/>
      <c r="C360" s="5" t="s">
        <v>58</v>
      </c>
      <c r="D360" s="5"/>
      <c r="E360" s="6">
        <v>2000</v>
      </c>
      <c r="F360" s="7">
        <f>IF(OR(D360&lt;&gt;0,E360&lt;&gt;0),SUM(D$3:D360)-SUM(E$3:E360),0)</f>
        <v>787679</v>
      </c>
      <c r="G360" s="5"/>
    </row>
    <row r="361" spans="2:8" ht="15.75" x14ac:dyDescent="0.25">
      <c r="B361" s="53"/>
      <c r="C361" s="5" t="s">
        <v>246</v>
      </c>
      <c r="D361" s="5"/>
      <c r="E361" s="6">
        <v>42000</v>
      </c>
      <c r="F361" s="7">
        <f>IF(OR(D361&lt;&gt;0,E361&lt;&gt;0),SUM(D$3:D361)-SUM(E$3:E361),0)</f>
        <v>745679</v>
      </c>
      <c r="G361" s="5"/>
    </row>
    <row r="362" spans="2:8" ht="15.75" x14ac:dyDescent="0.25">
      <c r="B362" s="53"/>
      <c r="C362" s="5" t="s">
        <v>247</v>
      </c>
      <c r="D362" s="5"/>
      <c r="E362" s="6">
        <v>40000</v>
      </c>
      <c r="F362" s="7">
        <f>IF(OR(D362&lt;&gt;0,E362&lt;&gt;0),SUM(D$3:D362)-SUM(E$3:E362),0)</f>
        <v>705679</v>
      </c>
      <c r="G362" s="5"/>
    </row>
    <row r="363" spans="2:8" ht="15.75" x14ac:dyDescent="0.25">
      <c r="B363" s="53"/>
      <c r="C363" s="5" t="s">
        <v>248</v>
      </c>
      <c r="D363" s="5"/>
      <c r="E363" s="6">
        <v>40000</v>
      </c>
      <c r="F363" s="7">
        <f>IF(OR(D363&lt;&gt;0,E363&lt;&gt;0),SUM(D$3:D363)-SUM(E$3:E363),0)</f>
        <v>665679</v>
      </c>
      <c r="G363" s="5"/>
    </row>
    <row r="364" spans="2:8" ht="15.75" x14ac:dyDescent="0.25">
      <c r="B364" s="53"/>
      <c r="C364" s="5" t="s">
        <v>249</v>
      </c>
      <c r="D364" s="5"/>
      <c r="E364" s="6">
        <v>10000</v>
      </c>
      <c r="F364" s="7">
        <f>IF(OR(D364&lt;&gt;0,E364&lt;&gt;0),SUM(D$3:D364)-SUM(E$3:E364),0)</f>
        <v>655679</v>
      </c>
      <c r="G364" s="5"/>
    </row>
    <row r="365" spans="2:8" ht="15.75" x14ac:dyDescent="0.25">
      <c r="B365" s="53"/>
      <c r="C365" s="5" t="s">
        <v>127</v>
      </c>
      <c r="D365" s="5"/>
      <c r="E365" s="6">
        <v>100000</v>
      </c>
      <c r="F365" s="7">
        <f>IF(OR(D365&lt;&gt;0,E365&lt;&gt;0),SUM(D$3:D365)-SUM(E$3:E365),0)</f>
        <v>555679</v>
      </c>
      <c r="G365" s="5"/>
    </row>
    <row r="366" spans="2:8" ht="15.75" x14ac:dyDescent="0.25">
      <c r="B366" s="53"/>
      <c r="C366" s="5" t="s">
        <v>125</v>
      </c>
      <c r="D366" s="5"/>
      <c r="E366" s="6">
        <v>20000</v>
      </c>
      <c r="F366" s="7">
        <f>IF(OR(D366&lt;&gt;0,E366&lt;&gt;0),SUM(D$3:D366)-SUM(E$3:E366),0)</f>
        <v>535679</v>
      </c>
      <c r="G366" s="5"/>
    </row>
    <row r="367" spans="2:8" ht="15.75" x14ac:dyDescent="0.25">
      <c r="B367" s="53"/>
      <c r="C367" s="5" t="s">
        <v>250</v>
      </c>
      <c r="D367" s="5"/>
      <c r="E367" s="6">
        <v>10000</v>
      </c>
      <c r="F367" s="7">
        <f>IF(OR(D367&lt;&gt;0,E367&lt;&gt;0),SUM(D$3:D367)-SUM(E$3:E367),0)</f>
        <v>525679</v>
      </c>
      <c r="G367" s="5"/>
    </row>
    <row r="368" spans="2:8" ht="15.75" x14ac:dyDescent="0.25">
      <c r="B368" s="54"/>
      <c r="C368" s="5" t="s">
        <v>251</v>
      </c>
      <c r="D368" s="5"/>
      <c r="E368" s="6">
        <v>50000</v>
      </c>
      <c r="F368" s="7">
        <f>IF(OR(D368&lt;&gt;0,E368&lt;&gt;0),SUM(D$3:D368)-SUM(E$3:E368),0)</f>
        <v>475679</v>
      </c>
      <c r="G368" s="5"/>
      <c r="H368" s="3"/>
    </row>
    <row r="369" spans="2:8" ht="15.75" x14ac:dyDescent="0.25">
      <c r="B369" s="52">
        <v>45293</v>
      </c>
      <c r="C369" s="5" t="s">
        <v>7</v>
      </c>
      <c r="D369" s="6">
        <v>1000000</v>
      </c>
      <c r="E369" s="6"/>
      <c r="F369" s="7">
        <f>IF(OR(D369&lt;&gt;0,E369&lt;&gt;0),SUM(D$3:D369)-SUM(E$3:E369),0)</f>
        <v>1475679</v>
      </c>
      <c r="G369" s="5"/>
    </row>
    <row r="370" spans="2:8" ht="15.75" x14ac:dyDescent="0.25">
      <c r="B370" s="53"/>
      <c r="C370" s="5" t="s">
        <v>252</v>
      </c>
      <c r="D370" s="6"/>
      <c r="E370" s="6">
        <v>100000</v>
      </c>
      <c r="F370" s="7">
        <f>IF(OR(D370&lt;&gt;0,E370&lt;&gt;0),SUM(D$3:D370)-SUM(E$3:E370),0)</f>
        <v>1375679</v>
      </c>
      <c r="G370" s="5"/>
    </row>
    <row r="371" spans="2:8" ht="15.75" x14ac:dyDescent="0.25">
      <c r="B371" s="53"/>
      <c r="C371" s="5" t="s">
        <v>187</v>
      </c>
      <c r="D371" s="5"/>
      <c r="E371" s="6">
        <v>20000</v>
      </c>
      <c r="F371" s="7">
        <f>IF(OR(D371&lt;&gt;0,E371&lt;&gt;0),SUM(D$3:D371)-SUM(E$3:E371),0)</f>
        <v>1355679</v>
      </c>
      <c r="G371" s="5"/>
    </row>
    <row r="372" spans="2:8" ht="15.75" x14ac:dyDescent="0.25">
      <c r="B372" s="53"/>
      <c r="C372" s="5" t="s">
        <v>254</v>
      </c>
      <c r="D372" s="5"/>
      <c r="E372" s="6">
        <v>30000</v>
      </c>
      <c r="F372" s="7">
        <f>IF(OR(D372&lt;&gt;0,E372&lt;&gt;0),SUM(D$3:D372)-SUM(E$3:E372),0)</f>
        <v>1325679</v>
      </c>
      <c r="G372" s="5"/>
    </row>
    <row r="373" spans="2:8" ht="15.75" x14ac:dyDescent="0.25">
      <c r="B373" s="53"/>
      <c r="C373" s="5" t="s">
        <v>43</v>
      </c>
      <c r="D373" s="5"/>
      <c r="E373" s="6">
        <v>100000</v>
      </c>
      <c r="F373" s="7">
        <f>IF(OR(D373&lt;&gt;0,E373&lt;&gt;0),SUM(D$3:D373)-SUM(E$3:E373),0)</f>
        <v>1225679</v>
      </c>
      <c r="G373" s="5"/>
    </row>
    <row r="374" spans="2:8" ht="15.75" x14ac:dyDescent="0.25">
      <c r="B374" s="53"/>
      <c r="C374" s="5" t="s">
        <v>253</v>
      </c>
      <c r="D374" s="5"/>
      <c r="E374" s="6">
        <v>25000</v>
      </c>
      <c r="F374" s="7">
        <f>IF(OR(D374&lt;&gt;0,E374&lt;&gt;0),SUM(D$3:D374)-SUM(E$3:E374),0)</f>
        <v>1200679</v>
      </c>
      <c r="G374" s="5"/>
    </row>
    <row r="375" spans="2:8" ht="15.75" x14ac:dyDescent="0.25">
      <c r="B375" s="53"/>
      <c r="C375" s="5" t="s">
        <v>11</v>
      </c>
      <c r="D375" s="5"/>
      <c r="E375" s="6">
        <v>35500</v>
      </c>
      <c r="F375" s="7">
        <f>IF(OR(D375&lt;&gt;0,E375&lt;&gt;0),SUM(D$3:D375)-SUM(E$3:E375),0)</f>
        <v>1165179</v>
      </c>
      <c r="G375" s="5"/>
    </row>
    <row r="376" spans="2:8" ht="15.75" x14ac:dyDescent="0.25">
      <c r="B376" s="53"/>
      <c r="C376" s="5" t="s">
        <v>14</v>
      </c>
      <c r="D376" s="5"/>
      <c r="E376" s="6">
        <v>30000</v>
      </c>
      <c r="F376" s="7">
        <f>IF(OR(D376&lt;&gt;0,E376&lt;&gt;0),SUM(D$3:D376)-SUM(E$3:E376),0)</f>
        <v>1135179</v>
      </c>
      <c r="G376" s="5"/>
    </row>
    <row r="377" spans="2:8" ht="15.75" x14ac:dyDescent="0.25">
      <c r="B377" s="53"/>
      <c r="C377" s="5" t="s">
        <v>255</v>
      </c>
      <c r="D377" s="5"/>
      <c r="E377" s="6">
        <v>20000</v>
      </c>
      <c r="F377" s="7">
        <f>IF(OR(D377&lt;&gt;0,E377&lt;&gt;0),SUM(D$3:D377)-SUM(E$3:E377),0)</f>
        <v>1115179</v>
      </c>
      <c r="G377" s="5"/>
    </row>
    <row r="378" spans="2:8" ht="15.75" x14ac:dyDescent="0.25">
      <c r="B378" s="53"/>
      <c r="C378" s="5" t="s">
        <v>256</v>
      </c>
      <c r="D378" s="5"/>
      <c r="E378" s="6">
        <v>100000</v>
      </c>
      <c r="F378" s="7">
        <f>IF(OR(D378&lt;&gt;0,E378&lt;&gt;0),SUM(D$3:D378)-SUM(E$3:E378),0)</f>
        <v>1015179</v>
      </c>
      <c r="G378" s="5"/>
    </row>
    <row r="379" spans="2:8" ht="15.75" x14ac:dyDescent="0.25">
      <c r="B379" s="53"/>
      <c r="C379" s="5" t="s">
        <v>12</v>
      </c>
      <c r="D379" s="5"/>
      <c r="E379" s="6">
        <v>13000</v>
      </c>
      <c r="F379" s="7">
        <f>IF(OR(D379&lt;&gt;0,E379&lt;&gt;0),SUM(D$3:D379)-SUM(E$3:E379),0)</f>
        <v>1002179</v>
      </c>
      <c r="G379" s="5"/>
    </row>
    <row r="380" spans="2:8" ht="15.75" x14ac:dyDescent="0.25">
      <c r="B380" s="54"/>
      <c r="C380" s="5" t="s">
        <v>257</v>
      </c>
      <c r="D380" s="5"/>
      <c r="E380" s="6">
        <v>350000</v>
      </c>
      <c r="F380" s="7">
        <f>IF(OR(D380&lt;&gt;0,E380&lt;&gt;0),SUM(D$3:D380)-SUM(E$3:E380),0)</f>
        <v>652179</v>
      </c>
      <c r="G380" s="5"/>
      <c r="H380" s="3"/>
    </row>
    <row r="381" spans="2:8" ht="15.75" x14ac:dyDescent="0.25">
      <c r="B381" s="55">
        <v>45294</v>
      </c>
      <c r="C381" s="5" t="s">
        <v>7</v>
      </c>
      <c r="D381" s="6">
        <v>1000000</v>
      </c>
      <c r="E381" s="6"/>
      <c r="F381" s="7">
        <f>IF(OR(D381&lt;&gt;0,E381&lt;&gt;0),SUM(D$3:D381)-SUM(E$3:E381),0)</f>
        <v>1652179</v>
      </c>
      <c r="G381" s="5"/>
    </row>
    <row r="382" spans="2:8" ht="15.75" x14ac:dyDescent="0.25">
      <c r="B382" s="55"/>
      <c r="C382" s="5" t="s">
        <v>258</v>
      </c>
      <c r="D382" s="6"/>
      <c r="E382" s="6">
        <v>10000</v>
      </c>
      <c r="F382" s="7">
        <f>IF(OR(D382&lt;&gt;0,E382&lt;&gt;0),SUM(D$3:D382)-SUM(E$3:E382),0)</f>
        <v>1642179</v>
      </c>
      <c r="G382" s="5"/>
    </row>
    <row r="383" spans="2:8" ht="15.75" x14ac:dyDescent="0.25">
      <c r="B383" s="55"/>
      <c r="C383" s="5" t="s">
        <v>180</v>
      </c>
      <c r="D383" s="5"/>
      <c r="E383" s="6">
        <v>90000</v>
      </c>
      <c r="F383" s="7">
        <f>IF(OR(D383&lt;&gt;0,E383&lt;&gt;0),SUM(D$3:D383)-SUM(E$3:E383),0)</f>
        <v>1552179</v>
      </c>
      <c r="G383" s="5"/>
      <c r="H383" s="3"/>
    </row>
    <row r="384" spans="2:8" ht="15.75" x14ac:dyDescent="0.25">
      <c r="B384" s="55"/>
      <c r="C384" s="5" t="s">
        <v>259</v>
      </c>
      <c r="D384" s="5"/>
      <c r="E384" s="6">
        <v>505000</v>
      </c>
      <c r="F384" s="7">
        <f>IF(OR(D384&lt;&gt;0,E384&lt;&gt;0),SUM(D$3:D384)-SUM(E$3:E384),0)</f>
        <v>1047179</v>
      </c>
      <c r="G384" s="5"/>
      <c r="H384" s="3"/>
    </row>
    <row r="385" spans="2:8" ht="15.75" x14ac:dyDescent="0.25">
      <c r="B385" s="55"/>
      <c r="C385" s="5" t="s">
        <v>260</v>
      </c>
      <c r="D385" s="5"/>
      <c r="E385" s="6">
        <v>8500</v>
      </c>
      <c r="F385" s="7">
        <f>IF(OR(D385&lt;&gt;0,E385&lt;&gt;0),SUM(D$3:D385)-SUM(E$3:E385),0)</f>
        <v>1038679</v>
      </c>
      <c r="G385" s="5"/>
    </row>
    <row r="386" spans="2:8" ht="15.75" x14ac:dyDescent="0.25">
      <c r="B386" s="55"/>
      <c r="C386" s="5" t="s">
        <v>261</v>
      </c>
      <c r="D386" s="5"/>
      <c r="E386" s="6">
        <v>30000</v>
      </c>
      <c r="F386" s="7">
        <f>IF(OR(D386&lt;&gt;0,E386&lt;&gt;0),SUM(D$3:D386)-SUM(E$3:E386),0)</f>
        <v>1008679</v>
      </c>
      <c r="G386" s="5"/>
    </row>
    <row r="387" spans="2:8" ht="15.75" x14ac:dyDescent="0.25">
      <c r="B387" s="55"/>
      <c r="C387" s="5" t="s">
        <v>58</v>
      </c>
      <c r="D387" s="5"/>
      <c r="E387" s="6">
        <v>1000</v>
      </c>
      <c r="F387" s="7">
        <f>IF(OR(D387&lt;&gt;0,E387&lt;&gt;0),SUM(D$3:D387)-SUM(E$3:E387),0)</f>
        <v>1007679</v>
      </c>
      <c r="G387" s="5"/>
    </row>
    <row r="388" spans="2:8" ht="15.75" x14ac:dyDescent="0.25">
      <c r="B388" s="55"/>
      <c r="C388" s="5" t="s">
        <v>262</v>
      </c>
      <c r="D388" s="5"/>
      <c r="E388" s="6">
        <v>1000</v>
      </c>
      <c r="F388" s="7">
        <f>IF(OR(D388&lt;&gt;0,E388&lt;&gt;0),SUM(D$3:D388)-SUM(E$3:E388),0)</f>
        <v>1006679</v>
      </c>
      <c r="G388" s="5"/>
    </row>
    <row r="389" spans="2:8" ht="15.75" x14ac:dyDescent="0.25">
      <c r="B389" s="55"/>
      <c r="C389" s="5" t="s">
        <v>263</v>
      </c>
      <c r="D389" s="5"/>
      <c r="E389" s="6">
        <v>100000</v>
      </c>
      <c r="F389" s="7">
        <f>IF(OR(D389&lt;&gt;0,E389&lt;&gt;0),SUM(D$3:D389)-SUM(E$3:E389),0)</f>
        <v>906679</v>
      </c>
      <c r="G389" s="5"/>
    </row>
    <row r="390" spans="2:8" ht="15.75" x14ac:dyDescent="0.25">
      <c r="B390" s="52">
        <v>45295</v>
      </c>
      <c r="C390" s="5" t="s">
        <v>264</v>
      </c>
      <c r="D390" s="6"/>
      <c r="E390" s="6">
        <v>200000</v>
      </c>
      <c r="F390" s="7">
        <f>IF(OR(D390&lt;&gt;0,E390&lt;&gt;0),SUM(D$3:D390)-SUM(E$3:E390),0)</f>
        <v>706679</v>
      </c>
      <c r="G390" s="5"/>
    </row>
    <row r="391" spans="2:8" ht="15.75" x14ac:dyDescent="0.25">
      <c r="B391" s="53"/>
      <c r="C391" s="5" t="s">
        <v>265</v>
      </c>
      <c r="D391" s="6"/>
      <c r="E391" s="6">
        <v>50000</v>
      </c>
      <c r="F391" s="7">
        <f>IF(OR(D391&lt;&gt;0,E391&lt;&gt;0),SUM(D$3:D391)-SUM(E$3:E391),0)</f>
        <v>656679</v>
      </c>
      <c r="G391" s="5"/>
    </row>
    <row r="392" spans="2:8" ht="15.75" x14ac:dyDescent="0.25">
      <c r="B392" s="53"/>
      <c r="C392" s="5" t="s">
        <v>266</v>
      </c>
      <c r="D392" s="5"/>
      <c r="E392" s="6">
        <v>300000</v>
      </c>
      <c r="F392" s="7">
        <f>IF(OR(D392&lt;&gt;0,E392&lt;&gt;0),SUM(D$3:D392)-SUM(E$3:E392),0)</f>
        <v>356679</v>
      </c>
      <c r="G392" s="5"/>
    </row>
    <row r="393" spans="2:8" ht="15.75" x14ac:dyDescent="0.25">
      <c r="B393" s="53"/>
      <c r="C393" s="5" t="s">
        <v>267</v>
      </c>
      <c r="D393" s="5"/>
      <c r="E393" s="6">
        <v>200000</v>
      </c>
      <c r="F393" s="7">
        <f>IF(OR(D393&lt;&gt;0,E393&lt;&gt;0),SUM(D$3:D393)-SUM(E$3:E393),0)</f>
        <v>156679</v>
      </c>
      <c r="G393" s="5"/>
    </row>
    <row r="394" spans="2:8" ht="15.75" x14ac:dyDescent="0.25">
      <c r="B394" s="53"/>
      <c r="C394" s="5" t="s">
        <v>268</v>
      </c>
      <c r="D394" s="5"/>
      <c r="E394" s="6">
        <v>10000</v>
      </c>
      <c r="F394" s="7">
        <f>IF(OR(D394&lt;&gt;0,E394&lt;&gt;0),SUM(D$3:D394)-SUM(E$3:E394),0)</f>
        <v>146679</v>
      </c>
      <c r="G394" s="5"/>
    </row>
    <row r="395" spans="2:8" ht="15.75" x14ac:dyDescent="0.25">
      <c r="B395" s="53"/>
      <c r="C395" s="5" t="s">
        <v>269</v>
      </c>
      <c r="D395" s="5"/>
      <c r="E395" s="6">
        <v>5000</v>
      </c>
      <c r="F395" s="7">
        <f>IF(OR(D395&lt;&gt;0,E395&lt;&gt;0),SUM(D$3:D395)-SUM(E$3:E395),0)</f>
        <v>141679</v>
      </c>
      <c r="G395" s="5"/>
      <c r="H395" s="3"/>
    </row>
    <row r="396" spans="2:8" ht="15.75" x14ac:dyDescent="0.25">
      <c r="B396" s="54"/>
      <c r="C396" s="5" t="s">
        <v>270</v>
      </c>
      <c r="D396" s="5"/>
      <c r="E396" s="6">
        <v>38000</v>
      </c>
      <c r="F396" s="7">
        <f>IF(OR(D396&lt;&gt;0,E396&lt;&gt;0),SUM(D$3:D396)-SUM(E$3:E396),0)</f>
        <v>103679</v>
      </c>
      <c r="G396" s="5"/>
    </row>
    <row r="397" spans="2:8" ht="15.75" x14ac:dyDescent="0.25">
      <c r="B397" s="52">
        <v>45296</v>
      </c>
      <c r="C397" s="5" t="s">
        <v>7</v>
      </c>
      <c r="D397" s="6">
        <v>1000000</v>
      </c>
      <c r="E397" s="6"/>
      <c r="F397" s="7">
        <f>IF(OR(D397&lt;&gt;0,E397&lt;&gt;0),SUM(D$3:D397)-SUM(E$3:E397),0)</f>
        <v>1103679</v>
      </c>
      <c r="G397" s="5"/>
    </row>
    <row r="398" spans="2:8" ht="15.75" x14ac:dyDescent="0.25">
      <c r="B398" s="53"/>
      <c r="C398" s="5" t="s">
        <v>129</v>
      </c>
      <c r="D398" s="6"/>
      <c r="E398" s="6">
        <v>336000</v>
      </c>
      <c r="F398" s="7">
        <f>IF(OR(D398&lt;&gt;0,E398&lt;&gt;0),SUM(D$3:D398)-SUM(E$3:E398),0)</f>
        <v>767679</v>
      </c>
      <c r="G398" s="5"/>
    </row>
    <row r="399" spans="2:8" ht="15.75" x14ac:dyDescent="0.25">
      <c r="B399" s="53"/>
      <c r="C399" s="5" t="s">
        <v>275</v>
      </c>
      <c r="D399" s="5"/>
      <c r="E399" s="6">
        <v>55500</v>
      </c>
      <c r="F399" s="7">
        <f>IF(OR(D399&lt;&gt;0,E399&lt;&gt;0),SUM(D$3:D399)-SUM(E$3:E399),0)</f>
        <v>712179</v>
      </c>
      <c r="G399" s="5"/>
    </row>
    <row r="400" spans="2:8" ht="15.75" x14ac:dyDescent="0.25">
      <c r="B400" s="53"/>
      <c r="C400" s="5" t="s">
        <v>46</v>
      </c>
      <c r="D400" s="5"/>
      <c r="E400" s="6">
        <v>30000</v>
      </c>
      <c r="F400" s="7">
        <f>IF(OR(D400&lt;&gt;0,E400&lt;&gt;0),SUM(D$3:D400)-SUM(E$3:E400),0)</f>
        <v>682179</v>
      </c>
      <c r="G400" s="5"/>
    </row>
    <row r="401" spans="2:7" ht="15.75" x14ac:dyDescent="0.25">
      <c r="B401" s="53"/>
      <c r="C401" s="5" t="s">
        <v>271</v>
      </c>
      <c r="D401" s="5"/>
      <c r="E401" s="6">
        <v>42400</v>
      </c>
      <c r="F401" s="7">
        <f>IF(OR(D401&lt;&gt;0,E401&lt;&gt;0),SUM(D$3:D401)-SUM(E$3:E401),0)</f>
        <v>639779</v>
      </c>
      <c r="G401" s="5"/>
    </row>
    <row r="402" spans="2:7" ht="15.75" x14ac:dyDescent="0.25">
      <c r="B402" s="53"/>
      <c r="C402" s="5" t="s">
        <v>273</v>
      </c>
      <c r="D402" s="5"/>
      <c r="E402" s="6">
        <v>1000</v>
      </c>
      <c r="F402" s="7">
        <f>IF(OR(D402&lt;&gt;0,E402&lt;&gt;0),SUM(D$3:D402)-SUM(E$3:E402),0)</f>
        <v>638779</v>
      </c>
      <c r="G402" s="5"/>
    </row>
    <row r="403" spans="2:7" ht="15.75" x14ac:dyDescent="0.25">
      <c r="B403" s="53"/>
      <c r="C403" s="5" t="s">
        <v>107</v>
      </c>
      <c r="D403" s="5"/>
      <c r="E403" s="6">
        <v>100000</v>
      </c>
      <c r="F403" s="7">
        <f>IF(OR(D403&lt;&gt;0,E403&lt;&gt;0),SUM(D$3:D403)-SUM(E$3:E403),0)</f>
        <v>538779</v>
      </c>
      <c r="G403" s="5"/>
    </row>
    <row r="404" spans="2:7" ht="15.75" x14ac:dyDescent="0.25">
      <c r="B404" s="54"/>
      <c r="C404" s="5" t="s">
        <v>272</v>
      </c>
      <c r="D404" s="5"/>
      <c r="E404" s="6">
        <v>29000</v>
      </c>
      <c r="F404" s="7">
        <f>IF(OR(D404&lt;&gt;0,E404&lt;&gt;0),SUM(D$3:D404)-SUM(E$3:E404),0)</f>
        <v>509779</v>
      </c>
      <c r="G404" s="5"/>
    </row>
    <row r="405" spans="2:7" ht="15.75" x14ac:dyDescent="0.25">
      <c r="B405" s="55">
        <v>45297</v>
      </c>
      <c r="C405" s="5" t="s">
        <v>14</v>
      </c>
      <c r="D405" s="6"/>
      <c r="E405" s="6">
        <v>30000</v>
      </c>
      <c r="F405" s="7">
        <f>IF(OR(D405&lt;&gt;0,E405&lt;&gt;0),SUM(D$3:D405)-SUM(E$3:E405),0)</f>
        <v>479779</v>
      </c>
      <c r="G405" s="5"/>
    </row>
    <row r="406" spans="2:7" ht="15.75" x14ac:dyDescent="0.25">
      <c r="B406" s="55"/>
      <c r="C406" s="5" t="s">
        <v>43</v>
      </c>
      <c r="D406" s="6"/>
      <c r="E406" s="6">
        <v>200000</v>
      </c>
      <c r="F406" s="7">
        <f>IF(OR(D406&lt;&gt;0,E406&lt;&gt;0),SUM(D$3:D406)-SUM(E$3:E406),0)</f>
        <v>279779</v>
      </c>
      <c r="G406" s="5"/>
    </row>
    <row r="407" spans="2:7" ht="15.75" x14ac:dyDescent="0.25">
      <c r="B407" s="55"/>
      <c r="C407" s="5" t="s">
        <v>274</v>
      </c>
      <c r="D407" s="5"/>
      <c r="E407" s="6">
        <v>10000</v>
      </c>
      <c r="F407" s="7">
        <f>IF(OR(D407&lt;&gt;0,E407&lt;&gt;0),SUM(D$3:D407)-SUM(E$3:E407),0)</f>
        <v>269779</v>
      </c>
      <c r="G407" s="5"/>
    </row>
    <row r="408" spans="2:7" ht="15.75" x14ac:dyDescent="0.25">
      <c r="B408" s="52">
        <v>45299</v>
      </c>
      <c r="C408" s="5" t="s">
        <v>7</v>
      </c>
      <c r="D408" s="6">
        <v>1000000</v>
      </c>
      <c r="E408" s="6"/>
      <c r="F408" s="7">
        <f>IF(OR(D408&lt;&gt;0,E408&lt;&gt;0),SUM(D$3:D408)-SUM(E$3:E408),0)</f>
        <v>1269779</v>
      </c>
      <c r="G408" s="5"/>
    </row>
    <row r="409" spans="2:7" ht="15.75" x14ac:dyDescent="0.25">
      <c r="B409" s="53"/>
      <c r="C409" s="5" t="s">
        <v>279</v>
      </c>
      <c r="D409" s="6"/>
      <c r="E409" s="6">
        <v>200000</v>
      </c>
      <c r="F409" s="7">
        <f>IF(OR(D409&lt;&gt;0,E409&lt;&gt;0),SUM(D$3:D409)-SUM(E$3:E409),0)</f>
        <v>1069779</v>
      </c>
      <c r="G409" s="5"/>
    </row>
    <row r="410" spans="2:7" ht="15.75" x14ac:dyDescent="0.25">
      <c r="B410" s="53"/>
      <c r="C410" s="5" t="s">
        <v>28</v>
      </c>
      <c r="D410" s="5"/>
      <c r="E410" s="6">
        <v>8000</v>
      </c>
      <c r="F410" s="7">
        <f>IF(OR(D410&lt;&gt;0,E410&lt;&gt;0),SUM(D$3:D410)-SUM(E$3:E410),0)</f>
        <v>1061779</v>
      </c>
      <c r="G410" s="5"/>
    </row>
    <row r="411" spans="2:7" ht="15.75" x14ac:dyDescent="0.25">
      <c r="B411" s="53"/>
      <c r="C411" s="5" t="s">
        <v>276</v>
      </c>
      <c r="D411" s="5"/>
      <c r="E411" s="6">
        <v>132000</v>
      </c>
      <c r="F411" s="7">
        <f>IF(OR(D411&lt;&gt;0,E411&lt;&gt;0),SUM(D$3:D411)-SUM(E$3:E411),0)</f>
        <v>929779</v>
      </c>
      <c r="G411" s="5"/>
    </row>
    <row r="412" spans="2:7" ht="15.75" x14ac:dyDescent="0.25">
      <c r="B412" s="53"/>
      <c r="C412" s="5" t="s">
        <v>277</v>
      </c>
      <c r="D412" s="5"/>
      <c r="E412" s="6">
        <v>39000</v>
      </c>
      <c r="F412" s="7">
        <f>IF(OR(D412&lt;&gt;0,E412&lt;&gt;0),SUM(D$3:D412)-SUM(E$3:E412),0)</f>
        <v>890779</v>
      </c>
      <c r="G412" s="5"/>
    </row>
    <row r="413" spans="2:7" ht="15.75" x14ac:dyDescent="0.25">
      <c r="B413" s="53"/>
      <c r="C413" s="5" t="s">
        <v>278</v>
      </c>
      <c r="D413" s="5"/>
      <c r="E413" s="6">
        <v>200000</v>
      </c>
      <c r="F413" s="7">
        <f>IF(OR(D413&lt;&gt;0,E413&lt;&gt;0),SUM(D$3:D413)-SUM(E$3:E413),0)</f>
        <v>690779</v>
      </c>
      <c r="G413" s="5"/>
    </row>
    <row r="414" spans="2:7" ht="15.75" x14ac:dyDescent="0.25">
      <c r="B414" s="53"/>
      <c r="C414" s="5" t="s">
        <v>280</v>
      </c>
      <c r="D414" s="5"/>
      <c r="E414" s="6">
        <v>75000</v>
      </c>
      <c r="F414" s="7">
        <f>IF(OR(D414&lt;&gt;0,E414&lt;&gt;0),SUM(D$3:D414)-SUM(E$3:E414),0)</f>
        <v>615779</v>
      </c>
      <c r="G414" s="5"/>
    </row>
    <row r="415" spans="2:7" ht="15.75" x14ac:dyDescent="0.25">
      <c r="B415" s="53"/>
      <c r="C415" s="5" t="s">
        <v>283</v>
      </c>
      <c r="D415" s="5"/>
      <c r="E415" s="6">
        <v>200000</v>
      </c>
      <c r="F415" s="7">
        <f>IF(OR(D415&lt;&gt;0,E415&lt;&gt;0),SUM(D$3:D415)-SUM(E$3:E415),0)</f>
        <v>415779</v>
      </c>
      <c r="G415" s="5"/>
    </row>
    <row r="416" spans="2:7" ht="15.75" x14ac:dyDescent="0.25">
      <c r="B416" s="53"/>
      <c r="C416" s="5" t="s">
        <v>7</v>
      </c>
      <c r="D416" s="6">
        <v>625000</v>
      </c>
      <c r="E416" s="5"/>
      <c r="F416" s="7">
        <f>IF(OR(D416&lt;&gt;0,E416&lt;&gt;0),SUM(D$3:D416)-SUM(E$3:E416),0)</f>
        <v>1040779</v>
      </c>
      <c r="G416" s="5"/>
    </row>
    <row r="417" spans="2:7" ht="15.75" x14ac:dyDescent="0.25">
      <c r="B417" s="53"/>
      <c r="C417" s="5" t="s">
        <v>281</v>
      </c>
      <c r="D417" s="5"/>
      <c r="E417" s="6">
        <v>14256</v>
      </c>
      <c r="F417" s="7">
        <f>IF(OR(D417&lt;&gt;0,E417&lt;&gt;0),SUM(D$3:D417)-SUM(E$3:E417),0)</f>
        <v>1026523</v>
      </c>
      <c r="G417" s="5"/>
    </row>
    <row r="418" spans="2:7" ht="15.75" x14ac:dyDescent="0.25">
      <c r="B418" s="53"/>
      <c r="C418" s="5" t="s">
        <v>282</v>
      </c>
      <c r="D418" s="5"/>
      <c r="E418" s="6">
        <v>60000</v>
      </c>
      <c r="F418" s="7">
        <f>IF(OR(D418&lt;&gt;0,E418&lt;&gt;0),SUM(D$3:D418)-SUM(E$3:E418),0)</f>
        <v>966523</v>
      </c>
      <c r="G418" s="5"/>
    </row>
    <row r="419" spans="2:7" ht="15.75" x14ac:dyDescent="0.25">
      <c r="B419" s="53"/>
      <c r="C419" s="5" t="s">
        <v>14</v>
      </c>
      <c r="D419" s="5"/>
      <c r="E419" s="6">
        <v>30000</v>
      </c>
      <c r="F419" s="7">
        <f>IF(OR(D419&lt;&gt;0,E419&lt;&gt;0),SUM(D$3:D419)-SUM(E$3:E419),0)</f>
        <v>936523</v>
      </c>
      <c r="G419" s="5"/>
    </row>
    <row r="420" spans="2:7" ht="15.75" x14ac:dyDescent="0.25">
      <c r="B420" s="53"/>
      <c r="C420" s="5" t="s">
        <v>284</v>
      </c>
      <c r="D420" s="5"/>
      <c r="E420" s="6">
        <v>20000</v>
      </c>
      <c r="F420" s="7">
        <f>IF(OR(D420&lt;&gt;0,E420&lt;&gt;0),SUM(D$3:D420)-SUM(E$3:E420),0)</f>
        <v>916523</v>
      </c>
      <c r="G420" s="5"/>
    </row>
    <row r="421" spans="2:7" ht="15.75" x14ac:dyDescent="0.25">
      <c r="B421" s="53"/>
      <c r="C421" s="5" t="s">
        <v>285</v>
      </c>
      <c r="D421" s="5"/>
      <c r="E421" s="6">
        <v>150000</v>
      </c>
      <c r="F421" s="7">
        <f>IF(OR(D421&lt;&gt;0,E421&lt;&gt;0),SUM(D$3:D421)-SUM(E$3:E421),0)</f>
        <v>766523</v>
      </c>
      <c r="G421" s="5"/>
    </row>
    <row r="422" spans="2:7" ht="15.75" x14ac:dyDescent="0.25">
      <c r="B422" s="53"/>
      <c r="C422" s="5" t="s">
        <v>286</v>
      </c>
      <c r="D422" s="5"/>
      <c r="E422" s="6">
        <v>150000</v>
      </c>
      <c r="F422" s="7">
        <f>IF(OR(D422&lt;&gt;0,E422&lt;&gt;0),SUM(D$3:D422)-SUM(E$3:E422),0)</f>
        <v>616523</v>
      </c>
      <c r="G422" s="5"/>
    </row>
    <row r="423" spans="2:7" ht="15.75" x14ac:dyDescent="0.25">
      <c r="B423" s="53"/>
      <c r="C423" s="5" t="s">
        <v>287</v>
      </c>
      <c r="D423" s="5"/>
      <c r="E423" s="6">
        <v>500000</v>
      </c>
      <c r="F423" s="7">
        <f>IF(OR(D423&lt;&gt;0,E423&lt;&gt;0),SUM(D$3:D423)-SUM(E$3:E423),0)</f>
        <v>116523</v>
      </c>
      <c r="G423" s="5"/>
    </row>
    <row r="424" spans="2:7" ht="15.75" x14ac:dyDescent="0.25">
      <c r="B424" s="54"/>
      <c r="C424" s="5" t="s">
        <v>288</v>
      </c>
      <c r="D424" s="5"/>
      <c r="E424" s="6">
        <v>30000</v>
      </c>
      <c r="F424" s="7">
        <f>IF(OR(D424&lt;&gt;0,E424&lt;&gt;0),SUM(D$3:D424)-SUM(E$3:E424),0)</f>
        <v>86523</v>
      </c>
      <c r="G424" s="5"/>
    </row>
    <row r="425" spans="2:7" ht="15.75" x14ac:dyDescent="0.25">
      <c r="B425" s="55">
        <v>45300</v>
      </c>
      <c r="C425" s="5" t="s">
        <v>7</v>
      </c>
      <c r="D425" s="6">
        <v>1000000</v>
      </c>
      <c r="E425" s="6"/>
      <c r="F425" s="7">
        <f>IF(OR(D425&lt;&gt;0,E425&lt;&gt;0),SUM(D$3:D425)-SUM(E$3:E425),0)</f>
        <v>1086523</v>
      </c>
      <c r="G425" s="5"/>
    </row>
    <row r="426" spans="2:7" ht="15.75" x14ac:dyDescent="0.25">
      <c r="B426" s="55"/>
      <c r="C426" s="5" t="s">
        <v>136</v>
      </c>
      <c r="D426" s="6"/>
      <c r="E426" s="6">
        <v>200000</v>
      </c>
      <c r="F426" s="7">
        <f>IF(OR(D426&lt;&gt;0,E426&lt;&gt;0),SUM(D$3:D426)-SUM(E$3:E426),0)</f>
        <v>886523</v>
      </c>
      <c r="G426" s="5"/>
    </row>
    <row r="427" spans="2:7" ht="15.75" x14ac:dyDescent="0.25">
      <c r="B427" s="55"/>
      <c r="C427" s="5" t="s">
        <v>204</v>
      </c>
      <c r="D427" s="5"/>
      <c r="E427" s="6">
        <v>100000</v>
      </c>
      <c r="F427" s="7">
        <f>IF(OR(D427&lt;&gt;0,E427&lt;&gt;0),SUM(D$3:D427)-SUM(E$3:E427),0)</f>
        <v>786523</v>
      </c>
      <c r="G427" s="5"/>
    </row>
    <row r="428" spans="2:7" ht="15.75" x14ac:dyDescent="0.25">
      <c r="B428" s="55"/>
      <c r="C428" s="5" t="s">
        <v>289</v>
      </c>
      <c r="D428" s="5"/>
      <c r="E428" s="6">
        <v>5000</v>
      </c>
      <c r="F428" s="7">
        <f>IF(OR(D428&lt;&gt;0,E428&lt;&gt;0),SUM(D$3:D428)-SUM(E$3:E428),0)</f>
        <v>781523</v>
      </c>
      <c r="G428" s="5"/>
    </row>
    <row r="429" spans="2:7" ht="15.75" x14ac:dyDescent="0.25">
      <c r="B429" s="55"/>
      <c r="C429" s="5" t="s">
        <v>14</v>
      </c>
      <c r="D429" s="5"/>
      <c r="E429" s="6">
        <v>50000</v>
      </c>
      <c r="F429" s="7">
        <f>IF(OR(D429&lt;&gt;0,E429&lt;&gt;0),SUM(D$3:D429)-SUM(E$3:E429),0)</f>
        <v>731523</v>
      </c>
      <c r="G429" s="5"/>
    </row>
    <row r="430" spans="2:7" ht="15.75" x14ac:dyDescent="0.25">
      <c r="B430" s="55"/>
      <c r="C430" s="5" t="s">
        <v>255</v>
      </c>
      <c r="D430" s="5"/>
      <c r="E430" s="6">
        <v>20000</v>
      </c>
      <c r="F430" s="7">
        <f>IF(OR(D430&lt;&gt;0,E430&lt;&gt;0),SUM(D$3:D430)-SUM(E$3:E430),0)</f>
        <v>711523</v>
      </c>
      <c r="G430" s="5"/>
    </row>
    <row r="431" spans="2:7" ht="15.75" x14ac:dyDescent="0.25">
      <c r="B431" s="55"/>
      <c r="C431" s="5" t="s">
        <v>290</v>
      </c>
      <c r="D431" s="5"/>
      <c r="E431" s="6">
        <v>50000</v>
      </c>
      <c r="F431" s="7">
        <f>IF(OR(D431&lt;&gt;0,E431&lt;&gt;0),SUM(D$3:D431)-SUM(E$3:E431),0)</f>
        <v>661523</v>
      </c>
      <c r="G431" s="5"/>
    </row>
    <row r="432" spans="2:7" ht="15.75" x14ac:dyDescent="0.25">
      <c r="B432" s="52">
        <v>45301</v>
      </c>
      <c r="C432" s="5" t="s">
        <v>291</v>
      </c>
      <c r="D432" s="6">
        <v>1000000</v>
      </c>
      <c r="E432" s="5"/>
      <c r="F432" s="7">
        <f>IF(OR(D432&lt;&gt;0,E432&lt;&gt;0),SUM(D$3:D432)-SUM(E$3:E432),0)</f>
        <v>1661523</v>
      </c>
      <c r="G432" s="5"/>
    </row>
    <row r="433" spans="2:7" ht="15.75" x14ac:dyDescent="0.25">
      <c r="B433" s="53"/>
      <c r="C433" s="5" t="s">
        <v>292</v>
      </c>
      <c r="D433" s="5"/>
      <c r="E433" s="6">
        <v>140000</v>
      </c>
      <c r="F433" s="7">
        <f>IF(OR(D433&lt;&gt;0,E433&lt;&gt;0),SUM(D$3:D433)-SUM(E$3:E433),0)</f>
        <v>1521523</v>
      </c>
      <c r="G433" s="5"/>
    </row>
    <row r="434" spans="2:7" ht="15.75" x14ac:dyDescent="0.25">
      <c r="B434" s="53"/>
      <c r="C434" s="5" t="s">
        <v>43</v>
      </c>
      <c r="D434" s="5"/>
      <c r="E434" s="6">
        <v>100000</v>
      </c>
      <c r="F434" s="7">
        <f>IF(OR(D434&lt;&gt;0,E434&lt;&gt;0),SUM(D$3:D434)-SUM(E$3:E434),0)</f>
        <v>1421523</v>
      </c>
      <c r="G434" s="5"/>
    </row>
    <row r="435" spans="2:7" ht="15.75" x14ac:dyDescent="0.25">
      <c r="B435" s="53"/>
      <c r="C435" s="5" t="s">
        <v>77</v>
      </c>
      <c r="D435" s="5"/>
      <c r="E435" s="6">
        <v>100000</v>
      </c>
      <c r="F435" s="7">
        <f>IF(OR(D435&lt;&gt;0,E435&lt;&gt;0),SUM(D$3:D435)-SUM(E$3:E435),0)</f>
        <v>1321523</v>
      </c>
      <c r="G435" s="5"/>
    </row>
    <row r="436" spans="2:7" ht="15.75" x14ac:dyDescent="0.25">
      <c r="B436" s="53"/>
      <c r="C436" s="5" t="s">
        <v>293</v>
      </c>
      <c r="D436" s="5"/>
      <c r="E436" s="6">
        <v>50550</v>
      </c>
      <c r="F436" s="7">
        <f>IF(OR(D436&lt;&gt;0,E436&lt;&gt;0),SUM(D$3:D436)-SUM(E$3:E436),0)</f>
        <v>1270973</v>
      </c>
      <c r="G436" s="5"/>
    </row>
    <row r="437" spans="2:7" ht="15.75" x14ac:dyDescent="0.25">
      <c r="B437" s="53"/>
      <c r="C437" s="5" t="s">
        <v>294</v>
      </c>
      <c r="D437" s="5"/>
      <c r="E437" s="6">
        <v>150000</v>
      </c>
      <c r="F437" s="7">
        <f>IF(OR(D437&lt;&gt;0,E437&lt;&gt;0),SUM(D$3:D437)-SUM(E$3:E437),0)</f>
        <v>1120973</v>
      </c>
      <c r="G437" s="5"/>
    </row>
    <row r="438" spans="2:7" ht="15.75" x14ac:dyDescent="0.25">
      <c r="B438" s="53"/>
      <c r="C438" s="5" t="s">
        <v>295</v>
      </c>
      <c r="D438" s="5"/>
      <c r="E438" s="6">
        <v>200000</v>
      </c>
      <c r="F438" s="7">
        <f>IF(OR(D438&lt;&gt;0,E438&lt;&gt;0),SUM(D$3:D438)-SUM(E$3:E438),0)</f>
        <v>920973</v>
      </c>
      <c r="G438" s="5"/>
    </row>
    <row r="439" spans="2:7" ht="15.75" x14ac:dyDescent="0.25">
      <c r="B439" s="54"/>
      <c r="C439" s="5" t="s">
        <v>296</v>
      </c>
      <c r="D439" s="5"/>
      <c r="E439" s="6">
        <v>23000</v>
      </c>
      <c r="F439" s="7">
        <f>IF(OR(D439&lt;&gt;0,E439&lt;&gt;0),SUM(D$3:D439)-SUM(E$3:E439),0)</f>
        <v>897973</v>
      </c>
      <c r="G439" s="5"/>
    </row>
    <row r="440" spans="2:7" ht="15.75" x14ac:dyDescent="0.25">
      <c r="B440" s="55">
        <v>45302</v>
      </c>
      <c r="C440" s="5" t="s">
        <v>27</v>
      </c>
      <c r="D440" s="6"/>
      <c r="E440" s="6">
        <v>200000</v>
      </c>
      <c r="F440" s="7">
        <f>IF(OR(D440&lt;&gt;0,E440&lt;&gt;0),SUM(D$3:D440)-SUM(E$3:E440),0)</f>
        <v>697973</v>
      </c>
      <c r="G440" s="5"/>
    </row>
    <row r="441" spans="2:7" ht="15.75" x14ac:dyDescent="0.25">
      <c r="B441" s="55"/>
      <c r="C441" s="5" t="s">
        <v>297</v>
      </c>
      <c r="D441" s="5"/>
      <c r="E441" s="6">
        <v>300000</v>
      </c>
      <c r="F441" s="7">
        <f>IF(OR(D441&lt;&gt;0,E441&lt;&gt;0),SUM(D$3:D441)-SUM(E$3:E441),0)</f>
        <v>397973</v>
      </c>
      <c r="G441" s="5"/>
    </row>
    <row r="442" spans="2:7" ht="15.75" x14ac:dyDescent="0.25">
      <c r="B442" s="55"/>
      <c r="C442" s="5" t="s">
        <v>7</v>
      </c>
      <c r="D442" s="6">
        <v>1500000</v>
      </c>
      <c r="E442" s="6"/>
      <c r="F442" s="7">
        <f>IF(OR(D442&lt;&gt;0,E442&lt;&gt;0),SUM(D$3:D442)-SUM(E$3:E442),0)</f>
        <v>1897973</v>
      </c>
      <c r="G442" s="5"/>
    </row>
    <row r="443" spans="2:7" ht="15.75" x14ac:dyDescent="0.25">
      <c r="B443" s="55"/>
      <c r="C443" s="5" t="s">
        <v>176</v>
      </c>
      <c r="D443" s="5"/>
      <c r="E443" s="6">
        <v>100000</v>
      </c>
      <c r="F443" s="7">
        <f>IF(OR(D443&lt;&gt;0,E443&lt;&gt;0),SUM(D$3:D443)-SUM(E$3:E443),0)</f>
        <v>1797973</v>
      </c>
      <c r="G443" s="5"/>
    </row>
    <row r="444" spans="2:7" ht="15.75" x14ac:dyDescent="0.25">
      <c r="B444" s="55"/>
      <c r="C444" s="5" t="s">
        <v>14</v>
      </c>
      <c r="D444" s="5"/>
      <c r="E444" s="6">
        <v>30000</v>
      </c>
      <c r="F444" s="7">
        <f>IF(OR(D444&lt;&gt;0,E444&lt;&gt;0),SUM(D$3:D444)-SUM(E$3:E444),0)</f>
        <v>1767973</v>
      </c>
      <c r="G444" s="5"/>
    </row>
    <row r="445" spans="2:7" ht="15.75" x14ac:dyDescent="0.25">
      <c r="B445" s="52">
        <v>45303</v>
      </c>
      <c r="C445" s="5" t="s">
        <v>298</v>
      </c>
      <c r="D445" s="5"/>
      <c r="E445" s="6">
        <v>200000</v>
      </c>
      <c r="F445" s="7">
        <f>IF(OR(D445&lt;&gt;0,E445&lt;&gt;0),SUM(D$3:D445)-SUM(E$3:E445),0)</f>
        <v>1567973</v>
      </c>
      <c r="G445" s="5"/>
    </row>
    <row r="446" spans="2:7" ht="15.75" x14ac:dyDescent="0.25">
      <c r="B446" s="53"/>
      <c r="C446" s="5" t="s">
        <v>7</v>
      </c>
      <c r="D446" s="5">
        <v>500000</v>
      </c>
      <c r="E446" s="5"/>
      <c r="F446" s="7">
        <f>IF(OR(D446&lt;&gt;0,E446&lt;&gt;0),SUM(D$3:D446)-SUM(E$3:E446),0)</f>
        <v>2067973</v>
      </c>
      <c r="G446" s="5"/>
    </row>
    <row r="447" spans="2:7" ht="15.75" x14ac:dyDescent="0.25">
      <c r="B447" s="53"/>
      <c r="C447" s="5" t="s">
        <v>299</v>
      </c>
      <c r="D447" s="5"/>
      <c r="E447" s="6">
        <v>56000</v>
      </c>
      <c r="F447" s="7">
        <f>IF(OR(D447&lt;&gt;0,E447&lt;&gt;0),SUM(D$3:D447)-SUM(E$3:E447),0)</f>
        <v>2011973</v>
      </c>
      <c r="G447" s="5"/>
    </row>
    <row r="448" spans="2:7" ht="15.75" x14ac:dyDescent="0.25">
      <c r="B448" s="53"/>
      <c r="C448" s="5" t="s">
        <v>300</v>
      </c>
      <c r="D448" s="5"/>
      <c r="E448" s="6">
        <v>34000</v>
      </c>
      <c r="F448" s="7">
        <f>IF(OR(D448&lt;&gt;0,E448&lt;&gt;0),SUM(D$3:D448)-SUM(E$3:E448),0)</f>
        <v>1977973</v>
      </c>
      <c r="G448" s="5"/>
    </row>
    <row r="449" spans="2:7" ht="15.75" x14ac:dyDescent="0.25">
      <c r="B449" s="53"/>
      <c r="C449" s="5" t="s">
        <v>301</v>
      </c>
      <c r="D449" s="5"/>
      <c r="E449" s="6">
        <v>120000</v>
      </c>
      <c r="F449" s="7">
        <f>IF(OR(D449&lt;&gt;0,E449&lt;&gt;0),SUM(D$3:D449)-SUM(E$3:E449),0)</f>
        <v>1857973</v>
      </c>
      <c r="G449" s="5"/>
    </row>
    <row r="450" spans="2:7" ht="15.75" x14ac:dyDescent="0.25">
      <c r="B450" s="53"/>
      <c r="C450" s="5" t="s">
        <v>43</v>
      </c>
      <c r="D450" s="5"/>
      <c r="E450" s="6">
        <v>100000</v>
      </c>
      <c r="F450" s="7">
        <f>IF(OR(D450&lt;&gt;0,E450&lt;&gt;0),SUM(D$3:D450)-SUM(E$3:E450),0)</f>
        <v>1757973</v>
      </c>
      <c r="G450" s="5"/>
    </row>
    <row r="451" spans="2:7" ht="15.75" x14ac:dyDescent="0.25">
      <c r="B451" s="53"/>
      <c r="C451" s="5" t="s">
        <v>302</v>
      </c>
      <c r="D451" s="5"/>
      <c r="E451" s="6">
        <v>125000</v>
      </c>
      <c r="F451" s="7">
        <f>IF(OR(D451&lt;&gt;0,E451&lt;&gt;0),SUM(D$3:D451)-SUM(E$3:E451),0)</f>
        <v>1632973</v>
      </c>
      <c r="G451" s="5"/>
    </row>
    <row r="452" spans="2:7" ht="15.75" x14ac:dyDescent="0.25">
      <c r="B452" s="53"/>
      <c r="C452" s="5" t="s">
        <v>303</v>
      </c>
      <c r="D452" s="5"/>
      <c r="E452" s="6">
        <v>50000</v>
      </c>
      <c r="F452" s="7">
        <f>IF(OR(D452&lt;&gt;0,E452&lt;&gt;0),SUM(D$3:D452)-SUM(E$3:E452),0)</f>
        <v>1582973</v>
      </c>
      <c r="G452" s="5"/>
    </row>
    <row r="453" spans="2:7" ht="15.75" x14ac:dyDescent="0.25">
      <c r="B453" s="53"/>
      <c r="C453" s="5" t="s">
        <v>304</v>
      </c>
      <c r="D453" s="5"/>
      <c r="E453" s="6">
        <v>50000</v>
      </c>
      <c r="F453" s="7">
        <f>IF(OR(D453&lt;&gt;0,E453&lt;&gt;0),SUM(D$3:D453)-SUM(E$3:E453),0)</f>
        <v>1532973</v>
      </c>
      <c r="G453" s="5"/>
    </row>
    <row r="454" spans="2:7" ht="15.75" x14ac:dyDescent="0.25">
      <c r="B454" s="53"/>
      <c r="C454" s="5" t="s">
        <v>305</v>
      </c>
      <c r="D454" s="5"/>
      <c r="E454" s="6">
        <v>50500</v>
      </c>
      <c r="F454" s="7">
        <f>IF(OR(D454&lt;&gt;0,E454&lt;&gt;0),SUM(D$3:D454)-SUM(E$3:E454),0)</f>
        <v>1482473</v>
      </c>
      <c r="G454" s="5"/>
    </row>
    <row r="455" spans="2:7" ht="15.75" x14ac:dyDescent="0.25">
      <c r="B455" s="53"/>
      <c r="C455" s="5" t="s">
        <v>306</v>
      </c>
      <c r="D455" s="5"/>
      <c r="E455" s="6">
        <v>10000</v>
      </c>
      <c r="F455" s="7">
        <f>IF(OR(D455&lt;&gt;0,E455&lt;&gt;0),SUM(D$3:D455)-SUM(E$3:E455),0)</f>
        <v>1472473</v>
      </c>
      <c r="G455" s="5"/>
    </row>
    <row r="456" spans="2:7" ht="15.75" x14ac:dyDescent="0.25">
      <c r="B456" s="53"/>
      <c r="C456" s="5" t="s">
        <v>307</v>
      </c>
      <c r="D456" s="5"/>
      <c r="E456" s="6">
        <v>20000</v>
      </c>
      <c r="F456" s="7">
        <f>IF(OR(D456&lt;&gt;0,E456&lt;&gt;0),SUM(D$3:D456)-SUM(E$3:E456),0)</f>
        <v>1452473</v>
      </c>
      <c r="G456" s="5"/>
    </row>
    <row r="457" spans="2:7" ht="15.75" x14ac:dyDescent="0.25">
      <c r="B457" s="55">
        <v>45304</v>
      </c>
      <c r="C457" s="13" t="s">
        <v>16</v>
      </c>
      <c r="D457" s="6"/>
      <c r="E457" s="6">
        <v>125000</v>
      </c>
      <c r="F457" s="7">
        <f>IF(OR(D457&lt;&gt;0,E457&lt;&gt;0),SUM(D$3:D457)-SUM(E$3:E457),0)</f>
        <v>1327473</v>
      </c>
      <c r="G457" s="5"/>
    </row>
    <row r="458" spans="2:7" ht="15.75" x14ac:dyDescent="0.25">
      <c r="B458" s="55"/>
      <c r="C458" s="13" t="s">
        <v>308</v>
      </c>
      <c r="D458" s="6"/>
      <c r="E458" s="6">
        <v>5000</v>
      </c>
      <c r="F458" s="7">
        <f>IF(OR(D458&lt;&gt;0,E458&lt;&gt;0),SUM(D$3:D458)-SUM(E$3:E458),0)</f>
        <v>1322473</v>
      </c>
      <c r="G458" s="5"/>
    </row>
    <row r="459" spans="2:7" ht="15.75" x14ac:dyDescent="0.25">
      <c r="B459" s="55"/>
      <c r="C459" s="13" t="s">
        <v>309</v>
      </c>
      <c r="D459" s="6"/>
      <c r="E459" s="6">
        <v>80800</v>
      </c>
      <c r="F459" s="7">
        <f>IF(OR(D459&lt;&gt;0,E459&lt;&gt;0),SUM(D$3:D459)-SUM(E$3:E459),0)</f>
        <v>1241673</v>
      </c>
      <c r="G459" s="5"/>
    </row>
    <row r="460" spans="2:7" ht="15.75" x14ac:dyDescent="0.25">
      <c r="B460" s="55"/>
      <c r="C460" s="13" t="s">
        <v>77</v>
      </c>
      <c r="D460" s="6"/>
      <c r="E460" s="6">
        <v>100000</v>
      </c>
      <c r="F460" s="7">
        <f>IF(OR(D460&lt;&gt;0,E460&lt;&gt;0),SUM(D$3:D460)-SUM(E$3:E460),0)</f>
        <v>1141673</v>
      </c>
      <c r="G460" s="5"/>
    </row>
    <row r="461" spans="2:7" ht="15.75" x14ac:dyDescent="0.25">
      <c r="B461" s="55"/>
      <c r="C461" s="13" t="s">
        <v>310</v>
      </c>
      <c r="D461" s="6"/>
      <c r="E461" s="6">
        <v>125000</v>
      </c>
      <c r="F461" s="7">
        <f>IF(OR(D461&lt;&gt;0,E461&lt;&gt;0),SUM(D$3:D461)-SUM(E$3:E461),0)</f>
        <v>1016673</v>
      </c>
      <c r="G461" s="5"/>
    </row>
    <row r="462" spans="2:7" ht="15.75" x14ac:dyDescent="0.25">
      <c r="B462" s="55"/>
      <c r="C462" s="13" t="s">
        <v>46</v>
      </c>
      <c r="D462" s="6"/>
      <c r="E462" s="6">
        <v>30000</v>
      </c>
      <c r="F462" s="7">
        <f>IF(OR(D462&lt;&gt;0,E462&lt;&gt;0),SUM(D$3:D462)-SUM(E$3:E462),0)</f>
        <v>986673</v>
      </c>
      <c r="G462" s="5"/>
    </row>
    <row r="463" spans="2:7" ht="15.75" x14ac:dyDescent="0.25">
      <c r="B463" s="52">
        <v>45306</v>
      </c>
      <c r="C463" s="5" t="s">
        <v>311</v>
      </c>
      <c r="D463" s="6"/>
      <c r="E463" s="6">
        <v>100000</v>
      </c>
      <c r="F463" s="7">
        <f>IF(OR(D463&lt;&gt;0,E463&lt;&gt;0),SUM(D$3:D463)-SUM(E$3:E463),0)</f>
        <v>886673</v>
      </c>
      <c r="G463" s="5"/>
    </row>
    <row r="464" spans="2:7" ht="15.75" x14ac:dyDescent="0.25">
      <c r="B464" s="53"/>
      <c r="C464" s="5" t="s">
        <v>287</v>
      </c>
      <c r="D464" s="6"/>
      <c r="E464" s="6">
        <v>100000</v>
      </c>
      <c r="F464" s="7">
        <f>IF(OR(D464&lt;&gt;0,E464&lt;&gt;0),SUM(D$3:D464)-SUM(E$3:E464),0)</f>
        <v>786673</v>
      </c>
      <c r="G464" s="5"/>
    </row>
    <row r="465" spans="2:8" ht="15.75" x14ac:dyDescent="0.25">
      <c r="B465" s="53"/>
      <c r="C465" s="5" t="s">
        <v>65</v>
      </c>
      <c r="D465" s="6"/>
      <c r="E465" s="6">
        <v>300000</v>
      </c>
      <c r="F465" s="7">
        <f>IF(OR(D465&lt;&gt;0,E465&lt;&gt;0),SUM(D$3:D465)-SUM(E$3:E465),0)</f>
        <v>486673</v>
      </c>
      <c r="G465" s="5"/>
    </row>
    <row r="466" spans="2:8" ht="15.75" x14ac:dyDescent="0.25">
      <c r="B466" s="53"/>
      <c r="C466" s="5" t="s">
        <v>312</v>
      </c>
      <c r="D466" s="6"/>
      <c r="E466" s="6">
        <v>200000</v>
      </c>
      <c r="F466" s="7">
        <f>IF(OR(D466&lt;&gt;0,E466&lt;&gt;0),SUM(D$3:D466)-SUM(E$3:E466),0)</f>
        <v>286673</v>
      </c>
      <c r="G466" s="5"/>
    </row>
    <row r="467" spans="2:8" ht="15.75" x14ac:dyDescent="0.25">
      <c r="B467" s="53"/>
      <c r="C467" s="5" t="s">
        <v>313</v>
      </c>
      <c r="D467" s="5"/>
      <c r="E467" s="6">
        <v>30000</v>
      </c>
      <c r="F467" s="7">
        <f>IF(OR(D467&lt;&gt;0,E467&lt;&gt;0),SUM(D$3:D467)-SUM(E$3:E467),0)</f>
        <v>256673</v>
      </c>
      <c r="G467" s="5"/>
    </row>
    <row r="468" spans="2:8" ht="15.75" x14ac:dyDescent="0.25">
      <c r="B468" s="53"/>
      <c r="C468" s="5" t="s">
        <v>314</v>
      </c>
      <c r="D468" s="5"/>
      <c r="E468" s="6">
        <v>25000</v>
      </c>
      <c r="F468" s="7">
        <f>IF(OR(D468&lt;&gt;0,E468&lt;&gt;0),SUM(D$3:D468)-SUM(E$3:E468),0)</f>
        <v>231673</v>
      </c>
      <c r="G468" s="5"/>
    </row>
    <row r="469" spans="2:8" ht="15.75" x14ac:dyDescent="0.25">
      <c r="B469" s="53"/>
      <c r="C469" s="5" t="s">
        <v>315</v>
      </c>
      <c r="D469" s="5"/>
      <c r="E469" s="6">
        <v>10000</v>
      </c>
      <c r="F469" s="7">
        <f>IF(OR(D469&lt;&gt;0,E469&lt;&gt;0),SUM(D$3:D469)-SUM(E$3:E469),0)</f>
        <v>221673</v>
      </c>
      <c r="G469" s="5"/>
    </row>
    <row r="470" spans="2:8" ht="15.75" x14ac:dyDescent="0.25">
      <c r="B470" s="53"/>
      <c r="C470" s="5" t="s">
        <v>316</v>
      </c>
      <c r="D470" s="5"/>
      <c r="E470" s="6">
        <v>65000</v>
      </c>
      <c r="F470" s="7">
        <f>IF(OR(D470&lt;&gt;0,E470&lt;&gt;0),SUM(D$3:D470)-SUM(E$3:E470),0)</f>
        <v>156673</v>
      </c>
      <c r="G470" s="5"/>
    </row>
    <row r="471" spans="2:8" ht="15.75" x14ac:dyDescent="0.25">
      <c r="B471" s="53"/>
      <c r="C471" s="5" t="s">
        <v>316</v>
      </c>
      <c r="D471" s="5"/>
      <c r="E471" s="6">
        <v>30000</v>
      </c>
      <c r="F471" s="7">
        <f>IF(OR(D471&lt;&gt;0,E471&lt;&gt;0),SUM(D$3:D471)-SUM(E$3:E471),0)</f>
        <v>126673</v>
      </c>
      <c r="G471" s="5"/>
    </row>
    <row r="472" spans="2:8" ht="15.75" x14ac:dyDescent="0.25">
      <c r="B472" s="53"/>
      <c r="C472" s="5" t="s">
        <v>317</v>
      </c>
      <c r="D472" s="5"/>
      <c r="E472" s="6">
        <v>12000</v>
      </c>
      <c r="F472" s="7">
        <f>IF(OR(D472&lt;&gt;0,E472&lt;&gt;0),SUM(D$3:D472)-SUM(E$3:E472),0)</f>
        <v>114673</v>
      </c>
      <c r="G472" s="5"/>
    </row>
    <row r="473" spans="2:8" ht="15.75" x14ac:dyDescent="0.25">
      <c r="B473" s="53"/>
      <c r="C473" s="5" t="s">
        <v>318</v>
      </c>
      <c r="D473" s="5"/>
      <c r="E473" s="6">
        <v>200000</v>
      </c>
      <c r="F473" s="7">
        <f>IF(OR(D473&lt;&gt;0,E473&lt;&gt;0),SUM(D$3:D473)-SUM(E$3:E473),0)</f>
        <v>-85327</v>
      </c>
      <c r="G473" s="5"/>
    </row>
    <row r="474" spans="2:8" ht="15.75" x14ac:dyDescent="0.25">
      <c r="B474" s="53"/>
      <c r="C474" s="5" t="s">
        <v>7</v>
      </c>
      <c r="D474" s="6">
        <v>1000000</v>
      </c>
      <c r="E474" s="5"/>
      <c r="F474" s="7">
        <f>IF(OR(D474&lt;&gt;0,E474&lt;&gt;0),SUM(D$3:D474)-SUM(E$3:E474),0)</f>
        <v>914673</v>
      </c>
      <c r="G474" s="5"/>
    </row>
    <row r="475" spans="2:8" ht="15.75" x14ac:dyDescent="0.25">
      <c r="B475" s="53"/>
      <c r="C475" s="5" t="s">
        <v>16</v>
      </c>
      <c r="D475" s="5"/>
      <c r="E475" s="6">
        <v>75000</v>
      </c>
      <c r="F475" s="7">
        <f>IF(OR(D475&lt;&gt;0,E475&lt;&gt;0),SUM(D$3:D475)-SUM(E$3:E475),0)</f>
        <v>839673</v>
      </c>
      <c r="G475" s="5"/>
    </row>
    <row r="476" spans="2:8" ht="15.75" x14ac:dyDescent="0.25">
      <c r="B476" s="53"/>
      <c r="C476" s="5" t="s">
        <v>287</v>
      </c>
      <c r="D476" s="5"/>
      <c r="E476" s="6">
        <v>200000</v>
      </c>
      <c r="F476" s="7">
        <f>IF(OR(D476&lt;&gt;0,E476&lt;&gt;0),SUM(D$3:D476)-SUM(E$3:E476),0)</f>
        <v>639673</v>
      </c>
      <c r="G476" s="5"/>
    </row>
    <row r="477" spans="2:8" ht="15.75" x14ac:dyDescent="0.25">
      <c r="B477" s="54"/>
      <c r="C477" s="5" t="s">
        <v>319</v>
      </c>
      <c r="D477" s="5"/>
      <c r="E477" s="6">
        <v>30000</v>
      </c>
      <c r="F477" s="7">
        <f>IF(OR(D477&lt;&gt;0,E477&lt;&gt;0),SUM(D$3:D477)-SUM(E$3:E477),0)</f>
        <v>609673</v>
      </c>
      <c r="G477" s="5"/>
      <c r="H477" s="3"/>
    </row>
    <row r="478" spans="2:8" ht="15.75" x14ac:dyDescent="0.25">
      <c r="B478" s="55">
        <v>45307</v>
      </c>
      <c r="C478" s="5" t="s">
        <v>320</v>
      </c>
      <c r="D478" s="6"/>
      <c r="E478" s="6">
        <v>11000</v>
      </c>
      <c r="F478" s="7">
        <f>IF(OR(D478&lt;&gt;0,E478&lt;&gt;0),SUM(D$3:D478)-SUM(E$3:E478),0)</f>
        <v>598673</v>
      </c>
      <c r="G478" s="5"/>
    </row>
    <row r="479" spans="2:8" ht="15.75" x14ac:dyDescent="0.25">
      <c r="B479" s="55"/>
      <c r="C479" s="5" t="s">
        <v>14</v>
      </c>
      <c r="D479" s="6"/>
      <c r="E479" s="6">
        <v>30000</v>
      </c>
      <c r="F479" s="7">
        <f>IF(OR(D479&lt;&gt;0,E479&lt;&gt;0),SUM(D$3:D479)-SUM(E$3:E479),0)</f>
        <v>568673</v>
      </c>
      <c r="G479" s="5"/>
    </row>
    <row r="480" spans="2:8" ht="15.75" x14ac:dyDescent="0.25">
      <c r="B480" s="55"/>
      <c r="C480" s="5" t="s">
        <v>255</v>
      </c>
      <c r="D480" s="6"/>
      <c r="E480" s="6">
        <v>20000</v>
      </c>
      <c r="F480" s="7">
        <f>IF(OR(D480&lt;&gt;0,E480&lt;&gt;0),SUM(D$3:D480)-SUM(E$3:E480),0)</f>
        <v>548673</v>
      </c>
      <c r="G480" s="5"/>
    </row>
    <row r="481" spans="2:8" ht="15.75" x14ac:dyDescent="0.25">
      <c r="B481" s="55"/>
      <c r="C481" s="5" t="s">
        <v>321</v>
      </c>
      <c r="D481" s="6"/>
      <c r="E481" s="6">
        <v>28000</v>
      </c>
      <c r="F481" s="7">
        <f>IF(OR(D481&lt;&gt;0,E481&lt;&gt;0),SUM(D$3:D481)-SUM(E$3:E481),0)</f>
        <v>520673</v>
      </c>
      <c r="G481" s="5"/>
    </row>
    <row r="482" spans="2:8" ht="15.75" x14ac:dyDescent="0.25">
      <c r="B482" s="55"/>
      <c r="C482" s="5" t="s">
        <v>14</v>
      </c>
      <c r="D482" s="5"/>
      <c r="E482" s="6">
        <v>50000</v>
      </c>
      <c r="F482" s="7">
        <f>IF(OR(D482&lt;&gt;0,E482&lt;&gt;0),SUM(D$3:D482)-SUM(E$3:E482),0)</f>
        <v>470673</v>
      </c>
      <c r="G482" s="5"/>
    </row>
    <row r="483" spans="2:8" ht="15.75" x14ac:dyDescent="0.25">
      <c r="B483" s="55"/>
      <c r="C483" s="5" t="s">
        <v>322</v>
      </c>
      <c r="D483" s="5"/>
      <c r="E483" s="6">
        <v>100000</v>
      </c>
      <c r="F483" s="7">
        <f>IF(OR(D483&lt;&gt;0,E483&lt;&gt;0),SUM(D$3:D483)-SUM(E$3:E483),0)</f>
        <v>370673</v>
      </c>
      <c r="G483" s="5"/>
      <c r="H483" s="3"/>
    </row>
    <row r="484" spans="2:8" ht="15.75" x14ac:dyDescent="0.25">
      <c r="B484" s="55"/>
      <c r="C484" s="5" t="s">
        <v>323</v>
      </c>
      <c r="D484" s="5"/>
      <c r="E484" s="6">
        <v>200000</v>
      </c>
      <c r="F484" s="7">
        <f>IF(OR(D484&lt;&gt;0,E484&lt;&gt;0),SUM(D$3:D484)-SUM(E$3:E484),0)</f>
        <v>170673</v>
      </c>
      <c r="G484" s="5"/>
    </row>
    <row r="485" spans="2:8" ht="15.75" x14ac:dyDescent="0.25">
      <c r="B485" s="55"/>
      <c r="C485" s="5" t="s">
        <v>11</v>
      </c>
      <c r="D485" s="5"/>
      <c r="E485" s="6">
        <v>24500</v>
      </c>
      <c r="F485" s="7">
        <f>IF(OR(D485&lt;&gt;0,E485&lt;&gt;0),SUM(D$3:D485)-SUM(E$3:E485),0)</f>
        <v>146173</v>
      </c>
      <c r="G485" s="5"/>
    </row>
    <row r="486" spans="2:8" ht="15.75" x14ac:dyDescent="0.25">
      <c r="B486" s="55"/>
      <c r="C486" s="5" t="s">
        <v>62</v>
      </c>
      <c r="D486" s="5"/>
      <c r="E486" s="6">
        <v>30000</v>
      </c>
      <c r="F486" s="7">
        <f>IF(OR(D486&lt;&gt;0,E486&lt;&gt;0),SUM(D$3:D486)-SUM(E$3:E486),0)</f>
        <v>116173</v>
      </c>
      <c r="G486" s="5"/>
    </row>
    <row r="487" spans="2:8" ht="15.75" x14ac:dyDescent="0.25">
      <c r="B487" s="55"/>
      <c r="C487" s="5" t="s">
        <v>7</v>
      </c>
      <c r="D487" s="6">
        <v>1000000</v>
      </c>
      <c r="E487" s="6"/>
      <c r="F487" s="7">
        <f>IF(OR(D487&lt;&gt;0,E487&lt;&gt;0),SUM(D$3:D487)-SUM(E$3:E487),0)</f>
        <v>1116173</v>
      </c>
      <c r="G487" s="5"/>
    </row>
    <row r="488" spans="2:8" ht="15.75" x14ac:dyDescent="0.25">
      <c r="B488" s="55"/>
      <c r="C488" s="5" t="s">
        <v>299</v>
      </c>
      <c r="D488" s="5"/>
      <c r="E488" s="6">
        <v>27500</v>
      </c>
      <c r="F488" s="7">
        <f>IF(OR(D488&lt;&gt;0,E488&lt;&gt;0),SUM(D$3:D488)-SUM(E$3:E488),0)</f>
        <v>1088673</v>
      </c>
      <c r="G488" s="5"/>
      <c r="H488" s="3">
        <f>F489-840000</f>
        <v>48673</v>
      </c>
    </row>
    <row r="489" spans="2:8" ht="15.75" x14ac:dyDescent="0.25">
      <c r="B489" s="55"/>
      <c r="C489" s="5" t="s">
        <v>287</v>
      </c>
      <c r="D489" s="6"/>
      <c r="E489" s="6">
        <v>200000</v>
      </c>
      <c r="F489" s="7">
        <f>IF(OR(D489&lt;&gt;0,E489&lt;&gt;0),SUM(D$3:D489)-SUM(E$3:E489),0)</f>
        <v>888673</v>
      </c>
      <c r="G489" s="5"/>
      <c r="H489" t="s">
        <v>72</v>
      </c>
    </row>
    <row r="490" spans="2:8" ht="15.75" x14ac:dyDescent="0.25">
      <c r="B490" s="55">
        <v>45308</v>
      </c>
      <c r="C490" s="5" t="s">
        <v>330</v>
      </c>
      <c r="D490" s="6"/>
      <c r="E490" s="6">
        <v>750000</v>
      </c>
      <c r="F490" s="7">
        <f>IF(OR(D490&lt;&gt;0,E490&lt;&gt;0),SUM(D$3:D490)-SUM(E$3:E490),0)</f>
        <v>138673</v>
      </c>
      <c r="G490" s="5"/>
    </row>
    <row r="491" spans="2:8" ht="15.75" x14ac:dyDescent="0.25">
      <c r="B491" s="55"/>
      <c r="C491" s="5" t="s">
        <v>7</v>
      </c>
      <c r="D491" s="6">
        <v>500000</v>
      </c>
      <c r="E491" s="6"/>
      <c r="F491" s="7">
        <f>IF(OR(D491&lt;&gt;0,E491&lt;&gt;0),SUM(D$3:D491)-SUM(E$3:E491),0)</f>
        <v>638673</v>
      </c>
      <c r="G491" s="5"/>
    </row>
    <row r="492" spans="2:8" ht="15.75" x14ac:dyDescent="0.25">
      <c r="B492" s="55"/>
      <c r="C492" s="5" t="s">
        <v>55</v>
      </c>
      <c r="D492" s="6"/>
      <c r="E492" s="6">
        <v>159050</v>
      </c>
      <c r="F492" s="7">
        <f>IF(OR(D492&lt;&gt;0,E492&lt;&gt;0),SUM(D$3:D492)-SUM(E$3:E492),0)</f>
        <v>479623</v>
      </c>
      <c r="G492" s="5"/>
    </row>
    <row r="493" spans="2:8" ht="15.75" x14ac:dyDescent="0.25">
      <c r="B493" s="55"/>
      <c r="C493" s="5" t="s">
        <v>324</v>
      </c>
      <c r="D493" s="6"/>
      <c r="E493" s="6">
        <v>105000</v>
      </c>
      <c r="F493" s="7">
        <f>IF(OR(D493&lt;&gt;0,E493&lt;&gt;0),SUM(D$3:D493)-SUM(E$3:E493),0)</f>
        <v>374623</v>
      </c>
      <c r="G493" s="5"/>
    </row>
    <row r="494" spans="2:8" ht="15.75" x14ac:dyDescent="0.25">
      <c r="B494" s="55"/>
      <c r="C494" s="5" t="s">
        <v>58</v>
      </c>
      <c r="D494" s="6"/>
      <c r="E494" s="6">
        <v>1000</v>
      </c>
      <c r="F494" s="7">
        <f>IF(OR(D494&lt;&gt;0,E494&lt;&gt;0),SUM(D$3:D494)-SUM(E$3:E494),0)</f>
        <v>373623</v>
      </c>
      <c r="G494" s="5"/>
    </row>
    <row r="495" spans="2:8" ht="15.75" x14ac:dyDescent="0.25">
      <c r="B495" s="55"/>
      <c r="C495" s="5" t="s">
        <v>325</v>
      </c>
      <c r="D495" s="6"/>
      <c r="E495" s="6">
        <v>30900</v>
      </c>
      <c r="F495" s="7">
        <f>IF(OR(D495&lt;&gt;0,E495&lt;&gt;0),SUM(D$3:D495)-SUM(E$3:E495),0)</f>
        <v>342723</v>
      </c>
      <c r="G495" s="5"/>
    </row>
    <row r="496" spans="2:8" ht="15.75" x14ac:dyDescent="0.25">
      <c r="B496" s="55"/>
      <c r="C496" s="5" t="s">
        <v>326</v>
      </c>
      <c r="D496" s="6"/>
      <c r="E496" s="6">
        <v>40000</v>
      </c>
      <c r="F496" s="7">
        <f>IF(OR(D496&lt;&gt;0,E496&lt;&gt;0),SUM(D$3:D496)-SUM(E$3:E496),0)</f>
        <v>302723</v>
      </c>
      <c r="G496" s="5"/>
    </row>
    <row r="497" spans="2:7" ht="15.75" x14ac:dyDescent="0.25">
      <c r="B497" s="55"/>
      <c r="C497" s="5" t="s">
        <v>7</v>
      </c>
      <c r="D497" s="6">
        <v>1500000</v>
      </c>
      <c r="E497" s="6"/>
      <c r="F497" s="7">
        <f>IF(OR(D497&lt;&gt;0,E497&lt;&gt;0),SUM(D$3:D497)-SUM(E$3:E497),0)</f>
        <v>1802723</v>
      </c>
      <c r="G497" s="5"/>
    </row>
    <row r="498" spans="2:7" ht="15.75" x14ac:dyDescent="0.25">
      <c r="B498" s="55"/>
      <c r="C498" s="5" t="s">
        <v>27</v>
      </c>
      <c r="D498" s="6"/>
      <c r="E498" s="6">
        <v>300000</v>
      </c>
      <c r="F498" s="7">
        <f>IF(OR(D498&lt;&gt;0,E498&lt;&gt;0),SUM(D$3:D498)-SUM(E$3:E498),0)</f>
        <v>1502723</v>
      </c>
      <c r="G498" s="5"/>
    </row>
    <row r="499" spans="2:7" ht="15.75" x14ac:dyDescent="0.25">
      <c r="B499" s="55"/>
      <c r="C499" s="5" t="s">
        <v>204</v>
      </c>
      <c r="D499" s="6"/>
      <c r="E499" s="6">
        <v>200000</v>
      </c>
      <c r="F499" s="7">
        <f>IF(OR(D499&lt;&gt;0,E499&lt;&gt;0),SUM(D$3:D499)-SUM(E$3:E499),0)</f>
        <v>1302723</v>
      </c>
      <c r="G499" s="5"/>
    </row>
    <row r="500" spans="2:7" ht="15.75" x14ac:dyDescent="0.25">
      <c r="B500" s="55"/>
      <c r="C500" s="5" t="s">
        <v>327</v>
      </c>
      <c r="D500" s="6"/>
      <c r="E500" s="6">
        <v>81000</v>
      </c>
      <c r="F500" s="7">
        <f>IF(OR(D500&lt;&gt;0,E500&lt;&gt;0),SUM(D$3:D500)-SUM(E$3:E500),0)</f>
        <v>1221723</v>
      </c>
      <c r="G500" s="5"/>
    </row>
    <row r="501" spans="2:7" ht="15.75" x14ac:dyDescent="0.25">
      <c r="B501" s="55"/>
      <c r="C501" s="5" t="s">
        <v>58</v>
      </c>
      <c r="D501" s="5"/>
      <c r="E501" s="6">
        <v>1000</v>
      </c>
      <c r="F501" s="7">
        <f>IF(OR(D501&lt;&gt;0,E501&lt;&gt;0),SUM(D$3:D501)-SUM(E$3:E501),0)</f>
        <v>1220723</v>
      </c>
      <c r="G501" s="5"/>
    </row>
    <row r="502" spans="2:7" ht="15.75" x14ac:dyDescent="0.25">
      <c r="B502" s="55"/>
      <c r="C502" s="5" t="s">
        <v>328</v>
      </c>
      <c r="D502" s="5"/>
      <c r="E502" s="6">
        <v>10000</v>
      </c>
      <c r="F502" s="7">
        <f>IF(OR(D502&lt;&gt;0,E502&lt;&gt;0),SUM(D$3:D502)-SUM(E$3:E502),0)</f>
        <v>1210723</v>
      </c>
      <c r="G502" s="5"/>
    </row>
    <row r="503" spans="2:7" ht="15.75" x14ac:dyDescent="0.25">
      <c r="B503" s="55"/>
      <c r="C503" s="5" t="s">
        <v>329</v>
      </c>
      <c r="D503" s="5"/>
      <c r="E503" s="6">
        <v>10000</v>
      </c>
      <c r="F503" s="7">
        <f>IF(OR(D503&lt;&gt;0,E503&lt;&gt;0),SUM(D$3:D503)-SUM(E$3:E503),0)</f>
        <v>1200723</v>
      </c>
      <c r="G503" s="5"/>
    </row>
    <row r="504" spans="2:7" ht="15.75" x14ac:dyDescent="0.25">
      <c r="B504" s="55"/>
      <c r="C504" s="5" t="s">
        <v>7</v>
      </c>
      <c r="D504" s="6">
        <v>400000</v>
      </c>
      <c r="E504" s="6"/>
      <c r="F504" s="7">
        <f>IF(OR(D504&lt;&gt;0,E504&lt;&gt;0),SUM(D$3:D504)-SUM(E$3:E504),0)</f>
        <v>1600723</v>
      </c>
      <c r="G504" s="5"/>
    </row>
    <row r="505" spans="2:7" ht="15.75" x14ac:dyDescent="0.25">
      <c r="B505" s="55"/>
      <c r="C505" s="5" t="s">
        <v>28</v>
      </c>
      <c r="D505" s="5"/>
      <c r="E505" s="6">
        <v>8000</v>
      </c>
      <c r="F505" s="7">
        <f>IF(OR(D505&lt;&gt;0,E505&lt;&gt;0),SUM(D$3:D505)-SUM(E$3:E505),0)</f>
        <v>1592723</v>
      </c>
      <c r="G505" s="5"/>
    </row>
    <row r="506" spans="2:7" ht="15.75" x14ac:dyDescent="0.25">
      <c r="B506" s="55">
        <v>45309</v>
      </c>
      <c r="C506" s="5" t="s">
        <v>35</v>
      </c>
      <c r="D506" s="6"/>
      <c r="E506" s="6">
        <v>100000</v>
      </c>
      <c r="F506" s="7">
        <f>IF(OR(D506&lt;&gt;0,E506&lt;&gt;0),SUM(D$3:D506)-SUM(E$3:E506),0)</f>
        <v>1492723</v>
      </c>
      <c r="G506" s="5"/>
    </row>
    <row r="507" spans="2:7" ht="15.75" x14ac:dyDescent="0.25">
      <c r="B507" s="55"/>
      <c r="C507" s="5" t="s">
        <v>104</v>
      </c>
      <c r="D507" s="6"/>
      <c r="E507" s="6">
        <v>68000</v>
      </c>
      <c r="F507" s="7">
        <f>IF(OR(D507&lt;&gt;0,E507&lt;&gt;0),SUM(D$3:D507)-SUM(E$3:E507),0)</f>
        <v>1424723</v>
      </c>
      <c r="G507" s="5"/>
    </row>
    <row r="508" spans="2:7" ht="15.75" x14ac:dyDescent="0.25">
      <c r="B508" s="55"/>
      <c r="C508" s="5" t="s">
        <v>331</v>
      </c>
      <c r="D508" s="6"/>
      <c r="E508" s="6">
        <v>26500</v>
      </c>
      <c r="F508" s="7">
        <f>IF(OR(D508&lt;&gt;0,E508&lt;&gt;0),SUM(D$3:D508)-SUM(E$3:E508),0)</f>
        <v>1398223</v>
      </c>
      <c r="G508" s="5"/>
    </row>
    <row r="509" spans="2:7" ht="15.75" x14ac:dyDescent="0.25">
      <c r="B509" s="55"/>
      <c r="C509" s="5" t="s">
        <v>334</v>
      </c>
      <c r="D509" s="6"/>
      <c r="E509" s="6">
        <v>200000</v>
      </c>
      <c r="F509" s="7">
        <f>IF(OR(D509&lt;&gt;0,E509&lt;&gt;0),SUM(D$3:D509)-SUM(E$3:E509),0)</f>
        <v>1198223</v>
      </c>
      <c r="G509" s="5"/>
    </row>
    <row r="510" spans="2:7" ht="15.75" x14ac:dyDescent="0.25">
      <c r="B510" s="55"/>
      <c r="C510" s="5" t="s">
        <v>332</v>
      </c>
      <c r="D510" s="6"/>
      <c r="E510" s="6">
        <v>26000</v>
      </c>
      <c r="F510" s="7">
        <f>IF(OR(D510&lt;&gt;0,E510&lt;&gt;0),SUM(D$3:D510)-SUM(E$3:E510),0)</f>
        <v>1172223</v>
      </c>
      <c r="G510" s="5"/>
    </row>
    <row r="511" spans="2:7" ht="15.75" x14ac:dyDescent="0.25">
      <c r="B511" s="55"/>
      <c r="C511" s="5" t="s">
        <v>333</v>
      </c>
      <c r="D511" s="6"/>
      <c r="E511" s="6">
        <v>1500</v>
      </c>
      <c r="F511" s="7">
        <f>IF(OR(D511&lt;&gt;0,E511&lt;&gt;0),SUM(D$3:D511)-SUM(E$3:E511),0)</f>
        <v>1170723</v>
      </c>
      <c r="G511" s="5"/>
    </row>
    <row r="512" spans="2:7" ht="15.75" x14ac:dyDescent="0.25">
      <c r="B512" s="55"/>
      <c r="C512" s="5" t="s">
        <v>335</v>
      </c>
      <c r="D512" s="6"/>
      <c r="E512" s="6">
        <v>200000</v>
      </c>
      <c r="F512" s="7">
        <f>IF(OR(D512&lt;&gt;0,E512&lt;&gt;0),SUM(D$3:D512)-SUM(E$3:E512),0)</f>
        <v>970723</v>
      </c>
      <c r="G512" s="5"/>
    </row>
    <row r="513" spans="2:7" ht="15.75" x14ac:dyDescent="0.25">
      <c r="B513" s="55"/>
      <c r="C513" s="5" t="s">
        <v>336</v>
      </c>
      <c r="D513" s="6"/>
      <c r="E513" s="6">
        <v>135000</v>
      </c>
      <c r="F513" s="7">
        <f>IF(OR(D513&lt;&gt;0,E513&lt;&gt;0),SUM(D$3:D513)-SUM(E$3:E513),0)</f>
        <v>835723</v>
      </c>
      <c r="G513" s="5"/>
    </row>
    <row r="514" spans="2:7" ht="15.75" x14ac:dyDescent="0.25">
      <c r="B514" s="55"/>
      <c r="C514" s="5" t="s">
        <v>337</v>
      </c>
      <c r="D514" s="6"/>
      <c r="E514" s="6">
        <v>1000</v>
      </c>
      <c r="F514" s="7">
        <f>IF(OR(D514&lt;&gt;0,E514&lt;&gt;0),SUM(D$3:D514)-SUM(E$3:E514),0)</f>
        <v>834723</v>
      </c>
      <c r="G514" s="5"/>
    </row>
    <row r="515" spans="2:7" ht="15.75" x14ac:dyDescent="0.25">
      <c r="B515" s="55"/>
      <c r="C515" s="5" t="s">
        <v>250</v>
      </c>
      <c r="D515" s="6"/>
      <c r="E515" s="6">
        <v>36000</v>
      </c>
      <c r="F515" s="7">
        <f>IF(OR(D515&lt;&gt;0,E515&lt;&gt;0),SUM(D$3:D515)-SUM(E$3:E515),0)</f>
        <v>798723</v>
      </c>
      <c r="G515" s="5"/>
    </row>
    <row r="516" spans="2:7" ht="15.75" x14ac:dyDescent="0.25">
      <c r="B516" s="55"/>
      <c r="C516" s="5" t="s">
        <v>338</v>
      </c>
      <c r="D516" s="6"/>
      <c r="E516" s="6">
        <v>1000</v>
      </c>
      <c r="F516" s="7">
        <f>IF(OR(D516&lt;&gt;0,E516&lt;&gt;0),SUM(D$3:D516)-SUM(E$3:E516),0)</f>
        <v>797723</v>
      </c>
      <c r="G516" s="5"/>
    </row>
    <row r="517" spans="2:7" ht="15.75" x14ac:dyDescent="0.25">
      <c r="B517" s="55"/>
      <c r="C517" s="5" t="s">
        <v>339</v>
      </c>
      <c r="D517" s="5"/>
      <c r="E517" s="6">
        <v>15000</v>
      </c>
      <c r="F517" s="7">
        <f>IF(OR(D517&lt;&gt;0,E517&lt;&gt;0),SUM(D$3:D517)-SUM(E$3:E517),0)</f>
        <v>782723</v>
      </c>
      <c r="G517" s="5"/>
    </row>
    <row r="518" spans="2:7" ht="15.75" x14ac:dyDescent="0.25">
      <c r="B518" s="55"/>
      <c r="C518" s="5" t="s">
        <v>340</v>
      </c>
      <c r="D518" s="5"/>
      <c r="E518" s="6">
        <v>200000</v>
      </c>
      <c r="F518" s="7">
        <f>IF(OR(D518&lt;&gt;0,E518&lt;&gt;0),SUM(D$3:D518)-SUM(E$3:E518),0)</f>
        <v>582723</v>
      </c>
      <c r="G518" s="5"/>
    </row>
    <row r="519" spans="2:7" ht="15.75" x14ac:dyDescent="0.25">
      <c r="B519" s="55"/>
      <c r="C519" s="5" t="s">
        <v>341</v>
      </c>
      <c r="D519" s="5"/>
      <c r="E519" s="6">
        <v>19800</v>
      </c>
      <c r="F519" s="7">
        <f>IF(OR(D519&lt;&gt;0,E519&lt;&gt;0),SUM(D$3:D519)-SUM(E$3:E519),0)</f>
        <v>562923</v>
      </c>
      <c r="G519" s="5"/>
    </row>
    <row r="520" spans="2:7" ht="15.75" x14ac:dyDescent="0.25">
      <c r="B520" s="55"/>
      <c r="C520" s="5" t="s">
        <v>342</v>
      </c>
      <c r="D520" s="6"/>
      <c r="E520" s="6">
        <v>325000</v>
      </c>
      <c r="F520" s="7">
        <f>IF(OR(D520&lt;&gt;0,E520&lt;&gt;0),SUM(D$3:D520)-SUM(E$3:E520),0)</f>
        <v>237923</v>
      </c>
      <c r="G520" s="5"/>
    </row>
    <row r="521" spans="2:7" ht="15.75" x14ac:dyDescent="0.25">
      <c r="B521" s="55"/>
      <c r="C521" s="5" t="s">
        <v>14</v>
      </c>
      <c r="D521" s="5"/>
      <c r="E521" s="6">
        <v>30000</v>
      </c>
      <c r="F521" s="7">
        <f>IF(OR(D521&lt;&gt;0,E521&lt;&gt;0),SUM(D$3:D521)-SUM(E$3:E521),0)</f>
        <v>207923</v>
      </c>
      <c r="G521" s="5"/>
    </row>
    <row r="522" spans="2:7" ht="15.75" x14ac:dyDescent="0.25">
      <c r="B522" s="52">
        <v>45310</v>
      </c>
      <c r="C522" s="5" t="s">
        <v>7</v>
      </c>
      <c r="D522" s="6">
        <v>1000000</v>
      </c>
      <c r="E522" s="6"/>
      <c r="F522" s="7">
        <f>IF(OR(D522&lt;&gt;0,E522&lt;&gt;0),SUM(D$3:D522)-SUM(E$3:E522),0)</f>
        <v>1207923</v>
      </c>
      <c r="G522" s="5"/>
    </row>
    <row r="523" spans="2:7" ht="15.75" x14ac:dyDescent="0.25">
      <c r="B523" s="53"/>
      <c r="C523" s="5" t="s">
        <v>343</v>
      </c>
      <c r="D523" s="6"/>
      <c r="E523" s="6">
        <v>90000</v>
      </c>
      <c r="F523" s="7">
        <f>IF(OR(D523&lt;&gt;0,E523&lt;&gt;0),SUM(D$3:D523)-SUM(E$3:E523),0)</f>
        <v>1117923</v>
      </c>
      <c r="G523" s="5"/>
    </row>
    <row r="524" spans="2:7" ht="15.75" x14ac:dyDescent="0.25">
      <c r="B524" s="53"/>
      <c r="C524" s="5" t="s">
        <v>344</v>
      </c>
      <c r="D524" s="6"/>
      <c r="E524" s="6">
        <v>200000</v>
      </c>
      <c r="F524" s="7">
        <f>IF(OR(D524&lt;&gt;0,E524&lt;&gt;0),SUM(D$3:D524)-SUM(E$3:E524),0)</f>
        <v>917923</v>
      </c>
      <c r="G524" s="5"/>
    </row>
    <row r="525" spans="2:7" ht="15.75" x14ac:dyDescent="0.25">
      <c r="B525" s="53"/>
      <c r="C525" s="5" t="s">
        <v>208</v>
      </c>
      <c r="D525" s="6"/>
      <c r="E525" s="6">
        <v>255000</v>
      </c>
      <c r="F525" s="7">
        <f>IF(OR(D525&lt;&gt;0,E525&lt;&gt;0),SUM(D$3:D525)-SUM(E$3:E525),0)</f>
        <v>662923</v>
      </c>
      <c r="G525" s="5"/>
    </row>
    <row r="526" spans="2:7" ht="15.75" x14ac:dyDescent="0.25">
      <c r="B526" s="53"/>
      <c r="C526" s="5" t="s">
        <v>58</v>
      </c>
      <c r="D526" s="6"/>
      <c r="E526" s="6">
        <v>2000</v>
      </c>
      <c r="F526" s="7">
        <f>IF(OR(D526&lt;&gt;0,E526&lt;&gt;0),SUM(D$3:D526)-SUM(E$3:E526),0)</f>
        <v>660923</v>
      </c>
      <c r="G526" s="5"/>
    </row>
    <row r="527" spans="2:7" ht="15.75" x14ac:dyDescent="0.25">
      <c r="B527" s="53"/>
      <c r="C527" s="5" t="s">
        <v>345</v>
      </c>
      <c r="D527" s="6"/>
      <c r="E527" s="6">
        <v>9000</v>
      </c>
      <c r="F527" s="7">
        <f>IF(OR(D527&lt;&gt;0,E527&lt;&gt;0),SUM(D$3:D527)-SUM(E$3:E527),0)</f>
        <v>651923</v>
      </c>
      <c r="G527" s="5"/>
    </row>
    <row r="528" spans="2:7" ht="15.75" x14ac:dyDescent="0.25">
      <c r="B528" s="53"/>
      <c r="C528" s="5" t="s">
        <v>346</v>
      </c>
      <c r="D528" s="6"/>
      <c r="E528" s="6">
        <v>53000</v>
      </c>
      <c r="F528" s="7">
        <f>IF(OR(D528&lt;&gt;0,E528&lt;&gt;0),SUM(D$3:D528)-SUM(E$3:E528),0)</f>
        <v>598923</v>
      </c>
      <c r="G528" s="5"/>
    </row>
    <row r="529" spans="2:8" ht="15.75" x14ac:dyDescent="0.25">
      <c r="B529" s="53"/>
      <c r="C529" s="5" t="s">
        <v>347</v>
      </c>
      <c r="D529" s="6"/>
      <c r="E529" s="6">
        <v>20000</v>
      </c>
      <c r="F529" s="7">
        <f>IF(OR(D529&lt;&gt;0,E529&lt;&gt;0),SUM(D$3:D529)-SUM(E$3:E529),0)</f>
        <v>578923</v>
      </c>
      <c r="G529" s="5"/>
    </row>
    <row r="530" spans="2:8" ht="15.75" x14ac:dyDescent="0.25">
      <c r="B530" s="53"/>
      <c r="C530" s="5" t="s">
        <v>63</v>
      </c>
      <c r="D530" s="6"/>
      <c r="E530" s="6">
        <v>432000</v>
      </c>
      <c r="F530" s="7">
        <f>IF(OR(D530&lt;&gt;0,E530&lt;&gt;0),SUM(D$3:D530)-SUM(E$3:E530),0)</f>
        <v>146923</v>
      </c>
      <c r="G530" s="5"/>
    </row>
    <row r="531" spans="2:8" ht="15.75" x14ac:dyDescent="0.25">
      <c r="B531" s="54"/>
      <c r="C531" s="5" t="s">
        <v>141</v>
      </c>
      <c r="D531" s="6"/>
      <c r="E531" s="6">
        <v>42000</v>
      </c>
      <c r="F531" s="7">
        <f>IF(OR(D531&lt;&gt;0,E531&lt;&gt;0),SUM(D$3:D531)-SUM(E$3:E531),0)</f>
        <v>104923</v>
      </c>
      <c r="G531" s="5"/>
    </row>
    <row r="532" spans="2:8" ht="15.75" x14ac:dyDescent="0.25">
      <c r="B532" s="55">
        <v>45311</v>
      </c>
      <c r="C532" s="5" t="s">
        <v>291</v>
      </c>
      <c r="D532" s="6">
        <v>1000000</v>
      </c>
      <c r="E532" s="6"/>
      <c r="F532" s="7">
        <f>IF(OR(D532&lt;&gt;0,E532&lt;&gt;0),SUM(D$3:D532)-SUM(E$3:E532),0)</f>
        <v>1104923</v>
      </c>
      <c r="G532" s="5"/>
    </row>
    <row r="533" spans="2:8" ht="15.75" x14ac:dyDescent="0.25">
      <c r="B533" s="55"/>
      <c r="C533" s="5" t="s">
        <v>348</v>
      </c>
      <c r="D533" s="6"/>
      <c r="E533" s="6">
        <v>200000</v>
      </c>
      <c r="F533" s="7">
        <f>IF(OR(D533&lt;&gt;0,E533&lt;&gt;0),SUM(D$3:D533)-SUM(E$3:E533),0)</f>
        <v>904923</v>
      </c>
      <c r="G533" s="5"/>
    </row>
    <row r="534" spans="2:8" ht="15.75" x14ac:dyDescent="0.25">
      <c r="B534" s="55"/>
      <c r="C534" s="5" t="s">
        <v>349</v>
      </c>
      <c r="D534" s="6"/>
      <c r="E534" s="6">
        <v>26500</v>
      </c>
      <c r="F534" s="7">
        <f>IF(OR(D534&lt;&gt;0,E534&lt;&gt;0),SUM(D$3:D534)-SUM(E$3:E534),0)</f>
        <v>878423</v>
      </c>
      <c r="G534" s="5"/>
    </row>
    <row r="535" spans="2:8" ht="15.75" x14ac:dyDescent="0.25">
      <c r="B535" s="55"/>
      <c r="C535" s="5" t="s">
        <v>361</v>
      </c>
      <c r="D535" s="6"/>
      <c r="E535" s="6">
        <v>40000</v>
      </c>
      <c r="F535" s="7">
        <f>IF(OR(D535&lt;&gt;0,E535&lt;&gt;0),SUM(D$3:D535)-SUM(E$3:E535),0)</f>
        <v>838423</v>
      </c>
      <c r="G535" s="5"/>
    </row>
    <row r="536" spans="2:8" ht="15.75" x14ac:dyDescent="0.25">
      <c r="B536" s="55"/>
      <c r="C536" s="5" t="s">
        <v>77</v>
      </c>
      <c r="D536" s="6"/>
      <c r="E536" s="6">
        <v>200000</v>
      </c>
      <c r="F536" s="7">
        <f>IF(OR(D536&lt;&gt;0,E536&lt;&gt;0),SUM(D$3:D536)-SUM(E$3:E536),0)</f>
        <v>638423</v>
      </c>
      <c r="G536" s="5"/>
    </row>
    <row r="537" spans="2:8" ht="15.75" x14ac:dyDescent="0.25">
      <c r="B537" s="55">
        <v>45312</v>
      </c>
      <c r="C537" s="5" t="s">
        <v>7</v>
      </c>
      <c r="D537" s="6">
        <v>1000000</v>
      </c>
      <c r="E537" s="6"/>
      <c r="F537" s="7">
        <f>IF(OR(D537&lt;&gt;0,E537&lt;&gt;0),SUM(D$3:D537)-SUM(E$3:E537),0)</f>
        <v>1638423</v>
      </c>
      <c r="G537" s="5"/>
      <c r="H537" s="3">
        <f>SUM(E538:E542)</f>
        <v>265500</v>
      </c>
    </row>
    <row r="538" spans="2:8" ht="15.75" x14ac:dyDescent="0.25">
      <c r="B538" s="55"/>
      <c r="C538" s="5" t="s">
        <v>351</v>
      </c>
      <c r="D538" s="6"/>
      <c r="E538" s="6">
        <v>150000</v>
      </c>
      <c r="F538" s="7">
        <f>IF(OR(D538&lt;&gt;0,E538&lt;&gt;0),SUM(D$3:D538)-SUM(E$3:E538),0)</f>
        <v>1488423</v>
      </c>
      <c r="G538" s="5"/>
      <c r="H538" s="3">
        <f>D537-H537</f>
        <v>734500</v>
      </c>
    </row>
    <row r="539" spans="2:8" ht="15.75" x14ac:dyDescent="0.25">
      <c r="B539" s="55"/>
      <c r="C539" s="5" t="s">
        <v>352</v>
      </c>
      <c r="D539" s="6"/>
      <c r="E539" s="6">
        <v>16000</v>
      </c>
      <c r="F539" s="7">
        <f>IF(OR(D539&lt;&gt;0,E539&lt;&gt;0),SUM(D$3:D539)-SUM(E$3:E539),0)</f>
        <v>1472423</v>
      </c>
      <c r="G539" s="5"/>
    </row>
    <row r="540" spans="2:8" ht="15.75" x14ac:dyDescent="0.25">
      <c r="B540" s="55"/>
      <c r="C540" s="5" t="s">
        <v>353</v>
      </c>
      <c r="D540" s="6"/>
      <c r="E540" s="6">
        <v>55000</v>
      </c>
      <c r="F540" s="7">
        <f>IF(OR(D540&lt;&gt;0,E540&lt;&gt;0),SUM(D$3:D540)-SUM(E$3:E540),0)</f>
        <v>1417423</v>
      </c>
      <c r="G540" s="5"/>
    </row>
    <row r="541" spans="2:8" ht="15.75" x14ac:dyDescent="0.25">
      <c r="B541" s="55"/>
      <c r="C541" s="5" t="s">
        <v>260</v>
      </c>
      <c r="D541" s="6"/>
      <c r="E541" s="6">
        <v>12500</v>
      </c>
      <c r="F541" s="7">
        <f>IF(OR(D541&lt;&gt;0,E541&lt;&gt;0),SUM(D$3:D541)-SUM(E$3:E541),0)</f>
        <v>1404923</v>
      </c>
      <c r="G541" s="5"/>
    </row>
    <row r="542" spans="2:8" ht="15.75" x14ac:dyDescent="0.25">
      <c r="B542" s="55"/>
      <c r="C542" s="5" t="s">
        <v>354</v>
      </c>
      <c r="D542" s="6"/>
      <c r="E542" s="6">
        <v>32000</v>
      </c>
      <c r="F542" s="7">
        <f>IF(OR(D542&lt;&gt;0,E542&lt;&gt;0),SUM(D$3:D542)-SUM(E$3:E542),0)</f>
        <v>1372923</v>
      </c>
      <c r="G542" s="5"/>
    </row>
    <row r="543" spans="2:8" ht="15.75" x14ac:dyDescent="0.25">
      <c r="B543" s="55">
        <v>45313</v>
      </c>
      <c r="C543" s="5" t="s">
        <v>350</v>
      </c>
      <c r="D543" s="6"/>
      <c r="E543" s="6">
        <v>24000</v>
      </c>
      <c r="F543" s="7">
        <f>IF(OR(D543&lt;&gt;0,E543&lt;&gt;0),SUM(D$3:D543)-SUM(E$3:E543),0)</f>
        <v>1348923</v>
      </c>
      <c r="G543" s="5"/>
    </row>
    <row r="544" spans="2:8" ht="15.75" x14ac:dyDescent="0.25">
      <c r="B544" s="55"/>
      <c r="C544" s="5" t="s">
        <v>14</v>
      </c>
      <c r="D544" s="6"/>
      <c r="E544" s="6">
        <v>50000</v>
      </c>
      <c r="F544" s="7">
        <f>IF(OR(D544&lt;&gt;0,E544&lt;&gt;0),SUM(D$3:D544)-SUM(E$3:E544),0)</f>
        <v>1298923</v>
      </c>
      <c r="G544" s="5"/>
    </row>
    <row r="545" spans="2:7" ht="15.75" x14ac:dyDescent="0.25">
      <c r="B545" s="55"/>
      <c r="C545" s="5" t="s">
        <v>355</v>
      </c>
      <c r="D545" s="6"/>
      <c r="E545" s="6">
        <v>243000</v>
      </c>
      <c r="F545" s="7">
        <f>IF(OR(D545&lt;&gt;0,E545&lt;&gt;0),SUM(D$3:D545)-SUM(E$3:E545),0)</f>
        <v>1055923</v>
      </c>
      <c r="G545" s="5"/>
    </row>
    <row r="546" spans="2:7" ht="15.75" x14ac:dyDescent="0.25">
      <c r="B546" s="55"/>
      <c r="C546" s="5" t="s">
        <v>7</v>
      </c>
      <c r="D546" s="6">
        <v>400000</v>
      </c>
      <c r="E546" s="6"/>
      <c r="F546" s="7">
        <f>IF(OR(D546&lt;&gt;0,E546&lt;&gt;0),SUM(D$3:D546)-SUM(E$3:E546),0)</f>
        <v>1455923</v>
      </c>
      <c r="G546" s="5"/>
    </row>
    <row r="547" spans="2:7" ht="15.75" x14ac:dyDescent="0.25">
      <c r="B547" s="55"/>
      <c r="C547" s="5" t="s">
        <v>356</v>
      </c>
      <c r="D547" s="5"/>
      <c r="E547" s="6">
        <v>370000</v>
      </c>
      <c r="F547" s="7">
        <f>IF(OR(D547&lt;&gt;0,E547&lt;&gt;0),SUM(D$3:D547)-SUM(E$3:E547),0)</f>
        <v>1085923</v>
      </c>
      <c r="G547" s="5"/>
    </row>
    <row r="548" spans="2:7" ht="15.75" x14ac:dyDescent="0.25">
      <c r="B548" s="55"/>
      <c r="C548" s="5" t="s">
        <v>357</v>
      </c>
      <c r="D548" s="5"/>
      <c r="E548" s="6">
        <v>50000</v>
      </c>
      <c r="F548" s="7">
        <f>IF(OR(D548&lt;&gt;0,E548&lt;&gt;0),SUM(D$3:D548)-SUM(E$3:E548),0)</f>
        <v>1035923</v>
      </c>
      <c r="G548" s="5"/>
    </row>
    <row r="549" spans="2:7" ht="15.75" x14ac:dyDescent="0.25">
      <c r="B549" s="55"/>
      <c r="C549" s="5" t="s">
        <v>358</v>
      </c>
      <c r="D549" s="5"/>
      <c r="E549" s="6">
        <v>16000</v>
      </c>
      <c r="F549" s="7">
        <f>IF(OR(D549&lt;&gt;0,E549&lt;&gt;0),SUM(D$3:D549)-SUM(E$3:E549),0)</f>
        <v>1019923</v>
      </c>
      <c r="G549" s="5"/>
    </row>
    <row r="550" spans="2:7" ht="15.75" x14ac:dyDescent="0.25">
      <c r="B550" s="55"/>
      <c r="C550" s="5" t="s">
        <v>359</v>
      </c>
      <c r="D550" s="5"/>
      <c r="E550" s="6">
        <v>13500</v>
      </c>
      <c r="F550" s="7">
        <f>IF(OR(D550&lt;&gt;0,E550&lt;&gt;0),SUM(D$3:D550)-SUM(E$3:E550),0)</f>
        <v>1006423</v>
      </c>
      <c r="G550" s="5"/>
    </row>
    <row r="551" spans="2:7" ht="15.75" x14ac:dyDescent="0.25">
      <c r="B551" s="55"/>
      <c r="C551" s="5" t="s">
        <v>360</v>
      </c>
      <c r="D551" s="5"/>
      <c r="E551" s="6">
        <v>55000</v>
      </c>
      <c r="F551" s="7">
        <f>IF(OR(D551&lt;&gt;0,E551&lt;&gt;0),SUM(D$3:D551)-SUM(E$3:E551),0)</f>
        <v>951423</v>
      </c>
      <c r="G551" s="5"/>
    </row>
    <row r="552" spans="2:7" ht="15.75" x14ac:dyDescent="0.25">
      <c r="B552" s="52">
        <v>45314</v>
      </c>
      <c r="C552" s="5" t="s">
        <v>133</v>
      </c>
      <c r="D552" s="6"/>
      <c r="E552" s="6">
        <v>206050</v>
      </c>
      <c r="F552" s="7">
        <f>IF(OR(D552&lt;&gt;0,E552&lt;&gt;0),SUM(D$3:D552)-SUM(E$3:E552),0)</f>
        <v>745373</v>
      </c>
      <c r="G552" s="5"/>
    </row>
    <row r="553" spans="2:7" ht="15.75" x14ac:dyDescent="0.25">
      <c r="B553" s="53"/>
      <c r="C553" s="5" t="s">
        <v>362</v>
      </c>
      <c r="D553" s="6"/>
      <c r="E553" s="6">
        <v>23000</v>
      </c>
      <c r="F553" s="7">
        <f>IF(OR(D553&lt;&gt;0,E553&lt;&gt;0),SUM(D$3:D553)-SUM(E$3:E553),0)</f>
        <v>722373</v>
      </c>
      <c r="G553" s="5"/>
    </row>
    <row r="554" spans="2:7" ht="15.75" x14ac:dyDescent="0.25">
      <c r="B554" s="53"/>
      <c r="C554" s="5" t="s">
        <v>186</v>
      </c>
      <c r="D554" s="6"/>
      <c r="E554" s="6">
        <v>300000</v>
      </c>
      <c r="F554" s="7">
        <f>IF(OR(D554&lt;&gt;0,E554&lt;&gt;0),SUM(D$3:D554)-SUM(E$3:E554),0)</f>
        <v>422373</v>
      </c>
      <c r="G554" s="5"/>
    </row>
    <row r="555" spans="2:7" ht="15.75" x14ac:dyDescent="0.25">
      <c r="B555" s="53"/>
      <c r="C555" s="5" t="s">
        <v>7</v>
      </c>
      <c r="D555" s="6">
        <v>550000</v>
      </c>
      <c r="E555" s="6"/>
      <c r="F555" s="7">
        <f>IF(OR(D555&lt;&gt;0,E555&lt;&gt;0),SUM(D$3:D555)-SUM(E$3:E555),0)</f>
        <v>972373</v>
      </c>
      <c r="G555" s="5"/>
    </row>
    <row r="556" spans="2:7" ht="15.75" x14ac:dyDescent="0.25">
      <c r="B556" s="53"/>
      <c r="C556" s="5" t="s">
        <v>87</v>
      </c>
      <c r="D556" s="5"/>
      <c r="E556" s="6">
        <v>606000</v>
      </c>
      <c r="F556" s="7">
        <f>IF(OR(D556&lt;&gt;0,E556&lt;&gt;0),SUM(D$3:D556)-SUM(E$3:E556),0)</f>
        <v>366373</v>
      </c>
      <c r="G556" s="5"/>
    </row>
    <row r="557" spans="2:7" ht="15.75" x14ac:dyDescent="0.25">
      <c r="B557" s="53"/>
      <c r="C557" s="5" t="s">
        <v>11</v>
      </c>
      <c r="D557" s="5"/>
      <c r="E557" s="6">
        <v>23500</v>
      </c>
      <c r="F557" s="7">
        <f>IF(OR(D557&lt;&gt;0,E557&lt;&gt;0),SUM(D$3:D557)-SUM(E$3:E557),0)</f>
        <v>342873</v>
      </c>
      <c r="G557" s="5"/>
    </row>
    <row r="558" spans="2:7" ht="15.75" x14ac:dyDescent="0.25">
      <c r="B558" s="53"/>
      <c r="C558" s="5" t="s">
        <v>7</v>
      </c>
      <c r="D558" s="6">
        <v>1000000</v>
      </c>
      <c r="E558" s="6"/>
      <c r="F558" s="7">
        <f>IF(OR(D558&lt;&gt;0,E558&lt;&gt;0),SUM(D$3:D558)-SUM(E$3:E558),0)</f>
        <v>1342873</v>
      </c>
      <c r="G558" s="5"/>
    </row>
    <row r="559" spans="2:7" ht="15.75" x14ac:dyDescent="0.25">
      <c r="B559" s="54"/>
      <c r="C559" s="5" t="s">
        <v>27</v>
      </c>
      <c r="D559" s="5"/>
      <c r="E559" s="6">
        <v>200000</v>
      </c>
      <c r="F559" s="7">
        <f>IF(OR(D559&lt;&gt;0,E559&lt;&gt;0),SUM(D$3:D559)-SUM(E$3:E559),0)</f>
        <v>1142873</v>
      </c>
      <c r="G559" s="5"/>
    </row>
    <row r="560" spans="2:7" ht="15.75" x14ac:dyDescent="0.25">
      <c r="B560" s="52">
        <v>45315</v>
      </c>
      <c r="C560" s="5" t="s">
        <v>363</v>
      </c>
      <c r="D560" s="5"/>
      <c r="E560" s="6">
        <v>100000</v>
      </c>
      <c r="F560" s="7">
        <f>IF(OR(D560&lt;&gt;0,E560&lt;&gt;0),SUM(D$3:D560)-SUM(E$3:E560),0)</f>
        <v>1042873</v>
      </c>
      <c r="G560" s="5"/>
    </row>
    <row r="561" spans="2:9" ht="15.75" x14ac:dyDescent="0.25">
      <c r="B561" s="53"/>
      <c r="C561" s="5" t="s">
        <v>364</v>
      </c>
      <c r="D561" s="5"/>
      <c r="E561" s="6">
        <v>11000</v>
      </c>
      <c r="F561" s="7">
        <f>IF(OR(D561&lt;&gt;0,E561&lt;&gt;0),SUM(D$3:D561)-SUM(E$3:E561),0)</f>
        <v>1031873</v>
      </c>
      <c r="G561" s="5"/>
    </row>
    <row r="562" spans="2:9" ht="15.75" x14ac:dyDescent="0.25">
      <c r="B562" s="53"/>
      <c r="C562" s="5" t="s">
        <v>43</v>
      </c>
      <c r="D562" s="5"/>
      <c r="E562" s="6">
        <v>100000</v>
      </c>
      <c r="F562" s="7">
        <f>IF(OR(D562&lt;&gt;0,E562&lt;&gt;0),SUM(D$3:D562)-SUM(E$3:E562),0)</f>
        <v>931873</v>
      </c>
      <c r="G562" s="5"/>
    </row>
    <row r="563" spans="2:9" ht="15.75" x14ac:dyDescent="0.25">
      <c r="B563" s="53"/>
      <c r="C563" s="5" t="s">
        <v>311</v>
      </c>
      <c r="D563" s="5"/>
      <c r="E563" s="6">
        <v>200000</v>
      </c>
      <c r="F563" s="7">
        <f>IF(OR(D563&lt;&gt;0,E563&lt;&gt;0),SUM(D$3:D563)-SUM(E$3:E563),0)</f>
        <v>731873</v>
      </c>
      <c r="G563" s="5"/>
    </row>
    <row r="564" spans="2:9" ht="15.75" x14ac:dyDescent="0.25">
      <c r="B564" s="53"/>
      <c r="C564" s="5" t="s">
        <v>365</v>
      </c>
      <c r="D564" s="5"/>
      <c r="E564" s="6">
        <v>25700</v>
      </c>
      <c r="F564" s="7">
        <f>IF(OR(D564&lt;&gt;0,E564&lt;&gt;0),SUM(D$3:D564)-SUM(E$3:E564),0)</f>
        <v>706173</v>
      </c>
      <c r="G564" s="5"/>
    </row>
    <row r="565" spans="2:9" ht="15.75" x14ac:dyDescent="0.25">
      <c r="B565" s="53"/>
      <c r="C565" s="5" t="s">
        <v>366</v>
      </c>
      <c r="D565" s="5"/>
      <c r="E565" s="6">
        <v>100000</v>
      </c>
      <c r="F565" s="7">
        <f>IF(OR(D565&lt;&gt;0,E565&lt;&gt;0),SUM(D$3:D565)-SUM(E$3:E565),0)</f>
        <v>606173</v>
      </c>
      <c r="G565" s="5"/>
    </row>
    <row r="566" spans="2:9" ht="15.75" x14ac:dyDescent="0.25">
      <c r="B566" s="53"/>
      <c r="C566" s="5" t="s">
        <v>372</v>
      </c>
      <c r="D566" s="5"/>
      <c r="E566" s="6">
        <v>100000</v>
      </c>
      <c r="F566" s="7">
        <f>IF(OR(D566&lt;&gt;0,E566&lt;&gt;0),SUM(D$3:D566)-SUM(E$3:E566),0)</f>
        <v>506173</v>
      </c>
      <c r="G566" s="5"/>
    </row>
    <row r="567" spans="2:9" ht="15.75" x14ac:dyDescent="0.25">
      <c r="B567" s="53"/>
      <c r="C567" s="5" t="s">
        <v>235</v>
      </c>
      <c r="D567" s="5"/>
      <c r="E567" s="6">
        <v>30000</v>
      </c>
      <c r="F567" s="7">
        <f>IF(OR(D567&lt;&gt;0,E567&lt;&gt;0),SUM(D$3:D567)-SUM(E$3:E567),0)</f>
        <v>476173</v>
      </c>
      <c r="G567" s="5"/>
    </row>
    <row r="568" spans="2:9" ht="15.75" x14ac:dyDescent="0.25">
      <c r="B568" s="54"/>
      <c r="C568" s="5" t="s">
        <v>46</v>
      </c>
      <c r="D568" s="5"/>
      <c r="E568" s="6">
        <v>30000</v>
      </c>
      <c r="F568" s="7">
        <f>IF(OR(D568&lt;&gt;0,E568&lt;&gt;0),SUM(D$3:D568)-SUM(E$3:E568),0)</f>
        <v>446173</v>
      </c>
      <c r="G568" s="5"/>
    </row>
    <row r="569" spans="2:9" ht="15.75" x14ac:dyDescent="0.25">
      <c r="B569" s="55">
        <v>45316</v>
      </c>
      <c r="C569" s="5" t="s">
        <v>367</v>
      </c>
      <c r="D569" s="5"/>
      <c r="E569" s="6">
        <v>5000</v>
      </c>
      <c r="F569" s="7">
        <f>IF(OR(D569&lt;&gt;0,E569&lt;&gt;0),SUM(D$3:D569)-SUM(E$3:E569),0)</f>
        <v>441173</v>
      </c>
      <c r="G569" s="5"/>
    </row>
    <row r="570" spans="2:9" ht="15.75" x14ac:dyDescent="0.25">
      <c r="B570" s="55"/>
      <c r="C570" s="5" t="s">
        <v>368</v>
      </c>
      <c r="D570" s="5"/>
      <c r="E570" s="6">
        <v>15000</v>
      </c>
      <c r="F570" s="7">
        <f>IF(OR(D570&lt;&gt;0,E570&lt;&gt;0),SUM(D$3:D570)-SUM(E$3:E570),0)</f>
        <v>426173</v>
      </c>
      <c r="G570" s="5"/>
      <c r="I570">
        <f>590+104.5</f>
        <v>694.5</v>
      </c>
    </row>
    <row r="571" spans="2:9" ht="15.75" x14ac:dyDescent="0.25">
      <c r="B571" s="55"/>
      <c r="C571" s="5" t="s">
        <v>31</v>
      </c>
      <c r="D571" s="5"/>
      <c r="E571" s="6">
        <v>30000</v>
      </c>
      <c r="F571" s="7">
        <f>IF(OR(D571&lt;&gt;0,E571&lt;&gt;0),SUM(D$3:D571)-SUM(E$3:E571),0)</f>
        <v>396173</v>
      </c>
      <c r="G571" s="5"/>
    </row>
    <row r="572" spans="2:9" ht="15.75" x14ac:dyDescent="0.25">
      <c r="B572" s="55"/>
      <c r="C572" s="5" t="s">
        <v>142</v>
      </c>
      <c r="D572" s="5"/>
      <c r="E572" s="6">
        <v>16000</v>
      </c>
      <c r="F572" s="7">
        <f>IF(OR(D572&lt;&gt;0,E572&lt;&gt;0),SUM(D$3:D572)-SUM(E$3:E572),0)</f>
        <v>380173</v>
      </c>
      <c r="G572" s="5"/>
    </row>
    <row r="573" spans="2:9" ht="15.75" x14ac:dyDescent="0.25">
      <c r="B573" s="55"/>
      <c r="C573" s="5" t="s">
        <v>58</v>
      </c>
      <c r="D573" s="5"/>
      <c r="E573" s="6">
        <v>2000</v>
      </c>
      <c r="F573" s="7">
        <f>IF(OR(D573&lt;&gt;0,E573&lt;&gt;0),SUM(D$3:D573)-SUM(E$3:E573),0)</f>
        <v>378173</v>
      </c>
      <c r="G573" s="5"/>
    </row>
    <row r="574" spans="2:9" ht="15.75" x14ac:dyDescent="0.25">
      <c r="B574" s="55">
        <v>45317</v>
      </c>
      <c r="C574" s="5" t="s">
        <v>369</v>
      </c>
      <c r="D574" s="5"/>
      <c r="E574" s="6">
        <v>34000</v>
      </c>
      <c r="F574" s="7">
        <f>IF(OR(D574&lt;&gt;0,E574&lt;&gt;0),SUM(D$3:D574)-SUM(E$3:E574),0)</f>
        <v>344173</v>
      </c>
      <c r="G574" s="5"/>
    </row>
    <row r="575" spans="2:9" ht="15.75" x14ac:dyDescent="0.25">
      <c r="B575" s="55"/>
      <c r="C575" s="5" t="s">
        <v>370</v>
      </c>
      <c r="D575" s="5"/>
      <c r="E575" s="6">
        <v>40000</v>
      </c>
      <c r="F575" s="7">
        <f>IF(OR(D575&lt;&gt;0,E575&lt;&gt;0),SUM(D$3:D575)-SUM(E$3:E575),0)</f>
        <v>304173</v>
      </c>
      <c r="G575" s="5"/>
    </row>
    <row r="576" spans="2:9" ht="15.75" x14ac:dyDescent="0.25">
      <c r="B576" s="55"/>
      <c r="C576" s="5" t="s">
        <v>371</v>
      </c>
      <c r="D576" s="5"/>
      <c r="E576" s="6">
        <v>16000</v>
      </c>
      <c r="F576" s="7">
        <f>IF(OR(D576&lt;&gt;0,E576&lt;&gt;0),SUM(D$3:D576)-SUM(E$3:E576),0)</f>
        <v>288173</v>
      </c>
      <c r="G576" s="5"/>
    </row>
    <row r="577" spans="2:9" ht="15.75" x14ac:dyDescent="0.25">
      <c r="B577" s="55"/>
      <c r="C577" s="5" t="s">
        <v>7</v>
      </c>
      <c r="D577" s="6">
        <v>1000000</v>
      </c>
      <c r="E577" s="5"/>
      <c r="F577" s="7">
        <f>IF(OR(D577&lt;&gt;0,E577&lt;&gt;0),SUM(D$3:D577)-SUM(E$3:E577),0)</f>
        <v>1288173</v>
      </c>
      <c r="G577" s="5"/>
    </row>
    <row r="578" spans="2:9" ht="15.75" x14ac:dyDescent="0.25">
      <c r="B578" s="55"/>
      <c r="C578" s="5" t="s">
        <v>373</v>
      </c>
      <c r="D578" s="5"/>
      <c r="E578" s="6">
        <v>119000</v>
      </c>
      <c r="F578" s="7">
        <f>IF(OR(D578&lt;&gt;0,E578&lt;&gt;0),SUM(D$3:D578)-SUM(E$3:E578),0)</f>
        <v>1169173</v>
      </c>
      <c r="G578" s="5"/>
    </row>
    <row r="579" spans="2:9" ht="15.75" x14ac:dyDescent="0.25">
      <c r="B579" s="55"/>
      <c r="C579" s="5" t="s">
        <v>374</v>
      </c>
      <c r="D579" s="5"/>
      <c r="E579" s="6">
        <v>100000</v>
      </c>
      <c r="F579" s="7">
        <f>IF(OR(D579&lt;&gt;0,E579&lt;&gt;0),SUM(D$3:D579)-SUM(E$3:E579),0)</f>
        <v>1069173</v>
      </c>
      <c r="G579" s="5"/>
    </row>
    <row r="580" spans="2:9" ht="15.75" x14ac:dyDescent="0.25">
      <c r="B580" s="55"/>
      <c r="C580" s="5" t="s">
        <v>375</v>
      </c>
      <c r="D580" s="5"/>
      <c r="E580" s="6">
        <v>18500</v>
      </c>
      <c r="F580" s="7">
        <f>IF(OR(D580&lt;&gt;0,E580&lt;&gt;0),SUM(D$3:D580)-SUM(E$3:E580),0)</f>
        <v>1050673</v>
      </c>
      <c r="G580" s="5"/>
    </row>
    <row r="581" spans="2:9" ht="15.75" x14ac:dyDescent="0.25">
      <c r="B581" s="55"/>
      <c r="C581" s="5" t="s">
        <v>87</v>
      </c>
      <c r="D581" s="5"/>
      <c r="E581" s="6">
        <v>181000</v>
      </c>
      <c r="F581" s="7">
        <f>IF(OR(D581&lt;&gt;0,E581&lt;&gt;0),SUM(D$3:D581)-SUM(E$3:E581),0)</f>
        <v>869673</v>
      </c>
      <c r="G581" s="5"/>
    </row>
    <row r="582" spans="2:9" ht="15.75" x14ac:dyDescent="0.25">
      <c r="B582" s="55"/>
      <c r="C582" s="5" t="s">
        <v>376</v>
      </c>
      <c r="D582" s="5"/>
      <c r="E582" s="6">
        <v>100000</v>
      </c>
      <c r="F582" s="7">
        <f>IF(OR(D582&lt;&gt;0,E582&lt;&gt;0),SUM(D$3:D582)-SUM(E$3:E582),0)</f>
        <v>769673</v>
      </c>
      <c r="G582" s="5"/>
    </row>
    <row r="583" spans="2:9" ht="15.75" x14ac:dyDescent="0.25">
      <c r="B583" s="52">
        <v>45318</v>
      </c>
      <c r="C583" s="13" t="s">
        <v>14</v>
      </c>
      <c r="D583" s="5"/>
      <c r="E583" s="6">
        <v>50000</v>
      </c>
      <c r="F583" s="7">
        <f>IF(OR(D583&lt;&gt;0,E583&lt;&gt;0),SUM(D$3:D583)-SUM(E$3:E583),0)</f>
        <v>719673</v>
      </c>
      <c r="G583" s="5"/>
    </row>
    <row r="584" spans="2:9" ht="15.75" x14ac:dyDescent="0.25">
      <c r="B584" s="54"/>
      <c r="C584" s="13" t="s">
        <v>92</v>
      </c>
      <c r="D584" s="5"/>
      <c r="E584" s="6">
        <v>164000</v>
      </c>
      <c r="F584" s="7">
        <f>IF(OR(D584&lt;&gt;0,E584&lt;&gt;0),SUM(D$3:D584)-SUM(E$3:E584),0)</f>
        <v>555673</v>
      </c>
      <c r="G584" s="5"/>
    </row>
    <row r="585" spans="2:9" ht="15.75" x14ac:dyDescent="0.25">
      <c r="B585" s="55">
        <v>45320</v>
      </c>
      <c r="C585" s="5" t="s">
        <v>377</v>
      </c>
      <c r="D585" s="5"/>
      <c r="E585" s="6">
        <v>18500</v>
      </c>
      <c r="F585" s="7">
        <f>IF(OR(D585&lt;&gt;0,E585&lt;&gt;0),SUM(D$3:D585)-SUM(E$3:E585),0)</f>
        <v>537173</v>
      </c>
      <c r="G585" s="5"/>
    </row>
    <row r="586" spans="2:9" ht="15.75" x14ac:dyDescent="0.25">
      <c r="B586" s="55"/>
      <c r="C586" s="5" t="s">
        <v>378</v>
      </c>
      <c r="D586" s="6"/>
      <c r="E586" s="6">
        <v>20000</v>
      </c>
      <c r="F586" s="7">
        <f>IF(OR(D586&lt;&gt;0,E586&lt;&gt;0),SUM(D$3:D586)-SUM(E$3:E586),0)</f>
        <v>517173</v>
      </c>
      <c r="G586" s="5"/>
    </row>
    <row r="587" spans="2:9" ht="15.75" x14ac:dyDescent="0.25">
      <c r="B587" s="55"/>
      <c r="C587" s="5" t="s">
        <v>381</v>
      </c>
      <c r="D587" s="5"/>
      <c r="E587" s="6">
        <v>45000</v>
      </c>
      <c r="F587" s="7">
        <f>IF(OR(D587&lt;&gt;0,E587&lt;&gt;0),SUM(D$3:D587)-SUM(E$3:E587),0)</f>
        <v>472173</v>
      </c>
      <c r="G587" s="5"/>
    </row>
    <row r="588" spans="2:9" ht="15.75" x14ac:dyDescent="0.25">
      <c r="B588" s="55"/>
      <c r="C588" s="5" t="s">
        <v>7</v>
      </c>
      <c r="D588" s="6">
        <v>1000000</v>
      </c>
      <c r="E588" s="6"/>
      <c r="F588" s="7">
        <f>IF(OR(D588&lt;&gt;0,E588&lt;&gt;0),SUM(D$3:D588)-SUM(E$3:E588),0)</f>
        <v>1472173</v>
      </c>
      <c r="G588" s="5"/>
      <c r="H588" s="3"/>
    </row>
    <row r="589" spans="2:9" ht="15.75" x14ac:dyDescent="0.25">
      <c r="B589" s="55"/>
      <c r="C589" s="5" t="s">
        <v>379</v>
      </c>
      <c r="D589" s="5"/>
      <c r="E589" s="6">
        <v>509200</v>
      </c>
      <c r="F589" s="7">
        <f>IF(OR(D589&lt;&gt;0,E589&lt;&gt;0),SUM(D$3:D589)-SUM(E$3:E589),0)</f>
        <v>962973</v>
      </c>
      <c r="G589" s="5"/>
    </row>
    <row r="590" spans="2:9" ht="15.75" x14ac:dyDescent="0.25">
      <c r="B590" s="55"/>
      <c r="C590" s="5" t="s">
        <v>66</v>
      </c>
      <c r="D590" s="5"/>
      <c r="E590" s="6">
        <v>242300</v>
      </c>
      <c r="F590" s="7">
        <f>IF(OR(D590&lt;&gt;0,E590&lt;&gt;0),SUM(D$3:D590)-SUM(E$3:E590),0)</f>
        <v>720673</v>
      </c>
      <c r="G590" s="5"/>
      <c r="H590" s="3"/>
    </row>
    <row r="591" spans="2:9" ht="15.75" x14ac:dyDescent="0.25">
      <c r="B591" s="55"/>
      <c r="C591" s="5" t="s">
        <v>380</v>
      </c>
      <c r="D591" s="5"/>
      <c r="E591" s="6">
        <v>1000</v>
      </c>
      <c r="F591" s="7">
        <f>IF(OR(D591&lt;&gt;0,E591&lt;&gt;0),SUM(D$3:D591)-SUM(E$3:E591),0)</f>
        <v>719673</v>
      </c>
      <c r="G591" s="5"/>
      <c r="I591" s="3"/>
    </row>
    <row r="592" spans="2:9" ht="15.75" x14ac:dyDescent="0.25">
      <c r="B592" s="55"/>
      <c r="C592" s="5" t="s">
        <v>64</v>
      </c>
      <c r="D592" s="6"/>
      <c r="E592" s="6">
        <v>1000</v>
      </c>
      <c r="F592" s="7">
        <f>IF(OR(D592&lt;&gt;0,E592&lt;&gt;0),SUM(D$3:D592)-SUM(E$3:E592),0)</f>
        <v>718673</v>
      </c>
      <c r="G592" s="5"/>
    </row>
    <row r="593" spans="2:8" ht="15.75" x14ac:dyDescent="0.25">
      <c r="B593" s="52">
        <v>45321</v>
      </c>
      <c r="C593" s="5" t="s">
        <v>7</v>
      </c>
      <c r="D593" s="6">
        <v>753500</v>
      </c>
      <c r="E593" s="6"/>
      <c r="F593" s="7">
        <f>IF(OR(D593&lt;&gt;0,E593&lt;&gt;0),SUM(D$3:D593)-SUM(E$3:E593),0)</f>
        <v>1472173</v>
      </c>
      <c r="G593" s="5"/>
    </row>
    <row r="594" spans="2:8" ht="15.75" x14ac:dyDescent="0.25">
      <c r="B594" s="53"/>
      <c r="C594" s="5" t="s">
        <v>382</v>
      </c>
      <c r="D594" s="6"/>
      <c r="E594" s="6">
        <v>50000</v>
      </c>
      <c r="F594" s="7">
        <f>IF(OR(D594&lt;&gt;0,E594&lt;&gt;0),SUM(D$3:D594)-SUM(E$3:E594),0)</f>
        <v>1422173</v>
      </c>
      <c r="G594" s="5"/>
    </row>
    <row r="595" spans="2:8" ht="15.75" x14ac:dyDescent="0.25">
      <c r="B595" s="53"/>
      <c r="C595" s="5" t="s">
        <v>385</v>
      </c>
      <c r="D595" s="5"/>
      <c r="E595" s="6">
        <v>500000</v>
      </c>
      <c r="F595" s="7">
        <f>IF(OR(D595&lt;&gt;0,E595&lt;&gt;0),SUM(D$3:D595)-SUM(E$3:E595),0)</f>
        <v>922173</v>
      </c>
      <c r="G595" s="5"/>
    </row>
    <row r="596" spans="2:8" ht="15.75" x14ac:dyDescent="0.25">
      <c r="B596" s="53"/>
      <c r="C596" s="5" t="s">
        <v>383</v>
      </c>
      <c r="D596" s="6"/>
      <c r="E596" s="6">
        <v>200000</v>
      </c>
      <c r="F596" s="7">
        <f>IF(OR(D596&lt;&gt;0,E596&lt;&gt;0),SUM(D$3:D596)-SUM(E$3:E596),0)</f>
        <v>722173</v>
      </c>
      <c r="G596" s="5"/>
      <c r="H596" s="3">
        <f>F596-418000</f>
        <v>304173</v>
      </c>
    </row>
    <row r="597" spans="2:8" ht="15.75" x14ac:dyDescent="0.25">
      <c r="B597" s="53"/>
      <c r="C597" s="5" t="s">
        <v>384</v>
      </c>
      <c r="D597" s="5" t="s">
        <v>72</v>
      </c>
      <c r="E597" s="6">
        <v>418680</v>
      </c>
      <c r="F597" s="7">
        <f>IF(OR(D597&lt;&gt;0,E597&lt;&gt;0),SUM(D$3:D597)-SUM(E$3:E597),0)</f>
        <v>303493</v>
      </c>
      <c r="G597" s="5"/>
    </row>
    <row r="598" spans="2:8" ht="15.75" x14ac:dyDescent="0.25">
      <c r="B598" s="54"/>
      <c r="C598" s="5" t="s">
        <v>386</v>
      </c>
      <c r="D598" s="5"/>
      <c r="E598" s="6">
        <v>26000</v>
      </c>
      <c r="F598" s="7">
        <f>IF(OR(D598&lt;&gt;0,E598&lt;&gt;0),SUM(D$3:D598)-SUM(E$3:E598),0)</f>
        <v>277493</v>
      </c>
      <c r="G598" s="5"/>
    </row>
    <row r="599" spans="2:8" ht="15.75" x14ac:dyDescent="0.25">
      <c r="B599" s="52">
        <v>45322</v>
      </c>
      <c r="C599" s="5" t="s">
        <v>7</v>
      </c>
      <c r="D599" s="6">
        <v>1000000</v>
      </c>
      <c r="E599" s="6"/>
      <c r="F599" s="7">
        <f>IF(OR(D599&lt;&gt;0,E599&lt;&gt;0),SUM(D$3:D599)-SUM(E$3:E599),0)</f>
        <v>1277493</v>
      </c>
      <c r="G599" s="5"/>
    </row>
    <row r="600" spans="2:8" ht="15.75" x14ac:dyDescent="0.25">
      <c r="B600" s="53"/>
      <c r="C600" s="5" t="s">
        <v>387</v>
      </c>
      <c r="D600" s="6"/>
      <c r="E600" s="6">
        <v>15000</v>
      </c>
      <c r="F600" s="7">
        <f>IF(OR(D600&lt;&gt;0,E600&lt;&gt;0),SUM(D$3:D600)-SUM(E$3:E600),0)</f>
        <v>1262493</v>
      </c>
      <c r="G600" s="5"/>
      <c r="H600" s="3">
        <f>940000-F600</f>
        <v>-322493</v>
      </c>
    </row>
    <row r="601" spans="2:8" ht="15.75" x14ac:dyDescent="0.25">
      <c r="B601" s="53"/>
      <c r="C601" s="5" t="s">
        <v>388</v>
      </c>
      <c r="D601" s="6"/>
      <c r="E601" s="6">
        <v>15000</v>
      </c>
      <c r="F601" s="7">
        <f>IF(OR(D601&lt;&gt;0,E601&lt;&gt;0),SUM(D$3:D601)-SUM(E$3:E601),0)</f>
        <v>1247493</v>
      </c>
      <c r="G601" s="5"/>
      <c r="H601" s="3" t="e">
        <f>#REF!-#REF!</f>
        <v>#REF!</v>
      </c>
    </row>
    <row r="602" spans="2:8" ht="15.75" x14ac:dyDescent="0.25">
      <c r="B602" s="53"/>
      <c r="C602" s="5" t="s">
        <v>265</v>
      </c>
      <c r="D602" s="5"/>
      <c r="E602" s="6">
        <v>50000</v>
      </c>
      <c r="F602" s="7">
        <f>IF(OR(D602&lt;&gt;0,E602&lt;&gt;0),SUM(D$3:D602)-SUM(E$3:E602),0)</f>
        <v>1197493</v>
      </c>
      <c r="G602" s="5"/>
    </row>
    <row r="603" spans="2:8" ht="15.75" x14ac:dyDescent="0.25">
      <c r="B603" s="53"/>
      <c r="C603" s="5" t="s">
        <v>389</v>
      </c>
      <c r="D603" s="5"/>
      <c r="E603" s="6">
        <v>50000</v>
      </c>
      <c r="F603" s="7">
        <f>IF(OR(D603&lt;&gt;0,E603&lt;&gt;0),SUM(D$3:D603)-SUM(E$3:E603),0)</f>
        <v>1147493</v>
      </c>
      <c r="G603" s="5"/>
    </row>
    <row r="604" spans="2:8" ht="15.75" x14ac:dyDescent="0.25">
      <c r="B604" s="53"/>
      <c r="C604" s="5" t="s">
        <v>393</v>
      </c>
      <c r="D604" s="5"/>
      <c r="E604" s="6">
        <v>23000</v>
      </c>
      <c r="F604" s="7">
        <f>IF(OR(D604&lt;&gt;0,E604&lt;&gt;0),SUM(D$3:D604)-SUM(E$3:E604),0)</f>
        <v>1124493</v>
      </c>
      <c r="G604" s="5"/>
      <c r="H604" s="3">
        <f>520000-F609</f>
        <v>-418493</v>
      </c>
    </row>
    <row r="605" spans="2:8" ht="15.75" x14ac:dyDescent="0.25">
      <c r="B605" s="53"/>
      <c r="C605" s="5" t="s">
        <v>394</v>
      </c>
      <c r="D605" s="5"/>
      <c r="E605" s="6">
        <v>18000</v>
      </c>
      <c r="F605" s="7">
        <f>IF(OR(D605&lt;&gt;0,E605&lt;&gt;0),SUM(D$3:D605)-SUM(E$3:E605),0)</f>
        <v>1106493</v>
      </c>
      <c r="G605" s="5"/>
      <c r="H605" s="3"/>
    </row>
    <row r="606" spans="2:8" ht="15.75" x14ac:dyDescent="0.25">
      <c r="B606" s="53"/>
      <c r="C606" s="5" t="s">
        <v>395</v>
      </c>
      <c r="D606" s="5"/>
      <c r="E606" s="6">
        <v>23000</v>
      </c>
      <c r="F606" s="7">
        <f>IF(OR(D606&lt;&gt;0,E606&lt;&gt;0),SUM(D$3:D606)-SUM(E$3:E606),0)</f>
        <v>1083493</v>
      </c>
      <c r="G606" s="5"/>
      <c r="H606" s="3"/>
    </row>
    <row r="607" spans="2:8" ht="15.75" x14ac:dyDescent="0.25">
      <c r="B607" s="53"/>
      <c r="C607" s="5" t="s">
        <v>390</v>
      </c>
      <c r="D607" s="5"/>
      <c r="E607" s="6">
        <v>100000</v>
      </c>
      <c r="F607" s="7">
        <f>IF(OR(D607&lt;&gt;0,E607&lt;&gt;0),SUM(D$3:D607)-SUM(E$3:E607),0)</f>
        <v>983493</v>
      </c>
      <c r="G607" s="5"/>
    </row>
    <row r="608" spans="2:8" ht="15.75" x14ac:dyDescent="0.25">
      <c r="B608" s="53"/>
      <c r="C608" s="5" t="s">
        <v>391</v>
      </c>
      <c r="D608" s="5"/>
      <c r="E608" s="6">
        <v>15000</v>
      </c>
      <c r="F608" s="7">
        <f>IF(OR(D608&lt;&gt;0,E608&lt;&gt;0),SUM(D$3:D608)-SUM(E$3:E608),0)</f>
        <v>968493</v>
      </c>
      <c r="G608" s="5"/>
    </row>
    <row r="609" spans="2:7" ht="15.75" x14ac:dyDescent="0.25">
      <c r="B609" s="53"/>
      <c r="C609" s="5" t="s">
        <v>392</v>
      </c>
      <c r="D609" s="5"/>
      <c r="E609" s="6">
        <v>30000</v>
      </c>
      <c r="F609" s="7">
        <f>IF(OR(D609&lt;&gt;0,E609&lt;&gt;0),SUM(D$3:D609)-SUM(E$3:E609),0)</f>
        <v>938493</v>
      </c>
      <c r="G609" s="5"/>
    </row>
    <row r="610" spans="2:7" ht="15.75" x14ac:dyDescent="0.25">
      <c r="B610" s="53"/>
      <c r="C610" s="5" t="s">
        <v>396</v>
      </c>
      <c r="D610" s="5"/>
      <c r="E610" s="6">
        <v>61500</v>
      </c>
      <c r="F610" s="7">
        <f>IF(OR(D610&lt;&gt;0,E610&lt;&gt;0),SUM(D$3:D610)-SUM(E$3:E610),0)</f>
        <v>876993</v>
      </c>
      <c r="G610" s="5"/>
    </row>
    <row r="611" spans="2:7" ht="15.75" x14ac:dyDescent="0.25">
      <c r="B611" s="53"/>
      <c r="C611" s="5" t="s">
        <v>397</v>
      </c>
      <c r="D611" s="5"/>
      <c r="E611" s="6">
        <v>6000</v>
      </c>
      <c r="F611" s="7">
        <f>IF(OR(D611&lt;&gt;0,E611&lt;&gt;0),SUM(D$3:D611)-SUM(E$3:E611),0)</f>
        <v>870993</v>
      </c>
      <c r="G611" s="5"/>
    </row>
    <row r="612" spans="2:7" ht="15.75" x14ac:dyDescent="0.25">
      <c r="B612" s="54"/>
      <c r="C612" s="5" t="s">
        <v>375</v>
      </c>
      <c r="D612" s="5"/>
      <c r="E612" s="6">
        <v>15000</v>
      </c>
      <c r="F612" s="7">
        <f>IF(OR(D612&lt;&gt;0,E612&lt;&gt;0),SUM(D$3:D612)-SUM(E$3:E612),0)</f>
        <v>855993</v>
      </c>
      <c r="G612" s="5"/>
    </row>
    <row r="613" spans="2:7" ht="15.75" x14ac:dyDescent="0.25">
      <c r="B613" s="55">
        <v>45323</v>
      </c>
      <c r="C613" s="5" t="s">
        <v>176</v>
      </c>
      <c r="D613" s="5"/>
      <c r="E613" s="6">
        <v>100000</v>
      </c>
      <c r="F613" s="7">
        <f>IF(OR(D613&lt;&gt;0,E613&lt;&gt;0),SUM(D$3:D613)-SUM(E$3:E613),0)</f>
        <v>755993</v>
      </c>
      <c r="G613" s="5"/>
    </row>
    <row r="614" spans="2:7" ht="15.75" x14ac:dyDescent="0.25">
      <c r="B614" s="55"/>
      <c r="C614" s="5" t="s">
        <v>100</v>
      </c>
      <c r="D614" s="5"/>
      <c r="E614" s="6">
        <v>65000</v>
      </c>
      <c r="F614" s="7">
        <f>IF(OR(D614&lt;&gt;0,E614&lt;&gt;0),SUM(D$3:D614)-SUM(E$3:E614),0)</f>
        <v>690993</v>
      </c>
      <c r="G614" s="5"/>
    </row>
    <row r="615" spans="2:7" ht="15.75" x14ac:dyDescent="0.25">
      <c r="B615" s="55"/>
      <c r="C615" s="5" t="s">
        <v>398</v>
      </c>
      <c r="D615" s="5"/>
      <c r="E615" s="6">
        <v>225000</v>
      </c>
      <c r="F615" s="7">
        <f>IF(OR(D615&lt;&gt;0,E615&lt;&gt;0),SUM(D$3:D615)-SUM(E$3:E615),0)</f>
        <v>465993</v>
      </c>
      <c r="G615" s="5"/>
    </row>
    <row r="616" spans="2:7" ht="15.75" x14ac:dyDescent="0.25">
      <c r="B616" s="55"/>
      <c r="C616" s="5" t="s">
        <v>14</v>
      </c>
      <c r="D616" s="5"/>
      <c r="E616" s="6">
        <v>30000</v>
      </c>
      <c r="F616" s="7">
        <f>IF(OR(D616&lt;&gt;0,E616&lt;&gt;0),SUM(D$3:D616)-SUM(E$3:E616),0)</f>
        <v>435993</v>
      </c>
      <c r="G616" s="5"/>
    </row>
    <row r="617" spans="2:7" ht="15.75" x14ac:dyDescent="0.25">
      <c r="B617" s="55"/>
      <c r="C617" s="5" t="s">
        <v>107</v>
      </c>
      <c r="D617" s="5"/>
      <c r="E617" s="6">
        <v>100000</v>
      </c>
      <c r="F617" s="7">
        <f>IF(OR(D617&lt;&gt;0,E617&lt;&gt;0),SUM(D$3:D617)-SUM(E$3:E617),0)</f>
        <v>335993</v>
      </c>
      <c r="G617" s="5"/>
    </row>
    <row r="618" spans="2:7" ht="15.75" x14ac:dyDescent="0.25">
      <c r="B618" s="55"/>
      <c r="C618" s="5" t="s">
        <v>399</v>
      </c>
      <c r="D618" s="5"/>
      <c r="E618" s="6">
        <v>10000</v>
      </c>
      <c r="F618" s="7">
        <f>IF(OR(D618&lt;&gt;0,E618&lt;&gt;0),SUM(D$3:D618)-SUM(E$3:E618),0)</f>
        <v>325993</v>
      </c>
      <c r="G618" s="5"/>
    </row>
    <row r="619" spans="2:7" ht="15.75" x14ac:dyDescent="0.25">
      <c r="B619" s="55"/>
      <c r="C619" s="5" t="s">
        <v>400</v>
      </c>
      <c r="D619" s="5"/>
      <c r="E619" s="6">
        <v>5000</v>
      </c>
      <c r="F619" s="7">
        <f>IF(OR(D619&lt;&gt;0,E619&lt;&gt;0),SUM(D$3:D619)-SUM(E$3:E619),0)</f>
        <v>320993</v>
      </c>
      <c r="G619" s="5"/>
    </row>
    <row r="620" spans="2:7" ht="15.75" x14ac:dyDescent="0.25">
      <c r="B620" s="52">
        <v>45324</v>
      </c>
      <c r="C620" s="5" t="s">
        <v>7</v>
      </c>
      <c r="D620" s="6">
        <v>1000000</v>
      </c>
      <c r="E620" s="6"/>
      <c r="F620" s="7">
        <f>IF(OR(D620&lt;&gt;0,E620&lt;&gt;0),SUM(D$3:D620)-SUM(E$3:E620),0)</f>
        <v>1320993</v>
      </c>
      <c r="G620" s="5"/>
    </row>
    <row r="621" spans="2:7" ht="15.75" x14ac:dyDescent="0.25">
      <c r="B621" s="54"/>
      <c r="C621" s="5" t="s">
        <v>43</v>
      </c>
      <c r="D621" s="5"/>
      <c r="E621" s="6">
        <v>150000</v>
      </c>
      <c r="F621" s="7">
        <f>IF(OR(D621&lt;&gt;0,E621&lt;&gt;0),SUM(D$3:D621)-SUM(E$3:E621),0)</f>
        <v>1170993</v>
      </c>
      <c r="G621" s="5"/>
    </row>
    <row r="622" spans="2:7" ht="15.75" x14ac:dyDescent="0.25">
      <c r="B622" s="55">
        <v>45325</v>
      </c>
      <c r="C622" s="5" t="s">
        <v>7</v>
      </c>
      <c r="D622" s="6">
        <v>2500000</v>
      </c>
      <c r="E622" s="6"/>
      <c r="F622" s="7">
        <f>IF(OR(D622&lt;&gt;0,E622&lt;&gt;0),SUM(D$3:D622)-SUM(E$3:E622),0)</f>
        <v>3670993</v>
      </c>
      <c r="G622" s="5"/>
    </row>
    <row r="623" spans="2:7" ht="15.75" x14ac:dyDescent="0.25">
      <c r="B623" s="55"/>
      <c r="C623" s="5" t="s">
        <v>401</v>
      </c>
      <c r="D623" s="5"/>
      <c r="E623" s="6">
        <v>162000</v>
      </c>
      <c r="F623" s="7">
        <f>IF(OR(D623&lt;&gt;0,E623&lt;&gt;0),SUM(D$3:D623)-SUM(E$3:E623),0)</f>
        <v>3508993</v>
      </c>
      <c r="G623" s="5"/>
    </row>
    <row r="624" spans="2:7" ht="15.75" x14ac:dyDescent="0.25">
      <c r="B624" s="55"/>
      <c r="C624" s="5" t="s">
        <v>179</v>
      </c>
      <c r="D624" s="5"/>
      <c r="E624" s="6">
        <v>75000</v>
      </c>
      <c r="F624" s="7">
        <f>IF(OR(D624&lt;&gt;0,E624&lt;&gt;0),SUM(D$3:D624)-SUM(E$3:E624),0)</f>
        <v>3433993</v>
      </c>
      <c r="G624" s="5"/>
    </row>
    <row r="625" spans="2:8" ht="15.75" x14ac:dyDescent="0.25">
      <c r="B625" s="55"/>
      <c r="C625" s="5" t="s">
        <v>402</v>
      </c>
      <c r="D625" s="5"/>
      <c r="E625" s="6">
        <v>9000</v>
      </c>
      <c r="F625" s="7">
        <f>IF(OR(D625&lt;&gt;0,E625&lt;&gt;0),SUM(D$3:D625)-SUM(E$3:E625),0)</f>
        <v>3424993</v>
      </c>
      <c r="G625" s="5"/>
    </row>
    <row r="626" spans="2:8" ht="15.75" x14ac:dyDescent="0.25">
      <c r="B626" s="55"/>
      <c r="C626" s="5" t="s">
        <v>403</v>
      </c>
      <c r="D626" s="5"/>
      <c r="E626" s="6">
        <v>130900</v>
      </c>
      <c r="F626" s="7">
        <f>IF(OR(D626&lt;&gt;0,E626&lt;&gt;0),SUM(D$3:D626)-SUM(E$3:E626),0)</f>
        <v>3294093</v>
      </c>
      <c r="G626" s="5"/>
    </row>
    <row r="627" spans="2:8" ht="15.75" x14ac:dyDescent="0.25">
      <c r="B627" s="55"/>
      <c r="C627" s="5" t="s">
        <v>64</v>
      </c>
      <c r="D627" s="5"/>
      <c r="E627" s="6">
        <v>1000</v>
      </c>
      <c r="F627" s="7">
        <f>IF(OR(D627&lt;&gt;0,E627&lt;&gt;0),SUM(D$3:D627)-SUM(E$3:E627),0)</f>
        <v>3293093</v>
      </c>
      <c r="G627" s="5"/>
    </row>
    <row r="628" spans="2:8" ht="15.75" x14ac:dyDescent="0.25">
      <c r="B628" s="55"/>
      <c r="C628" s="5" t="s">
        <v>406</v>
      </c>
      <c r="D628" s="5"/>
      <c r="E628" s="6">
        <v>26700</v>
      </c>
      <c r="F628" s="7">
        <f>IF(OR(D628&lt;&gt;0,E628&lt;&gt;0),SUM(D$3:D628)-SUM(E$3:E628),0)</f>
        <v>3266393</v>
      </c>
      <c r="G628" s="5"/>
    </row>
    <row r="629" spans="2:8" ht="15.75" x14ac:dyDescent="0.25">
      <c r="B629" s="55"/>
      <c r="C629" s="5" t="s">
        <v>133</v>
      </c>
      <c r="D629" s="5"/>
      <c r="E629" s="6">
        <v>69840</v>
      </c>
      <c r="F629" s="7">
        <f>IF(OR(D629&lt;&gt;0,E629&lt;&gt;0),SUM(D$3:D629)-SUM(E$3:E629),0)</f>
        <v>3196553</v>
      </c>
      <c r="G629" s="5"/>
    </row>
    <row r="630" spans="2:8" ht="15.75" x14ac:dyDescent="0.25">
      <c r="B630" s="55"/>
      <c r="C630" s="5" t="s">
        <v>404</v>
      </c>
      <c r="D630" s="5"/>
      <c r="E630" s="6">
        <v>49960</v>
      </c>
      <c r="F630" s="7">
        <f>IF(OR(D630&lt;&gt;0,E630&lt;&gt;0),SUM(D$3:D630)-SUM(E$3:E630),0)</f>
        <v>3146593</v>
      </c>
      <c r="G630" s="5"/>
    </row>
    <row r="631" spans="2:8" ht="15.75" x14ac:dyDescent="0.25">
      <c r="B631" s="55"/>
      <c r="C631" s="5" t="s">
        <v>405</v>
      </c>
      <c r="D631" s="5"/>
      <c r="E631" s="6">
        <v>300000</v>
      </c>
      <c r="F631" s="7">
        <f>IF(OR(D631&lt;&gt;0,E631&lt;&gt;0),SUM(D$3:D631)-SUM(E$3:E631),0)</f>
        <v>2846593</v>
      </c>
      <c r="G631" s="5"/>
    </row>
    <row r="632" spans="2:8" ht="15.75" x14ac:dyDescent="0.25">
      <c r="B632" s="55"/>
      <c r="C632" s="5" t="s">
        <v>408</v>
      </c>
      <c r="D632" s="5"/>
      <c r="E632" s="6">
        <v>280000</v>
      </c>
      <c r="F632" s="7">
        <f>IF(OR(D632&lt;&gt;0,E632&lt;&gt;0),SUM(D$3:D632)-SUM(E$3:E632),0)</f>
        <v>2566593</v>
      </c>
      <c r="G632" s="5"/>
      <c r="H632" s="3"/>
    </row>
    <row r="633" spans="2:8" ht="15.75" x14ac:dyDescent="0.25">
      <c r="B633" s="55"/>
      <c r="C633" s="5" t="s">
        <v>409</v>
      </c>
      <c r="D633" s="5"/>
      <c r="E633" s="6">
        <v>40000</v>
      </c>
      <c r="F633" s="7">
        <f>IF(OR(D633&lt;&gt;0,E633&lt;&gt;0),SUM(D$3:D633)-SUM(E$3:E633),0)</f>
        <v>2526593</v>
      </c>
      <c r="G633" s="5"/>
    </row>
    <row r="634" spans="2:8" ht="15.75" x14ac:dyDescent="0.25">
      <c r="B634" s="55"/>
      <c r="C634" s="5" t="s">
        <v>260</v>
      </c>
      <c r="D634" s="5"/>
      <c r="E634" s="6">
        <v>58000</v>
      </c>
      <c r="F634" s="7">
        <f>IF(OR(D634&lt;&gt;0,E634&lt;&gt;0),SUM(D$3:D634)-SUM(E$3:E634),0)</f>
        <v>2468593</v>
      </c>
      <c r="G634" s="5"/>
    </row>
    <row r="635" spans="2:8" ht="15.75" x14ac:dyDescent="0.25">
      <c r="B635" s="55"/>
      <c r="C635" s="5" t="s">
        <v>410</v>
      </c>
      <c r="D635" s="5"/>
      <c r="E635" s="6">
        <v>20000</v>
      </c>
      <c r="F635" s="7">
        <f>IF(OR(D635&lt;&gt;0,E635&lt;&gt;0),SUM(D$3:D635)-SUM(E$3:E635),0)</f>
        <v>2448593</v>
      </c>
      <c r="G635" s="5"/>
    </row>
    <row r="636" spans="2:8" ht="15.75" x14ac:dyDescent="0.25">
      <c r="B636" s="55"/>
      <c r="C636" s="5" t="s">
        <v>411</v>
      </c>
      <c r="D636" s="5"/>
      <c r="E636" s="6">
        <v>120000</v>
      </c>
      <c r="F636" s="7">
        <f>IF(OR(D636&lt;&gt;0,E636&lt;&gt;0),SUM(D$3:D636)-SUM(E$3:E636),0)</f>
        <v>2328593</v>
      </c>
      <c r="G636" s="5"/>
    </row>
    <row r="637" spans="2:8" ht="15.75" x14ac:dyDescent="0.25">
      <c r="B637" s="55"/>
      <c r="C637" s="5" t="s">
        <v>58</v>
      </c>
      <c r="D637" s="5"/>
      <c r="E637" s="6">
        <v>1000</v>
      </c>
      <c r="F637" s="7">
        <f>IF(OR(D637&lt;&gt;0,E637&lt;&gt;0),SUM(D$3:D637)-SUM(E$3:E637),0)</f>
        <v>2327593</v>
      </c>
      <c r="G637" s="5"/>
    </row>
    <row r="638" spans="2:8" ht="15.75" x14ac:dyDescent="0.25">
      <c r="B638" s="55"/>
      <c r="C638" s="5" t="s">
        <v>412</v>
      </c>
      <c r="D638" s="5"/>
      <c r="E638" s="6">
        <v>155000</v>
      </c>
      <c r="F638" s="7">
        <f>IF(OR(D638&lt;&gt;0,E638&lt;&gt;0),SUM(D$3:D638)-SUM(E$3:E638),0)</f>
        <v>2172593</v>
      </c>
      <c r="G638" s="5"/>
    </row>
    <row r="639" spans="2:8" ht="15.75" x14ac:dyDescent="0.25">
      <c r="B639" s="55"/>
      <c r="C639" s="5" t="s">
        <v>327</v>
      </c>
      <c r="D639" s="5"/>
      <c r="E639" s="6">
        <v>27000</v>
      </c>
      <c r="F639" s="7">
        <f>IF(OR(D639&lt;&gt;0,E639&lt;&gt;0),SUM(D$3:D639)-SUM(E$3:E639),0)</f>
        <v>2145593</v>
      </c>
      <c r="G639" s="5"/>
    </row>
    <row r="640" spans="2:8" ht="15.75" x14ac:dyDescent="0.25">
      <c r="B640" s="55"/>
      <c r="C640" s="5" t="s">
        <v>413</v>
      </c>
      <c r="D640" s="5"/>
      <c r="E640" s="6">
        <v>50000</v>
      </c>
      <c r="F640" s="7">
        <f>IF(OR(D640&lt;&gt;0,E640&lt;&gt;0),SUM(D$3:D640)-SUM(E$3:E640),0)</f>
        <v>2095593</v>
      </c>
      <c r="G640" s="5"/>
    </row>
    <row r="641" spans="2:8" ht="15.75" x14ac:dyDescent="0.25">
      <c r="B641" s="55"/>
      <c r="C641" s="5" t="s">
        <v>414</v>
      </c>
      <c r="D641" s="5"/>
      <c r="E641" s="6">
        <v>13000</v>
      </c>
      <c r="F641" s="7">
        <f>IF(OR(D641&lt;&gt;0,E641&lt;&gt;0),SUM(D$3:D641)-SUM(E$3:E641),0)</f>
        <v>2082593</v>
      </c>
      <c r="G641" s="5"/>
    </row>
    <row r="642" spans="2:8" ht="15.75" x14ac:dyDescent="0.25">
      <c r="B642" s="55"/>
      <c r="C642" s="5" t="s">
        <v>141</v>
      </c>
      <c r="D642" s="5"/>
      <c r="E642" s="6">
        <v>24000</v>
      </c>
      <c r="F642" s="7">
        <f>IF(OR(D642&lt;&gt;0,E642&lt;&gt;0),SUM(D$3:D642)-SUM(E$3:E642),0)</f>
        <v>2058593</v>
      </c>
      <c r="G642" s="5"/>
    </row>
    <row r="643" spans="2:8" ht="15.75" x14ac:dyDescent="0.25">
      <c r="B643" s="55"/>
      <c r="C643" s="5" t="s">
        <v>407</v>
      </c>
      <c r="D643" s="5"/>
      <c r="E643" s="6">
        <v>320000</v>
      </c>
      <c r="F643" s="7">
        <f>IF(OR(D643&lt;&gt;0,E643&lt;&gt;0),SUM(D$3:D643)-SUM(E$3:E643),0)</f>
        <v>1738593</v>
      </c>
      <c r="G643" s="5"/>
    </row>
    <row r="644" spans="2:8" ht="15.75" x14ac:dyDescent="0.25">
      <c r="B644" s="55"/>
      <c r="C644" s="5"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="5"/>
      <c r="H644" s="3"/>
    </row>
    <row r="645" spans="2:8" ht="15.75" x14ac:dyDescent="0.25">
      <c r="B645" s="55"/>
      <c r="C645" s="5" t="s">
        <v>133</v>
      </c>
      <c r="D645" s="5"/>
      <c r="E645" s="6">
        <v>19990</v>
      </c>
      <c r="F645" s="7">
        <f>IF(OR(D645&lt;&gt;0,E645&lt;&gt;0),SUM(D$3:D645)-SUM(E$3:E645),0)</f>
        <v>1674303</v>
      </c>
      <c r="G645" s="5"/>
      <c r="H645" s="3"/>
    </row>
    <row r="646" spans="2:8" ht="15.75" x14ac:dyDescent="0.25">
      <c r="B646" s="55"/>
      <c r="C646" s="5" t="s">
        <v>416</v>
      </c>
      <c r="D646" s="5"/>
      <c r="E646" s="6">
        <v>16000</v>
      </c>
      <c r="F646" s="7">
        <f>IF(OR(D646&lt;&gt;0,E646&lt;&gt;0),SUM(D$3:D646)-SUM(E$3:E646),0)</f>
        <v>1658303</v>
      </c>
      <c r="G646" s="6"/>
      <c r="H646" s="3"/>
    </row>
    <row r="647" spans="2:8" ht="15.75" x14ac:dyDescent="0.25">
      <c r="B647" s="55"/>
      <c r="C647" s="5" t="s">
        <v>183</v>
      </c>
      <c r="D647" s="5"/>
      <c r="E647" s="6">
        <v>100000</v>
      </c>
      <c r="F647" s="7">
        <f>IF(OR(D647&lt;&gt;0,E647&lt;&gt;0),SUM(D$3:D647)-SUM(E$3:E647),0)</f>
        <v>1558303</v>
      </c>
      <c r="G647" s="5"/>
      <c r="H647" s="3"/>
    </row>
    <row r="648" spans="2:8" ht="15.75" x14ac:dyDescent="0.25">
      <c r="B648" s="55"/>
      <c r="C648" s="5" t="s">
        <v>417</v>
      </c>
      <c r="D648" s="5"/>
      <c r="E648" s="6">
        <v>15000</v>
      </c>
      <c r="F648" s="7">
        <f>IF(OR(D648&lt;&gt;0,E648&lt;&gt;0),SUM(D$3:D648)-SUM(E$3:E648),0)</f>
        <v>1543303</v>
      </c>
      <c r="G648" s="5"/>
      <c r="H648" s="3"/>
    </row>
    <row r="649" spans="2:8" ht="15.75" x14ac:dyDescent="0.25">
      <c r="B649" s="55"/>
      <c r="C649" s="5" t="s">
        <v>7</v>
      </c>
      <c r="D649" s="6">
        <v>5000000</v>
      </c>
      <c r="E649" s="6"/>
      <c r="F649" s="7">
        <f>IF(OR(D649&lt;&gt;0,E649&lt;&gt;0),SUM(D$3:D649)-SUM(E$3:E649),0)</f>
        <v>6543303</v>
      </c>
      <c r="G649" s="5"/>
      <c r="H649" s="3"/>
    </row>
    <row r="650" spans="2:8" ht="15.75" x14ac:dyDescent="0.25">
      <c r="B650" s="55"/>
      <c r="C650" s="5" t="s">
        <v>418</v>
      </c>
      <c r="D650" s="5"/>
      <c r="E650" s="6">
        <v>400000</v>
      </c>
      <c r="F650" s="7">
        <f>IF(OR(D650&lt;&gt;0,E650&lt;&gt;0),SUM(D$3:D650)-SUM(E$3:E650),0)</f>
        <v>6143303</v>
      </c>
      <c r="G650" s="5"/>
    </row>
    <row r="651" spans="2:8" ht="15.75" x14ac:dyDescent="0.25">
      <c r="B651" s="55"/>
      <c r="C651" s="5" t="s">
        <v>419</v>
      </c>
      <c r="D651" s="5"/>
      <c r="E651" s="6">
        <v>12000</v>
      </c>
      <c r="F651" s="7">
        <f>IF(OR(D651&lt;&gt;0,E651&lt;&gt;0),SUM(D$3:D651)-SUM(E$3:E651),0)</f>
        <v>6131303</v>
      </c>
      <c r="G651" s="5"/>
    </row>
    <row r="652" spans="2:8" ht="15.75" x14ac:dyDescent="0.25">
      <c r="B652" s="55"/>
      <c r="C652" s="5" t="s">
        <v>420</v>
      </c>
      <c r="D652" s="5"/>
      <c r="E652" s="6">
        <v>30500</v>
      </c>
      <c r="F652" s="7">
        <f>IF(OR(D652&lt;&gt;0,E652&lt;&gt;0),SUM(D$3:D652)-SUM(E$3:E652),0)</f>
        <v>6100803</v>
      </c>
      <c r="G652" s="5"/>
      <c r="H652" s="3">
        <f>5737000-F652</f>
        <v>-363803</v>
      </c>
    </row>
    <row r="653" spans="2:8" ht="15.75" x14ac:dyDescent="0.25">
      <c r="B653" s="52">
        <v>45327</v>
      </c>
      <c r="C653" s="5" t="s">
        <v>421</v>
      </c>
      <c r="D653" s="6"/>
      <c r="E653" s="6">
        <v>26500</v>
      </c>
      <c r="F653" s="7">
        <f>IF(OR(D653&lt;&gt;0,E653&lt;&gt;0),SUM(D$3:D653)-SUM(E$3:E653),0)</f>
        <v>6074303</v>
      </c>
      <c r="G653" s="5"/>
      <c r="H653" s="3"/>
    </row>
    <row r="654" spans="2:8" ht="15.75" x14ac:dyDescent="0.25">
      <c r="B654" s="53"/>
      <c r="C654" s="5" t="s">
        <v>426</v>
      </c>
      <c r="D654" s="5"/>
      <c r="E654" s="6">
        <v>300000</v>
      </c>
      <c r="F654" s="7">
        <f>IF(OR(D654&lt;&gt;0,E654&lt;&gt;0),SUM(D$3:D654)-SUM(E$3:E654),0)</f>
        <v>5774303</v>
      </c>
      <c r="G654" s="5"/>
    </row>
    <row r="655" spans="2:8" ht="15.75" x14ac:dyDescent="0.25">
      <c r="B655" s="53"/>
      <c r="C655" s="5" t="s">
        <v>422</v>
      </c>
      <c r="D655" s="5"/>
      <c r="E655" s="6">
        <v>301001</v>
      </c>
      <c r="F655" s="7">
        <f>IF(OR(D655&lt;&gt;0,E655&lt;&gt;0),SUM(D$3:D655)-SUM(E$3:E655),0)</f>
        <v>5473302</v>
      </c>
      <c r="G655" s="5"/>
    </row>
    <row r="656" spans="2:8" ht="15.75" x14ac:dyDescent="0.25">
      <c r="B656" s="53"/>
      <c r="C656" s="5" t="s">
        <v>423</v>
      </c>
      <c r="D656" s="5"/>
      <c r="E656" s="6">
        <v>320000</v>
      </c>
      <c r="F656" s="7">
        <f>IF(OR(D656&lt;&gt;0,E656&lt;&gt;0),SUM(D$3:D656)-SUM(E$3:E656),0)</f>
        <v>5153302</v>
      </c>
      <c r="G656" s="5"/>
    </row>
    <row r="657" spans="2:9" ht="15.75" x14ac:dyDescent="0.25">
      <c r="B657" s="53"/>
      <c r="C657" s="5" t="s">
        <v>424</v>
      </c>
      <c r="D657" s="5"/>
      <c r="E657" s="6">
        <v>64000</v>
      </c>
      <c r="F657" s="7">
        <f>IF(OR(D657&lt;&gt;0,E657&lt;&gt;0),SUM(D$3:D657)-SUM(E$3:E657),0)</f>
        <v>5089302</v>
      </c>
      <c r="G657" s="5"/>
    </row>
    <row r="658" spans="2:9" ht="15.75" x14ac:dyDescent="0.25">
      <c r="B658" s="53"/>
      <c r="C658" s="5" t="s">
        <v>425</v>
      </c>
      <c r="D658" s="5"/>
      <c r="E658" s="6">
        <v>100000</v>
      </c>
      <c r="F658" s="7">
        <f>IF(OR(D658&lt;&gt;0,E658&lt;&gt;0),SUM(D$3:D658)-SUM(E$3:E658),0)</f>
        <v>4989302</v>
      </c>
      <c r="G658" s="5"/>
    </row>
    <row r="659" spans="2:9" ht="15.75" x14ac:dyDescent="0.25">
      <c r="B659" s="54"/>
      <c r="C659" s="5" t="s">
        <v>427</v>
      </c>
      <c r="D659" s="5"/>
      <c r="E659" s="6">
        <v>49000</v>
      </c>
      <c r="F659" s="7">
        <f>IF(OR(D659&lt;&gt;0,E659&lt;&gt;0),SUM(D$3:D659)-SUM(E$3:E659),0)</f>
        <v>4940302</v>
      </c>
      <c r="G659" s="5"/>
    </row>
    <row r="660" spans="2:9" ht="15.75" x14ac:dyDescent="0.25">
      <c r="B660" s="52">
        <v>45328</v>
      </c>
      <c r="C660" s="5" t="s">
        <v>428</v>
      </c>
      <c r="D660" s="5"/>
      <c r="E660" s="6">
        <v>200000</v>
      </c>
      <c r="F660" s="7">
        <f>IF(OR(D660&lt;&gt;0,E660&lt;&gt;0),SUM(D$3:D660)-SUM(E$3:E660),0)</f>
        <v>4740302</v>
      </c>
      <c r="G660" s="5"/>
    </row>
    <row r="661" spans="2:9" ht="15.75" x14ac:dyDescent="0.25">
      <c r="B661" s="53"/>
      <c r="C661" s="5" t="s">
        <v>429</v>
      </c>
      <c r="D661" s="5"/>
      <c r="E661" s="6">
        <v>200000</v>
      </c>
      <c r="F661" s="7">
        <f>IF(OR(D661&lt;&gt;0,E661&lt;&gt;0),SUM(D$3:D661)-SUM(E$3:E661),0)</f>
        <v>4540302</v>
      </c>
      <c r="G661" s="5"/>
    </row>
    <row r="662" spans="2:9" ht="15.75" x14ac:dyDescent="0.25">
      <c r="B662" s="53"/>
      <c r="C662" s="5" t="s">
        <v>434</v>
      </c>
      <c r="D662" s="5"/>
      <c r="E662" s="6">
        <v>29000</v>
      </c>
      <c r="F662" s="7">
        <f>IF(OR(D662&lt;&gt;0,E662&lt;&gt;0),SUM(D$3:D662)-SUM(E$3:E662),0)</f>
        <v>4511302</v>
      </c>
      <c r="G662" s="5"/>
    </row>
    <row r="663" spans="2:9" ht="15.75" x14ac:dyDescent="0.25">
      <c r="B663" s="53"/>
      <c r="C663" s="5" t="s">
        <v>435</v>
      </c>
      <c r="D663" s="5"/>
      <c r="E663" s="6">
        <v>25500</v>
      </c>
      <c r="F663" s="7">
        <f>IF(OR(D663&lt;&gt;0,E663&lt;&gt;0),SUM(D$3:D663)-SUM(E$3:E663),0)</f>
        <v>4485802</v>
      </c>
      <c r="G663" s="5"/>
    </row>
    <row r="664" spans="2:9" ht="15.75" x14ac:dyDescent="0.25">
      <c r="B664" s="53"/>
      <c r="C664" s="5" t="s">
        <v>430</v>
      </c>
      <c r="D664" s="5"/>
      <c r="E664" s="6">
        <v>240000</v>
      </c>
      <c r="F664" s="7">
        <f>IF(OR(D664&lt;&gt;0,E664&lt;&gt;0),SUM(D$3:D664)-SUM(E$3:E664),0)</f>
        <v>4245802</v>
      </c>
      <c r="G664" s="5"/>
      <c r="H664" s="3">
        <f>F664-3725000</f>
        <v>520802</v>
      </c>
      <c r="I664" s="3">
        <f>H664-163803</f>
        <v>356999</v>
      </c>
    </row>
    <row r="665" spans="2:9" ht="15.75" x14ac:dyDescent="0.25">
      <c r="B665" s="53"/>
      <c r="C665" s="5" t="s">
        <v>431</v>
      </c>
      <c r="D665" s="5"/>
      <c r="E665" s="6">
        <v>200000</v>
      </c>
      <c r="F665" s="7">
        <f>IF(OR(D665&lt;&gt;0,E665&lt;&gt;0),SUM(D$3:D665)-SUM(E$3:E665),0)</f>
        <v>4045802</v>
      </c>
      <c r="G665" s="5"/>
    </row>
    <row r="666" spans="2:9" ht="15.75" x14ac:dyDescent="0.25">
      <c r="B666" s="53"/>
      <c r="C666" s="5" t="s">
        <v>46</v>
      </c>
      <c r="D666" s="5"/>
      <c r="E666" s="6">
        <v>30000</v>
      </c>
      <c r="F666" s="7">
        <f>IF(OR(D666&lt;&gt;0,E666&lt;&gt;0),SUM(D$3:D666)-SUM(E$3:E666),0)</f>
        <v>4015802</v>
      </c>
      <c r="G666" s="5"/>
    </row>
    <row r="667" spans="2:9" ht="15.75" x14ac:dyDescent="0.25">
      <c r="B667" s="53"/>
      <c r="C667" s="5" t="s">
        <v>62</v>
      </c>
      <c r="D667" s="5"/>
      <c r="E667" s="6">
        <v>242000</v>
      </c>
      <c r="F667" s="7">
        <f>IF(OR(D667&lt;&gt;0,E667&lt;&gt;0),SUM(D$3:D667)-SUM(E$3:E667),0)</f>
        <v>3773802</v>
      </c>
      <c r="G667" s="5"/>
    </row>
    <row r="668" spans="2:9" ht="15.75" x14ac:dyDescent="0.25">
      <c r="B668" s="53"/>
      <c r="C668" s="5" t="s">
        <v>31</v>
      </c>
      <c r="D668" s="5"/>
      <c r="E668" s="6">
        <v>115501</v>
      </c>
      <c r="F668" s="7">
        <f>IF(OR(D668&lt;&gt;0,E668&lt;&gt;0),SUM(D$3:D668)-SUM(E$3:E668),0)</f>
        <v>3658301</v>
      </c>
      <c r="G668" s="5"/>
    </row>
    <row r="669" spans="2:9" ht="15.75" x14ac:dyDescent="0.25">
      <c r="B669" s="53"/>
      <c r="C669" s="5" t="s">
        <v>432</v>
      </c>
      <c r="D669" s="5"/>
      <c r="E669" s="6">
        <v>500000</v>
      </c>
      <c r="F669" s="7">
        <f>IF(OR(D669&lt;&gt;0,E669&lt;&gt;0),SUM(D$3:D669)-SUM(E$3:E669),0)</f>
        <v>3158301</v>
      </c>
      <c r="G669" s="5"/>
    </row>
    <row r="670" spans="2:9" ht="15.75" x14ac:dyDescent="0.25">
      <c r="B670" s="53"/>
      <c r="C670" s="5" t="s">
        <v>363</v>
      </c>
      <c r="D670" s="5"/>
      <c r="E670" s="6">
        <v>200000</v>
      </c>
      <c r="F670" s="7">
        <f>IF(OR(D670&lt;&gt;0,E670&lt;&gt;0),SUM(D$3:D670)-SUM(E$3:E670),0)</f>
        <v>2958301</v>
      </c>
      <c r="G670" s="5"/>
    </row>
    <row r="671" spans="2:9" ht="15.75" x14ac:dyDescent="0.25">
      <c r="B671" s="53"/>
      <c r="C671" s="5" t="s">
        <v>433</v>
      </c>
      <c r="D671" s="5"/>
      <c r="E671" s="6">
        <v>200000</v>
      </c>
      <c r="F671" s="7">
        <f>IF(OR(D671&lt;&gt;0,E671&lt;&gt;0),SUM(D$3:D671)-SUM(E$3:E671),0)</f>
        <v>2758301</v>
      </c>
      <c r="G671" s="5"/>
      <c r="H671" s="3">
        <f>2235000-F671</f>
        <v>-523301</v>
      </c>
    </row>
    <row r="672" spans="2:9" ht="15.75" x14ac:dyDescent="0.25">
      <c r="B672" s="54"/>
      <c r="C672" s="5" t="s">
        <v>436</v>
      </c>
      <c r="D672" s="5"/>
      <c r="E672" s="6">
        <v>409000</v>
      </c>
      <c r="F672" s="7">
        <f>IF(OR(D672&lt;&gt;0,E672&lt;&gt;0),SUM(D$3:D672)-SUM(E$3:E672),0)</f>
        <v>2349301</v>
      </c>
      <c r="G672" s="5"/>
    </row>
    <row r="673" spans="2:9" ht="15.75" x14ac:dyDescent="0.25">
      <c r="B673" s="55">
        <v>45329</v>
      </c>
      <c r="C673" s="5" t="s">
        <v>77</v>
      </c>
      <c r="D673" s="5"/>
      <c r="E673" s="6">
        <v>200000</v>
      </c>
      <c r="F673" s="7">
        <f>IF(OR(D673&lt;&gt;0,E673&lt;&gt;0),SUM(D$3:D673)-SUM(E$3:E673),0)</f>
        <v>2149301</v>
      </c>
      <c r="G673" s="5"/>
    </row>
    <row r="674" spans="2:9" ht="15.75" x14ac:dyDescent="0.25">
      <c r="B674" s="55"/>
      <c r="C674" s="5" t="s">
        <v>129</v>
      </c>
      <c r="D674" s="5"/>
      <c r="E674" s="6">
        <v>476000</v>
      </c>
      <c r="F674" s="7">
        <f>IF(OR(D674&lt;&gt;0,E674&lt;&gt;0),SUM(D$3:D674)-SUM(E$3:E674),0)</f>
        <v>1673301</v>
      </c>
      <c r="G674" s="5"/>
    </row>
    <row r="675" spans="2:9" ht="15.75" x14ac:dyDescent="0.25">
      <c r="B675" s="55"/>
      <c r="C675" s="5" t="s">
        <v>65</v>
      </c>
      <c r="D675" s="5"/>
      <c r="E675" s="6">
        <v>300000</v>
      </c>
      <c r="F675" s="7">
        <f>IF(OR(D675&lt;&gt;0,E675&lt;&gt;0),SUM(D$3:D675)-SUM(E$3:E675),0)</f>
        <v>1373301</v>
      </c>
      <c r="G675" s="5"/>
      <c r="H675" s="3">
        <f>855000-F675</f>
        <v>-518301</v>
      </c>
    </row>
    <row r="676" spans="2:9" ht="15.75" x14ac:dyDescent="0.25">
      <c r="B676" s="55"/>
      <c r="C676" s="5" t="s">
        <v>437</v>
      </c>
      <c r="D676" s="5"/>
      <c r="E676" s="6">
        <v>90000</v>
      </c>
      <c r="F676" s="7">
        <f>IF(OR(D676&lt;&gt;0,E676&lt;&gt;0),SUM(D$3:D676)-SUM(E$3:E676),0)</f>
        <v>1283301</v>
      </c>
      <c r="G676" s="5"/>
    </row>
    <row r="677" spans="2:9" ht="15.75" x14ac:dyDescent="0.25">
      <c r="B677" s="55"/>
      <c r="C677" s="5" t="s">
        <v>438</v>
      </c>
      <c r="D677" s="5"/>
      <c r="E677" s="6">
        <v>50000</v>
      </c>
      <c r="F677" s="7">
        <f>IF(OR(D677&lt;&gt;0,E677&lt;&gt;0),SUM(D$3:D677)-SUM(E$3:E677),0)</f>
        <v>1233301</v>
      </c>
      <c r="G677" s="5"/>
    </row>
    <row r="678" spans="2:9" ht="15.75" x14ac:dyDescent="0.25">
      <c r="B678" s="52">
        <v>45330</v>
      </c>
      <c r="C678" s="5" t="s">
        <v>6</v>
      </c>
      <c r="D678" s="5"/>
      <c r="E678" s="6">
        <v>10000</v>
      </c>
      <c r="F678" s="7">
        <f>IF(OR(D678&lt;&gt;0,E678&lt;&gt;0),SUM(D$3:D678)-SUM(E$3:E678),0)</f>
        <v>1223301</v>
      </c>
      <c r="G678" s="5"/>
      <c r="H678" s="3">
        <f>690000-F678</f>
        <v>-533301</v>
      </c>
    </row>
    <row r="679" spans="2:9" ht="15.75" x14ac:dyDescent="0.25">
      <c r="B679" s="53"/>
      <c r="C679" s="5" t="s">
        <v>439</v>
      </c>
      <c r="D679" s="5"/>
      <c r="E679" s="6">
        <v>100000</v>
      </c>
      <c r="F679" s="7">
        <f>IF(OR(D679&lt;&gt;0,E679&lt;&gt;0),SUM(D$3:D679)-SUM(E$3:E679),0)</f>
        <v>1123301</v>
      </c>
      <c r="G679" s="5"/>
    </row>
    <row r="680" spans="2:9" ht="15.75" x14ac:dyDescent="0.25">
      <c r="B680" s="53"/>
      <c r="C680" s="5" t="s">
        <v>311</v>
      </c>
      <c r="D680" s="5"/>
      <c r="E680" s="6">
        <v>150000</v>
      </c>
      <c r="F680" s="7">
        <f>IF(OR(D680&lt;&gt;0,E680&lt;&gt;0),SUM(D$3:D680)-SUM(E$3:E680),0)</f>
        <v>973301</v>
      </c>
      <c r="G680" s="5"/>
    </row>
    <row r="681" spans="2:9" ht="15.75" x14ac:dyDescent="0.25">
      <c r="B681" s="53"/>
      <c r="C681" s="5" t="s">
        <v>234</v>
      </c>
      <c r="D681" s="5"/>
      <c r="E681" s="6">
        <v>150000</v>
      </c>
      <c r="F681" s="7">
        <f>IF(OR(D681&lt;&gt;0,E681&lt;&gt;0),SUM(D$3:D681)-SUM(E$3:E681),0)</f>
        <v>823301</v>
      </c>
      <c r="G681" s="5"/>
    </row>
    <row r="682" spans="2:9" ht="15.75" x14ac:dyDescent="0.25">
      <c r="B682" s="53"/>
      <c r="C682" s="5" t="s">
        <v>447</v>
      </c>
      <c r="D682" s="5"/>
      <c r="E682" s="6">
        <v>26500</v>
      </c>
      <c r="F682" s="7">
        <f>IF(OR(D682&lt;&gt;0,E682&lt;&gt;0),SUM(D$3:D682)-SUM(E$3:E682),0)</f>
        <v>796801</v>
      </c>
      <c r="G682" s="5"/>
      <c r="H682" s="3"/>
    </row>
    <row r="683" spans="2:9" ht="15.75" x14ac:dyDescent="0.25">
      <c r="B683" s="53"/>
      <c r="C683" s="5" t="s">
        <v>448</v>
      </c>
      <c r="D683" s="5"/>
      <c r="E683" s="6">
        <v>11000</v>
      </c>
      <c r="F683" s="7">
        <f>IF(OR(D683&lt;&gt;0,E683&lt;&gt;0),SUM(D$3:D683)-SUM(E$3:E683),0)</f>
        <v>785801</v>
      </c>
      <c r="G683" s="5"/>
      <c r="H683" s="3"/>
    </row>
    <row r="684" spans="2:9" ht="15.75" x14ac:dyDescent="0.25">
      <c r="B684" s="53"/>
      <c r="C684" s="5" t="s">
        <v>449</v>
      </c>
      <c r="D684" s="5"/>
      <c r="E684" s="6">
        <v>120000</v>
      </c>
      <c r="F684" s="7">
        <f>IF(OR(D684&lt;&gt;0,E684&lt;&gt;0),SUM(D$3:D684)-SUM(E$3:E684),0)</f>
        <v>665801</v>
      </c>
      <c r="G684" s="5"/>
      <c r="H684" s="3"/>
    </row>
    <row r="685" spans="2:9" ht="15.75" x14ac:dyDescent="0.25">
      <c r="B685" s="53"/>
      <c r="C685" s="5" t="s">
        <v>450</v>
      </c>
      <c r="D685" s="5"/>
      <c r="E685" s="6">
        <v>25000</v>
      </c>
      <c r="F685" s="7">
        <f>IF(OR(D685&lt;&gt;0,E685&lt;&gt;0),SUM(D$3:D685)-SUM(E$3:E685),0)</f>
        <v>640801</v>
      </c>
      <c r="G685" s="5"/>
      <c r="H685" s="3"/>
    </row>
    <row r="686" spans="2:9" ht="15.75" x14ac:dyDescent="0.25">
      <c r="B686" s="54"/>
      <c r="C686" s="5" t="s">
        <v>451</v>
      </c>
      <c r="D686" s="5"/>
      <c r="E686" s="6">
        <v>25500</v>
      </c>
      <c r="F686" s="7">
        <f>IF(OR(D686&lt;&gt;0,E686&lt;&gt;0),SUM(D$3:D686)-SUM(E$3:E686),0)</f>
        <v>615301</v>
      </c>
      <c r="G686" s="5"/>
      <c r="H686" s="3"/>
    </row>
    <row r="687" spans="2:9" ht="15.75" x14ac:dyDescent="0.25">
      <c r="B687" s="52">
        <v>45331</v>
      </c>
      <c r="C687" s="5" t="s">
        <v>7</v>
      </c>
      <c r="D687" s="6">
        <v>1000000</v>
      </c>
      <c r="E687" s="6"/>
      <c r="F687" s="7">
        <f>IF(OR(D687&lt;&gt;0,E687&lt;&gt;0),SUM(D$3:D687)-SUM(E$3:E687),0)</f>
        <v>1615301</v>
      </c>
      <c r="G687" s="5"/>
      <c r="H687" s="3" t="e">
        <f>D687-300000-#REF!-370000+D691-E692-E693</f>
        <v>#REF!</v>
      </c>
      <c r="I687" t="s">
        <v>441</v>
      </c>
    </row>
    <row r="688" spans="2:9" ht="15.75" x14ac:dyDescent="0.25">
      <c r="B688" s="53"/>
      <c r="C688" s="5" t="s">
        <v>452</v>
      </c>
      <c r="D688" s="6"/>
      <c r="E688" s="6">
        <v>140000</v>
      </c>
      <c r="F688" s="7">
        <f>IF(OR(D688&lt;&gt;0,E688&lt;&gt;0),SUM(D$3:D688)-SUM(E$3:E688),0)</f>
        <v>1475301</v>
      </c>
      <c r="G688" s="5"/>
    </row>
    <row r="689" spans="2:9" ht="15.75" x14ac:dyDescent="0.25">
      <c r="B689" s="53"/>
      <c r="C689" s="5" t="s">
        <v>453</v>
      </c>
      <c r="D689" s="6"/>
      <c r="E689" s="6">
        <v>25500</v>
      </c>
      <c r="F689" s="7">
        <f>IF(OR(D689&lt;&gt;0,E689&lt;&gt;0),SUM(D$3:D689)-SUM(E$3:E689),0)</f>
        <v>1449801</v>
      </c>
      <c r="G689" s="5"/>
    </row>
    <row r="690" spans="2:9" ht="15.75" x14ac:dyDescent="0.25">
      <c r="B690" s="53"/>
      <c r="C690" s="5" t="s">
        <v>454</v>
      </c>
      <c r="D690" s="6"/>
      <c r="E690" s="6">
        <v>16000</v>
      </c>
      <c r="F690" s="7">
        <f>IF(OR(D690&lt;&gt;0,E690&lt;&gt;0),SUM(D$3:D690)-SUM(E$3:E690),0)</f>
        <v>1433801</v>
      </c>
      <c r="G690" s="5"/>
    </row>
    <row r="691" spans="2:9" ht="15.75" x14ac:dyDescent="0.25">
      <c r="B691" s="53"/>
      <c r="C691" s="5" t="s">
        <v>7</v>
      </c>
      <c r="D691" s="6">
        <v>1000000</v>
      </c>
      <c r="E691" s="6"/>
      <c r="F691" s="7">
        <f>IF(OR(D691&lt;&gt;0,E691&lt;&gt;0),SUM(D$3:D691)-SUM(E$3:E691),0)</f>
        <v>2433801</v>
      </c>
      <c r="G691" s="5"/>
    </row>
    <row r="692" spans="2:9" ht="15.75" x14ac:dyDescent="0.25">
      <c r="B692" s="53"/>
      <c r="C692" s="5" t="s">
        <v>440</v>
      </c>
      <c r="D692" s="5"/>
      <c r="E692" s="6">
        <v>500000</v>
      </c>
      <c r="F692" s="7">
        <f>IF(OR(D692&lt;&gt;0,E692&lt;&gt;0),SUM(D$3:D692)-SUM(E$3:E692),0)</f>
        <v>1933801</v>
      </c>
      <c r="G692" s="5"/>
      <c r="I692">
        <f>219-89</f>
        <v>130</v>
      </c>
    </row>
    <row r="693" spans="2:9" ht="15.75" x14ac:dyDescent="0.25">
      <c r="B693" s="53"/>
      <c r="C693" s="5" t="s">
        <v>348</v>
      </c>
      <c r="D693" s="5"/>
      <c r="E693" s="6">
        <v>150000</v>
      </c>
      <c r="F693" s="7">
        <f>IF(OR(D693&lt;&gt;0,E693&lt;&gt;0),SUM(D$3:D693)-SUM(E$3:E693),0)</f>
        <v>1783801</v>
      </c>
      <c r="G693" s="5"/>
    </row>
    <row r="694" spans="2:9" ht="15.75" x14ac:dyDescent="0.25">
      <c r="B694" s="54"/>
      <c r="C694" s="5" t="s">
        <v>442</v>
      </c>
      <c r="D694" s="5"/>
      <c r="E694" s="6">
        <v>370000</v>
      </c>
      <c r="F694" s="7">
        <f>IF(OR(D694&lt;&gt;0,E694&lt;&gt;0),SUM(D$3:D694)-SUM(E$3:E694),0)</f>
        <v>1413801</v>
      </c>
      <c r="G694" s="5"/>
    </row>
    <row r="695" spans="2:9" ht="15.75" x14ac:dyDescent="0.25">
      <c r="B695" s="55">
        <v>45332</v>
      </c>
      <c r="C695" s="5" t="s">
        <v>84</v>
      </c>
      <c r="D695" s="6"/>
      <c r="E695" s="6">
        <v>151600</v>
      </c>
      <c r="F695" s="7">
        <f>IF(OR(D695&lt;&gt;0,E695&lt;&gt;0),SUM(D$3:D695)-SUM(E$3:E695),0)</f>
        <v>1262201</v>
      </c>
      <c r="G695" s="5"/>
      <c r="H695" s="3" t="e">
        <f>1000000-E695-#REF!-E696</f>
        <v>#REF!</v>
      </c>
    </row>
    <row r="696" spans="2:9" ht="15.75" x14ac:dyDescent="0.25">
      <c r="B696" s="55"/>
      <c r="C696" s="5" t="s">
        <v>92</v>
      </c>
      <c r="D696" s="6"/>
      <c r="E696" s="6">
        <v>141000</v>
      </c>
      <c r="F696" s="7">
        <f>IF(OR(D696&lt;&gt;0,E696&lt;&gt;0),SUM(D$3:D696)-SUM(E$3:E696),0)</f>
        <v>1121201</v>
      </c>
      <c r="G696" s="5"/>
    </row>
    <row r="697" spans="2:9" ht="15.75" x14ac:dyDescent="0.25">
      <c r="B697" s="55"/>
      <c r="C697" s="5" t="s">
        <v>7</v>
      </c>
      <c r="D697" s="6">
        <v>1000000</v>
      </c>
      <c r="E697" s="6"/>
      <c r="F697" s="7">
        <f>IF(OR(D697&lt;&gt;0,E697&lt;&gt;0),SUM(D$3:D697)-SUM(E$3:E697),0)</f>
        <v>2121201</v>
      </c>
      <c r="G697" s="5"/>
    </row>
    <row r="698" spans="2:9" ht="15.75" x14ac:dyDescent="0.25">
      <c r="B698" s="52">
        <v>45333</v>
      </c>
      <c r="C698" s="5" t="s">
        <v>443</v>
      </c>
      <c r="D698" s="6"/>
      <c r="E698" s="6">
        <v>5000</v>
      </c>
      <c r="F698" s="7">
        <f>IF(OR(D698&lt;&gt;0,E698&lt;&gt;0),SUM(D$3:D698)-SUM(E$3:E698),0)</f>
        <v>2116201</v>
      </c>
      <c r="G698" s="5"/>
    </row>
    <row r="699" spans="2:9" ht="15.75" x14ac:dyDescent="0.25">
      <c r="B699" s="53"/>
      <c r="C699" s="5" t="s">
        <v>444</v>
      </c>
      <c r="D699" s="6"/>
      <c r="E699" s="6">
        <v>80000</v>
      </c>
      <c r="F699" s="7">
        <f>IF(OR(D699&lt;&gt;0,E699&lt;&gt;0),SUM(D$3:D699)-SUM(E$3:E699),0)</f>
        <v>2036201</v>
      </c>
      <c r="G699" s="5"/>
      <c r="I699">
        <f>30000000-2600000-1502500-11000000</f>
        <v>14897500</v>
      </c>
    </row>
    <row r="700" spans="2:9" ht="15.75" x14ac:dyDescent="0.25">
      <c r="B700" s="53"/>
      <c r="C700" s="5" t="s">
        <v>14</v>
      </c>
      <c r="D700" s="5"/>
      <c r="E700" s="6">
        <v>20000</v>
      </c>
      <c r="F700" s="7">
        <f>IF(OR(D700&lt;&gt;0,E700&lt;&gt;0),SUM(D$3:D700)-SUM(E$3:E700),0)</f>
        <v>2016201</v>
      </c>
      <c r="G700" s="5"/>
    </row>
    <row r="701" spans="2:9" ht="15.75" x14ac:dyDescent="0.25">
      <c r="B701" s="53"/>
      <c r="C701" s="5" t="s">
        <v>307</v>
      </c>
      <c r="D701" s="5"/>
      <c r="E701" s="6">
        <v>30000</v>
      </c>
      <c r="F701" s="7">
        <f>IF(OR(D701&lt;&gt;0,E701&lt;&gt;0),SUM(D$3:D701)-SUM(E$3:E701),0)</f>
        <v>1986201</v>
      </c>
      <c r="G701" s="5"/>
    </row>
    <row r="702" spans="2:9" ht="15.75" x14ac:dyDescent="0.25">
      <c r="B702" s="53"/>
      <c r="C702" s="5" t="s">
        <v>445</v>
      </c>
      <c r="D702" s="5"/>
      <c r="E702" s="6">
        <v>10000</v>
      </c>
      <c r="F702" s="7">
        <f>IF(OR(D702&lt;&gt;0,E702&lt;&gt;0),SUM(D$3:D702)-SUM(E$3:E702),0)</f>
        <v>1976201</v>
      </c>
      <c r="G702" s="5"/>
    </row>
    <row r="703" spans="2:9" ht="15.75" x14ac:dyDescent="0.25">
      <c r="B703" s="54"/>
      <c r="C703" s="5" t="s">
        <v>446</v>
      </c>
      <c r="D703" s="5"/>
      <c r="E703" s="6">
        <v>18000</v>
      </c>
      <c r="F703" s="7">
        <f>IF(OR(D703&lt;&gt;0,E703&lt;&gt;0),SUM(D$3:D703)-SUM(E$3:E703),0)</f>
        <v>1958201</v>
      </c>
      <c r="G703" s="5"/>
      <c r="H703" s="3"/>
    </row>
    <row r="704" spans="2:9" ht="15.75" x14ac:dyDescent="0.25">
      <c r="B704" s="52">
        <v>45334</v>
      </c>
      <c r="C704" s="5" t="s">
        <v>455</v>
      </c>
      <c r="D704" s="6"/>
      <c r="E704" s="6">
        <v>200000</v>
      </c>
      <c r="F704" s="7">
        <f>IF(OR(D704&lt;&gt;0,E704&lt;&gt;0),SUM(D$3:D704)-SUM(E$3:E704),0)</f>
        <v>1758201</v>
      </c>
      <c r="G704" s="5"/>
    </row>
    <row r="705" spans="2:8" ht="15.75" x14ac:dyDescent="0.25">
      <c r="B705" s="53"/>
      <c r="C705" s="5" t="s">
        <v>7</v>
      </c>
      <c r="D705" s="6">
        <v>1000000</v>
      </c>
      <c r="E705" s="6"/>
      <c r="F705" s="7">
        <f>IF(OR(D705&lt;&gt;0,E705&lt;&gt;0),SUM(D$3:D705)-SUM(E$3:E705),0)</f>
        <v>2758201</v>
      </c>
      <c r="G705" s="5"/>
    </row>
    <row r="706" spans="2:8" ht="15.75" x14ac:dyDescent="0.25">
      <c r="B706" s="53"/>
      <c r="C706" s="5" t="s">
        <v>27</v>
      </c>
      <c r="D706" s="6"/>
      <c r="E706" s="6">
        <v>200000</v>
      </c>
      <c r="F706" s="7">
        <f>IF(OR(D706&lt;&gt;0,E706&lt;&gt;0),SUM(D$3:D706)-SUM(E$3:E706),0)</f>
        <v>2558201</v>
      </c>
      <c r="G706" s="5"/>
    </row>
    <row r="707" spans="2:8" ht="15.75" x14ac:dyDescent="0.25">
      <c r="B707" s="54"/>
      <c r="C707" s="5" t="s">
        <v>16</v>
      </c>
      <c r="D707" s="6"/>
      <c r="E707" s="6">
        <v>75000</v>
      </c>
      <c r="F707" s="7">
        <f>IF(OR(D707&lt;&gt;0,E707&lt;&gt;0),SUM(D$3:D707)-SUM(E$3:E707),0)</f>
        <v>2483201</v>
      </c>
      <c r="G707" s="5"/>
    </row>
    <row r="708" spans="2:8" ht="15.75" x14ac:dyDescent="0.25">
      <c r="B708" s="52">
        <v>45335</v>
      </c>
      <c r="C708" s="5" t="s">
        <v>44</v>
      </c>
      <c r="D708" s="6">
        <v>550000</v>
      </c>
      <c r="E708" s="6"/>
      <c r="F708" s="7">
        <f>IF(OR(D708&lt;&gt;0,E708&lt;&gt;0),SUM(D$3:D708)-SUM(E$3:E708),0)</f>
        <v>3033201</v>
      </c>
      <c r="G708" s="5"/>
      <c r="H708" s="3"/>
    </row>
    <row r="709" spans="2:8" ht="15.75" x14ac:dyDescent="0.25">
      <c r="B709" s="53"/>
      <c r="C709" s="5" t="s">
        <v>43</v>
      </c>
      <c r="D709" s="6"/>
      <c r="E709" s="6">
        <v>100000</v>
      </c>
      <c r="F709" s="7">
        <f>IF(OR(D709&lt;&gt;0,E709&lt;&gt;0),SUM(D$3:D709)-SUM(E$3:E709),0)</f>
        <v>2933201</v>
      </c>
      <c r="G709" s="5"/>
    </row>
    <row r="710" spans="2:8" ht="15.75" x14ac:dyDescent="0.25">
      <c r="B710" s="53"/>
      <c r="C710" s="5" t="s">
        <v>6</v>
      </c>
      <c r="D710" s="5"/>
      <c r="E710" s="6">
        <v>24800</v>
      </c>
      <c r="F710" s="7">
        <f>IF(OR(D710&lt;&gt;0,E710&lt;&gt;0),SUM(D$3:D710)-SUM(E$3:E710),0)</f>
        <v>2908401</v>
      </c>
      <c r="G710" s="5"/>
    </row>
    <row r="711" spans="2:8" ht="15.75" x14ac:dyDescent="0.25">
      <c r="B711" s="53"/>
      <c r="C711" s="5" t="s">
        <v>7</v>
      </c>
      <c r="D711" s="6">
        <v>3900000</v>
      </c>
      <c r="E711" s="5"/>
      <c r="F711" s="7">
        <f>IF(OR(D711&lt;&gt;0,E711&lt;&gt;0),SUM(D$3:D711)-SUM(E$3:E711),0)</f>
        <v>6808401</v>
      </c>
      <c r="G711" s="5"/>
    </row>
    <row r="712" spans="2:8" ht="15.75" x14ac:dyDescent="0.25">
      <c r="B712" s="53"/>
      <c r="C712" s="5" t="s">
        <v>456</v>
      </c>
      <c r="D712" s="5"/>
      <c r="E712" s="6">
        <v>4100000</v>
      </c>
      <c r="F712" s="7">
        <f>IF(OR(D712&lt;&gt;0,E712&lt;&gt;0),SUM(D$3:D712)-SUM(E$3:E712),0)</f>
        <v>2708401</v>
      </c>
      <c r="G712" s="5"/>
    </row>
    <row r="713" spans="2:8" ht="15.75" x14ac:dyDescent="0.25">
      <c r="B713" s="53"/>
      <c r="C713" s="5" t="s">
        <v>100</v>
      </c>
      <c r="D713" s="5"/>
      <c r="E713" s="6">
        <v>1500</v>
      </c>
      <c r="F713" s="7">
        <f>IF(OR(D713&lt;&gt;0,E713&lt;&gt;0),SUM(D$3:D713)-SUM(E$3:E713),0)</f>
        <v>2706901</v>
      </c>
      <c r="G713" s="5"/>
    </row>
    <row r="714" spans="2:8" ht="15.75" x14ac:dyDescent="0.25">
      <c r="B714" s="53"/>
      <c r="C714" s="5" t="s">
        <v>338</v>
      </c>
      <c r="D714" s="5"/>
      <c r="E714" s="6">
        <v>1000</v>
      </c>
      <c r="F714" s="7">
        <f>IF(OR(D714&lt;&gt;0,E714&lt;&gt;0),SUM(D$3:D714)-SUM(E$3:E714),0)</f>
        <v>2705901</v>
      </c>
      <c r="G714" s="5"/>
    </row>
    <row r="715" spans="2:8" ht="15.75" x14ac:dyDescent="0.25">
      <c r="B715" s="53"/>
      <c r="C715" s="5" t="s">
        <v>457</v>
      </c>
      <c r="D715" s="5"/>
      <c r="E715" s="6">
        <v>40000</v>
      </c>
      <c r="F715" s="7">
        <f>IF(OR(D715&lt;&gt;0,E715&lt;&gt;0),SUM(D$3:D715)-SUM(E$3:E715),0)</f>
        <v>2665901</v>
      </c>
      <c r="G715" s="5"/>
    </row>
    <row r="716" spans="2:8" ht="15.75" x14ac:dyDescent="0.25">
      <c r="B716" s="53"/>
      <c r="C716" s="5" t="s">
        <v>458</v>
      </c>
      <c r="D716" s="5"/>
      <c r="E716" s="6">
        <v>9000</v>
      </c>
      <c r="F716" s="7">
        <f>IF(OR(D716&lt;&gt;0,E716&lt;&gt;0),SUM(D$3:D716)-SUM(E$3:E716),0)</f>
        <v>2656901</v>
      </c>
      <c r="G716" s="5"/>
      <c r="H716" s="3"/>
    </row>
    <row r="717" spans="2:8" ht="15.75" x14ac:dyDescent="0.25">
      <c r="B717" s="53"/>
      <c r="C717" s="5" t="s">
        <v>255</v>
      </c>
      <c r="D717" s="5"/>
      <c r="E717" s="6">
        <v>20000</v>
      </c>
      <c r="F717" s="7">
        <f>IF(OR(D717&lt;&gt;0,E717&lt;&gt;0),SUM(D$3:D717)-SUM(E$3:E717),0)</f>
        <v>2636901</v>
      </c>
      <c r="G717" s="5"/>
    </row>
    <row r="718" spans="2:8" ht="15.75" x14ac:dyDescent="0.25">
      <c r="B718" s="53"/>
      <c r="C718" s="5" t="s">
        <v>43</v>
      </c>
      <c r="D718" s="5"/>
      <c r="E718" s="6">
        <v>150000</v>
      </c>
      <c r="F718" s="7">
        <f>IF(OR(D718&lt;&gt;0,E718&lt;&gt;0),SUM(D$3:D718)-SUM(E$3:E718),0)</f>
        <v>2486901</v>
      </c>
      <c r="G718" s="5"/>
    </row>
    <row r="719" spans="2:8" ht="15.75" x14ac:dyDescent="0.25">
      <c r="B719" s="53"/>
      <c r="C719" s="5" t="s">
        <v>287</v>
      </c>
      <c r="D719" s="5"/>
      <c r="E719" s="6">
        <v>150000</v>
      </c>
      <c r="F719" s="7">
        <f>IF(OR(D719&lt;&gt;0,E719&lt;&gt;0),SUM(D$3:D719)-SUM(E$3:E719),0)</f>
        <v>2336901</v>
      </c>
      <c r="G719" s="5"/>
      <c r="H719" s="3"/>
    </row>
    <row r="720" spans="2:8" ht="15.75" x14ac:dyDescent="0.25">
      <c r="B720" s="54"/>
      <c r="C720" s="5" t="s">
        <v>46</v>
      </c>
      <c r="D720" s="5"/>
      <c r="E720" s="6">
        <v>30000</v>
      </c>
      <c r="F720" s="7">
        <f>IF(OR(D720&lt;&gt;0,E720&lt;&gt;0),SUM(D$3:D720)-SUM(E$3:E720),0)</f>
        <v>2306901</v>
      </c>
      <c r="G720" s="5"/>
      <c r="H720" s="3"/>
    </row>
    <row r="721" spans="2:8" ht="15.75" x14ac:dyDescent="0.25">
      <c r="B721" s="55">
        <v>45337</v>
      </c>
      <c r="C721" s="5" t="s">
        <v>133</v>
      </c>
      <c r="D721" s="6"/>
      <c r="E721" s="6">
        <v>151260</v>
      </c>
      <c r="F721" s="7">
        <f>IF(OR(D721&lt;&gt;0,E721&lt;&gt;0),SUM(D$3:D721)-SUM(E$3:E721),0)</f>
        <v>2155641</v>
      </c>
      <c r="G721" s="5"/>
      <c r="H721" s="3"/>
    </row>
    <row r="722" spans="2:8" ht="15.75" x14ac:dyDescent="0.25">
      <c r="B722" s="55"/>
      <c r="C722" s="5" t="s">
        <v>16</v>
      </c>
      <c r="D722" s="5"/>
      <c r="E722" s="6">
        <v>125000</v>
      </c>
      <c r="F722" s="7">
        <f>IF(OR(D722&lt;&gt;0,E722&lt;&gt;0),SUM(D$3:D722)-SUM(E$3:E722),0)</f>
        <v>2030641</v>
      </c>
      <c r="G722" s="5"/>
    </row>
    <row r="723" spans="2:8" ht="15.75" x14ac:dyDescent="0.25">
      <c r="B723" s="55"/>
      <c r="C723" s="5" t="s">
        <v>327</v>
      </c>
      <c r="D723" s="6"/>
      <c r="E723" s="6">
        <v>81000</v>
      </c>
      <c r="F723" s="7">
        <f>IF(OR(D723&lt;&gt;0,E723&lt;&gt;0),SUM(D$3:D723)-SUM(E$3:E723),0)</f>
        <v>1949641</v>
      </c>
      <c r="G723" s="5"/>
    </row>
    <row r="724" spans="2:8" ht="15.75" x14ac:dyDescent="0.25">
      <c r="B724" s="55"/>
      <c r="C724" s="5" t="s">
        <v>298</v>
      </c>
      <c r="D724" s="5"/>
      <c r="E724" s="6">
        <v>300000</v>
      </c>
      <c r="F724" s="7">
        <f>IF(OR(D724&lt;&gt;0,E724&lt;&gt;0),SUM(D$3:D724)-SUM(E$3:E724),0)</f>
        <v>1649641</v>
      </c>
      <c r="G724" s="5"/>
    </row>
    <row r="725" spans="2:8" ht="15.75" x14ac:dyDescent="0.25">
      <c r="B725" s="55"/>
      <c r="C725" s="5" t="s">
        <v>462</v>
      </c>
      <c r="D725" s="5"/>
      <c r="E725" s="6">
        <v>200000</v>
      </c>
      <c r="F725" s="7">
        <f>IF(OR(D725&lt;&gt;0,E725&lt;&gt;0),SUM(D$3:D725)-SUM(E$3:E725),0)</f>
        <v>1449641</v>
      </c>
      <c r="G725" s="5"/>
    </row>
    <row r="726" spans="2:8" ht="15.75" x14ac:dyDescent="0.25">
      <c r="B726" s="55"/>
      <c r="C726" s="5" t="s">
        <v>461</v>
      </c>
      <c r="D726" s="5"/>
      <c r="E726" s="6">
        <v>200000</v>
      </c>
      <c r="F726" s="7">
        <f>IF(OR(D726&lt;&gt;0,E726&lt;&gt;0),SUM(D$3:D726)-SUM(E$3:E726),0)</f>
        <v>1249641</v>
      </c>
      <c r="G726" s="5"/>
    </row>
    <row r="727" spans="2:8" ht="15.75" x14ac:dyDescent="0.25">
      <c r="B727" s="55"/>
      <c r="C727" s="5" t="s">
        <v>460</v>
      </c>
      <c r="D727" s="5"/>
      <c r="E727" s="6">
        <v>125000</v>
      </c>
      <c r="F727" s="7">
        <f>IF(OR(D727&lt;&gt;0,E727&lt;&gt;0),SUM(D$3:D727)-SUM(E$3:E727),0)</f>
        <v>1124641</v>
      </c>
      <c r="G727" s="5"/>
    </row>
    <row r="728" spans="2:8" ht="15.75" x14ac:dyDescent="0.25">
      <c r="B728" s="55"/>
      <c r="C728" s="5" t="s">
        <v>459</v>
      </c>
      <c r="D728" s="5"/>
      <c r="E728" s="6">
        <v>210000</v>
      </c>
      <c r="F728" s="7">
        <f>IF(OR(D728&lt;&gt;0,E728&lt;&gt;0),SUM(D$3:D728)-SUM(E$3:E728),0)</f>
        <v>914641</v>
      </c>
      <c r="G728" s="5"/>
      <c r="H728" s="3"/>
    </row>
    <row r="729" spans="2:8" ht="15.75" x14ac:dyDescent="0.25">
      <c r="B729" s="52">
        <v>45338</v>
      </c>
      <c r="C729" s="5" t="s">
        <v>463</v>
      </c>
      <c r="D729" s="6"/>
      <c r="E729" s="6">
        <v>50000</v>
      </c>
      <c r="F729" s="7">
        <f>IF(OR(D729&lt;&gt;0,E729&lt;&gt;0),SUM(D$3:D729)-SUM(E$3:E729),0)</f>
        <v>864641</v>
      </c>
      <c r="G729" s="5"/>
    </row>
    <row r="730" spans="2:8" ht="15.75" x14ac:dyDescent="0.25">
      <c r="B730" s="53"/>
      <c r="C730" s="5" t="s">
        <v>14</v>
      </c>
      <c r="D730" s="5"/>
      <c r="E730" s="6">
        <v>30000</v>
      </c>
      <c r="F730" s="7">
        <f>IF(OR(D730&lt;&gt;0,E730&lt;&gt;0),SUM(D$3:D730)-SUM(E$3:E730),0)</f>
        <v>834641</v>
      </c>
      <c r="G730" s="5"/>
    </row>
    <row r="731" spans="2:8" ht="15.75" x14ac:dyDescent="0.25">
      <c r="B731" s="53"/>
      <c r="C731" s="5" t="s">
        <v>285</v>
      </c>
      <c r="D731" s="5"/>
      <c r="E731" s="6">
        <v>100000</v>
      </c>
      <c r="F731" s="7">
        <f>IF(OR(D731&lt;&gt;0,E731&lt;&gt;0),SUM(D$3:D731)-SUM(E$3:E731),0)</f>
        <v>734641</v>
      </c>
      <c r="G731" s="5"/>
    </row>
    <row r="732" spans="2:8" ht="15.75" x14ac:dyDescent="0.25">
      <c r="B732" s="54"/>
      <c r="C732" s="5" t="s">
        <v>311</v>
      </c>
      <c r="D732" s="5"/>
      <c r="E732" s="6">
        <v>400000</v>
      </c>
      <c r="F732" s="7">
        <f>IF(OR(D732&lt;&gt;0,E732&lt;&gt;0),SUM(D$3:D732)-SUM(E$3:E732),0)</f>
        <v>334641</v>
      </c>
      <c r="G732" s="5"/>
    </row>
    <row r="733" spans="2:8" ht="15.75" x14ac:dyDescent="0.25">
      <c r="B733" s="52">
        <v>45339</v>
      </c>
      <c r="C733" s="5" t="s">
        <v>152</v>
      </c>
      <c r="D733" s="6"/>
      <c r="E733" s="6">
        <v>65550</v>
      </c>
      <c r="F733" s="7">
        <f>IF(OR(D733&lt;&gt;0,E733&lt;&gt;0),SUM(D$3:D733)-SUM(E$3:E733),0)</f>
        <v>269091</v>
      </c>
      <c r="G733" s="5"/>
    </row>
    <row r="734" spans="2:8" ht="15.75" x14ac:dyDescent="0.25">
      <c r="B734" s="53"/>
      <c r="C734" s="5" t="s">
        <v>7</v>
      </c>
      <c r="D734" s="6">
        <v>1000000</v>
      </c>
      <c r="E734" s="6"/>
      <c r="F734" s="7">
        <f>IF(OR(D734&lt;&gt;0,E734&lt;&gt;0),SUM(D$3:D734)-SUM(E$3:E734),0)</f>
        <v>1269091</v>
      </c>
      <c r="G734" s="5"/>
      <c r="H734" s="3">
        <f>964000-F734</f>
        <v>-305091</v>
      </c>
    </row>
    <row r="735" spans="2:8" ht="15.75" x14ac:dyDescent="0.25">
      <c r="B735" s="53"/>
      <c r="C735" s="5" t="s">
        <v>464</v>
      </c>
      <c r="D735" s="5"/>
      <c r="E735" s="6">
        <v>100000</v>
      </c>
      <c r="F735" s="7">
        <f>IF(OR(D735&lt;&gt;0,E735&lt;&gt;0),SUM(D$3:D735)-SUM(E$3:E735),0)</f>
        <v>1169091</v>
      </c>
      <c r="G735" s="5"/>
    </row>
    <row r="736" spans="2:8" ht="15.75" x14ac:dyDescent="0.25">
      <c r="B736" s="53"/>
      <c r="C736" s="5" t="s">
        <v>125</v>
      </c>
      <c r="D736" s="5"/>
      <c r="E736" s="6">
        <v>25000</v>
      </c>
      <c r="F736" s="7">
        <f>IF(OR(D736&lt;&gt;0,E736&lt;&gt;0),SUM(D$3:D736)-SUM(E$3:E736),0)</f>
        <v>1144091</v>
      </c>
      <c r="G736" s="5"/>
    </row>
    <row r="737" spans="2:8" ht="15.75" x14ac:dyDescent="0.25">
      <c r="B737" s="53"/>
      <c r="C737" s="5" t="s">
        <v>465</v>
      </c>
      <c r="D737" s="5"/>
      <c r="E737" s="6">
        <v>200000</v>
      </c>
      <c r="F737" s="7">
        <f>IF(OR(D737&lt;&gt;0,E737&lt;&gt;0),SUM(D$3:D737)-SUM(E$3:E737),0)</f>
        <v>944091</v>
      </c>
      <c r="G737" s="5"/>
    </row>
    <row r="738" spans="2:8" ht="15.75" x14ac:dyDescent="0.25">
      <c r="B738" s="53"/>
      <c r="C738" s="5" t="s">
        <v>316</v>
      </c>
      <c r="D738" s="5"/>
      <c r="E738" s="6">
        <v>31000</v>
      </c>
      <c r="F738" s="7">
        <f>IF(OR(D738&lt;&gt;0,E738&lt;&gt;0),SUM(D$3:D738)-SUM(E$3:E738),0)</f>
        <v>913091</v>
      </c>
      <c r="G738" s="5"/>
    </row>
    <row r="739" spans="2:8" ht="15.75" x14ac:dyDescent="0.25">
      <c r="B739" s="54"/>
      <c r="C739" s="5" t="s">
        <v>466</v>
      </c>
      <c r="D739" s="5"/>
      <c r="E739" s="6">
        <v>13600</v>
      </c>
      <c r="F739" s="7">
        <f>IF(OR(D739&lt;&gt;0,E739&lt;&gt;0),SUM(D$3:D739)-SUM(E$3:E739),0)</f>
        <v>899491</v>
      </c>
      <c r="G739" s="5"/>
      <c r="H739" s="3">
        <f>580000-F739</f>
        <v>-319491</v>
      </c>
    </row>
    <row r="740" spans="2:8" ht="15.75" x14ac:dyDescent="0.25">
      <c r="B740" s="52">
        <v>45341</v>
      </c>
      <c r="C740" s="5" t="s">
        <v>311</v>
      </c>
      <c r="D740" s="6"/>
      <c r="E740" s="6">
        <v>100000</v>
      </c>
      <c r="F740" s="7">
        <f>IF(OR(D740&lt;&gt;0,E740&lt;&gt;0),SUM(D$3:D740)-SUM(E$3:E740),0)</f>
        <v>799491</v>
      </c>
      <c r="G740" s="5"/>
      <c r="H740" t="s">
        <v>72</v>
      </c>
    </row>
    <row r="741" spans="2:8" ht="15.75" x14ac:dyDescent="0.25">
      <c r="B741" s="53"/>
      <c r="C741" s="5" t="s">
        <v>177</v>
      </c>
      <c r="D741" s="6"/>
      <c r="E741" s="6">
        <v>100000</v>
      </c>
      <c r="F741" s="7">
        <f>IF(OR(D741&lt;&gt;0,E741&lt;&gt;0),SUM(D$3:D741)-SUM(E$3:E741),0)</f>
        <v>699491</v>
      </c>
      <c r="G741" s="5"/>
    </row>
    <row r="742" spans="2:8" ht="15.75" x14ac:dyDescent="0.25">
      <c r="B742" s="53"/>
      <c r="C742" s="5" t="s">
        <v>467</v>
      </c>
      <c r="D742" s="5"/>
      <c r="E742" s="6">
        <v>100000</v>
      </c>
      <c r="F742" s="7">
        <f>IF(OR(D742&lt;&gt;0,E742&lt;&gt;0),SUM(D$3:D742)-SUM(E$3:E742),0)</f>
        <v>599491</v>
      </c>
      <c r="G742" s="5"/>
    </row>
    <row r="743" spans="2:8" ht="15.75" x14ac:dyDescent="0.25">
      <c r="B743" s="53"/>
      <c r="C743" s="5" t="s">
        <v>208</v>
      </c>
      <c r="D743" s="5"/>
      <c r="E743" s="6">
        <v>150000</v>
      </c>
      <c r="F743" s="7">
        <f>IF(OR(D743&lt;&gt;0,E743&lt;&gt;0),SUM(D$3:D743)-SUM(E$3:E743),0)</f>
        <v>449491</v>
      </c>
      <c r="G743" s="5"/>
      <c r="H743" s="3"/>
    </row>
    <row r="744" spans="2:8" ht="15.75" x14ac:dyDescent="0.25">
      <c r="B744" s="53"/>
      <c r="C744" s="5" t="s">
        <v>468</v>
      </c>
      <c r="D744" s="5"/>
      <c r="E744" s="6">
        <v>500000</v>
      </c>
      <c r="F744" s="7">
        <f>IF(OR(D744&lt;&gt;0,E744&lt;&gt;0),SUM(D$3:D744)-SUM(E$3:E744),0)</f>
        <v>-50509</v>
      </c>
      <c r="G744" s="5"/>
      <c r="H744" s="3"/>
    </row>
    <row r="745" spans="2:8" ht="15.75" x14ac:dyDescent="0.25">
      <c r="B745" s="53"/>
      <c r="C745" s="5" t="s">
        <v>7</v>
      </c>
      <c r="D745" s="6">
        <v>1000000</v>
      </c>
      <c r="E745" s="6"/>
      <c r="F745" s="7">
        <f>IF(OR(D745&lt;&gt;0,E745&lt;&gt;0),SUM(D$3:D745)-SUM(E$3:E745),0)</f>
        <v>949491</v>
      </c>
      <c r="G745" s="5"/>
    </row>
    <row r="746" spans="2:8" ht="15.75" x14ac:dyDescent="0.25">
      <c r="B746" s="54"/>
      <c r="C746" s="5" t="s">
        <v>348</v>
      </c>
      <c r="D746" s="5"/>
      <c r="E746" s="6">
        <v>200000</v>
      </c>
      <c r="F746" s="7">
        <f>IF(OR(D746&lt;&gt;0,E746&lt;&gt;0),SUM(D$3:D746)-SUM(E$3:E746),0)</f>
        <v>749491</v>
      </c>
      <c r="G746" s="5"/>
    </row>
    <row r="747" spans="2:8" ht="15.75" x14ac:dyDescent="0.25">
      <c r="B747" s="52">
        <v>45342</v>
      </c>
      <c r="C747" s="5" t="s">
        <v>311</v>
      </c>
      <c r="D747" s="6"/>
      <c r="E747" s="6">
        <v>100000</v>
      </c>
      <c r="F747" s="7">
        <f>IF(OR(D747&lt;&gt;0,E747&lt;&gt;0),SUM(D$3:D747)-SUM(E$3:E747),0)</f>
        <v>649491</v>
      </c>
      <c r="G747" s="5"/>
      <c r="H747" s="3">
        <f>184000-F747</f>
        <v>-465491</v>
      </c>
    </row>
    <row r="748" spans="2:8" ht="15.75" x14ac:dyDescent="0.25">
      <c r="B748" s="53"/>
      <c r="C748" s="5" t="s">
        <v>7</v>
      </c>
      <c r="D748" s="6">
        <v>1000000</v>
      </c>
      <c r="E748" s="6"/>
      <c r="F748" s="7">
        <f>IF(OR(D748&lt;&gt;0,E748&lt;&gt;0),SUM(D$3:D748)-SUM(E$3:E748),0)</f>
        <v>1649491</v>
      </c>
      <c r="G748" s="5"/>
    </row>
    <row r="749" spans="2:8" ht="15.75" x14ac:dyDescent="0.25">
      <c r="B749" s="53"/>
      <c r="C749" s="5" t="s">
        <v>316</v>
      </c>
      <c r="D749" s="5"/>
      <c r="E749" s="6">
        <v>71000</v>
      </c>
      <c r="F749" s="7">
        <f>IF(OR(D749&lt;&gt;0,E749&lt;&gt;0),SUM(D$3:D749)-SUM(E$3:E749),0)</f>
        <v>1578491</v>
      </c>
      <c r="G749" s="5"/>
    </row>
    <row r="750" spans="2:8" ht="15.75" x14ac:dyDescent="0.25">
      <c r="B750" s="53"/>
      <c r="C750" s="5" t="s">
        <v>75</v>
      </c>
      <c r="D750" s="5"/>
      <c r="E750" s="6">
        <v>30000</v>
      </c>
      <c r="F750" s="7">
        <f>IF(OR(D750&lt;&gt;0,E750&lt;&gt;0),SUM(D$3:D750)-SUM(E$3:E750),0)</f>
        <v>1548491</v>
      </c>
      <c r="G750" s="5"/>
    </row>
    <row r="751" spans="2:8" ht="15.75" x14ac:dyDescent="0.25">
      <c r="B751" s="53"/>
      <c r="C751" s="5" t="s">
        <v>469</v>
      </c>
      <c r="D751" s="5"/>
      <c r="E751" s="6">
        <v>40000</v>
      </c>
      <c r="F751" s="7">
        <f>IF(OR(D751&lt;&gt;0,E751&lt;&gt;0),SUM(D$3:D751)-SUM(E$3:E751),0)</f>
        <v>1508491</v>
      </c>
      <c r="G751" s="5"/>
    </row>
    <row r="752" spans="2:8" ht="15.75" x14ac:dyDescent="0.25">
      <c r="B752" s="53"/>
      <c r="C752" s="5" t="s">
        <v>470</v>
      </c>
      <c r="D752" s="5"/>
      <c r="E752" s="6">
        <v>80000</v>
      </c>
      <c r="F752" s="7">
        <f>IF(OR(D752&lt;&gt;0,E752&lt;&gt;0),SUM(D$3:D752)-SUM(E$3:E752),0)</f>
        <v>1428491</v>
      </c>
      <c r="G752" s="5"/>
      <c r="H752" s="3"/>
    </row>
    <row r="753" spans="2:9" ht="15.75" x14ac:dyDescent="0.25">
      <c r="B753" s="53"/>
      <c r="C753" s="5" t="s">
        <v>476</v>
      </c>
      <c r="D753" s="5"/>
      <c r="E753" s="6">
        <v>700000</v>
      </c>
      <c r="F753" s="7">
        <f>IF(OR(D753&lt;&gt;0,E753&lt;&gt;0),SUM(D$3:D753)-SUM(E$3:E753),0)</f>
        <v>728491</v>
      </c>
      <c r="G753" s="5"/>
    </row>
    <row r="754" spans="2:9" ht="15.75" x14ac:dyDescent="0.25">
      <c r="B754" s="53"/>
      <c r="C754" s="5" t="s">
        <v>471</v>
      </c>
      <c r="D754" s="5"/>
      <c r="E754" s="6">
        <v>30000</v>
      </c>
      <c r="F754" s="7">
        <f>IF(OR(D754&lt;&gt;0,E754&lt;&gt;0),SUM(D$3:D754)-SUM(E$3:E754),0)</f>
        <v>698491</v>
      </c>
      <c r="G754" s="5"/>
    </row>
    <row r="755" spans="2:9" ht="15.75" x14ac:dyDescent="0.25">
      <c r="B755" s="53"/>
      <c r="C755" s="5" t="s">
        <v>329</v>
      </c>
      <c r="D755" s="6"/>
      <c r="E755" s="6">
        <v>20000</v>
      </c>
      <c r="F755" s="7">
        <f>IF(OR(D755&lt;&gt;0,E755&lt;&gt;0),SUM(D$3:D755)-SUM(E$3:E755),0)</f>
        <v>678491</v>
      </c>
      <c r="G755" s="5"/>
    </row>
    <row r="756" spans="2:9" ht="15.75" x14ac:dyDescent="0.25">
      <c r="B756" s="67">
        <v>45343</v>
      </c>
      <c r="C756" s="1" t="s">
        <v>7</v>
      </c>
      <c r="D756" s="8">
        <v>1000000</v>
      </c>
      <c r="E756" s="8"/>
      <c r="F756" s="9">
        <f>IF(OR(D756&lt;&gt;0,E756&lt;&gt;0),SUM(D$3:D756)-SUM(E$3:E756),0)</f>
        <v>1678491</v>
      </c>
      <c r="G756" s="1"/>
    </row>
    <row r="757" spans="2:9" ht="15.75" x14ac:dyDescent="0.25">
      <c r="B757" s="68"/>
      <c r="C757" s="1" t="s">
        <v>472</v>
      </c>
      <c r="D757" s="8"/>
      <c r="E757" s="8">
        <v>30000</v>
      </c>
      <c r="F757" s="9">
        <f>IF(OR(D757&lt;&gt;0,E757&lt;&gt;0),SUM(D$3:D757)-SUM(E$3:E757),0)</f>
        <v>1648491</v>
      </c>
      <c r="G757" s="1"/>
    </row>
    <row r="758" spans="2:9" ht="15.75" x14ac:dyDescent="0.25">
      <c r="B758" s="68"/>
      <c r="C758" s="1" t="s">
        <v>473</v>
      </c>
      <c r="D758" s="1"/>
      <c r="E758" s="8">
        <v>30000</v>
      </c>
      <c r="F758" s="9">
        <f>IF(OR(D758&lt;&gt;0,E758&lt;&gt;0),SUM(D$3:D758)-SUM(E$3:E758),0)</f>
        <v>1618491</v>
      </c>
      <c r="G758" s="1"/>
    </row>
    <row r="759" spans="2:9" ht="15.75" x14ac:dyDescent="0.25">
      <c r="B759" s="66">
        <v>45344</v>
      </c>
      <c r="C759" s="1" t="s">
        <v>67</v>
      </c>
      <c r="D759" s="8"/>
      <c r="E759" s="8">
        <v>175000</v>
      </c>
      <c r="F759" s="9">
        <f>IF(OR(D759&lt;&gt;0,E759&lt;&gt;0),SUM(D$3:D759)-SUM(E$3:E759),0)</f>
        <v>1443491</v>
      </c>
      <c r="G759" s="1"/>
    </row>
    <row r="760" spans="2:9" ht="15.75" x14ac:dyDescent="0.25">
      <c r="B760" s="66"/>
      <c r="C760" s="1" t="s">
        <v>377</v>
      </c>
      <c r="D760" s="8"/>
      <c r="E760" s="8">
        <v>10000</v>
      </c>
      <c r="F760" s="9">
        <f>IF(OR(D760&lt;&gt;0,E760&lt;&gt;0),SUM(D$3:D760)-SUM(E$3:E760),0)</f>
        <v>1433491</v>
      </c>
      <c r="G760" s="1"/>
    </row>
    <row r="761" spans="2:9" ht="15.75" x14ac:dyDescent="0.25">
      <c r="B761" s="66"/>
      <c r="C761" s="1" t="s">
        <v>474</v>
      </c>
      <c r="D761" s="1"/>
      <c r="E761" s="8">
        <v>16000</v>
      </c>
      <c r="F761" s="9">
        <f>IF(OR(D761&lt;&gt;0,E761&lt;&gt;0),SUM(D$3:D761)-SUM(E$3:E761),0)</f>
        <v>1417491</v>
      </c>
      <c r="G761" s="1"/>
      <c r="H761" s="3">
        <f>892000-F761</f>
        <v>-525491</v>
      </c>
    </row>
    <row r="762" spans="2:9" ht="15.75" x14ac:dyDescent="0.25">
      <c r="B762" s="66"/>
      <c r="C762" s="1" t="s">
        <v>475</v>
      </c>
      <c r="D762" s="1"/>
      <c r="E762" s="8">
        <v>20000</v>
      </c>
      <c r="F762" s="9">
        <f>IF(OR(D762&lt;&gt;0,E762&lt;&gt;0),SUM(D$3:D762)-SUM(E$3:E762),0)</f>
        <v>1397491</v>
      </c>
      <c r="G762" s="1"/>
    </row>
    <row r="763" spans="2:9" ht="15.75" x14ac:dyDescent="0.25">
      <c r="B763" s="66"/>
      <c r="C763" s="1" t="s">
        <v>14</v>
      </c>
      <c r="D763" s="1"/>
      <c r="E763" s="8">
        <v>50000</v>
      </c>
      <c r="F763" s="9">
        <f>IF(OR(D763&lt;&gt;0,E763&lt;&gt;0),SUM(D$3:D763)-SUM(E$3:E763),0)</f>
        <v>1347491</v>
      </c>
      <c r="G763" s="1"/>
      <c r="I763">
        <f>2499000+6254000</f>
        <v>8753000</v>
      </c>
    </row>
    <row r="764" spans="2:9" ht="15.75" x14ac:dyDescent="0.25">
      <c r="B764" s="66"/>
      <c r="C764" s="1" t="s">
        <v>478</v>
      </c>
      <c r="D764" s="1"/>
      <c r="E764" s="8">
        <v>25000</v>
      </c>
      <c r="F764" s="9">
        <f>IF(OR(D764&lt;&gt;0,E764&lt;&gt;0),SUM(D$3:D764)-SUM(E$3:E764),0)</f>
        <v>1322491</v>
      </c>
      <c r="G764" s="1"/>
      <c r="H764" s="3"/>
    </row>
    <row r="765" spans="2:9" ht="15.75" x14ac:dyDescent="0.25">
      <c r="B765" s="66"/>
      <c r="C765" s="1" t="s">
        <v>265</v>
      </c>
      <c r="D765" s="1"/>
      <c r="E765" s="8">
        <v>50000</v>
      </c>
      <c r="F765" s="9">
        <f>IF(OR(D765&lt;&gt;0,E765&lt;&gt;0),SUM(D$3:D765)-SUM(E$3:E765),0)</f>
        <v>1272491</v>
      </c>
      <c r="G765" s="1"/>
      <c r="H765" s="3"/>
    </row>
    <row r="766" spans="2:9" ht="15.75" x14ac:dyDescent="0.25">
      <c r="B766" s="66"/>
      <c r="C766" s="1" t="s">
        <v>477</v>
      </c>
      <c r="D766" s="1"/>
      <c r="E766" s="8">
        <v>150000</v>
      </c>
      <c r="F766" s="9">
        <f>IF(OR(D766&lt;&gt;0,E766&lt;&gt;0),SUM(D$3:D766)-SUM(E$3:E766),0)</f>
        <v>1122491</v>
      </c>
      <c r="G766" s="1"/>
    </row>
    <row r="767" spans="2:9" ht="15.75" x14ac:dyDescent="0.25">
      <c r="B767" s="67">
        <v>45345</v>
      </c>
      <c r="C767" s="1" t="s">
        <v>390</v>
      </c>
      <c r="D767" s="8"/>
      <c r="E767" s="8">
        <v>100000</v>
      </c>
      <c r="F767" s="9">
        <f>IF(OR(D767&lt;&gt;0,E767&lt;&gt;0),SUM(D$3:D767)-SUM(E$3:E767),0)</f>
        <v>1022491</v>
      </c>
      <c r="G767" s="1"/>
    </row>
    <row r="768" spans="2:9" ht="15.75" x14ac:dyDescent="0.25">
      <c r="B768" s="68"/>
      <c r="C768" s="1" t="s">
        <v>345</v>
      </c>
      <c r="D768" s="8"/>
      <c r="E768" s="8">
        <v>15000</v>
      </c>
      <c r="F768" s="9">
        <f>IF(OR(D768&lt;&gt;0,E768&lt;&gt;0),SUM(D$3:D768)-SUM(E$3:E768),0)</f>
        <v>1007491</v>
      </c>
      <c r="G768" s="1"/>
    </row>
    <row r="769" spans="2:8" ht="15.75" x14ac:dyDescent="0.25">
      <c r="B769" s="68"/>
      <c r="C769" s="1" t="s">
        <v>329</v>
      </c>
      <c r="D769" s="1" t="s">
        <v>72</v>
      </c>
      <c r="E769" s="8">
        <v>500000</v>
      </c>
      <c r="F769" s="9">
        <f>IF(OR(D769&lt;&gt;0,E769&lt;&gt;0),SUM(D$3:D769)-SUM(E$3:E769),0)</f>
        <v>507491</v>
      </c>
      <c r="G769" s="1"/>
    </row>
    <row r="770" spans="2:8" ht="15.75" x14ac:dyDescent="0.25">
      <c r="B770" s="68"/>
      <c r="C770" s="1" t="s">
        <v>483</v>
      </c>
      <c r="D770" s="1"/>
      <c r="E770" s="8">
        <v>1000</v>
      </c>
      <c r="F770" s="9">
        <f>IF(OR(D770&lt;&gt;0,E770&lt;&gt;0),SUM(D$3:D770)-SUM(E$3:E770),0)</f>
        <v>506491</v>
      </c>
      <c r="G770" s="1"/>
    </row>
    <row r="771" spans="2:8" ht="15.75" x14ac:dyDescent="0.25">
      <c r="B771" s="68"/>
      <c r="C771" s="1" t="s">
        <v>484</v>
      </c>
      <c r="D771" s="1"/>
      <c r="E771" s="8">
        <v>3000</v>
      </c>
      <c r="F771" s="9">
        <f>IF(OR(D771&lt;&gt;0,E771&lt;&gt;0),SUM(D$3:D771)-SUM(E$3:E771),0)</f>
        <v>503491</v>
      </c>
      <c r="G771" s="1"/>
    </row>
    <row r="772" spans="2:8" ht="15.75" x14ac:dyDescent="0.25">
      <c r="B772" s="68"/>
      <c r="C772" s="1" t="s">
        <v>41</v>
      </c>
      <c r="D772" s="1"/>
      <c r="E772" s="8">
        <v>100000</v>
      </c>
      <c r="F772" s="9">
        <f>IF(OR(D772&lt;&gt;0,E772&lt;&gt;0),SUM(D$3:D772)-SUM(E$3:E772),0)</f>
        <v>403491</v>
      </c>
      <c r="G772" s="1"/>
      <c r="H772" s="3">
        <f>691000-F769</f>
        <v>183509</v>
      </c>
    </row>
    <row r="773" spans="2:8" ht="15.75" x14ac:dyDescent="0.25">
      <c r="B773" s="68"/>
      <c r="C773" s="1" t="s">
        <v>7</v>
      </c>
      <c r="D773" s="8">
        <v>2500000</v>
      </c>
      <c r="E773" s="8"/>
      <c r="F773" s="9">
        <f>IF(OR(D773&lt;&gt;0,E773&lt;&gt;0),SUM(D$3:D773)-SUM(E$3:E773),0)</f>
        <v>2903491</v>
      </c>
      <c r="G773" s="1"/>
    </row>
    <row r="774" spans="2:8" ht="15.75" x14ac:dyDescent="0.25">
      <c r="B774" s="68"/>
      <c r="C774" s="1" t="s">
        <v>479</v>
      </c>
      <c r="D774" s="1"/>
      <c r="E774" s="8">
        <v>2078960</v>
      </c>
      <c r="F774" s="9">
        <f>IF(OR(D774&lt;&gt;0,E774&lt;&gt;0),SUM(D$3:D774)-SUM(E$3:E774),0)</f>
        <v>824531</v>
      </c>
      <c r="G774" s="1"/>
    </row>
    <row r="775" spans="2:8" ht="15.75" x14ac:dyDescent="0.25">
      <c r="B775" s="68"/>
      <c r="C775" s="1" t="s">
        <v>480</v>
      </c>
      <c r="D775" s="1"/>
      <c r="E775" s="8">
        <v>50000</v>
      </c>
      <c r="F775" s="9">
        <f>IF(OR(D775&lt;&gt;0,E775&lt;&gt;0),SUM(D$3:D775)-SUM(E$3:E775),0)</f>
        <v>774531</v>
      </c>
      <c r="G775" s="1"/>
    </row>
    <row r="776" spans="2:8" ht="15.75" x14ac:dyDescent="0.25">
      <c r="B776" s="68"/>
      <c r="C776" s="1" t="s">
        <v>481</v>
      </c>
      <c r="D776" s="1"/>
      <c r="E776" s="8">
        <v>30000</v>
      </c>
      <c r="F776" s="9">
        <f>IF(OR(D776&lt;&gt;0,E776&lt;&gt;0),SUM(D$3:D776)-SUM(E$3:E776),0)</f>
        <v>744531</v>
      </c>
      <c r="G776" s="1"/>
      <c r="H776" s="3"/>
    </row>
    <row r="777" spans="2:8" ht="15.75" x14ac:dyDescent="0.25">
      <c r="B777" s="68"/>
      <c r="C777" s="1" t="s">
        <v>482</v>
      </c>
      <c r="D777" s="1"/>
      <c r="E777" s="8">
        <v>50000</v>
      </c>
      <c r="F777" s="9">
        <f>IF(OR(D777&lt;&gt;0,E777&lt;&gt;0),SUM(D$3:D777)-SUM(E$3:E777),0)</f>
        <v>694531</v>
      </c>
      <c r="G777" s="1"/>
    </row>
    <row r="778" spans="2:8" ht="15.75" x14ac:dyDescent="0.25">
      <c r="B778" s="68"/>
      <c r="C778" s="1" t="s">
        <v>7</v>
      </c>
      <c r="D778" s="8">
        <v>500000</v>
      </c>
      <c r="E778" s="1"/>
      <c r="F778" s="9">
        <f>IF(OR(D778&lt;&gt;0,E778&lt;&gt;0),SUM(D$3:D778)-SUM(E$3:E778),0)</f>
        <v>1194531</v>
      </c>
      <c r="G778" s="1"/>
      <c r="H778" s="3"/>
    </row>
    <row r="779" spans="2:8" ht="15.75" x14ac:dyDescent="0.25">
      <c r="B779" s="69"/>
      <c r="C779" s="1" t="s">
        <v>87</v>
      </c>
      <c r="D779" s="1"/>
      <c r="E779" s="8">
        <v>305000</v>
      </c>
      <c r="F779" s="9">
        <f>IF(OR(D779&lt;&gt;0,E779&lt;&gt;0),SUM(D$3:D779)-SUM(E$3:E779),0)</f>
        <v>889531</v>
      </c>
      <c r="G779" s="1"/>
    </row>
    <row r="780" spans="2:8" ht="15.75" x14ac:dyDescent="0.25">
      <c r="B780" s="66">
        <v>45346</v>
      </c>
      <c r="C780" s="1" t="s">
        <v>326</v>
      </c>
      <c r="D780" s="1"/>
      <c r="E780" s="8">
        <v>90000</v>
      </c>
      <c r="F780" s="9">
        <f>IF(OR(D780&lt;&gt;0,E780&lt;&gt;0),SUM(D$3:D780)-SUM(E$3:E780),0)</f>
        <v>799531</v>
      </c>
      <c r="G780" s="1"/>
      <c r="H780" s="3">
        <f>381000-F780</f>
        <v>-418531</v>
      </c>
    </row>
    <row r="781" spans="2:8" ht="15.75" x14ac:dyDescent="0.25">
      <c r="B781" s="66"/>
      <c r="C781" s="1" t="s">
        <v>485</v>
      </c>
      <c r="D781" s="1"/>
      <c r="E781" s="8">
        <v>30000</v>
      </c>
      <c r="F781" s="9">
        <f>IF(OR(D781&lt;&gt;0,E781&lt;&gt;0),SUM(D$3:D781)-SUM(E$3:E781),0)</f>
        <v>769531</v>
      </c>
      <c r="G781" s="1"/>
    </row>
    <row r="782" spans="2:8" ht="15.75" x14ac:dyDescent="0.25">
      <c r="B782" s="66"/>
      <c r="C782" s="1" t="s">
        <v>486</v>
      </c>
      <c r="D782" s="1"/>
      <c r="E782" s="8">
        <v>30000</v>
      </c>
      <c r="F782" s="9">
        <f>IF(OR(D782&lt;&gt;0,E782&lt;&gt;0),SUM(D$3:D782)-SUM(E$3:E782),0)</f>
        <v>739531</v>
      </c>
      <c r="G782" s="1"/>
    </row>
    <row r="783" spans="2:8" ht="15.75" x14ac:dyDescent="0.25">
      <c r="B783" s="66"/>
      <c r="C783" s="1" t="s">
        <v>487</v>
      </c>
      <c r="D783" s="1"/>
      <c r="E783" s="8">
        <v>60000</v>
      </c>
      <c r="F783" s="9">
        <f>IF(OR(D783&lt;&gt;0,E783&lt;&gt;0),SUM(D$3:D783)-SUM(E$3:E783),0)</f>
        <v>679531</v>
      </c>
      <c r="G783" s="1"/>
    </row>
    <row r="784" spans="2:8" ht="15.75" x14ac:dyDescent="0.25">
      <c r="B784" s="66"/>
      <c r="C784" s="1" t="s">
        <v>488</v>
      </c>
      <c r="D784" s="8"/>
      <c r="E784" s="8">
        <v>50000</v>
      </c>
      <c r="F784" s="9">
        <f>IF(OR(D784&lt;&gt;0,E784&lt;&gt;0),SUM(D$3:D784)-SUM(E$3:E784),0)</f>
        <v>629531</v>
      </c>
      <c r="G784" s="1"/>
      <c r="H784" s="3">
        <f>201000-F784</f>
        <v>-428531</v>
      </c>
    </row>
    <row r="785" spans="2:8" ht="15.75" x14ac:dyDescent="0.25">
      <c r="B785" s="66"/>
      <c r="C785" s="1" t="s">
        <v>311</v>
      </c>
      <c r="D785" s="1"/>
      <c r="E785" s="8">
        <v>100000</v>
      </c>
      <c r="F785" s="9">
        <f>IF(OR(D785&lt;&gt;0,E785&lt;&gt;0),SUM(D$3:D785)-SUM(E$3:E785),0)</f>
        <v>529531</v>
      </c>
      <c r="G785" s="1"/>
      <c r="H785" t="s">
        <v>489</v>
      </c>
    </row>
    <row r="786" spans="2:8" ht="15.75" x14ac:dyDescent="0.25">
      <c r="B786" s="66"/>
      <c r="C786" s="1" t="s">
        <v>11</v>
      </c>
      <c r="D786" s="1"/>
      <c r="E786" s="8">
        <v>24500</v>
      </c>
      <c r="F786" s="9">
        <f>IF(OR(D786&lt;&gt;0,E786&lt;&gt;0),SUM(D$3:D786)-SUM(E$3:E786),0)</f>
        <v>505031</v>
      </c>
      <c r="G786" s="1"/>
      <c r="H786" t="s">
        <v>72</v>
      </c>
    </row>
    <row r="787" spans="2:8" ht="15.75" x14ac:dyDescent="0.25">
      <c r="B787" s="67">
        <v>45348</v>
      </c>
      <c r="C787" s="1" t="s">
        <v>490</v>
      </c>
      <c r="D787" s="1"/>
      <c r="E787" s="8">
        <v>72000</v>
      </c>
      <c r="F787" s="9">
        <f>IF(OR(D787&lt;&gt;0,E787&lt;&gt;0),SUM(D$3:D787)-SUM(E$3:E787),0)</f>
        <v>433031</v>
      </c>
      <c r="G787" s="1"/>
    </row>
    <row r="788" spans="2:8" ht="15.75" x14ac:dyDescent="0.25">
      <c r="B788" s="68"/>
      <c r="C788" s="1" t="s">
        <v>14</v>
      </c>
      <c r="D788" s="1"/>
      <c r="E788" s="8">
        <v>30000</v>
      </c>
      <c r="F788" s="9">
        <f>IF(OR(D788&lt;&gt;0,E788&lt;&gt;0),SUM(D$3:D788)-SUM(E$3:E788),0)</f>
        <v>403031</v>
      </c>
      <c r="G788" s="1"/>
    </row>
    <row r="789" spans="2:8" ht="15.75" x14ac:dyDescent="0.25">
      <c r="B789" s="68"/>
      <c r="C789" s="1" t="s">
        <v>491</v>
      </c>
      <c r="D789" s="1"/>
      <c r="E789" s="8">
        <v>45000</v>
      </c>
      <c r="F789" s="9">
        <f>IF(OR(D789&lt;&gt;0,E789&lt;&gt;0),SUM(D$3:D789)-SUM(E$3:E789),0)</f>
        <v>358031</v>
      </c>
      <c r="G789" s="1"/>
    </row>
    <row r="790" spans="2:8" ht="15.75" x14ac:dyDescent="0.25">
      <c r="B790" s="69"/>
      <c r="C790" s="1" t="s">
        <v>416</v>
      </c>
      <c r="D790" s="1"/>
      <c r="E790" s="8">
        <v>5000</v>
      </c>
      <c r="F790" s="9">
        <f>IF(OR(D790&lt;&gt;0,E790&lt;&gt;0),SUM(D$3:D790)-SUM(E$3:E790),0)</f>
        <v>353031</v>
      </c>
      <c r="G790" s="1"/>
    </row>
    <row r="791" spans="2:8" ht="15.75" x14ac:dyDescent="0.25">
      <c r="B791" s="66">
        <v>45349</v>
      </c>
      <c r="C791" s="1" t="s">
        <v>7</v>
      </c>
      <c r="D791" s="8">
        <v>1500000</v>
      </c>
      <c r="E791" s="8"/>
      <c r="F791" s="9">
        <f>IF(OR(D791&lt;&gt;0,E791&lt;&gt;0),SUM(D$3:D791)-SUM(E$3:E791),0)</f>
        <v>1853031</v>
      </c>
      <c r="G791" s="1"/>
    </row>
    <row r="792" spans="2:8" ht="15.75" x14ac:dyDescent="0.25">
      <c r="B792" s="66"/>
      <c r="C792" s="1" t="s">
        <v>492</v>
      </c>
      <c r="D792" s="1"/>
      <c r="E792" s="8">
        <v>450000</v>
      </c>
      <c r="F792" s="9">
        <f>IF(OR(D792&lt;&gt;0,E792&lt;&gt;0),SUM(D$3:D792)-SUM(E$3:E792),0)</f>
        <v>1403031</v>
      </c>
      <c r="G792" s="1"/>
    </row>
    <row r="793" spans="2:8" ht="15.75" x14ac:dyDescent="0.25">
      <c r="B793" s="66"/>
      <c r="C793" s="1" t="s">
        <v>41</v>
      </c>
      <c r="D793" s="1"/>
      <c r="E793" s="8">
        <v>200000</v>
      </c>
      <c r="F793" s="9">
        <f>IF(OR(D793&lt;&gt;0,E793&lt;&gt;0),SUM(D$3:D793)-SUM(E$3:E793),0)</f>
        <v>1203031</v>
      </c>
      <c r="G793" s="1"/>
    </row>
    <row r="794" spans="2:8" ht="15.75" x14ac:dyDescent="0.25">
      <c r="B794" s="66"/>
      <c r="C794" s="1" t="s">
        <v>493</v>
      </c>
      <c r="D794" s="1"/>
      <c r="E794" s="8">
        <v>260000</v>
      </c>
      <c r="F794" s="9">
        <f>IF(OR(D794&lt;&gt;0,E794&lt;&gt;0),SUM(D$3:D794)-SUM(E$3:E794),0)</f>
        <v>943031</v>
      </c>
      <c r="G794" s="1"/>
    </row>
    <row r="795" spans="2:8" ht="15.75" x14ac:dyDescent="0.25">
      <c r="B795" s="66"/>
      <c r="C795" s="1" t="s">
        <v>241</v>
      </c>
      <c r="D795" s="1"/>
      <c r="E795" s="8">
        <v>200000</v>
      </c>
      <c r="F795" s="9">
        <f>IF(OR(D795&lt;&gt;0,E795&lt;&gt;0),SUM(D$3:D795)-SUM(E$3:E795),0)</f>
        <v>743031</v>
      </c>
      <c r="G795" s="1"/>
    </row>
    <row r="796" spans="2:8" ht="15.75" x14ac:dyDescent="0.25">
      <c r="B796" s="66"/>
      <c r="C796" s="1" t="s">
        <v>279</v>
      </c>
      <c r="D796" s="1"/>
      <c r="E796" s="8">
        <v>200000</v>
      </c>
      <c r="F796" s="9">
        <f>IF(OR(D796&lt;&gt;0,E796&lt;&gt;0),SUM(D$3:D796)-SUM(E$3:E796),0)</f>
        <v>543031</v>
      </c>
      <c r="G796" s="1"/>
    </row>
    <row r="797" spans="2:8" ht="15.75" x14ac:dyDescent="0.25">
      <c r="B797" s="66"/>
      <c r="C797" s="1" t="s">
        <v>494</v>
      </c>
      <c r="D797" s="1"/>
      <c r="E797" s="8">
        <v>20000</v>
      </c>
      <c r="F797" s="9">
        <f>IF(OR(D797&lt;&gt;0,E797&lt;&gt;0),SUM(D$3:D797)-SUM(E$3:E797),0)</f>
        <v>523031</v>
      </c>
      <c r="G797" s="1"/>
    </row>
    <row r="798" spans="2:8" ht="15.75" x14ac:dyDescent="0.25">
      <c r="B798" s="66"/>
      <c r="C798" s="1" t="s">
        <v>7</v>
      </c>
      <c r="D798" s="8">
        <v>1000000</v>
      </c>
      <c r="E798" s="1"/>
      <c r="F798" s="9">
        <f>IF(OR(D798&lt;&gt;0,E798&lt;&gt;0),SUM(D$3:D798)-SUM(E$3:E798),0)</f>
        <v>1523031</v>
      </c>
      <c r="G798" s="1"/>
    </row>
    <row r="799" spans="2:8" ht="15.75" x14ac:dyDescent="0.25">
      <c r="B799" s="66"/>
      <c r="C799" s="1" t="s">
        <v>495</v>
      </c>
      <c r="D799" s="1"/>
      <c r="E799" s="8">
        <v>952000</v>
      </c>
      <c r="F799" s="9">
        <f>IF(OR(D799&lt;&gt;0,E799&lt;&gt;0),SUM(D$3:D799)-SUM(E$3:E799),0)</f>
        <v>571031</v>
      </c>
      <c r="G799" s="1"/>
    </row>
    <row r="800" spans="2:8" ht="15.75" x14ac:dyDescent="0.25">
      <c r="B800" s="66"/>
      <c r="C800" s="1" t="s">
        <v>496</v>
      </c>
      <c r="D800" s="1"/>
      <c r="E800" s="8">
        <v>140000</v>
      </c>
      <c r="F800" s="9">
        <f>IF(OR(D800&lt;&gt;0,E800&lt;&gt;0),SUM(D$3:D800)-SUM(E$3:E800),0)</f>
        <v>431031</v>
      </c>
      <c r="G800" s="1"/>
    </row>
    <row r="801" spans="2:8" ht="15.75" x14ac:dyDescent="0.25">
      <c r="B801" s="66"/>
      <c r="C801" s="1" t="s">
        <v>499</v>
      </c>
      <c r="D801" s="1"/>
      <c r="E801" s="8">
        <v>25500</v>
      </c>
      <c r="F801" s="9">
        <f>IF(OR(D801&lt;&gt;0,E801&lt;&gt;0),SUM(D$3:D801)-SUM(E$3:E801),0)</f>
        <v>405531</v>
      </c>
      <c r="G801" s="1"/>
    </row>
    <row r="802" spans="2:8" ht="15.75" x14ac:dyDescent="0.25">
      <c r="B802" s="66"/>
      <c r="C802" s="1" t="s">
        <v>43</v>
      </c>
      <c r="D802" s="1"/>
      <c r="E802" s="8">
        <v>200000</v>
      </c>
      <c r="F802" s="9">
        <f>IF(OR(D802&lt;&gt;0,E802&lt;&gt;0),SUM(D$3:D802)-SUM(E$3:E802),0)</f>
        <v>205531</v>
      </c>
      <c r="G802" s="1"/>
    </row>
    <row r="803" spans="2:8" ht="15.75" x14ac:dyDescent="0.25">
      <c r="B803" s="66"/>
      <c r="C803" s="1" t="s">
        <v>383</v>
      </c>
      <c r="D803" s="8"/>
      <c r="E803" s="8">
        <v>350000</v>
      </c>
      <c r="F803" s="9">
        <f>IF(OR(D803&lt;&gt;0,E803&lt;&gt;0),SUM(D$3:D803)-SUM(E$3:E803),0)</f>
        <v>-144469</v>
      </c>
      <c r="G803" s="1"/>
    </row>
    <row r="804" spans="2:8" ht="15.75" x14ac:dyDescent="0.25">
      <c r="B804" s="66"/>
      <c r="C804" s="1" t="s">
        <v>7</v>
      </c>
      <c r="D804" s="8">
        <v>1500000</v>
      </c>
      <c r="E804" s="8"/>
      <c r="F804" s="9">
        <f>IF(OR(D804&lt;&gt;0,E804&lt;&gt;0),SUM(D$3:D804)-SUM(E$3:E804),0)</f>
        <v>1355531</v>
      </c>
      <c r="G804" s="1"/>
    </row>
    <row r="805" spans="2:8" ht="15.75" x14ac:dyDescent="0.25">
      <c r="B805" s="66"/>
      <c r="C805" s="1" t="s">
        <v>497</v>
      </c>
      <c r="D805" s="1"/>
      <c r="E805" s="8">
        <v>800000</v>
      </c>
      <c r="F805" s="9">
        <f>IF(OR(D805&lt;&gt;0,E805&lt;&gt;0),SUM(D$3:D805)-SUM(E$3:E805),0)</f>
        <v>555531</v>
      </c>
      <c r="G805" s="1"/>
    </row>
    <row r="806" spans="2:8" ht="15.75" x14ac:dyDescent="0.25">
      <c r="B806" s="66"/>
      <c r="C806" s="1" t="s">
        <v>7</v>
      </c>
      <c r="D806" s="8">
        <v>1500000</v>
      </c>
      <c r="E806" s="8"/>
      <c r="F806" s="9">
        <f>IF(OR(D806&lt;&gt;0,E806&lt;&gt;0),SUM(D$3:D806)-SUM(E$3:E806),0)</f>
        <v>2055531</v>
      </c>
      <c r="G806" s="1"/>
    </row>
    <row r="807" spans="2:8" ht="15.75" x14ac:dyDescent="0.25">
      <c r="B807" s="66"/>
      <c r="C807" s="1" t="s">
        <v>498</v>
      </c>
      <c r="D807" s="1"/>
      <c r="E807" s="8">
        <v>1094830</v>
      </c>
      <c r="F807" s="9">
        <f>IF(OR(D807&lt;&gt;0,E807&lt;&gt;0),SUM(D$3:D807)-SUM(E$3:E807),0)</f>
        <v>960701</v>
      </c>
      <c r="G807" s="1"/>
    </row>
    <row r="808" spans="2:8" ht="15.75" x14ac:dyDescent="0.25">
      <c r="B808" s="66"/>
      <c r="C808" s="1" t="s">
        <v>46</v>
      </c>
      <c r="D808" s="1"/>
      <c r="E808" s="8">
        <v>30000</v>
      </c>
      <c r="F808" s="9">
        <f>IF(OR(D808&lt;&gt;0,E808&lt;&gt;0),SUM(D$3:D808)-SUM(E$3:E808),0)</f>
        <v>930701</v>
      </c>
      <c r="G808" s="1"/>
      <c r="H808" s="3">
        <f>110000-F808</f>
        <v>-820701</v>
      </c>
    </row>
  </sheetData>
  <mergeCells count="99">
    <mergeCell ref="B791:B808"/>
    <mergeCell ref="B787:B790"/>
    <mergeCell ref="B767:B779"/>
    <mergeCell ref="B756:B758"/>
    <mergeCell ref="B733:B739"/>
    <mergeCell ref="B740:B746"/>
    <mergeCell ref="B759:B766"/>
    <mergeCell ref="B780:B786"/>
    <mergeCell ref="G1:G2"/>
    <mergeCell ref="B15:B17"/>
    <mergeCell ref="B4:B14"/>
    <mergeCell ref="B1:B2"/>
    <mergeCell ref="C1:C2"/>
    <mergeCell ref="D1:D2"/>
    <mergeCell ref="E1:E2"/>
    <mergeCell ref="F1:F2"/>
    <mergeCell ref="B18:B27"/>
    <mergeCell ref="B66:B74"/>
    <mergeCell ref="B28:B31"/>
    <mergeCell ref="B42:B48"/>
    <mergeCell ref="B32:B41"/>
    <mergeCell ref="B49:B60"/>
    <mergeCell ref="B61:B65"/>
    <mergeCell ref="B75:B84"/>
    <mergeCell ref="B127:B139"/>
    <mergeCell ref="B106:B121"/>
    <mergeCell ref="B85:B87"/>
    <mergeCell ref="B88:B89"/>
    <mergeCell ref="B122:B126"/>
    <mergeCell ref="B140:B149"/>
    <mergeCell ref="B90:B101"/>
    <mergeCell ref="B102:B105"/>
    <mergeCell ref="B150:B156"/>
    <mergeCell ref="B245:B254"/>
    <mergeCell ref="B185:B191"/>
    <mergeCell ref="B192:B195"/>
    <mergeCell ref="B173:B184"/>
    <mergeCell ref="B157:B161"/>
    <mergeCell ref="B169:B172"/>
    <mergeCell ref="B162:B168"/>
    <mergeCell ref="B207:B216"/>
    <mergeCell ref="B235:B244"/>
    <mergeCell ref="B217:B225"/>
    <mergeCell ref="B226:B234"/>
    <mergeCell ref="B196:B206"/>
    <mergeCell ref="B265:B278"/>
    <mergeCell ref="B255:B264"/>
    <mergeCell ref="B348:B357"/>
    <mergeCell ref="B358:B368"/>
    <mergeCell ref="B381:B389"/>
    <mergeCell ref="B331:B339"/>
    <mergeCell ref="B290:B310"/>
    <mergeCell ref="B311:B319"/>
    <mergeCell ref="B340:B347"/>
    <mergeCell ref="B327:B330"/>
    <mergeCell ref="B369:B380"/>
    <mergeCell ref="B282:B289"/>
    <mergeCell ref="B279:B281"/>
    <mergeCell ref="B320:B326"/>
    <mergeCell ref="B390:B396"/>
    <mergeCell ref="B397:B404"/>
    <mergeCell ref="B405:B407"/>
    <mergeCell ref="B408:B424"/>
    <mergeCell ref="B490:B505"/>
    <mergeCell ref="B478:B489"/>
    <mergeCell ref="B457:B462"/>
    <mergeCell ref="B425:B431"/>
    <mergeCell ref="B432:B439"/>
    <mergeCell ref="B440:B444"/>
    <mergeCell ref="B463:B477"/>
    <mergeCell ref="B445:B456"/>
    <mergeCell ref="B620:B621"/>
    <mergeCell ref="B522:B531"/>
    <mergeCell ref="B532:B536"/>
    <mergeCell ref="B537:B542"/>
    <mergeCell ref="B560:B568"/>
    <mergeCell ref="B543:B551"/>
    <mergeCell ref="B552:B559"/>
    <mergeCell ref="B593:B598"/>
    <mergeCell ref="B574:B582"/>
    <mergeCell ref="B583:B584"/>
    <mergeCell ref="B585:B592"/>
    <mergeCell ref="B569:B573"/>
    <mergeCell ref="B653:B659"/>
    <mergeCell ref="B721:B728"/>
    <mergeCell ref="B729:B732"/>
    <mergeCell ref="B747:B755"/>
    <mergeCell ref="B506:B521"/>
    <mergeCell ref="B613:B619"/>
    <mergeCell ref="B599:B612"/>
    <mergeCell ref="B708:B720"/>
    <mergeCell ref="B678:B686"/>
    <mergeCell ref="B687:B694"/>
    <mergeCell ref="B695:B697"/>
    <mergeCell ref="B698:B703"/>
    <mergeCell ref="B704:B707"/>
    <mergeCell ref="B660:B672"/>
    <mergeCell ref="B673:B677"/>
    <mergeCell ref="B622:B652"/>
  </mergeCells>
  <phoneticPr fontId="4" type="noConversion"/>
  <pageMargins left="0.7" right="0.7" top="0.75" bottom="0.75" header="0.3" footer="0.3"/>
  <pageSetup scale="52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BA9C-FA78-44D4-AA85-C1F527B83A06}">
  <sheetPr codeName="Sheet2">
    <pageSetUpPr fitToPage="1"/>
  </sheetPr>
  <dimension ref="A1:H215"/>
  <sheetViews>
    <sheetView topLeftCell="A136" zoomScaleNormal="100" workbookViewId="0">
      <selection activeCell="B121" sqref="B121"/>
    </sheetView>
  </sheetViews>
  <sheetFormatPr defaultRowHeight="15" x14ac:dyDescent="0.25"/>
  <cols>
    <col min="1" max="1" width="27.7109375" customWidth="1"/>
    <col min="2" max="2" width="18.42578125" customWidth="1"/>
    <col min="3" max="3" width="17.85546875" customWidth="1"/>
    <col min="4" max="4" width="18.7109375" customWidth="1"/>
    <col min="5" max="5" width="18.5703125" customWidth="1"/>
    <col min="6" max="6" width="18.28515625" customWidth="1"/>
    <col min="7" max="7" width="15.5703125" bestFit="1" customWidth="1"/>
  </cols>
  <sheetData>
    <row r="1" spans="1:7" x14ac:dyDescent="0.25">
      <c r="A1" s="73" t="s">
        <v>0</v>
      </c>
      <c r="B1" s="75" t="s">
        <v>5</v>
      </c>
      <c r="C1" s="75" t="s">
        <v>1</v>
      </c>
      <c r="D1" s="75" t="s">
        <v>2</v>
      </c>
      <c r="E1" s="75" t="s">
        <v>3</v>
      </c>
      <c r="F1" s="60" t="s">
        <v>4</v>
      </c>
    </row>
    <row r="2" spans="1:7" x14ac:dyDescent="0.25">
      <c r="A2" s="74"/>
      <c r="B2" s="76"/>
      <c r="C2" s="76"/>
      <c r="D2" s="76"/>
      <c r="E2" s="76"/>
      <c r="F2" s="61"/>
    </row>
    <row r="3" spans="1:7" ht="15.75" x14ac:dyDescent="0.25">
      <c r="A3" s="59">
        <v>45352</v>
      </c>
      <c r="B3" s="5" t="s">
        <v>503</v>
      </c>
      <c r="C3" s="6">
        <v>1930701</v>
      </c>
      <c r="D3" s="6"/>
      <c r="E3" s="7">
        <f>IF(OR(C3&lt;&gt;0,D3&lt;&gt;0),SUM(C$3:C3)-SUM(D$3:D3),0)</f>
        <v>1930701</v>
      </c>
      <c r="F3" s="5"/>
    </row>
    <row r="4" spans="1:7" ht="15.75" x14ac:dyDescent="0.25">
      <c r="A4" s="59"/>
      <c r="B4" s="5" t="s">
        <v>500</v>
      </c>
      <c r="C4" s="5"/>
      <c r="D4" s="6">
        <v>100000</v>
      </c>
      <c r="E4" s="7">
        <f>IF(OR(C4&lt;&gt;0,D4&lt;&gt;0),SUM(C$3:C4)-SUM(D$3:D4),0)</f>
        <v>1830701</v>
      </c>
      <c r="F4" s="5"/>
    </row>
    <row r="5" spans="1:7" ht="15.75" x14ac:dyDescent="0.25">
      <c r="A5" s="59"/>
      <c r="B5" s="5" t="s">
        <v>501</v>
      </c>
      <c r="C5" s="5"/>
      <c r="D5" s="6">
        <v>100000</v>
      </c>
      <c r="E5" s="7">
        <f>IF(OR(C5&lt;&gt;0,D5&lt;&gt;0),SUM(C$3:C5)-SUM(D$3:D5),0)</f>
        <v>1730701</v>
      </c>
      <c r="F5" s="5"/>
    </row>
    <row r="6" spans="1:7" ht="15.75" x14ac:dyDescent="0.25">
      <c r="A6" s="59"/>
      <c r="B6" s="5" t="s">
        <v>502</v>
      </c>
      <c r="C6" s="5"/>
      <c r="D6" s="6">
        <v>170000</v>
      </c>
      <c r="E6" s="7">
        <f>IF(OR(C6&lt;&gt;0,D6&lt;&gt;0),SUM(C$3:C6)-SUM(D$3:D6),0)</f>
        <v>1560701</v>
      </c>
      <c r="F6" s="5"/>
    </row>
    <row r="7" spans="1:7" ht="15.75" x14ac:dyDescent="0.25">
      <c r="A7" s="59"/>
      <c r="B7" s="5" t="s">
        <v>504</v>
      </c>
      <c r="C7" s="6"/>
      <c r="D7" s="6">
        <v>10000</v>
      </c>
      <c r="E7" s="7">
        <f>IF(OR(C7&lt;&gt;0,D7&lt;&gt;0),SUM(C$3:C7)-SUM(D$3:D7),0)</f>
        <v>1550701</v>
      </c>
      <c r="F7" s="5"/>
    </row>
    <row r="8" spans="1:7" ht="15.75" x14ac:dyDescent="0.25">
      <c r="A8" s="59">
        <v>45353</v>
      </c>
      <c r="B8" s="5" t="s">
        <v>505</v>
      </c>
      <c r="C8" s="5"/>
      <c r="D8" s="6">
        <v>500000</v>
      </c>
      <c r="E8" s="7">
        <f>IF(OR(C8&lt;&gt;0,D8&lt;&gt;0),SUM(C$3:C8)-SUM(D$3:D8),0)</f>
        <v>1050701</v>
      </c>
      <c r="F8" s="5"/>
    </row>
    <row r="9" spans="1:7" ht="15.75" x14ac:dyDescent="0.25">
      <c r="A9" s="59"/>
      <c r="B9" s="5" t="s">
        <v>14</v>
      </c>
      <c r="C9" s="6"/>
      <c r="D9" s="6">
        <v>50000</v>
      </c>
      <c r="E9" s="7">
        <f>IF(OR(C9&lt;&gt;0,D9&lt;&gt;0),SUM(C$3:C9)-SUM(D$3:D9),0)</f>
        <v>1000701</v>
      </c>
      <c r="F9" s="5"/>
      <c r="G9" s="3">
        <f>162000-E9</f>
        <v>-838701</v>
      </c>
    </row>
    <row r="10" spans="1:7" ht="15.75" x14ac:dyDescent="0.25">
      <c r="A10" s="59"/>
      <c r="B10" s="5" t="s">
        <v>7</v>
      </c>
      <c r="C10" s="6">
        <v>1000000</v>
      </c>
      <c r="D10" s="6"/>
      <c r="E10" s="7">
        <f>IF(OR(C10&lt;&gt;0,D10&lt;&gt;0),SUM(C$3:C10)-SUM(D$3:D10),0)</f>
        <v>2000701</v>
      </c>
      <c r="F10" s="5"/>
    </row>
    <row r="11" spans="1:7" ht="15.75" x14ac:dyDescent="0.25">
      <c r="A11" s="59"/>
      <c r="B11" s="5" t="s">
        <v>506</v>
      </c>
      <c r="C11" s="5"/>
      <c r="D11" s="6">
        <v>100000</v>
      </c>
      <c r="E11" s="7">
        <f>IF(OR(C11&lt;&gt;0,D11&lt;&gt;0),SUM(C$3:C11)-SUM(D$3:D11),0)</f>
        <v>1900701</v>
      </c>
      <c r="F11" s="5"/>
    </row>
    <row r="12" spans="1:7" ht="15.75" x14ac:dyDescent="0.25">
      <c r="A12" s="59"/>
      <c r="B12" s="5" t="s">
        <v>507</v>
      </c>
      <c r="C12" s="5"/>
      <c r="D12" s="6">
        <v>150000</v>
      </c>
      <c r="E12" s="7">
        <f>IF(OR(C12&lt;&gt;0,D12&lt;&gt;0),SUM(C$3:C12)-SUM(D$3:D12),0)</f>
        <v>1750701</v>
      </c>
      <c r="F12" s="5"/>
    </row>
    <row r="13" spans="1:7" ht="15.75" x14ac:dyDescent="0.25">
      <c r="A13" s="59"/>
      <c r="B13" s="5" t="s">
        <v>508</v>
      </c>
      <c r="C13" s="5"/>
      <c r="D13" s="6">
        <v>73000</v>
      </c>
      <c r="E13" s="7">
        <f>IF(OR(C13&lt;&gt;0,D13&lt;&gt;0),SUM(C$3:C13)-SUM(D$3:D13),0)</f>
        <v>1677701</v>
      </c>
      <c r="F13" s="5"/>
    </row>
    <row r="14" spans="1:7" ht="15.75" x14ac:dyDescent="0.25">
      <c r="A14" s="59"/>
      <c r="B14" s="5" t="s">
        <v>238</v>
      </c>
      <c r="C14" s="5"/>
      <c r="D14" s="6">
        <v>1000</v>
      </c>
      <c r="E14" s="7">
        <f>IF(OR(C14&lt;&gt;0,D14&lt;&gt;0),SUM(C$3:C14)-SUM(D$3:D14),0)</f>
        <v>1676701</v>
      </c>
      <c r="F14" s="5"/>
    </row>
    <row r="15" spans="1:7" ht="15.75" x14ac:dyDescent="0.25">
      <c r="A15" s="59"/>
      <c r="B15" s="5" t="s">
        <v>509</v>
      </c>
      <c r="C15" s="5"/>
      <c r="D15" s="6">
        <v>200000</v>
      </c>
      <c r="E15" s="7">
        <f>IF(OR(C15&lt;&gt;0,D15&lt;&gt;0),SUM(C$3:C15)-SUM(D$3:D15),0)</f>
        <v>1476701</v>
      </c>
      <c r="F15" s="5"/>
    </row>
    <row r="16" spans="1:7" ht="15.75" x14ac:dyDescent="0.25">
      <c r="A16" s="59"/>
      <c r="B16" s="5" t="s">
        <v>208</v>
      </c>
      <c r="C16" s="5"/>
      <c r="D16" s="6">
        <v>150000</v>
      </c>
      <c r="E16" s="7">
        <f>IF(OR(C16&lt;&gt;0,D16&lt;&gt;0),SUM(C$3:C16)-SUM(D$3:D16),0)</f>
        <v>1326701</v>
      </c>
      <c r="F16" s="5"/>
    </row>
    <row r="17" spans="1:7" ht="15.75" x14ac:dyDescent="0.25">
      <c r="A17" s="59"/>
      <c r="B17" s="5" t="s">
        <v>43</v>
      </c>
      <c r="C17" s="5"/>
      <c r="D17" s="6">
        <v>100000</v>
      </c>
      <c r="E17" s="7">
        <f>IF(OR(C17&lt;&gt;0,D17&lt;&gt;0),SUM(C$3:C17)-SUM(D$3:D17),0)</f>
        <v>1226701</v>
      </c>
      <c r="F17" s="5"/>
      <c r="G17" s="3">
        <f>787000-E17</f>
        <v>-439701</v>
      </c>
    </row>
    <row r="18" spans="1:7" ht="15.75" x14ac:dyDescent="0.25">
      <c r="A18" s="56">
        <v>45355</v>
      </c>
      <c r="B18" s="5" t="s">
        <v>43</v>
      </c>
      <c r="C18" s="5"/>
      <c r="D18" s="6">
        <v>100000</v>
      </c>
      <c r="E18" s="7">
        <f>IF(OR(C18&lt;&gt;0,D18&lt;&gt;0),SUM(C$3:C18)-SUM(D$3:D18),0)</f>
        <v>1126701</v>
      </c>
      <c r="F18" s="5"/>
    </row>
    <row r="19" spans="1:7" ht="15.75" x14ac:dyDescent="0.25">
      <c r="A19" s="57"/>
      <c r="B19" s="5" t="s">
        <v>7</v>
      </c>
      <c r="C19" s="6">
        <v>1800000</v>
      </c>
      <c r="D19" s="5"/>
      <c r="E19" s="7">
        <f>IF(OR(C19&lt;&gt;0,D19&lt;&gt;0),SUM(C$3:C19)-SUM(D$3:D19),0)</f>
        <v>2926701</v>
      </c>
      <c r="F19" s="5" t="s">
        <v>510</v>
      </c>
      <c r="G19" s="3">
        <f>687000+1800000-E19</f>
        <v>-439701</v>
      </c>
    </row>
    <row r="20" spans="1:7" ht="15.75" x14ac:dyDescent="0.25">
      <c r="A20" s="57"/>
      <c r="B20" s="5" t="s">
        <v>511</v>
      </c>
      <c r="C20" s="5"/>
      <c r="D20" s="5">
        <v>8000</v>
      </c>
      <c r="E20" s="7">
        <f>IF(OR(C20&lt;&gt;0,D20&lt;&gt;0),SUM(C$3:C20)-SUM(D$3:D20),0)</f>
        <v>2918701</v>
      </c>
      <c r="F20" s="5"/>
    </row>
    <row r="21" spans="1:7" ht="15.75" x14ac:dyDescent="0.25">
      <c r="A21" s="58"/>
      <c r="B21" s="5" t="s">
        <v>93</v>
      </c>
      <c r="C21" s="5"/>
      <c r="D21" s="5">
        <v>2000</v>
      </c>
      <c r="E21" s="7">
        <f>IF(OR(C21&lt;&gt;0,D21&lt;&gt;0),SUM(C$3:C21)-SUM(D$3:D21),0)</f>
        <v>2916701</v>
      </c>
      <c r="F21" s="5"/>
    </row>
    <row r="22" spans="1:7" ht="15.75" x14ac:dyDescent="0.25">
      <c r="A22" s="56">
        <v>45356</v>
      </c>
      <c r="B22" s="5" t="s">
        <v>505</v>
      </c>
      <c r="C22" s="5"/>
      <c r="D22" s="6">
        <v>400000</v>
      </c>
      <c r="E22" s="7">
        <f>IF(OR(C22&lt;&gt;0,D22&lt;&gt;0),SUM(C$3:C22)-SUM(D$3:D22),0)</f>
        <v>2516701</v>
      </c>
      <c r="F22" s="5"/>
    </row>
    <row r="23" spans="1:7" ht="15.75" x14ac:dyDescent="0.25">
      <c r="A23" s="57"/>
      <c r="B23" s="5" t="s">
        <v>43</v>
      </c>
      <c r="C23" s="6"/>
      <c r="D23" s="6">
        <v>100000</v>
      </c>
      <c r="E23" s="7">
        <f>IF(OR(C23&lt;&gt;0,D23&lt;&gt;0),SUM(C$3:C23)-SUM(D$3:D23),0)</f>
        <v>2416701</v>
      </c>
      <c r="F23" s="5"/>
    </row>
    <row r="24" spans="1:7" ht="15.75" x14ac:dyDescent="0.25">
      <c r="A24" s="57"/>
      <c r="B24" s="5" t="s">
        <v>407</v>
      </c>
      <c r="C24" s="5"/>
      <c r="D24" s="6">
        <v>490000</v>
      </c>
      <c r="E24" s="7">
        <f>IF(OR(C24&lt;&gt;0,D24&lt;&gt;0),SUM(C$3:C24)-SUM(D$3:D24),0)</f>
        <v>1926701</v>
      </c>
      <c r="F24" s="5"/>
    </row>
    <row r="25" spans="1:7" ht="15.75" x14ac:dyDescent="0.25">
      <c r="A25" s="57"/>
      <c r="B25" s="5" t="s">
        <v>514</v>
      </c>
      <c r="C25" s="5"/>
      <c r="D25" s="6">
        <v>35000</v>
      </c>
      <c r="E25" s="7">
        <f>IF(OR(C25&lt;&gt;0,D25&lt;&gt;0),SUM(C$3:C25)-SUM(D$3:D25),0)</f>
        <v>1891701</v>
      </c>
      <c r="F25" s="5"/>
    </row>
    <row r="26" spans="1:7" ht="15.75" x14ac:dyDescent="0.25">
      <c r="A26" s="57"/>
      <c r="B26" s="5" t="s">
        <v>515</v>
      </c>
      <c r="C26" s="5"/>
      <c r="D26" s="6">
        <v>35000</v>
      </c>
      <c r="E26" s="7">
        <f>IF(OR(C26&lt;&gt;0,D26&lt;&gt;0),SUM(C$3:C26)-SUM(D$3:D26),0)</f>
        <v>1856701</v>
      </c>
      <c r="F26" s="5"/>
    </row>
    <row r="27" spans="1:7" ht="15.75" x14ac:dyDescent="0.25">
      <c r="A27" s="57"/>
      <c r="B27" s="5" t="s">
        <v>516</v>
      </c>
      <c r="C27" s="5"/>
      <c r="D27" s="6">
        <v>100000</v>
      </c>
      <c r="E27" s="7">
        <f>IF(OR(C27&lt;&gt;0,D27&lt;&gt;0),SUM(C$3:C27)-SUM(D$3:D27),0)</f>
        <v>1756701</v>
      </c>
      <c r="F27" s="5"/>
    </row>
    <row r="28" spans="1:7" ht="15.75" x14ac:dyDescent="0.25">
      <c r="A28" s="57"/>
      <c r="B28" s="5" t="s">
        <v>517</v>
      </c>
      <c r="C28" s="5"/>
      <c r="D28" s="6">
        <v>100000</v>
      </c>
      <c r="E28" s="7">
        <f>IF(OR(C28&lt;&gt;0,D28&lt;&gt;0),SUM(C$3:C28)-SUM(D$3:D28),0)</f>
        <v>1656701</v>
      </c>
      <c r="F28" s="5"/>
    </row>
    <row r="29" spans="1:7" ht="15.75" x14ac:dyDescent="0.25">
      <c r="A29" s="57"/>
      <c r="B29" s="5" t="s">
        <v>518</v>
      </c>
      <c r="C29" s="5"/>
      <c r="D29" s="6">
        <v>69000</v>
      </c>
      <c r="E29" s="7">
        <f>IF(OR(C29&lt;&gt;0,D29&lt;&gt;0),SUM(C$3:C29)-SUM(D$3:D29),0)</f>
        <v>1587701</v>
      </c>
      <c r="F29" s="5"/>
    </row>
    <row r="30" spans="1:7" ht="15.75" x14ac:dyDescent="0.25">
      <c r="A30" s="57"/>
      <c r="B30" s="5" t="s">
        <v>519</v>
      </c>
      <c r="C30" s="5"/>
      <c r="D30" s="6">
        <v>200000</v>
      </c>
      <c r="E30" s="7">
        <f>IF(OR(C30&lt;&gt;0,D30&lt;&gt;0),SUM(C$3:C30)-SUM(D$3:D30),0)</f>
        <v>1387701</v>
      </c>
      <c r="F30" s="5"/>
    </row>
    <row r="31" spans="1:7" ht="15.75" x14ac:dyDescent="0.25">
      <c r="A31" s="57"/>
      <c r="B31" s="5" t="s">
        <v>513</v>
      </c>
      <c r="C31" s="5"/>
      <c r="D31" s="6">
        <v>47000</v>
      </c>
      <c r="E31" s="7">
        <f>IF(OR(C31&lt;&gt;0,D31&lt;&gt;0),SUM(C$3:C31)-SUM(D$3:D31),0)</f>
        <v>1340701</v>
      </c>
      <c r="F31" s="5"/>
    </row>
    <row r="32" spans="1:7" ht="15.75" x14ac:dyDescent="0.25">
      <c r="A32" s="57"/>
      <c r="B32" s="5" t="s">
        <v>520</v>
      </c>
      <c r="C32" s="5"/>
      <c r="D32" s="6">
        <v>15000</v>
      </c>
      <c r="E32" s="7">
        <f>IF(OR(C32&lt;&gt;0,D32&lt;&gt;0),SUM(C$3:C32)-SUM(D$3:D32),0)</f>
        <v>1325701</v>
      </c>
      <c r="F32" s="5"/>
    </row>
    <row r="33" spans="1:7" ht="15.75" x14ac:dyDescent="0.25">
      <c r="A33" s="57"/>
      <c r="B33" s="5" t="s">
        <v>521</v>
      </c>
      <c r="C33" s="5"/>
      <c r="D33" s="6">
        <v>335000</v>
      </c>
      <c r="E33" s="7">
        <f>IF(OR(C33&lt;&gt;0,D33&lt;&gt;0),SUM(C$3:C33)-SUM(D$3:D33),0)</f>
        <v>990701</v>
      </c>
      <c r="F33" s="5"/>
      <c r="G33" s="3"/>
    </row>
    <row r="34" spans="1:7" ht="15.75" x14ac:dyDescent="0.25">
      <c r="A34" s="56">
        <v>45357</v>
      </c>
      <c r="B34" s="5" t="s">
        <v>43</v>
      </c>
      <c r="C34" s="5"/>
      <c r="D34" s="6">
        <v>200000</v>
      </c>
      <c r="E34" s="7">
        <f>IF(OR(C34&lt;&gt;0,D34&lt;&gt;0),SUM(C$3:C34)-SUM(D$3:D34),0)</f>
        <v>790701</v>
      </c>
      <c r="F34" s="5"/>
    </row>
    <row r="35" spans="1:7" ht="15.75" x14ac:dyDescent="0.25">
      <c r="A35" s="57"/>
      <c r="B35" s="5" t="s">
        <v>512</v>
      </c>
      <c r="C35" s="6"/>
      <c r="D35" s="6">
        <v>100000</v>
      </c>
      <c r="E35" s="7">
        <f>IF(OR(C35&lt;&gt;0,D35&lt;&gt;0),SUM(C$3:C35)-SUM(D$3:D35),0)</f>
        <v>690701</v>
      </c>
      <c r="F35" s="5"/>
      <c r="G35" s="3"/>
    </row>
    <row r="36" spans="1:7" ht="15.75" x14ac:dyDescent="0.25">
      <c r="A36" s="57"/>
      <c r="B36" s="5" t="s">
        <v>522</v>
      </c>
      <c r="C36" s="5"/>
      <c r="D36" s="6">
        <v>20000</v>
      </c>
      <c r="E36" s="7">
        <f>IF(OR(C36&lt;&gt;0,D36&lt;&gt;0),SUM(C$3:C36)-SUM(D$3:D36),0)</f>
        <v>670701</v>
      </c>
      <c r="F36" s="5"/>
    </row>
    <row r="37" spans="1:7" ht="15.75" x14ac:dyDescent="0.25">
      <c r="A37" s="57"/>
      <c r="B37" s="5" t="s">
        <v>523</v>
      </c>
      <c r="C37" s="5"/>
      <c r="D37" s="6">
        <v>150000</v>
      </c>
      <c r="E37" s="7">
        <f>IF(OR(C37&lt;&gt;0,D37&lt;&gt;0),SUM(C$3:C37)-SUM(D$3:D37),0)</f>
        <v>520701</v>
      </c>
      <c r="F37" s="5"/>
      <c r="G37" s="3">
        <f>150000-E38</f>
        <v>-340701</v>
      </c>
    </row>
    <row r="38" spans="1:7" ht="15.75" x14ac:dyDescent="0.25">
      <c r="A38" s="58"/>
      <c r="B38" s="5" t="s">
        <v>46</v>
      </c>
      <c r="C38" s="5"/>
      <c r="D38" s="6">
        <v>30000</v>
      </c>
      <c r="E38" s="7">
        <f>IF(OR(C38&lt;&gt;0,D38&lt;&gt;0),SUM(C$3:C38)-SUM(D$3:D38),0)</f>
        <v>490701</v>
      </c>
      <c r="F38" s="5"/>
      <c r="G38" s="3"/>
    </row>
    <row r="39" spans="1:7" ht="15.75" x14ac:dyDescent="0.25">
      <c r="A39" s="59">
        <v>45359</v>
      </c>
      <c r="B39" s="5" t="s">
        <v>527</v>
      </c>
      <c r="C39" s="5"/>
      <c r="D39" s="6">
        <v>30000</v>
      </c>
      <c r="E39" s="7">
        <f>IF(OR(C39&lt;&gt;0,D39&lt;&gt;0),SUM(C$3:C39)-SUM(D$3:D39),0)</f>
        <v>460701</v>
      </c>
      <c r="F39" s="5"/>
    </row>
    <row r="40" spans="1:7" ht="15.75" x14ac:dyDescent="0.25">
      <c r="A40" s="59"/>
      <c r="B40" s="5" t="s">
        <v>528</v>
      </c>
      <c r="C40" s="6"/>
      <c r="D40" s="6">
        <v>40000</v>
      </c>
      <c r="E40" s="7">
        <f>IF(OR(C40&lt;&gt;0,D40&lt;&gt;0),SUM(C$3:C40)-SUM(D$3:D40),0)</f>
        <v>420701</v>
      </c>
      <c r="F40" s="5"/>
    </row>
    <row r="41" spans="1:7" ht="15.75" x14ac:dyDescent="0.25">
      <c r="A41" s="59"/>
      <c r="B41" s="5" t="s">
        <v>529</v>
      </c>
      <c r="C41" s="5"/>
      <c r="D41" s="6">
        <v>150000</v>
      </c>
      <c r="E41" s="7">
        <f>IF(OR(C41&lt;&gt;0,D41&lt;&gt;0),SUM(C$3:C41)-SUM(D$3:D41),0)</f>
        <v>270701</v>
      </c>
      <c r="F41" s="5"/>
    </row>
    <row r="42" spans="1:7" ht="15.75" x14ac:dyDescent="0.25">
      <c r="A42" s="56">
        <v>45364</v>
      </c>
      <c r="B42" s="5" t="s">
        <v>7</v>
      </c>
      <c r="C42" s="6">
        <v>1500000</v>
      </c>
      <c r="D42" s="6"/>
      <c r="E42" s="7">
        <f>IF(OR(C42&lt;&gt;0,D42&lt;&gt;0),SUM(C$3:C42)-SUM(D$3:D42),0)</f>
        <v>1770701</v>
      </c>
      <c r="F42" s="5"/>
    </row>
    <row r="43" spans="1:7" ht="15.75" x14ac:dyDescent="0.25">
      <c r="A43" s="57"/>
      <c r="B43" s="5" t="s">
        <v>129</v>
      </c>
      <c r="C43" s="6"/>
      <c r="D43" s="6">
        <v>420000</v>
      </c>
      <c r="E43" s="7">
        <f>IF(OR(C43&lt;&gt;0,D43&lt;&gt;0),SUM(C$3:C43)-SUM(D$3:D43),0)</f>
        <v>1350701</v>
      </c>
      <c r="F43" s="5"/>
    </row>
    <row r="44" spans="1:7" ht="15.75" x14ac:dyDescent="0.25">
      <c r="A44" s="57"/>
      <c r="B44" s="5" t="s">
        <v>115</v>
      </c>
      <c r="C44" s="5"/>
      <c r="D44" s="6">
        <v>50000</v>
      </c>
      <c r="E44" s="7">
        <f>IF(OR(C44&lt;&gt;0,D44&lt;&gt;0),SUM(C$3:C44)-SUM(D$3:D44),0)</f>
        <v>1300701</v>
      </c>
      <c r="F44" s="5"/>
    </row>
    <row r="45" spans="1:7" ht="15.75" x14ac:dyDescent="0.25">
      <c r="A45" s="57"/>
      <c r="B45" s="5" t="s">
        <v>524</v>
      </c>
      <c r="C45" s="5"/>
      <c r="D45" s="6">
        <v>300000</v>
      </c>
      <c r="E45" s="7">
        <f>IF(OR(C45&lt;&gt;0,D45&lt;&gt;0),SUM(C$3:C45)-SUM(D$3:D45),0)</f>
        <v>1000701</v>
      </c>
      <c r="F45" s="5"/>
    </row>
    <row r="46" spans="1:7" ht="15.75" x14ac:dyDescent="0.25">
      <c r="A46" s="57"/>
      <c r="B46" s="5" t="s">
        <v>531</v>
      </c>
      <c r="C46" s="5"/>
      <c r="D46" s="6">
        <v>20000</v>
      </c>
      <c r="E46" s="7">
        <f>IF(OR(C46&lt;&gt;0,D46&lt;&gt;0),SUM(C$3:C46)-SUM(D$3:D46),0)</f>
        <v>980701</v>
      </c>
      <c r="F46" s="5"/>
    </row>
    <row r="47" spans="1:7" ht="15.75" x14ac:dyDescent="0.25">
      <c r="A47" s="57"/>
      <c r="B47" s="5" t="s">
        <v>43</v>
      </c>
      <c r="C47" s="5"/>
      <c r="D47" s="6">
        <v>100000</v>
      </c>
      <c r="E47" s="7">
        <f>IF(OR(C47&lt;&gt;0,D47&lt;&gt;0),SUM(C$3:C47)-SUM(D$3:D47),0)</f>
        <v>880701</v>
      </c>
      <c r="F47" s="5"/>
    </row>
    <row r="48" spans="1:7" ht="15.75" x14ac:dyDescent="0.25">
      <c r="A48" s="57"/>
      <c r="B48" s="5" t="s">
        <v>525</v>
      </c>
      <c r="C48" s="5"/>
      <c r="D48" s="6">
        <v>30000</v>
      </c>
      <c r="E48" s="7">
        <f>IF(OR(C48&lt;&gt;0,D48&lt;&gt;0),SUM(C$3:C48)-SUM(D$3:D48),0)</f>
        <v>850701</v>
      </c>
      <c r="F48" s="5"/>
    </row>
    <row r="49" spans="1:6" ht="15.75" x14ac:dyDescent="0.25">
      <c r="A49" s="57"/>
      <c r="B49" s="5" t="s">
        <v>526</v>
      </c>
      <c r="C49" s="5"/>
      <c r="D49" s="6">
        <v>50000</v>
      </c>
      <c r="E49" s="7">
        <f>IF(OR(C49&lt;&gt;0,D49&lt;&gt;0),SUM(C$3:C49)-SUM(D$3:D49),0)</f>
        <v>800701</v>
      </c>
      <c r="F49" s="5"/>
    </row>
    <row r="50" spans="1:6" ht="15.75" x14ac:dyDescent="0.25">
      <c r="A50" s="57"/>
      <c r="B50" s="5" t="s">
        <v>7</v>
      </c>
      <c r="C50" s="6">
        <v>1000000</v>
      </c>
      <c r="D50" s="5"/>
      <c r="E50" s="7">
        <f>IF(OR(C50&lt;&gt;0,D50&lt;&gt;0),SUM(C$3:C50)-SUM(D$3:D50),0)</f>
        <v>1800701</v>
      </c>
      <c r="F50" s="5"/>
    </row>
    <row r="51" spans="1:6" ht="15.75" x14ac:dyDescent="0.25">
      <c r="A51" s="57"/>
      <c r="B51" s="5" t="s">
        <v>7</v>
      </c>
      <c r="C51" s="6">
        <v>400000</v>
      </c>
      <c r="D51" s="5"/>
      <c r="E51" s="7">
        <f>IF(OR(C51&lt;&gt;0,D51&lt;&gt;0),SUM(C$3:C51)-SUM(D$3:D51),0)</f>
        <v>2200701</v>
      </c>
      <c r="F51" s="5"/>
    </row>
    <row r="52" spans="1:6" ht="15.75" x14ac:dyDescent="0.25">
      <c r="A52" s="57"/>
      <c r="B52" s="5" t="s">
        <v>532</v>
      </c>
      <c r="C52" s="5"/>
      <c r="D52" s="6">
        <v>50000</v>
      </c>
      <c r="E52" s="7">
        <f>IF(OR(C52&lt;&gt;0,D52&lt;&gt;0),SUM(C$3:C52)-SUM(D$3:D52),0)</f>
        <v>2150701</v>
      </c>
      <c r="F52" s="5"/>
    </row>
    <row r="53" spans="1:6" ht="15.75" x14ac:dyDescent="0.25">
      <c r="A53" s="57"/>
      <c r="B53" s="5" t="s">
        <v>513</v>
      </c>
      <c r="C53" s="5"/>
      <c r="D53" s="6">
        <v>27000</v>
      </c>
      <c r="E53" s="7">
        <f>IF(OR(C53&lt;&gt;0,D53&lt;&gt;0),SUM(C$3:C53)-SUM(D$3:D53),0)</f>
        <v>2123701</v>
      </c>
      <c r="F53" s="5"/>
    </row>
    <row r="54" spans="1:6" ht="15.75" x14ac:dyDescent="0.25">
      <c r="A54" s="57"/>
      <c r="B54" s="5" t="s">
        <v>527</v>
      </c>
      <c r="C54" s="5"/>
      <c r="D54" s="6">
        <v>150000</v>
      </c>
      <c r="E54" s="7">
        <f>IF(OR(C54&lt;&gt;0,D54&lt;&gt;0),SUM(C$3:C54)-SUM(D$3:D54),0)</f>
        <v>1973701</v>
      </c>
      <c r="F54" s="5"/>
    </row>
    <row r="55" spans="1:6" ht="15.75" x14ac:dyDescent="0.25">
      <c r="A55" s="57"/>
      <c r="B55" s="5" t="s">
        <v>533</v>
      </c>
      <c r="C55" s="5"/>
      <c r="D55" s="6">
        <v>50000</v>
      </c>
      <c r="E55" s="7">
        <f>IF(OR(C55&lt;&gt;0,D55&lt;&gt;0),SUM(C$3:C55)-SUM(D$3:D55),0)</f>
        <v>1923701</v>
      </c>
      <c r="F55" s="5"/>
    </row>
    <row r="56" spans="1:6" ht="15.75" x14ac:dyDescent="0.25">
      <c r="A56" s="57"/>
      <c r="B56" s="5" t="s">
        <v>534</v>
      </c>
      <c r="C56" s="5"/>
      <c r="D56" s="6">
        <v>200000</v>
      </c>
      <c r="E56" s="7">
        <f>IF(OR(C56&lt;&gt;0,D56&lt;&gt;0),SUM(C$3:C56)-SUM(D$3:D56),0)</f>
        <v>1723701</v>
      </c>
      <c r="F56" s="5"/>
    </row>
    <row r="57" spans="1:6" ht="15.75" x14ac:dyDescent="0.25">
      <c r="A57" s="57"/>
      <c r="B57" s="5" t="s">
        <v>208</v>
      </c>
      <c r="C57" s="5"/>
      <c r="D57" s="6">
        <v>150000</v>
      </c>
      <c r="E57" s="7">
        <f>IF(OR(C57&lt;&gt;0,D57&lt;&gt;0),SUM(C$3:C57)-SUM(D$3:D57),0)</f>
        <v>1573701</v>
      </c>
      <c r="F57" s="5"/>
    </row>
    <row r="58" spans="1:6" ht="15.75" x14ac:dyDescent="0.25">
      <c r="A58" s="57"/>
      <c r="B58" s="5" t="s">
        <v>535</v>
      </c>
      <c r="C58" s="5"/>
      <c r="D58" s="6">
        <v>30000</v>
      </c>
      <c r="E58" s="7">
        <f>IF(OR(C58&lt;&gt;0,D58&lt;&gt;0),SUM(C$3:C58)-SUM(D$3:D58),0)</f>
        <v>1543701</v>
      </c>
      <c r="F58" s="5"/>
    </row>
    <row r="59" spans="1:6" ht="15.75" x14ac:dyDescent="0.25">
      <c r="A59" s="57"/>
      <c r="B59" s="5" t="s">
        <v>536</v>
      </c>
      <c r="C59" s="5"/>
      <c r="D59" s="6">
        <v>60000</v>
      </c>
      <c r="E59" s="7">
        <f>IF(OR(C59&lt;&gt;0,D59&lt;&gt;0),SUM(C$3:C59)-SUM(D$3:D59),0)</f>
        <v>1483701</v>
      </c>
      <c r="F59" s="5"/>
    </row>
    <row r="60" spans="1:6" ht="15.75" x14ac:dyDescent="0.25">
      <c r="A60" s="57"/>
      <c r="B60" s="5" t="s">
        <v>537</v>
      </c>
      <c r="C60" s="5"/>
      <c r="D60" s="6">
        <v>50000</v>
      </c>
      <c r="E60" s="7">
        <f>IF(OR(C60&lt;&gt;0,D60&lt;&gt;0),SUM(C$3:C60)-SUM(D$3:D60),0)</f>
        <v>1433701</v>
      </c>
      <c r="F60" s="5"/>
    </row>
    <row r="61" spans="1:6" ht="15.75" x14ac:dyDescent="0.25">
      <c r="A61" s="57"/>
      <c r="B61" s="5" t="s">
        <v>538</v>
      </c>
      <c r="C61" s="5"/>
      <c r="D61" s="6">
        <v>110000</v>
      </c>
      <c r="E61" s="7">
        <f>IF(OR(C61&lt;&gt;0,D61&lt;&gt;0),SUM(C$3:C61)-SUM(D$3:D61),0)</f>
        <v>1323701</v>
      </c>
      <c r="F61" s="5"/>
    </row>
    <row r="62" spans="1:6" ht="15.75" x14ac:dyDescent="0.25">
      <c r="A62" s="57"/>
      <c r="B62" s="5" t="s">
        <v>16</v>
      </c>
      <c r="C62" s="5"/>
      <c r="D62" s="6">
        <v>125000</v>
      </c>
      <c r="E62" s="7">
        <f>IF(OR(C62&lt;&gt;0,D62&lt;&gt;0),SUM(C$3:C62)-SUM(D$3:D62),0)</f>
        <v>1198701</v>
      </c>
      <c r="F62" s="5"/>
    </row>
    <row r="63" spans="1:6" ht="15.75" x14ac:dyDescent="0.25">
      <c r="A63" s="57"/>
      <c r="B63" s="5" t="s">
        <v>530</v>
      </c>
      <c r="C63" s="5"/>
      <c r="D63" s="6">
        <v>100000</v>
      </c>
      <c r="E63" s="7">
        <f>IF(OR(C63&lt;&gt;0,D63&lt;&gt;0),SUM(C$3:C63)-SUM(D$3:D63),0)</f>
        <v>1098701</v>
      </c>
      <c r="F63" s="5"/>
    </row>
    <row r="64" spans="1:6" ht="15.75" x14ac:dyDescent="0.25">
      <c r="A64" s="58"/>
      <c r="B64" s="5" t="s">
        <v>43</v>
      </c>
      <c r="C64" s="5"/>
      <c r="D64" s="6">
        <v>100000</v>
      </c>
      <c r="E64" s="7">
        <f>IF(OR(C64&lt;&gt;0,D64&lt;&gt;0),SUM(C$3:C64)-SUM(D$3:D64),0)</f>
        <v>998701</v>
      </c>
      <c r="F64" s="5"/>
    </row>
    <row r="65" spans="1:7" ht="15.75" x14ac:dyDescent="0.25">
      <c r="A65" s="56">
        <v>45365</v>
      </c>
      <c r="B65" s="5" t="s">
        <v>505</v>
      </c>
      <c r="C65" s="5"/>
      <c r="D65" s="6">
        <v>200000</v>
      </c>
      <c r="E65" s="7">
        <f>IF(OR(C65&lt;&gt;0,D65&lt;&gt;0),SUM(C$3:C65)-SUM(D$3:D65),0)</f>
        <v>798701</v>
      </c>
      <c r="F65" s="5"/>
      <c r="G65">
        <f>240000-508000</f>
        <v>-268000</v>
      </c>
    </row>
    <row r="66" spans="1:7" ht="15.75" x14ac:dyDescent="0.25">
      <c r="A66" s="57"/>
      <c r="B66" s="5" t="s">
        <v>386</v>
      </c>
      <c r="C66" s="5"/>
      <c r="D66" s="6">
        <v>34000</v>
      </c>
      <c r="E66" s="7">
        <f>IF(OR(C66&lt;&gt;0,D66&lt;&gt;0),SUM(C$3:C66)-SUM(D$3:D66),0)</f>
        <v>764701</v>
      </c>
      <c r="F66" s="5"/>
    </row>
    <row r="67" spans="1:7" ht="15.75" x14ac:dyDescent="0.25">
      <c r="A67" s="57"/>
      <c r="B67" s="5" t="s">
        <v>46</v>
      </c>
      <c r="C67" s="5"/>
      <c r="D67" s="6">
        <v>30000</v>
      </c>
      <c r="E67" s="7">
        <f>IF(OR(C67&lt;&gt;0,D67&lt;&gt;0),SUM(C$3:C67)-SUM(D$3:D67),0)</f>
        <v>734701</v>
      </c>
      <c r="F67" s="5"/>
    </row>
    <row r="68" spans="1:7" ht="15.75" x14ac:dyDescent="0.25">
      <c r="A68" s="58"/>
      <c r="B68" s="5" t="s">
        <v>475</v>
      </c>
      <c r="C68" s="5"/>
      <c r="D68" s="6">
        <v>20000</v>
      </c>
      <c r="E68" s="7">
        <f>IF(OR(C68&lt;&gt;0,D68&lt;&gt;0),SUM(C$3:C68)-SUM(D$3:D68),0)</f>
        <v>714701</v>
      </c>
      <c r="F68" s="5"/>
    </row>
    <row r="69" spans="1:7" ht="15.75" x14ac:dyDescent="0.25">
      <c r="A69" s="56">
        <v>45366</v>
      </c>
      <c r="B69" s="5" t="s">
        <v>7</v>
      </c>
      <c r="C69" s="6">
        <v>1000000</v>
      </c>
      <c r="D69" s="6"/>
      <c r="E69" s="7">
        <f>IF(OR(C69&lt;&gt;0,D69&lt;&gt;0),SUM(C$3:C69)-SUM(D$3:D69),0)</f>
        <v>1714701</v>
      </c>
      <c r="F69" s="5"/>
    </row>
    <row r="70" spans="1:7" ht="15.75" x14ac:dyDescent="0.25">
      <c r="A70" s="57"/>
      <c r="B70" s="5" t="s">
        <v>14</v>
      </c>
      <c r="C70" s="5"/>
      <c r="D70" s="6">
        <v>50000</v>
      </c>
      <c r="E70" s="7">
        <f>IF(OR(C70&lt;&gt;0,D70&lt;&gt;0),SUM(C$3:C70)-SUM(D$3:D70),0)</f>
        <v>1664701</v>
      </c>
      <c r="F70" s="5"/>
    </row>
    <row r="71" spans="1:7" ht="15.75" x14ac:dyDescent="0.25">
      <c r="A71" s="57"/>
      <c r="B71" s="5" t="s">
        <v>67</v>
      </c>
      <c r="C71" s="5"/>
      <c r="D71" s="6">
        <v>54000</v>
      </c>
      <c r="E71" s="7">
        <f>IF(OR(C71&lt;&gt;0,D71&lt;&gt;0),SUM(C$3:C71)-SUM(D$3:D71),0)</f>
        <v>1610701</v>
      </c>
      <c r="F71" s="5"/>
    </row>
    <row r="72" spans="1:7" ht="15.75" x14ac:dyDescent="0.25">
      <c r="A72" s="57"/>
      <c r="B72" s="5" t="s">
        <v>539</v>
      </c>
      <c r="C72" s="5"/>
      <c r="D72" s="6">
        <v>200000</v>
      </c>
      <c r="E72" s="7">
        <f>IF(OR(C72&lt;&gt;0,D72&lt;&gt;0),SUM(C$3:C72)-SUM(D$3:D72),0)</f>
        <v>1410701</v>
      </c>
      <c r="F72" s="5"/>
    </row>
    <row r="73" spans="1:7" ht="15.75" x14ac:dyDescent="0.25">
      <c r="A73" s="57"/>
      <c r="B73" s="5" t="s">
        <v>540</v>
      </c>
      <c r="C73" s="5"/>
      <c r="D73" s="6">
        <v>100000</v>
      </c>
      <c r="E73" s="7">
        <f>IF(OR(C73&lt;&gt;0,D73&lt;&gt;0),SUM(C$3:C73)-SUM(D$3:D73),0)</f>
        <v>1310701</v>
      </c>
      <c r="F73" s="5"/>
      <c r="G73" s="3">
        <f>335000-E73</f>
        <v>-975701</v>
      </c>
    </row>
    <row r="74" spans="1:7" ht="15.75" x14ac:dyDescent="0.25">
      <c r="A74" s="57"/>
      <c r="B74" s="5" t="s">
        <v>32</v>
      </c>
      <c r="C74" s="5"/>
      <c r="D74" s="6">
        <v>200000</v>
      </c>
      <c r="E74" s="7">
        <f>IF(OR(C74&lt;&gt;0,D74&lt;&gt;0),SUM(C$3:C74)-SUM(D$3:D74),0)</f>
        <v>1110701</v>
      </c>
      <c r="F74" s="5"/>
    </row>
    <row r="75" spans="1:7" ht="15.75" x14ac:dyDescent="0.25">
      <c r="A75" s="57"/>
      <c r="B75" s="5" t="s">
        <v>541</v>
      </c>
      <c r="C75" s="5"/>
      <c r="D75" s="6">
        <v>137000</v>
      </c>
      <c r="E75" s="7">
        <f>IF(OR(C75&lt;&gt;0,D75&lt;&gt;0),SUM(C$3:C75)-SUM(D$3:D75),0)</f>
        <v>973701</v>
      </c>
      <c r="F75" s="5"/>
    </row>
    <row r="76" spans="1:7" ht="15.75" x14ac:dyDescent="0.25">
      <c r="A76" s="58"/>
      <c r="B76" s="5" t="s">
        <v>544</v>
      </c>
      <c r="C76" s="5"/>
      <c r="D76" s="6">
        <v>661000</v>
      </c>
      <c r="E76" s="7">
        <f>IF(OR(C76&lt;&gt;0,D76&lt;&gt;0),SUM(C$3:C76)-SUM(D$3:D76),0)</f>
        <v>312701</v>
      </c>
      <c r="F76" s="5"/>
    </row>
    <row r="77" spans="1:7" ht="15.75" x14ac:dyDescent="0.25">
      <c r="A77" s="59">
        <v>45367</v>
      </c>
      <c r="B77" s="5" t="s">
        <v>43</v>
      </c>
      <c r="C77" s="6"/>
      <c r="D77" s="6">
        <v>100000</v>
      </c>
      <c r="E77" s="7">
        <f>IF(OR(C77&lt;&gt;0,D77&lt;&gt;0),SUM(C$3:C77)-SUM(D$3:D77),0)</f>
        <v>212701</v>
      </c>
      <c r="F77" s="5"/>
      <c r="G77" s="3">
        <f>140000-E77</f>
        <v>-72701</v>
      </c>
    </row>
    <row r="78" spans="1:7" ht="15.75" x14ac:dyDescent="0.25">
      <c r="A78" s="59"/>
      <c r="B78" s="5" t="s">
        <v>542</v>
      </c>
      <c r="C78" s="5"/>
      <c r="D78" s="6">
        <v>50000</v>
      </c>
      <c r="E78" s="7">
        <f>IF(OR(C78&lt;&gt;0,D78&lt;&gt;0),SUM(C$3:C78)-SUM(D$3:D78),0)</f>
        <v>162701</v>
      </c>
      <c r="F78" s="5"/>
    </row>
    <row r="79" spans="1:7" ht="15.75" x14ac:dyDescent="0.25">
      <c r="A79" s="59"/>
      <c r="B79" s="5" t="s">
        <v>543</v>
      </c>
      <c r="C79" s="5"/>
      <c r="D79" s="6">
        <v>28000</v>
      </c>
      <c r="E79" s="7">
        <f>IF(OR(C79&lt;&gt;0,D79&lt;&gt;0),SUM(C$3:C79)-SUM(D$3:D79),0)</f>
        <v>134701</v>
      </c>
      <c r="F79" s="5"/>
    </row>
    <row r="80" spans="1:7" ht="15.75" x14ac:dyDescent="0.25">
      <c r="A80" s="56">
        <v>45369</v>
      </c>
      <c r="B80" s="5" t="s">
        <v>374</v>
      </c>
      <c r="C80" s="5"/>
      <c r="D80" s="6">
        <v>200000</v>
      </c>
      <c r="E80" s="7">
        <f>IF(OR(C80&lt;&gt;0,D80&lt;&gt;0),SUM(C$3:C80)-SUM(D$3:D80),0)</f>
        <v>-65299</v>
      </c>
      <c r="F80" s="5"/>
    </row>
    <row r="81" spans="1:6" ht="15.75" x14ac:dyDescent="0.25">
      <c r="A81" s="57"/>
      <c r="B81" s="5" t="s">
        <v>43</v>
      </c>
      <c r="C81" s="5"/>
      <c r="D81" s="6">
        <v>100000</v>
      </c>
      <c r="E81" s="7">
        <f>IF(OR(C81&lt;&gt;0,D81&lt;&gt;0),SUM(C$3:C81)-SUM(D$3:D81),0)</f>
        <v>-165299</v>
      </c>
      <c r="F81" s="5"/>
    </row>
    <row r="82" spans="1:6" ht="15.75" x14ac:dyDescent="0.25">
      <c r="A82" s="57"/>
      <c r="B82" s="5" t="s">
        <v>545</v>
      </c>
      <c r="C82" s="5"/>
      <c r="D82" s="6">
        <v>200000</v>
      </c>
      <c r="E82" s="7">
        <f>IF(OR(C82&lt;&gt;0,D82&lt;&gt;0),SUM(C$3:C82)-SUM(D$3:D82),0)</f>
        <v>-365299</v>
      </c>
      <c r="F82" s="5"/>
    </row>
    <row r="83" spans="1:6" ht="15.75" x14ac:dyDescent="0.25">
      <c r="A83" s="57"/>
      <c r="B83" s="5" t="s">
        <v>545</v>
      </c>
      <c r="C83" s="5"/>
      <c r="D83" s="6">
        <v>200000</v>
      </c>
      <c r="E83" s="7">
        <f>IF(OR(C83&lt;&gt;0,D83&lt;&gt;0),SUM(C$3:C83)-SUM(D$3:D83),0)</f>
        <v>-565299</v>
      </c>
      <c r="F83" s="5"/>
    </row>
    <row r="84" spans="1:6" ht="15.75" x14ac:dyDescent="0.25">
      <c r="A84" s="57"/>
      <c r="B84" s="5" t="s">
        <v>546</v>
      </c>
      <c r="C84" s="5"/>
      <c r="D84" s="6">
        <v>28100</v>
      </c>
      <c r="E84" s="7">
        <f>IF(OR(C84&lt;&gt;0,D84&lt;&gt;0),SUM(C$3:C84)-SUM(D$3:D84),0)</f>
        <v>-593399</v>
      </c>
      <c r="F84" s="5"/>
    </row>
    <row r="85" spans="1:6" ht="15.75" x14ac:dyDescent="0.25">
      <c r="A85" s="57"/>
      <c r="B85" s="5" t="s">
        <v>547</v>
      </c>
      <c r="C85" s="5"/>
      <c r="D85" s="6">
        <v>22000</v>
      </c>
      <c r="E85" s="7">
        <f>IF(OR(C85&lt;&gt;0,D85&lt;&gt;0),SUM(C$3:C85)-SUM(D$3:D85),0)</f>
        <v>-615399</v>
      </c>
      <c r="F85" s="5"/>
    </row>
    <row r="86" spans="1:6" ht="15.75" x14ac:dyDescent="0.25">
      <c r="A86" s="57"/>
      <c r="B86" s="5" t="s">
        <v>548</v>
      </c>
      <c r="C86" s="5"/>
      <c r="D86" s="6">
        <v>300000</v>
      </c>
      <c r="E86" s="7">
        <f>IF(OR(C86&lt;&gt;0,D86&lt;&gt;0),SUM(C$3:C86)-SUM(D$3:D86),0)</f>
        <v>-915399</v>
      </c>
      <c r="F86" s="5"/>
    </row>
    <row r="87" spans="1:6" ht="15.75" x14ac:dyDescent="0.25">
      <c r="A87" s="57"/>
      <c r="B87" s="5" t="s">
        <v>549</v>
      </c>
      <c r="C87" s="5"/>
      <c r="D87" s="6">
        <v>150000</v>
      </c>
      <c r="E87" s="7">
        <f>IF(OR(C87&lt;&gt;0,D87&lt;&gt;0),SUM(C$3:C87)-SUM(D$3:D87),0)</f>
        <v>-1065399</v>
      </c>
      <c r="F87" s="5"/>
    </row>
    <row r="88" spans="1:6" ht="15.75" x14ac:dyDescent="0.25">
      <c r="A88" s="57"/>
      <c r="B88" s="5" t="s">
        <v>550</v>
      </c>
      <c r="C88" s="5"/>
      <c r="D88" s="6">
        <v>50000</v>
      </c>
      <c r="E88" s="7">
        <f>IF(OR(C88&lt;&gt;0,D88&lt;&gt;0),SUM(C$3:C88)-SUM(D$3:D88),0)</f>
        <v>-1115399</v>
      </c>
      <c r="F88" s="5"/>
    </row>
    <row r="89" spans="1:6" ht="15.75" x14ac:dyDescent="0.25">
      <c r="A89" s="57"/>
      <c r="B89" s="5" t="s">
        <v>551</v>
      </c>
      <c r="C89" s="5"/>
      <c r="D89" s="6">
        <v>130000</v>
      </c>
      <c r="E89" s="7">
        <f>IF(OR(C89&lt;&gt;0,D89&lt;&gt;0),SUM(C$3:C89)-SUM(D$3:D89),0)</f>
        <v>-1245399</v>
      </c>
      <c r="F89" s="5"/>
    </row>
    <row r="90" spans="1:6" ht="15.75" x14ac:dyDescent="0.25">
      <c r="A90" s="57"/>
      <c r="B90" s="5" t="s">
        <v>552</v>
      </c>
      <c r="C90" s="5"/>
      <c r="D90" s="6">
        <v>25000</v>
      </c>
      <c r="E90" s="7">
        <f>IF(OR(C90&lt;&gt;0,D90&lt;&gt;0),SUM(C$3:C90)-SUM(D$3:D90),0)</f>
        <v>-1270399</v>
      </c>
      <c r="F90" s="5"/>
    </row>
    <row r="91" spans="1:6" ht="15.75" x14ac:dyDescent="0.25">
      <c r="A91" s="57"/>
      <c r="B91" s="5" t="s">
        <v>16</v>
      </c>
      <c r="C91" s="5"/>
      <c r="D91" s="6">
        <v>75000</v>
      </c>
      <c r="E91" s="7">
        <f>IF(OR(C91&lt;&gt;0,D91&lt;&gt;0),SUM(C$3:C91)-SUM(D$3:D91),0)</f>
        <v>-1345399</v>
      </c>
      <c r="F91" s="5"/>
    </row>
    <row r="92" spans="1:6" ht="15.75" x14ac:dyDescent="0.25">
      <c r="A92" s="57"/>
      <c r="B92" s="14" t="s">
        <v>553</v>
      </c>
      <c r="C92" s="14"/>
      <c r="D92" s="15">
        <v>14000</v>
      </c>
      <c r="E92" s="7">
        <f>IF(OR(C92&lt;&gt;0,D92&lt;&gt;0),SUM(C$3:C92)-SUM(D$3:D92),0)</f>
        <v>-1359399</v>
      </c>
      <c r="F92" s="14"/>
    </row>
    <row r="93" spans="1:6" ht="15.75" x14ac:dyDescent="0.25">
      <c r="A93" s="59">
        <v>45370</v>
      </c>
      <c r="B93" s="14" t="s">
        <v>563</v>
      </c>
      <c r="C93" s="14"/>
      <c r="D93" s="15">
        <v>150000</v>
      </c>
      <c r="E93" s="7">
        <f>IF(OR(C93&lt;&gt;0,D93&lt;&gt;0),SUM(C$3:C93)-SUM(D$3:D93),0)</f>
        <v>-1509399</v>
      </c>
      <c r="F93" s="14"/>
    </row>
    <row r="94" spans="1:6" ht="15.75" x14ac:dyDescent="0.25">
      <c r="A94" s="59"/>
      <c r="B94" s="14" t="s">
        <v>562</v>
      </c>
      <c r="C94" s="14"/>
      <c r="D94" s="15">
        <v>20000</v>
      </c>
      <c r="E94" s="7">
        <f>IF(OR(C94&lt;&gt;0,D94&lt;&gt;0),SUM(C$3:C94)-SUM(D$3:D94),0)</f>
        <v>-1529399</v>
      </c>
      <c r="F94" s="14"/>
    </row>
    <row r="95" spans="1:6" ht="15.75" x14ac:dyDescent="0.25">
      <c r="A95" s="59"/>
      <c r="B95" s="5" t="s">
        <v>14</v>
      </c>
      <c r="C95" s="5"/>
      <c r="D95" s="6">
        <v>30000</v>
      </c>
      <c r="E95" s="7">
        <f>IF(OR(C95&lt;&gt;0,D95&lt;&gt;0),SUM(C$3:C95)-SUM(D$3:D95),0)</f>
        <v>-1559399</v>
      </c>
      <c r="F95" s="5"/>
    </row>
    <row r="96" spans="1:6" ht="15.75" x14ac:dyDescent="0.25">
      <c r="A96" s="59"/>
      <c r="B96" s="5" t="s">
        <v>561</v>
      </c>
      <c r="C96" s="6"/>
      <c r="D96" s="6">
        <v>300000</v>
      </c>
      <c r="E96" s="7">
        <f>IF(OR(C96&lt;&gt;0,D96&lt;&gt;0),SUM(C$3:C96)-SUM(D$3:D96),0)</f>
        <v>-1859399</v>
      </c>
      <c r="F96" s="5"/>
    </row>
    <row r="97" spans="1:7" ht="15.75" x14ac:dyDescent="0.25">
      <c r="A97" s="59"/>
      <c r="B97" s="5" t="s">
        <v>136</v>
      </c>
      <c r="C97" s="5"/>
      <c r="D97" s="6">
        <v>130000</v>
      </c>
      <c r="E97" s="7">
        <f>IF(OR(C97&lt;&gt;0,D97&lt;&gt;0),SUM(C$3:C97)-SUM(D$3:D97),0)</f>
        <v>-1989399</v>
      </c>
      <c r="F97" s="5"/>
    </row>
    <row r="98" spans="1:7" ht="15.75" x14ac:dyDescent="0.25">
      <c r="A98" s="59"/>
      <c r="B98" s="5" t="s">
        <v>554</v>
      </c>
      <c r="C98" s="5" t="s">
        <v>72</v>
      </c>
      <c r="D98" s="6">
        <v>100000</v>
      </c>
      <c r="E98" s="7">
        <f>IF(OR(C98&lt;&gt;0,D98&lt;&gt;0),SUM(C$3:C98)-SUM(D$3:D98),0)</f>
        <v>-2089399</v>
      </c>
      <c r="F98" s="5"/>
    </row>
    <row r="99" spans="1:7" ht="15.75" x14ac:dyDescent="0.25">
      <c r="A99" s="59"/>
      <c r="B99" s="5" t="s">
        <v>523</v>
      </c>
      <c r="C99" s="5"/>
      <c r="D99" s="6">
        <v>100000</v>
      </c>
      <c r="E99" s="7">
        <f>IF(OR(C99&lt;&gt;0,D99&lt;&gt;0),SUM(C$3:C99)-SUM(D$3:D99),0)</f>
        <v>-2189399</v>
      </c>
      <c r="F99" s="5"/>
    </row>
    <row r="100" spans="1:7" ht="15.75" x14ac:dyDescent="0.25">
      <c r="A100" s="59"/>
      <c r="B100" s="5" t="s">
        <v>555</v>
      </c>
      <c r="C100" s="5"/>
      <c r="D100" s="6">
        <v>176000</v>
      </c>
      <c r="E100" s="7">
        <f>IF(OR(C100&lt;&gt;0,D100&lt;&gt;0),SUM(C$3:C100)-SUM(D$3:D100),0)</f>
        <v>-2365399</v>
      </c>
      <c r="F100" s="5"/>
    </row>
    <row r="101" spans="1:7" ht="15.75" x14ac:dyDescent="0.25">
      <c r="A101" s="59"/>
      <c r="B101" s="5" t="s">
        <v>46</v>
      </c>
      <c r="C101" s="5"/>
      <c r="D101" s="6">
        <v>30000</v>
      </c>
      <c r="E101" s="7">
        <f>IF(OR(C101&lt;&gt;0,D101&lt;&gt;0),SUM(C$3:C101)-SUM(D$3:D101),0)</f>
        <v>-2395399</v>
      </c>
      <c r="F101" s="5"/>
    </row>
    <row r="102" spans="1:7" ht="15.75" x14ac:dyDescent="0.25">
      <c r="A102" s="59"/>
      <c r="B102" s="5" t="s">
        <v>556</v>
      </c>
      <c r="C102" s="5"/>
      <c r="D102" s="6">
        <v>53000</v>
      </c>
      <c r="E102" s="7">
        <f>IF(OR(C102&lt;&gt;0,D102&lt;&gt;0),SUM(C$3:C102)-SUM(D$3:D102),0)</f>
        <v>-2448399</v>
      </c>
      <c r="F102" s="5"/>
    </row>
    <row r="103" spans="1:7" ht="15.75" x14ac:dyDescent="0.25">
      <c r="A103" s="59"/>
      <c r="B103" s="5" t="s">
        <v>7</v>
      </c>
      <c r="C103" s="6">
        <v>3244000</v>
      </c>
      <c r="D103" s="5"/>
      <c r="E103" s="7">
        <f>IF(OR(C103&lt;&gt;0,D103&lt;&gt;0),SUM(C$3:C103)-SUM(D$3:D103),0)</f>
        <v>795601</v>
      </c>
      <c r="F103" s="5"/>
    </row>
    <row r="104" spans="1:7" ht="15.75" x14ac:dyDescent="0.25">
      <c r="A104" s="59"/>
      <c r="B104" s="5" t="s">
        <v>557</v>
      </c>
      <c r="C104" s="5"/>
      <c r="D104" s="6">
        <v>16000</v>
      </c>
      <c r="E104" s="7">
        <f>IF(OR(C104&lt;&gt;0,D104&lt;&gt;0),SUM(C$3:C104)-SUM(D$3:D104),0)</f>
        <v>779601</v>
      </c>
      <c r="F104" s="5"/>
    </row>
    <row r="105" spans="1:7" ht="15.75" x14ac:dyDescent="0.25">
      <c r="A105" s="59"/>
      <c r="B105" s="5" t="s">
        <v>558</v>
      </c>
      <c r="C105" s="5"/>
      <c r="D105" s="6">
        <v>28000</v>
      </c>
      <c r="E105" s="7">
        <f>IF(OR(C105&lt;&gt;0,D105&lt;&gt;0),SUM(C$3:C105)-SUM(D$3:D105),0)</f>
        <v>751601</v>
      </c>
      <c r="F105" s="5"/>
    </row>
    <row r="106" spans="1:7" ht="15.75" x14ac:dyDescent="0.25">
      <c r="A106" s="59"/>
      <c r="B106" s="5" t="s">
        <v>7</v>
      </c>
      <c r="C106" s="6">
        <v>1000000</v>
      </c>
      <c r="D106" s="5"/>
      <c r="E106" s="7">
        <f>IF(OR(C106&lt;&gt;0,D106&lt;&gt;0),SUM(C$3:C106)-SUM(D$3:D106),0)</f>
        <v>1751601</v>
      </c>
      <c r="F106" s="5"/>
    </row>
    <row r="107" spans="1:7" ht="15.75" x14ac:dyDescent="0.25">
      <c r="A107" s="59"/>
      <c r="B107" s="5" t="s">
        <v>559</v>
      </c>
      <c r="C107" s="6"/>
      <c r="D107" s="6">
        <v>78000</v>
      </c>
      <c r="E107" s="7">
        <f>IF(OR(C107&lt;&gt;0,D107&lt;&gt;0),SUM(C$3:C107)-SUM(D$3:D107),0)</f>
        <v>1673601</v>
      </c>
      <c r="F107" s="5"/>
      <c r="G107" s="3"/>
    </row>
    <row r="108" spans="1:7" ht="15.75" x14ac:dyDescent="0.25">
      <c r="A108" s="59"/>
      <c r="B108" s="5" t="s">
        <v>287</v>
      </c>
      <c r="C108" s="5"/>
      <c r="D108" s="6">
        <v>200000</v>
      </c>
      <c r="E108" s="7">
        <f>IF(OR(C108&lt;&gt;0,D108&lt;&gt;0),SUM(C$3:C108)-SUM(D$3:D108),0)</f>
        <v>1473601</v>
      </c>
      <c r="F108" s="5"/>
      <c r="G108" s="3">
        <f>832000-E108</f>
        <v>-641601</v>
      </c>
    </row>
    <row r="109" spans="1:7" ht="15.75" x14ac:dyDescent="0.25">
      <c r="A109" s="59">
        <v>45371</v>
      </c>
      <c r="B109" s="5" t="s">
        <v>411</v>
      </c>
      <c r="C109" s="5"/>
      <c r="D109" s="6">
        <v>30000</v>
      </c>
      <c r="E109" s="7">
        <f>IF(OR(C109&lt;&gt;0,D109&lt;&gt;0),SUM(C$3:C109)-SUM(D$3:D109),0)</f>
        <v>1443601</v>
      </c>
      <c r="F109" s="5"/>
      <c r="G109" s="3"/>
    </row>
    <row r="110" spans="1:7" ht="15.75" x14ac:dyDescent="0.25">
      <c r="A110" s="59"/>
      <c r="B110" s="5" t="s">
        <v>560</v>
      </c>
      <c r="C110" s="5"/>
      <c r="D110" s="6">
        <v>220000</v>
      </c>
      <c r="E110" s="7">
        <f>IF(OR(C110&lt;&gt;0,D110&lt;&gt;0),SUM(C$3:C110)-SUM(D$3:D110),0)</f>
        <v>1223601</v>
      </c>
      <c r="F110" s="5"/>
      <c r="G110" s="3"/>
    </row>
    <row r="111" spans="1:7" ht="15.75" x14ac:dyDescent="0.25">
      <c r="A111" s="59"/>
      <c r="B111" s="5" t="s">
        <v>567</v>
      </c>
      <c r="C111" s="5"/>
      <c r="D111" s="6">
        <v>240000</v>
      </c>
      <c r="E111" s="7">
        <f>IF(OR(C111&lt;&gt;0,D111&lt;&gt;0),SUM(C$3:C111)-SUM(D$3:D111),0)</f>
        <v>983601</v>
      </c>
      <c r="F111" s="5"/>
      <c r="G111" s="3"/>
    </row>
    <row r="112" spans="1:7" ht="15.75" x14ac:dyDescent="0.25">
      <c r="A112" s="59"/>
      <c r="B112" s="5" t="s">
        <v>27</v>
      </c>
      <c r="C112" s="5"/>
      <c r="D112" s="6">
        <v>200000</v>
      </c>
      <c r="E112" s="7">
        <f>IF(OR(C112&lt;&gt;0,D112&lt;&gt;0),SUM(C$3:C112)-SUM(D$3:D112),0)</f>
        <v>783601</v>
      </c>
      <c r="F112" s="5"/>
    </row>
    <row r="113" spans="1:8" ht="15.75" x14ac:dyDescent="0.25">
      <c r="A113" s="59"/>
      <c r="B113" s="5" t="s">
        <v>7</v>
      </c>
      <c r="C113" s="6">
        <v>1000000</v>
      </c>
      <c r="D113" s="6"/>
      <c r="E113" s="7">
        <f>IF(OR(C113&lt;&gt;0,D113&lt;&gt;0),SUM(C$3:C113)-SUM(D$3:D113),0)</f>
        <v>1783601</v>
      </c>
      <c r="F113" s="5"/>
    </row>
    <row r="114" spans="1:8" ht="15.75" x14ac:dyDescent="0.25">
      <c r="A114" s="59"/>
      <c r="B114" s="5" t="s">
        <v>84</v>
      </c>
      <c r="C114" s="5"/>
      <c r="D114" s="6">
        <v>197000</v>
      </c>
      <c r="E114" s="7">
        <f>IF(OR(C114&lt;&gt;0,D114&lt;&gt;0),SUM(C$3:C114)-SUM(D$3:D114),0)</f>
        <v>1586601</v>
      </c>
      <c r="F114" s="5"/>
      <c r="G114" s="3">
        <f>810000-E114</f>
        <v>-776601</v>
      </c>
    </row>
    <row r="115" spans="1:8" ht="15.75" x14ac:dyDescent="0.25">
      <c r="A115" s="59">
        <v>45372</v>
      </c>
      <c r="B115" s="5" t="s">
        <v>564</v>
      </c>
      <c r="C115" s="5"/>
      <c r="D115" s="6">
        <v>149000</v>
      </c>
      <c r="E115" s="7">
        <f>IF(OR(C115&lt;&gt;0,D115&lt;&gt;0),SUM(C$3:C115)-SUM(D$3:D115),0)</f>
        <v>1437601</v>
      </c>
      <c r="F115" s="5"/>
      <c r="G115" s="3"/>
    </row>
    <row r="116" spans="1:8" ht="15.75" x14ac:dyDescent="0.25">
      <c r="A116" s="59"/>
      <c r="B116" s="5" t="s">
        <v>566</v>
      </c>
      <c r="C116" s="5"/>
      <c r="D116" s="6">
        <v>200000</v>
      </c>
      <c r="E116" s="7">
        <f>IF(OR(C116&lt;&gt;0,D116&lt;&gt;0),SUM(C$3:C116)-SUM(D$3:D116),0)</f>
        <v>1237601</v>
      </c>
      <c r="F116" s="5"/>
    </row>
    <row r="117" spans="1:8" ht="15.75" x14ac:dyDescent="0.25">
      <c r="A117" s="59"/>
      <c r="B117" s="5" t="s">
        <v>14</v>
      </c>
      <c r="C117" s="5"/>
      <c r="D117" s="6">
        <v>50000</v>
      </c>
      <c r="E117" s="7">
        <f>IF(OR(C117&lt;&gt;0,D117&lt;&gt;0),SUM(C$3:C117)-SUM(D$3:D117),0)</f>
        <v>1187601</v>
      </c>
      <c r="F117" s="5"/>
    </row>
    <row r="118" spans="1:8" ht="15.75" x14ac:dyDescent="0.25">
      <c r="A118" s="59"/>
      <c r="B118" s="5" t="s">
        <v>565</v>
      </c>
      <c r="C118" s="6"/>
      <c r="D118" s="6">
        <v>30000</v>
      </c>
      <c r="E118" s="7">
        <f>IF(OR(C118&lt;&gt;0,D118&lt;&gt;0),SUM(C$3:C118)-SUM(D$3:D118),0)</f>
        <v>1157601</v>
      </c>
      <c r="F118" s="5"/>
    </row>
    <row r="119" spans="1:8" ht="15.75" x14ac:dyDescent="0.25">
      <c r="A119" s="59"/>
      <c r="B119" s="5" t="s">
        <v>523</v>
      </c>
      <c r="C119" s="5"/>
      <c r="D119" s="6">
        <v>150000</v>
      </c>
      <c r="E119" s="7">
        <f>IF(OR(C119&lt;&gt;0,D119&lt;&gt;0),SUM(C$3:C119)-SUM(D$3:D119),0)</f>
        <v>1007601</v>
      </c>
      <c r="F119" s="5"/>
      <c r="G119" s="3">
        <f>300000-E119</f>
        <v>-707601</v>
      </c>
    </row>
    <row r="120" spans="1:8" ht="15.75" x14ac:dyDescent="0.25">
      <c r="A120" s="59"/>
      <c r="B120" s="5" t="s">
        <v>7</v>
      </c>
      <c r="C120" s="6">
        <v>1000000</v>
      </c>
      <c r="D120" s="6"/>
      <c r="E120" s="7">
        <f>IF(OR(C120&lt;&gt;0,D120&lt;&gt;0),SUM(C$3:C120)-SUM(D$3:D120),0)</f>
        <v>2007601</v>
      </c>
      <c r="F120" s="5"/>
      <c r="G120" s="3"/>
    </row>
    <row r="121" spans="1:8" ht="15.75" x14ac:dyDescent="0.25">
      <c r="A121" s="59"/>
      <c r="B121" s="5" t="s">
        <v>568</v>
      </c>
      <c r="C121" s="6"/>
      <c r="D121" s="6">
        <v>509200</v>
      </c>
      <c r="E121" s="7">
        <f>IF(OR(C121&lt;&gt;0,D121&lt;&gt;0),SUM(C$3:C121)-SUM(D$3:D121),0)</f>
        <v>1498401</v>
      </c>
      <c r="F121" s="5"/>
      <c r="G121" s="3"/>
    </row>
    <row r="122" spans="1:8" ht="15.75" x14ac:dyDescent="0.25">
      <c r="A122" s="59"/>
      <c r="B122" s="5" t="s">
        <v>569</v>
      </c>
      <c r="C122" s="6"/>
      <c r="D122" s="6">
        <v>120000</v>
      </c>
      <c r="E122" s="7">
        <f>IF(OR(C122&lt;&gt;0,D122&lt;&gt;0),SUM(C$3:C122)-SUM(D$3:D122),0)</f>
        <v>1378401</v>
      </c>
      <c r="F122" s="5"/>
      <c r="G122" s="3"/>
    </row>
    <row r="123" spans="1:8" ht="15.75" x14ac:dyDescent="0.25">
      <c r="A123" s="59">
        <v>45373</v>
      </c>
      <c r="B123" s="5" t="s">
        <v>570</v>
      </c>
      <c r="C123" s="6"/>
      <c r="D123" s="6">
        <v>480000</v>
      </c>
      <c r="E123" s="7">
        <f>IF(OR(C123&lt;&gt;0,D123&lt;&gt;0),SUM(C$3:C123)-SUM(D$3:D123),0)</f>
        <v>898401</v>
      </c>
      <c r="F123" s="5"/>
      <c r="G123" s="3"/>
    </row>
    <row r="124" spans="1:8" ht="15.75" x14ac:dyDescent="0.25">
      <c r="A124" s="59"/>
      <c r="B124" s="5" t="s">
        <v>7</v>
      </c>
      <c r="C124" s="6">
        <v>1000000</v>
      </c>
      <c r="D124" s="6"/>
      <c r="E124" s="7">
        <f>IF(OR(C124&lt;&gt;0,D124&lt;&gt;0),SUM(C$3:C124)-SUM(D$3:D124),0)</f>
        <v>1898401</v>
      </c>
      <c r="F124" s="5"/>
      <c r="G124" s="3"/>
    </row>
    <row r="125" spans="1:8" ht="15.75" x14ac:dyDescent="0.25">
      <c r="A125" s="59"/>
      <c r="B125" s="5" t="s">
        <v>571</v>
      </c>
      <c r="C125" s="6"/>
      <c r="D125" s="6">
        <v>5000</v>
      </c>
      <c r="E125" s="7">
        <f>IF(OR(C125&lt;&gt;0,D125&lt;&gt;0),SUM(C$3:C125)-SUM(D$3:D125),0)</f>
        <v>1893401</v>
      </c>
      <c r="F125" s="5"/>
    </row>
    <row r="126" spans="1:8" ht="15.75" x14ac:dyDescent="0.25">
      <c r="A126" s="59"/>
      <c r="B126" s="5" t="s">
        <v>572</v>
      </c>
      <c r="C126" s="5" t="s">
        <v>72</v>
      </c>
      <c r="D126" s="6">
        <v>68000</v>
      </c>
      <c r="E126" s="7">
        <f>IF(OR(C126&lt;&gt;0,D126&lt;&gt;0),SUM(C$3:C126)-SUM(D$3:D126),0)</f>
        <v>1825401</v>
      </c>
      <c r="F126" s="5"/>
      <c r="H126">
        <f>172000-224400</f>
        <v>-52400</v>
      </c>
    </row>
    <row r="127" spans="1:8" ht="15.75" x14ac:dyDescent="0.25">
      <c r="A127" s="59"/>
      <c r="B127" s="5" t="s">
        <v>573</v>
      </c>
      <c r="C127" s="6"/>
      <c r="D127" s="6">
        <v>110000</v>
      </c>
      <c r="E127" s="7">
        <f>IF(OR(C127&lt;&gt;0,D127&lt;&gt;0),SUM(C$3:C127)-SUM(D$3:D127),0)</f>
        <v>1715401</v>
      </c>
      <c r="F127" s="5"/>
    </row>
    <row r="128" spans="1:8" ht="15.75" x14ac:dyDescent="0.25">
      <c r="A128" s="59"/>
      <c r="B128" s="5" t="s">
        <v>6</v>
      </c>
      <c r="C128" s="5"/>
      <c r="D128" s="6">
        <v>46400</v>
      </c>
      <c r="E128" s="7">
        <f>IF(OR(C128&lt;&gt;0,D128&lt;&gt;0),SUM(C$3:C128)-SUM(D$3:D128),0)</f>
        <v>1669001</v>
      </c>
      <c r="F128" s="5"/>
    </row>
    <row r="129" spans="1:7" ht="15.75" x14ac:dyDescent="0.25">
      <c r="A129" s="59"/>
      <c r="B129" s="5" t="s">
        <v>574</v>
      </c>
      <c r="C129" s="6">
        <v>176000</v>
      </c>
      <c r="D129" s="5"/>
      <c r="E129" s="7">
        <f>IF(OR(C129&lt;&gt;0,D129&lt;&gt;0),SUM(C$3:C129)-SUM(D$3:D129),0)</f>
        <v>1845001</v>
      </c>
      <c r="F129" s="5"/>
      <c r="G129" s="3"/>
    </row>
    <row r="130" spans="1:7" ht="15.75" x14ac:dyDescent="0.25">
      <c r="A130" s="56">
        <v>45374</v>
      </c>
      <c r="B130" s="5" t="s">
        <v>84</v>
      </c>
      <c r="C130" s="6"/>
      <c r="D130" s="6">
        <v>126300</v>
      </c>
      <c r="E130" s="7">
        <f>IF(OR(C130&lt;&gt;0,D130&lt;&gt;0),SUM(C$3:C130)-SUM(D$3:D130),0)</f>
        <v>1718701</v>
      </c>
      <c r="F130" s="5"/>
      <c r="G130" s="3">
        <f>680000-E130</f>
        <v>-1038701</v>
      </c>
    </row>
    <row r="131" spans="1:7" ht="15.75" x14ac:dyDescent="0.25">
      <c r="A131" s="57"/>
      <c r="B131" s="5" t="s">
        <v>14</v>
      </c>
      <c r="C131" s="6"/>
      <c r="D131" s="6">
        <v>50000</v>
      </c>
      <c r="E131" s="7">
        <f>IF(OR(C131&lt;&gt;0,D131&lt;&gt;0),SUM(C$3:C131)-SUM(D$3:D131),0)</f>
        <v>1668701</v>
      </c>
      <c r="F131" s="5"/>
    </row>
    <row r="132" spans="1:7" ht="15.75" x14ac:dyDescent="0.25">
      <c r="A132" s="57"/>
      <c r="B132" s="5" t="s">
        <v>43</v>
      </c>
      <c r="C132" s="5"/>
      <c r="D132" s="6">
        <v>150000</v>
      </c>
      <c r="E132" s="7">
        <f>IF(OR(C132&lt;&gt;0,D132&lt;&gt;0),SUM(C$3:C132)-SUM(D$3:D132),0)</f>
        <v>1518701</v>
      </c>
      <c r="F132" s="5"/>
      <c r="G132" s="3">
        <f>430000-E131</f>
        <v>-1238701</v>
      </c>
    </row>
    <row r="133" spans="1:7" ht="15.75" x14ac:dyDescent="0.25">
      <c r="A133" s="57"/>
      <c r="B133" s="5" t="s">
        <v>581</v>
      </c>
      <c r="C133" s="5"/>
      <c r="D133" s="6">
        <v>54900</v>
      </c>
      <c r="E133" s="7">
        <f>IF(OR(C133&lt;&gt;0,D133&lt;&gt;0),SUM(C$3:C133)-SUM(D$3:D133),0)</f>
        <v>1463801</v>
      </c>
      <c r="F133" s="5"/>
      <c r="G133" s="3"/>
    </row>
    <row r="134" spans="1:7" ht="15.75" x14ac:dyDescent="0.25">
      <c r="A134" s="57"/>
      <c r="B134" s="5" t="s">
        <v>46</v>
      </c>
      <c r="C134" s="5"/>
      <c r="D134" s="6">
        <v>30000</v>
      </c>
      <c r="E134" s="7">
        <f>IF(OR(C134&lt;&gt;0,D134&lt;&gt;0),SUM(C$3:C134)-SUM(D$3:D134),0)</f>
        <v>1433801</v>
      </c>
      <c r="F134" s="5"/>
    </row>
    <row r="135" spans="1:7" ht="15.75" x14ac:dyDescent="0.25">
      <c r="A135" s="57"/>
      <c r="B135" s="5" t="s">
        <v>235</v>
      </c>
      <c r="C135" s="6"/>
      <c r="D135" s="6">
        <v>30000</v>
      </c>
      <c r="E135" s="7">
        <f>IF(OR(C135&lt;&gt;0,D135&lt;&gt;0),SUM(C$3:C135)-SUM(D$3:D135),0)</f>
        <v>1403801</v>
      </c>
      <c r="F135" s="5"/>
    </row>
    <row r="136" spans="1:7" ht="15.75" x14ac:dyDescent="0.25">
      <c r="A136" s="58"/>
      <c r="B136" s="5" t="s">
        <v>255</v>
      </c>
      <c r="C136" s="6"/>
      <c r="D136" s="6">
        <v>20000</v>
      </c>
      <c r="E136" s="7">
        <f>IF(OR(C136&lt;&gt;0,D136&lt;&gt;0),SUM(C$3:C136)-SUM(D$3:D136),0)</f>
        <v>1383801</v>
      </c>
      <c r="F136" s="5"/>
    </row>
    <row r="137" spans="1:7" ht="15.75" x14ac:dyDescent="0.25">
      <c r="A137" s="59">
        <v>45376</v>
      </c>
      <c r="B137" s="5" t="s">
        <v>576</v>
      </c>
      <c r="C137" s="6"/>
      <c r="D137" s="6">
        <v>200000</v>
      </c>
      <c r="E137" s="7">
        <f>IF(OR(C137&lt;&gt;0,D137&lt;&gt;0),SUM(C$3:C137)-SUM(D$3:D137),0)</f>
        <v>1183801</v>
      </c>
      <c r="F137" s="5"/>
    </row>
    <row r="138" spans="1:7" ht="15.75" x14ac:dyDescent="0.25">
      <c r="A138" s="59"/>
      <c r="B138" s="5" t="s">
        <v>7</v>
      </c>
      <c r="C138" s="6">
        <v>1500000</v>
      </c>
      <c r="D138" s="6"/>
      <c r="E138" s="7">
        <f>IF(OR(C138&lt;&gt;0,D138&lt;&gt;0),SUM(C$3:C138)-SUM(D$3:D138),0)</f>
        <v>2683801</v>
      </c>
      <c r="F138" s="5"/>
      <c r="G138" s="3">
        <f>1300000-E138</f>
        <v>-1383801</v>
      </c>
    </row>
    <row r="139" spans="1:7" ht="15.75" x14ac:dyDescent="0.25">
      <c r="A139" s="59"/>
      <c r="B139" s="5" t="s">
        <v>577</v>
      </c>
      <c r="C139" s="5"/>
      <c r="D139" s="6">
        <v>150000</v>
      </c>
      <c r="E139" s="7">
        <f>IF(OR(C139&lt;&gt;0,D139&lt;&gt;0),SUM(C$3:C139)-SUM(D$3:D139),0)</f>
        <v>2533801</v>
      </c>
      <c r="F139" s="5"/>
    </row>
    <row r="140" spans="1:7" ht="15.75" x14ac:dyDescent="0.25">
      <c r="A140" s="59"/>
      <c r="B140" s="5" t="s">
        <v>578</v>
      </c>
      <c r="C140" s="6"/>
      <c r="D140" s="6">
        <v>4000</v>
      </c>
      <c r="E140" s="7">
        <f>IF(OR(C140&lt;&gt;0,D140&lt;&gt;0),SUM(C$3:C140)-SUM(D$3:D140),0)</f>
        <v>2529801</v>
      </c>
      <c r="F140" s="5"/>
      <c r="G140" s="3">
        <f>1160000-E142</f>
        <v>-1169801</v>
      </c>
    </row>
    <row r="141" spans="1:7" ht="15.75" x14ac:dyDescent="0.25">
      <c r="A141" s="59"/>
      <c r="B141" s="5" t="s">
        <v>43</v>
      </c>
      <c r="C141" s="5"/>
      <c r="D141" s="6">
        <v>100000</v>
      </c>
      <c r="E141" s="7">
        <f>IF(OR(C141&lt;&gt;0,D141&lt;&gt;0),SUM(C$3:C141)-SUM(D$3:D141),0)</f>
        <v>2429801</v>
      </c>
      <c r="F141" s="5"/>
    </row>
    <row r="142" spans="1:7" ht="15.75" x14ac:dyDescent="0.25">
      <c r="A142" s="59"/>
      <c r="B142" s="5" t="s">
        <v>183</v>
      </c>
      <c r="C142" s="6"/>
      <c r="D142" s="6">
        <v>100000</v>
      </c>
      <c r="E142" s="7">
        <f>IF(OR(C142&lt;&gt;0,D142&lt;&gt;0),SUM(C$3:C142)-SUM(D$3:D142),0)</f>
        <v>2329801</v>
      </c>
      <c r="F142" s="5"/>
    </row>
    <row r="143" spans="1:7" ht="15.75" x14ac:dyDescent="0.25">
      <c r="A143" s="59"/>
      <c r="B143" s="5" t="s">
        <v>582</v>
      </c>
      <c r="C143" s="6"/>
      <c r="D143" s="6">
        <v>35000</v>
      </c>
      <c r="E143" s="7">
        <f>IF(OR(C143&lt;&gt;0,D143&lt;&gt;0),SUM(C$3:C143)-SUM(D$3:D143),0)</f>
        <v>2294801</v>
      </c>
      <c r="F143" s="5"/>
    </row>
    <row r="144" spans="1:7" ht="15.75" x14ac:dyDescent="0.25">
      <c r="A144" s="59"/>
      <c r="B144" s="5" t="s">
        <v>588</v>
      </c>
      <c r="C144" s="6"/>
      <c r="D144" s="6">
        <v>37000</v>
      </c>
      <c r="E144" s="7">
        <f>IF(OR(C144&lt;&gt;0,D144&lt;&gt;0),SUM(C$3:C144)-SUM(D$3:D144),0)</f>
        <v>2257801</v>
      </c>
      <c r="F144" s="5"/>
    </row>
    <row r="145" spans="1:7" ht="15.75" x14ac:dyDescent="0.25">
      <c r="A145" s="59"/>
      <c r="B145" s="5" t="s">
        <v>468</v>
      </c>
      <c r="C145" s="5"/>
      <c r="D145" s="6">
        <v>200000</v>
      </c>
      <c r="E145" s="7">
        <f>IF(OR(C145&lt;&gt;0,D145&lt;&gt;0),SUM(C$3:C145)-SUM(D$3:D145),0)</f>
        <v>2057801</v>
      </c>
      <c r="F145" s="5"/>
    </row>
    <row r="146" spans="1:7" ht="15.75" x14ac:dyDescent="0.25">
      <c r="A146" s="56">
        <v>45377</v>
      </c>
      <c r="B146" s="5" t="s">
        <v>583</v>
      </c>
      <c r="C146" s="6"/>
      <c r="D146" s="6">
        <v>200000</v>
      </c>
      <c r="E146" s="7">
        <f>IF(OR(C146&lt;&gt;0,D146&lt;&gt;0),SUM(C$3:C146)-SUM(D$3:D146),0)</f>
        <v>1857801</v>
      </c>
      <c r="F146" s="5"/>
      <c r="G146" s="3">
        <f>760000-E146</f>
        <v>-1097801</v>
      </c>
    </row>
    <row r="147" spans="1:7" ht="15.75" x14ac:dyDescent="0.25">
      <c r="A147" s="57"/>
      <c r="B147" s="5" t="s">
        <v>579</v>
      </c>
      <c r="C147" s="6"/>
      <c r="D147" s="6">
        <v>100000</v>
      </c>
      <c r="E147" s="7">
        <f>IF(OR(C147&lt;&gt;0,D147&lt;&gt;0),SUM(C$3:C147)-SUM(D$3:D147),0)</f>
        <v>1757801</v>
      </c>
      <c r="F147" s="5"/>
    </row>
    <row r="148" spans="1:7" ht="15.75" x14ac:dyDescent="0.25">
      <c r="A148" s="57"/>
      <c r="B148" s="5" t="s">
        <v>287</v>
      </c>
      <c r="C148" s="5"/>
      <c r="D148" s="6">
        <v>300000</v>
      </c>
      <c r="E148" s="7">
        <f>IF(OR(C148&lt;&gt;0,D148&lt;&gt;0),SUM(C$3:C148)-SUM(D$3:D148),0)</f>
        <v>1457801</v>
      </c>
      <c r="F148" s="5"/>
    </row>
    <row r="149" spans="1:7" ht="15.75" x14ac:dyDescent="0.25">
      <c r="A149" s="57"/>
      <c r="B149" s="5" t="s">
        <v>575</v>
      </c>
      <c r="C149" s="6"/>
      <c r="D149" s="6">
        <v>150000</v>
      </c>
      <c r="E149" s="7">
        <f>IF(OR(C149&lt;&gt;0,D149&lt;&gt;0),SUM(C$3:C149)-SUM(D$3:D149),0)</f>
        <v>1307801</v>
      </c>
      <c r="F149" s="5"/>
    </row>
    <row r="150" spans="1:7" ht="15.75" x14ac:dyDescent="0.25">
      <c r="A150" s="57"/>
      <c r="B150" s="5" t="s">
        <v>584</v>
      </c>
      <c r="C150" s="5"/>
      <c r="D150" s="6">
        <v>200000</v>
      </c>
      <c r="E150" s="7">
        <f>IF(OR(C150&lt;&gt;0,D150&lt;&gt;0),SUM(C$3:C150)-SUM(D$3:D150),0)</f>
        <v>1107801</v>
      </c>
      <c r="F150" s="5"/>
    </row>
    <row r="151" spans="1:7" ht="15.75" x14ac:dyDescent="0.25">
      <c r="A151" s="57"/>
      <c r="B151" s="5" t="s">
        <v>7</v>
      </c>
      <c r="C151" s="6">
        <v>1500000</v>
      </c>
      <c r="D151" s="5"/>
      <c r="E151" s="7">
        <f>IF(OR(C151&lt;&gt;0,D151&lt;&gt;0),SUM(C$3:C151)-SUM(D$3:D151),0)</f>
        <v>2607801</v>
      </c>
      <c r="F151" s="5"/>
    </row>
    <row r="152" spans="1:7" ht="15.75" x14ac:dyDescent="0.25">
      <c r="A152" s="57"/>
      <c r="B152" s="5" t="s">
        <v>513</v>
      </c>
      <c r="C152" s="5"/>
      <c r="D152" s="6">
        <v>5000</v>
      </c>
      <c r="E152" s="7">
        <f>IF(OR(C152&lt;&gt;0,D152&lt;&gt;0),SUM(C$3:C152)-SUM(D$3:D152),0)</f>
        <v>2602801</v>
      </c>
      <c r="F152" s="5"/>
    </row>
    <row r="153" spans="1:7" ht="15.75" x14ac:dyDescent="0.25">
      <c r="A153" s="57"/>
      <c r="B153" s="5" t="s">
        <v>580</v>
      </c>
      <c r="C153" s="5"/>
      <c r="D153" s="6">
        <v>271000</v>
      </c>
      <c r="E153" s="7">
        <f>IF(OR(C153&lt;&gt;0,D153&lt;&gt;0),SUM(C$3:C153)-SUM(D$3:D153),0)</f>
        <v>2331801</v>
      </c>
      <c r="F153" s="5"/>
    </row>
    <row r="154" spans="1:7" ht="15.75" x14ac:dyDescent="0.25">
      <c r="A154" s="58"/>
      <c r="B154" s="5" t="s">
        <v>472</v>
      </c>
      <c r="C154" s="5"/>
      <c r="D154" s="6">
        <v>20000</v>
      </c>
      <c r="E154" s="7">
        <f>IF(OR(C154&lt;&gt;0,D154&lt;&gt;0),SUM(C$3:C154)-SUM(D$3:D154),0)</f>
        <v>2311801</v>
      </c>
      <c r="F154" s="5"/>
    </row>
    <row r="155" spans="1:7" ht="15.75" x14ac:dyDescent="0.25">
      <c r="A155" s="56">
        <v>45378</v>
      </c>
      <c r="B155" s="5" t="s">
        <v>554</v>
      </c>
      <c r="C155" s="6"/>
      <c r="D155" s="6">
        <v>150000</v>
      </c>
      <c r="E155" s="7">
        <f>IF(OR(C155&lt;&gt;0,D155&lt;&gt;0),SUM(C$3:C155)-SUM(D$3:D155),0)</f>
        <v>2161801</v>
      </c>
      <c r="F155" s="5"/>
    </row>
    <row r="156" spans="1:7" ht="15.75" x14ac:dyDescent="0.25">
      <c r="A156" s="57"/>
      <c r="B156" s="5" t="s">
        <v>287</v>
      </c>
      <c r="C156" s="6"/>
      <c r="D156" s="6">
        <v>500000</v>
      </c>
      <c r="E156" s="7">
        <f>IF(OR(C156&lt;&gt;0,D156&lt;&gt;0),SUM(C$3:C156)-SUM(D$3:D156),0)</f>
        <v>1661801</v>
      </c>
      <c r="F156" s="5"/>
    </row>
    <row r="157" spans="1:7" ht="15.75" x14ac:dyDescent="0.25">
      <c r="A157" s="57"/>
      <c r="B157" s="5" t="s">
        <v>585</v>
      </c>
      <c r="C157" s="5"/>
      <c r="D157" s="6">
        <v>200000</v>
      </c>
      <c r="E157" s="7">
        <f>IF(OR(C157&lt;&gt;0,D157&lt;&gt;0),SUM(C$3:C157)-SUM(D$3:D157),0)</f>
        <v>1461801</v>
      </c>
      <c r="F157" s="5"/>
    </row>
    <row r="158" spans="1:7" ht="15.75" x14ac:dyDescent="0.25">
      <c r="A158" s="57"/>
      <c r="B158" s="5" t="s">
        <v>75</v>
      </c>
      <c r="C158" s="6"/>
      <c r="D158" s="6">
        <v>27000</v>
      </c>
      <c r="E158" s="7">
        <f>IF(OR(C158&lt;&gt;0,D158&lt;&gt;0),SUM(C$3:C158)-SUM(D$3:D158),0)</f>
        <v>1434801</v>
      </c>
      <c r="F158" s="5"/>
      <c r="G158" s="3">
        <f>340000-E158</f>
        <v>-1094801</v>
      </c>
    </row>
    <row r="159" spans="1:7" ht="15.75" x14ac:dyDescent="0.25">
      <c r="A159" s="57"/>
      <c r="B159" s="5" t="s">
        <v>586</v>
      </c>
      <c r="C159" s="6"/>
      <c r="D159" s="6">
        <v>50000</v>
      </c>
      <c r="E159" s="7">
        <f>IF(OR(C159&lt;&gt;0,D159&lt;&gt;0),SUM(C$3:C159)-SUM(D$3:D159),0)</f>
        <v>1384801</v>
      </c>
      <c r="F159" s="5"/>
    </row>
    <row r="160" spans="1:7" ht="15.75" x14ac:dyDescent="0.25">
      <c r="A160" s="57"/>
      <c r="B160" s="5" t="s">
        <v>587</v>
      </c>
      <c r="C160" s="5"/>
      <c r="D160" s="6">
        <v>30000</v>
      </c>
      <c r="E160" s="7">
        <f>IF(OR(C160&lt;&gt;0,D160&lt;&gt;0),SUM(C$3:C160)-SUM(D$3:D160),0)</f>
        <v>1354801</v>
      </c>
      <c r="F160" s="5"/>
    </row>
    <row r="161" spans="1:7" ht="15.75" x14ac:dyDescent="0.25">
      <c r="A161" s="57"/>
      <c r="B161" s="5" t="s">
        <v>140</v>
      </c>
      <c r="C161" s="5"/>
      <c r="D161" s="6">
        <v>200000</v>
      </c>
      <c r="E161" s="7">
        <f>IF(OR(C161&lt;&gt;0,D161&lt;&gt;0),SUM(C$3:C161)-SUM(D$3:D161),0)</f>
        <v>1154801</v>
      </c>
      <c r="F161" s="5"/>
    </row>
    <row r="162" spans="1:7" ht="15.75" x14ac:dyDescent="0.25">
      <c r="A162" s="57"/>
      <c r="B162" s="5" t="s">
        <v>7</v>
      </c>
      <c r="C162" s="6">
        <v>1000000</v>
      </c>
      <c r="D162" s="6"/>
      <c r="E162" s="7">
        <f>IF(OR(C162&lt;&gt;0,D162&lt;&gt;0),SUM(C$3:C162)-SUM(D$3:D162),0)</f>
        <v>2154801</v>
      </c>
      <c r="F162" s="5"/>
    </row>
    <row r="163" spans="1:7" ht="15.75" x14ac:dyDescent="0.25">
      <c r="A163" s="58"/>
      <c r="B163" s="5" t="s">
        <v>14</v>
      </c>
      <c r="C163" s="5"/>
      <c r="D163" s="6">
        <v>50000</v>
      </c>
      <c r="E163" s="7">
        <f>IF(OR(C163&lt;&gt;0,D163&lt;&gt;0),SUM(C$3:C163)-SUM(D$3:D163),0)</f>
        <v>2104801</v>
      </c>
      <c r="F163" s="5"/>
    </row>
    <row r="164" spans="1:7" ht="15.75" x14ac:dyDescent="0.25">
      <c r="A164" s="56">
        <v>45379</v>
      </c>
      <c r="B164" s="5" t="s">
        <v>566</v>
      </c>
      <c r="C164" s="6"/>
      <c r="D164" s="6">
        <v>300000</v>
      </c>
      <c r="E164" s="7">
        <f>IF(OR(C164&lt;&gt;0,D164&lt;&gt;0),SUM(C$3:C164)-SUM(D$3:D164),0)</f>
        <v>1804801</v>
      </c>
      <c r="F164" s="5"/>
      <c r="G164" s="3">
        <f>570000-E164</f>
        <v>-1234801</v>
      </c>
    </row>
    <row r="165" spans="1:7" ht="15.75" x14ac:dyDescent="0.25">
      <c r="A165" s="57"/>
      <c r="B165" s="5" t="s">
        <v>620</v>
      </c>
      <c r="C165" s="6"/>
      <c r="D165" s="6">
        <v>100000</v>
      </c>
      <c r="E165" s="7">
        <f>IF(OR(C165&lt;&gt;0,D165&lt;&gt;0),SUM(C$3:C165)-SUM(D$3:D165),0)</f>
        <v>1704801</v>
      </c>
      <c r="F165" s="5"/>
      <c r="G165" s="3"/>
    </row>
    <row r="166" spans="1:7" ht="15.75" x14ac:dyDescent="0.25">
      <c r="A166" s="57"/>
      <c r="B166" s="5" t="s">
        <v>235</v>
      </c>
      <c r="C166" s="6"/>
      <c r="D166" s="6">
        <v>30000</v>
      </c>
      <c r="E166" s="7">
        <f>IF(OR(C166&lt;&gt;0,D166&lt;&gt;0),SUM(C$3:C166)-SUM(D$3:D166),0)</f>
        <v>1674801</v>
      </c>
      <c r="F166" s="5"/>
    </row>
    <row r="167" spans="1:7" ht="15.75" x14ac:dyDescent="0.25">
      <c r="A167" s="57"/>
      <c r="B167" s="5" t="s">
        <v>595</v>
      </c>
      <c r="C167" s="6"/>
      <c r="D167" s="6">
        <v>20000</v>
      </c>
      <c r="E167" s="7">
        <f>IF(OR(C167&lt;&gt;0,D167&lt;&gt;0),SUM(C$3:C167)-SUM(D$3:D167),0)</f>
        <v>1654801</v>
      </c>
      <c r="F167" s="5"/>
    </row>
    <row r="168" spans="1:7" ht="15.75" x14ac:dyDescent="0.25">
      <c r="A168" s="57"/>
      <c r="B168" s="5" t="s">
        <v>593</v>
      </c>
      <c r="C168" s="5"/>
      <c r="D168" s="6">
        <v>300000</v>
      </c>
      <c r="E168" s="7">
        <f>IF(OR(C168&lt;&gt;0,D168&lt;&gt;0),SUM(C$3:C168)-SUM(D$3:D168),0)</f>
        <v>1354801</v>
      </c>
      <c r="F168" s="5"/>
      <c r="G168" s="3">
        <f>232000-E168</f>
        <v>-1122801</v>
      </c>
    </row>
    <row r="169" spans="1:7" ht="15.75" x14ac:dyDescent="0.25">
      <c r="A169" s="57"/>
      <c r="B169" s="5" t="s">
        <v>594</v>
      </c>
      <c r="C169" s="5"/>
      <c r="D169" s="6">
        <v>300000</v>
      </c>
      <c r="E169" s="7">
        <f>IF(OR(C169&lt;&gt;0,D169&lt;&gt;0),SUM(C$3:C169)-SUM(D$3:D169),0)</f>
        <v>1054801</v>
      </c>
      <c r="F169" s="5"/>
      <c r="G169" s="3"/>
    </row>
    <row r="170" spans="1:7" ht="15.75" x14ac:dyDescent="0.25">
      <c r="A170" s="57"/>
      <c r="B170" s="5" t="s">
        <v>285</v>
      </c>
      <c r="C170" s="6"/>
      <c r="D170" s="6">
        <v>150000</v>
      </c>
      <c r="E170" s="7">
        <f>IF(OR(C170&lt;&gt;0,D170&lt;&gt;0),SUM(C$3:C170)-SUM(D$3:D170),0)</f>
        <v>904801</v>
      </c>
      <c r="F170" s="5"/>
    </row>
    <row r="171" spans="1:7" ht="15.75" x14ac:dyDescent="0.25">
      <c r="A171" s="57"/>
      <c r="B171" s="5" t="s">
        <v>7</v>
      </c>
      <c r="C171" s="6">
        <v>1000000</v>
      </c>
      <c r="D171" s="6"/>
      <c r="E171" s="7">
        <f>IF(OR(C171&lt;&gt;0,D171&lt;&gt;0),SUM(C$3:C171)-SUM(D$3:D171),0)</f>
        <v>1904801</v>
      </c>
      <c r="F171" s="5"/>
    </row>
    <row r="172" spans="1:7" ht="15.75" x14ac:dyDescent="0.25">
      <c r="A172" s="57"/>
      <c r="B172" s="5" t="s">
        <v>592</v>
      </c>
      <c r="C172" s="6"/>
      <c r="D172" s="6">
        <v>386000</v>
      </c>
      <c r="E172" s="7">
        <f>IF(OR(C172&lt;&gt;0,D172&lt;&gt;0),SUM(C$3:C172)-SUM(D$3:D172),0)</f>
        <v>1518801</v>
      </c>
      <c r="F172" s="5"/>
    </row>
    <row r="173" spans="1:7" ht="15.75" x14ac:dyDescent="0.25">
      <c r="A173" s="57"/>
      <c r="B173" s="5" t="s">
        <v>589</v>
      </c>
      <c r="C173" s="5"/>
      <c r="D173" s="6">
        <v>59900</v>
      </c>
      <c r="E173" s="7">
        <f>IF(OR(C173&lt;&gt;0,D173&lt;&gt;0),SUM(C$3:C173)-SUM(D$3:D173),0)</f>
        <v>1458901</v>
      </c>
      <c r="F173" s="5"/>
    </row>
    <row r="174" spans="1:7" ht="15.75" x14ac:dyDescent="0.25">
      <c r="A174" s="57"/>
      <c r="B174" s="5" t="s">
        <v>590</v>
      </c>
      <c r="C174" s="5"/>
      <c r="D174" s="6">
        <v>100000</v>
      </c>
      <c r="E174" s="7">
        <f>IF(OR(C174&lt;&gt;0,D174&lt;&gt;0),SUM(C$3:C174)-SUM(D$3:D174),0)</f>
        <v>1358901</v>
      </c>
      <c r="F174" s="5"/>
    </row>
    <row r="175" spans="1:7" ht="15.75" x14ac:dyDescent="0.25">
      <c r="A175" s="57"/>
      <c r="B175" s="5" t="s">
        <v>591</v>
      </c>
      <c r="C175" s="6"/>
      <c r="D175" s="6">
        <v>500000</v>
      </c>
      <c r="E175" s="7">
        <f>IF(OR(C175&lt;&gt;0,D175&lt;&gt;0),SUM(C$3:C175)-SUM(D$3:D175),0)</f>
        <v>858901</v>
      </c>
      <c r="F175" s="5"/>
    </row>
    <row r="176" spans="1:7" ht="15.75" x14ac:dyDescent="0.25">
      <c r="A176" s="70">
        <v>45380</v>
      </c>
      <c r="B176" s="1" t="s">
        <v>7</v>
      </c>
      <c r="C176" s="8">
        <v>1000000</v>
      </c>
      <c r="D176" s="8"/>
      <c r="E176" s="9">
        <f>IF(OR(C176&lt;&gt;0,D176&lt;&gt;0),SUM(C$3:C176)-SUM(D$3:D176),0)</f>
        <v>1858901</v>
      </c>
      <c r="F176" s="1"/>
    </row>
    <row r="177" spans="1:7" ht="15.75" x14ac:dyDescent="0.25">
      <c r="A177" s="71"/>
      <c r="B177" s="1" t="s">
        <v>596</v>
      </c>
      <c r="C177" s="8"/>
      <c r="D177" s="8">
        <v>225000</v>
      </c>
      <c r="E177" s="9">
        <f>IF(OR(C177&lt;&gt;0,D177&lt;&gt;0),SUM(C$3:C177)-SUM(D$3:D177),0)</f>
        <v>1633901</v>
      </c>
      <c r="F177" s="1"/>
    </row>
    <row r="178" spans="1:7" ht="15.75" x14ac:dyDescent="0.25">
      <c r="A178" s="71"/>
      <c r="B178" s="1" t="s">
        <v>597</v>
      </c>
      <c r="C178" s="1"/>
      <c r="D178" s="8">
        <v>235000</v>
      </c>
      <c r="E178" s="9">
        <f>IF(OR(C178&lt;&gt;0,D178&lt;&gt;0),SUM(C$3:C178)-SUM(D$3:D178),0)</f>
        <v>1398901</v>
      </c>
      <c r="F178" s="1"/>
    </row>
    <row r="179" spans="1:7" ht="15.75" x14ac:dyDescent="0.25">
      <c r="A179" s="71"/>
      <c r="B179" s="1" t="s">
        <v>598</v>
      </c>
      <c r="C179" s="8"/>
      <c r="D179" s="8">
        <v>80000</v>
      </c>
      <c r="E179" s="9">
        <f>IF(OR(C179&lt;&gt;0,D179&lt;&gt;0),SUM(C$3:C179)-SUM(D$3:D179),0)</f>
        <v>1318901</v>
      </c>
      <c r="F179" s="1"/>
      <c r="G179" s="3">
        <f>550000-E179</f>
        <v>-768901</v>
      </c>
    </row>
    <row r="180" spans="1:7" ht="15.75" x14ac:dyDescent="0.25">
      <c r="A180" s="71"/>
      <c r="B180" s="1" t="s">
        <v>599</v>
      </c>
      <c r="C180" s="8"/>
      <c r="D180" s="8">
        <v>17000</v>
      </c>
      <c r="E180" s="9">
        <f>IF(OR(C180&lt;&gt;0,D180&lt;&gt;0),SUM(C$3:C180)-SUM(D$3:D180),0)</f>
        <v>1301901</v>
      </c>
      <c r="F180" s="1"/>
      <c r="G180">
        <f>540-55</f>
        <v>485</v>
      </c>
    </row>
    <row r="181" spans="1:7" ht="15.75" x14ac:dyDescent="0.25">
      <c r="A181" s="71"/>
      <c r="B181" s="1" t="s">
        <v>611</v>
      </c>
      <c r="C181" s="8"/>
      <c r="D181" s="8">
        <v>200000</v>
      </c>
      <c r="E181" s="9">
        <f>IF(OR(C181&lt;&gt;0,D181&lt;&gt;0),SUM(C$3:C181)-SUM(D$3:D181),0)</f>
        <v>1101901</v>
      </c>
      <c r="F181" s="1"/>
    </row>
    <row r="182" spans="1:7" ht="15.75" x14ac:dyDescent="0.25">
      <c r="A182" s="71"/>
      <c r="B182" s="1" t="s">
        <v>612</v>
      </c>
      <c r="C182" s="8"/>
      <c r="D182" s="8">
        <v>200000</v>
      </c>
      <c r="E182" s="9">
        <f>IF(OR(C182&lt;&gt;0,D182&lt;&gt;0),SUM(C$3:C182)-SUM(D$3:D182),0)</f>
        <v>901901</v>
      </c>
      <c r="F182" s="1"/>
    </row>
    <row r="183" spans="1:7" ht="15.75" x14ac:dyDescent="0.25">
      <c r="A183" s="71"/>
      <c r="B183" s="1" t="s">
        <v>613</v>
      </c>
      <c r="C183" s="8"/>
      <c r="D183" s="8">
        <v>20000</v>
      </c>
      <c r="E183" s="9">
        <f>IF(OR(C183&lt;&gt;0,D183&lt;&gt;0),SUM(C$3:C183)-SUM(D$3:D183),0)</f>
        <v>881901</v>
      </c>
      <c r="F183" s="1"/>
    </row>
    <row r="184" spans="1:7" ht="15.75" x14ac:dyDescent="0.25">
      <c r="A184" s="71"/>
      <c r="B184" s="1" t="s">
        <v>122</v>
      </c>
      <c r="C184" s="1"/>
      <c r="D184" s="8">
        <v>200000</v>
      </c>
      <c r="E184" s="9">
        <f>IF(OR(C184&lt;&gt;0,D184&lt;&gt;0),SUM(C$3:C184)-SUM(D$3:D184),0)</f>
        <v>681901</v>
      </c>
      <c r="F184" s="1"/>
    </row>
    <row r="185" spans="1:7" ht="15.75" x14ac:dyDescent="0.25">
      <c r="A185" s="71"/>
      <c r="B185" s="1" t="s">
        <v>287</v>
      </c>
      <c r="C185" s="1"/>
      <c r="D185" s="8">
        <v>500000</v>
      </c>
      <c r="E185" s="9">
        <f>IF(OR(C185&lt;&gt;0,D185&lt;&gt;0),SUM(C$3:C185)-SUM(D$3:D185),0)</f>
        <v>181901</v>
      </c>
      <c r="F185" s="1"/>
    </row>
    <row r="186" spans="1:7" ht="15.75" x14ac:dyDescent="0.25">
      <c r="A186" s="71"/>
      <c r="B186" s="1" t="s">
        <v>7</v>
      </c>
      <c r="C186" s="8">
        <v>1000000</v>
      </c>
      <c r="D186" s="8"/>
      <c r="E186" s="9">
        <f>IF(OR(C186&lt;&gt;0,D186&lt;&gt;0),SUM(C$3:C186)-SUM(D$3:D186),0)</f>
        <v>1181901</v>
      </c>
      <c r="F186" s="1"/>
      <c r="G186" s="3">
        <f>740000-E186</f>
        <v>-441901</v>
      </c>
    </row>
    <row r="187" spans="1:7" ht="15.75" x14ac:dyDescent="0.25">
      <c r="A187" s="71"/>
      <c r="B187" s="1" t="s">
        <v>437</v>
      </c>
      <c r="C187" s="8"/>
      <c r="D187" s="8">
        <v>90000</v>
      </c>
      <c r="E187" s="9">
        <f>IF(OR(C187&lt;&gt;0,D187&lt;&gt;0),SUM(C$3:C187)-SUM(D$3:D187),0)</f>
        <v>1091901</v>
      </c>
      <c r="F187" s="1"/>
      <c r="G187" s="3"/>
    </row>
    <row r="188" spans="1:7" ht="15.75" x14ac:dyDescent="0.25">
      <c r="A188" s="16"/>
      <c r="B188" s="1" t="s">
        <v>204</v>
      </c>
      <c r="C188" s="1"/>
      <c r="D188" s="8">
        <v>200000</v>
      </c>
      <c r="E188" s="9">
        <f>IF(OR(C188&lt;&gt;0,D188&lt;&gt;0),SUM(C$3:C188)-SUM(D$3:D188),0)</f>
        <v>891901</v>
      </c>
      <c r="F188" s="1"/>
    </row>
    <row r="189" spans="1:7" ht="15.75" x14ac:dyDescent="0.25">
      <c r="A189" s="16"/>
      <c r="B189" s="1" t="s">
        <v>607</v>
      </c>
      <c r="C189" s="1"/>
      <c r="D189" s="8">
        <v>40000</v>
      </c>
      <c r="E189" s="9">
        <f>IF(OR(C189&lt;&gt;0,D189&lt;&gt;0),SUM(C$3:C189)-SUM(D$3:D189),0)</f>
        <v>851901</v>
      </c>
      <c r="F189" s="1"/>
    </row>
    <row r="190" spans="1:7" ht="15.75" x14ac:dyDescent="0.25">
      <c r="A190" s="16"/>
      <c r="B190" s="1" t="s">
        <v>608</v>
      </c>
      <c r="C190" s="1"/>
      <c r="D190" s="8">
        <v>11000</v>
      </c>
      <c r="E190" s="9">
        <f>IF(OR(C190&lt;&gt;0,D190&lt;&gt;0),SUM(C$3:C190)-SUM(D$3:D190),0)</f>
        <v>840901</v>
      </c>
      <c r="F190" s="1"/>
    </row>
    <row r="191" spans="1:7" ht="15.75" x14ac:dyDescent="0.25">
      <c r="A191" s="16"/>
      <c r="B191" s="1" t="s">
        <v>609</v>
      </c>
      <c r="C191" s="1"/>
      <c r="D191" s="8">
        <v>11000</v>
      </c>
      <c r="E191" s="9">
        <f>IF(OR(C191&lt;&gt;0,D191&lt;&gt;0),SUM(C$3:C191)-SUM(D$3:D191),0)</f>
        <v>829901</v>
      </c>
      <c r="F191" s="1"/>
    </row>
    <row r="192" spans="1:7" ht="15.75" x14ac:dyDescent="0.25">
      <c r="A192" s="16"/>
      <c r="B192" s="1" t="s">
        <v>610</v>
      </c>
      <c r="C192" s="1"/>
      <c r="D192" s="8">
        <v>27000</v>
      </c>
      <c r="E192" s="9">
        <f>IF(OR(C192&lt;&gt;0,D192&lt;&gt;0),SUM(C$3:C192)-SUM(D$3:D192),0)</f>
        <v>802901</v>
      </c>
      <c r="F192" s="1"/>
    </row>
    <row r="193" spans="1:6" ht="15.75" x14ac:dyDescent="0.25">
      <c r="A193" s="70">
        <v>45381</v>
      </c>
      <c r="B193" s="1" t="s">
        <v>7</v>
      </c>
      <c r="C193" s="8">
        <v>1000000</v>
      </c>
      <c r="D193" s="8"/>
      <c r="E193" s="9">
        <f>IF(OR(C193&lt;&gt;0,D193&lt;&gt;0),SUM(C$3:C193)-SUM(D$3:D193),0)</f>
        <v>1802901</v>
      </c>
      <c r="F193" s="1"/>
    </row>
    <row r="194" spans="1:6" ht="15.75" x14ac:dyDescent="0.25">
      <c r="A194" s="71"/>
      <c r="B194" s="1" t="s">
        <v>600</v>
      </c>
      <c r="C194" s="8"/>
      <c r="D194" s="8">
        <v>200000</v>
      </c>
      <c r="E194" s="9">
        <f>IF(OR(C194&lt;&gt;0,D194&lt;&gt;0),SUM(C$3:C194)-SUM(D$3:D194),0)</f>
        <v>1602901</v>
      </c>
      <c r="F194" s="1"/>
    </row>
    <row r="195" spans="1:6" ht="15.75" x14ac:dyDescent="0.25">
      <c r="A195" s="71"/>
      <c r="B195" s="1" t="s">
        <v>614</v>
      </c>
      <c r="C195" s="1"/>
      <c r="D195" s="8">
        <v>100000</v>
      </c>
      <c r="E195" s="9">
        <f>IF(OR(C195&lt;&gt;0,D195&lt;&gt;0),SUM(C$3:C195)-SUM(D$3:D195),0)</f>
        <v>1502901</v>
      </c>
      <c r="F195" s="1"/>
    </row>
    <row r="196" spans="1:6" ht="15.75" x14ac:dyDescent="0.25">
      <c r="A196" s="71"/>
      <c r="B196" s="1" t="s">
        <v>615</v>
      </c>
      <c r="C196" s="1"/>
      <c r="D196" s="8">
        <v>50000</v>
      </c>
      <c r="E196" s="9">
        <f>IF(OR(C196&lt;&gt;0,D196&lt;&gt;0),SUM(C$3:C196)-SUM(D$3:D196),0)</f>
        <v>1452901</v>
      </c>
      <c r="F196" s="1"/>
    </row>
    <row r="197" spans="1:6" ht="15.75" x14ac:dyDescent="0.25">
      <c r="A197" s="71"/>
      <c r="B197" s="1" t="s">
        <v>616</v>
      </c>
      <c r="C197" s="1"/>
      <c r="D197" s="8">
        <v>68000</v>
      </c>
      <c r="E197" s="9">
        <f>IF(OR(C197&lt;&gt;0,D197&lt;&gt;0),SUM(C$3:C197)-SUM(D$3:D197),0)</f>
        <v>1384901</v>
      </c>
      <c r="F197" s="1"/>
    </row>
    <row r="198" spans="1:6" ht="15.75" x14ac:dyDescent="0.25">
      <c r="A198" s="71"/>
      <c r="B198" s="1" t="s">
        <v>617</v>
      </c>
      <c r="C198" s="1"/>
      <c r="D198" s="8">
        <v>30000</v>
      </c>
      <c r="E198" s="9">
        <f>IF(OR(C198&lt;&gt;0,D198&lt;&gt;0),SUM(C$3:C198)-SUM(D$3:D198),0)</f>
        <v>1354901</v>
      </c>
      <c r="F198" s="1"/>
    </row>
    <row r="199" spans="1:6" ht="15.75" x14ac:dyDescent="0.25">
      <c r="A199" s="71"/>
      <c r="B199" s="1" t="s">
        <v>618</v>
      </c>
      <c r="C199" s="1"/>
      <c r="D199" s="8">
        <v>27000</v>
      </c>
      <c r="E199" s="9">
        <f>IF(OR(C199&lt;&gt;0,D199&lt;&gt;0),SUM(C$3:C199)-SUM(D$3:D199),0)</f>
        <v>1327901</v>
      </c>
      <c r="F199" s="1"/>
    </row>
    <row r="200" spans="1:6" ht="15.75" x14ac:dyDescent="0.25">
      <c r="A200" s="71"/>
      <c r="B200" s="1" t="s">
        <v>619</v>
      </c>
      <c r="C200" s="1"/>
      <c r="D200" s="8">
        <v>300000</v>
      </c>
      <c r="E200" s="9">
        <f>IF(OR(C200&lt;&gt;0,D200&lt;&gt;0),SUM(C$3:C200)-SUM(D$3:D200),0)</f>
        <v>1027901</v>
      </c>
      <c r="F200" s="1"/>
    </row>
    <row r="201" spans="1:6" ht="15.75" x14ac:dyDescent="0.25">
      <c r="A201" s="71"/>
      <c r="B201" s="1" t="s">
        <v>85</v>
      </c>
      <c r="C201" s="8"/>
      <c r="D201" s="8">
        <v>75250</v>
      </c>
      <c r="E201" s="9">
        <f>IF(OR(C201&lt;&gt;0,D201&lt;&gt;0),SUM(C$3:C201)-SUM(D$3:D201),0)</f>
        <v>952651</v>
      </c>
      <c r="F201" s="1"/>
    </row>
    <row r="202" spans="1:6" ht="15.75" x14ac:dyDescent="0.25">
      <c r="A202" s="71"/>
      <c r="B202" s="1" t="s">
        <v>601</v>
      </c>
      <c r="C202" s="8"/>
      <c r="D202" s="8">
        <v>100000</v>
      </c>
      <c r="E202" s="9">
        <f>IF(OR(C202&lt;&gt;0,D202&lt;&gt;0),SUM(C$3:C202)-SUM(D$3:D202),0)</f>
        <v>852651</v>
      </c>
      <c r="F202" s="1"/>
    </row>
    <row r="203" spans="1:6" ht="15.75" x14ac:dyDescent="0.25">
      <c r="A203" s="71"/>
      <c r="B203" s="1" t="s">
        <v>27</v>
      </c>
      <c r="C203" s="8"/>
      <c r="D203" s="8">
        <v>100000</v>
      </c>
      <c r="E203" s="9">
        <f>IF(OR(C203&lt;&gt;0,D203&lt;&gt;0),SUM(C$3:C203)-SUM(D$3:D203),0)</f>
        <v>752651</v>
      </c>
      <c r="F203" s="1"/>
    </row>
    <row r="204" spans="1:6" ht="15.75" x14ac:dyDescent="0.25">
      <c r="A204" s="71"/>
      <c r="B204" s="1" t="s">
        <v>387</v>
      </c>
      <c r="C204" s="1"/>
      <c r="D204" s="8">
        <v>30000</v>
      </c>
      <c r="E204" s="9">
        <f>IF(OR(C204&lt;&gt;0,D204&lt;&gt;0),SUM(C$3:C204)-SUM(D$3:D204),0)</f>
        <v>722651</v>
      </c>
      <c r="F204" s="1"/>
    </row>
    <row r="205" spans="1:6" ht="15.75" x14ac:dyDescent="0.25">
      <c r="A205" s="71"/>
      <c r="B205" s="1" t="s">
        <v>602</v>
      </c>
      <c r="C205" s="1"/>
      <c r="D205" s="8">
        <v>5000</v>
      </c>
      <c r="E205" s="9">
        <f>IF(OR(C205&lt;&gt;0,D205&lt;&gt;0),SUM(C$3:C205)-SUM(D$3:D205),0)</f>
        <v>717651</v>
      </c>
      <c r="F205" s="1"/>
    </row>
    <row r="206" spans="1:6" ht="15.75" x14ac:dyDescent="0.25">
      <c r="A206" s="71"/>
      <c r="B206" s="1" t="s">
        <v>43</v>
      </c>
      <c r="C206" s="8"/>
      <c r="D206" s="8">
        <v>100000</v>
      </c>
      <c r="E206" s="9">
        <f>IF(OR(C206&lt;&gt;0,D206&lt;&gt;0),SUM(C$3:C206)-SUM(D$3:D206),0)</f>
        <v>617651</v>
      </c>
      <c r="F206" s="1"/>
    </row>
    <row r="207" spans="1:6" ht="15.75" x14ac:dyDescent="0.25">
      <c r="A207" s="71"/>
      <c r="B207" s="1" t="s">
        <v>7</v>
      </c>
      <c r="C207" s="8">
        <v>1000000</v>
      </c>
      <c r="D207" s="8"/>
      <c r="E207" s="9">
        <f>IF(OR(C207&lt;&gt;0,D207&lt;&gt;0),SUM(C$3:C207)-SUM(D$3:D207),0)</f>
        <v>1617651</v>
      </c>
      <c r="F207" s="1"/>
    </row>
    <row r="208" spans="1:6" ht="15.75" x14ac:dyDescent="0.25">
      <c r="A208" s="71"/>
      <c r="B208" s="1" t="s">
        <v>606</v>
      </c>
      <c r="C208" s="8"/>
      <c r="D208" s="8">
        <v>14000</v>
      </c>
      <c r="E208" s="9">
        <f>IF(OR(C208&lt;&gt;0,D208&lt;&gt;0),SUM(C$3:C208)-SUM(D$3:D208),0)</f>
        <v>1603651</v>
      </c>
      <c r="F208" s="1"/>
    </row>
    <row r="209" spans="1:7" ht="15.75" x14ac:dyDescent="0.25">
      <c r="A209" s="72"/>
      <c r="B209" s="1" t="s">
        <v>603</v>
      </c>
      <c r="C209" s="1"/>
      <c r="D209" s="8">
        <v>300000</v>
      </c>
      <c r="E209" s="9">
        <f>IF(OR(C209&lt;&gt;0,D209&lt;&gt;0),SUM(C$3:C209)-SUM(D$3:D209),0)</f>
        <v>1303651</v>
      </c>
      <c r="F209" s="1"/>
    </row>
    <row r="210" spans="1:7" ht="15.75" x14ac:dyDescent="0.25">
      <c r="A210" s="77">
        <v>45382</v>
      </c>
      <c r="B210" s="1" t="s">
        <v>7</v>
      </c>
      <c r="C210" s="8">
        <v>1000000</v>
      </c>
      <c r="D210" s="8"/>
      <c r="E210" s="9">
        <f>IF(OR(C210&lt;&gt;0,D210&lt;&gt;0),SUM(C$3:C210)-SUM(D$3:D210),0)</f>
        <v>2303651</v>
      </c>
      <c r="F210" s="1"/>
    </row>
    <row r="211" spans="1:7" ht="15.75" x14ac:dyDescent="0.25">
      <c r="A211" s="77"/>
      <c r="B211" s="1" t="s">
        <v>604</v>
      </c>
      <c r="C211" s="1"/>
      <c r="D211" s="8">
        <v>200000</v>
      </c>
      <c r="E211" s="9">
        <f>IF(OR(C211&lt;&gt;0,D211&lt;&gt;0),SUM(C$3:C211)-SUM(D$3:D211),0)</f>
        <v>2103651</v>
      </c>
      <c r="F211" s="1"/>
    </row>
    <row r="212" spans="1:7" ht="15.75" x14ac:dyDescent="0.25">
      <c r="A212" s="77"/>
      <c r="B212" s="1" t="s">
        <v>605</v>
      </c>
      <c r="C212" s="8"/>
      <c r="D212" s="8">
        <v>50000</v>
      </c>
      <c r="E212" s="9">
        <f>IF(OR(C212&lt;&gt;0,D212&lt;&gt;0),SUM(C$3:C212)-SUM(D$3:D212),0)</f>
        <v>2053651</v>
      </c>
      <c r="F212" s="1"/>
    </row>
    <row r="213" spans="1:7" ht="15.75" x14ac:dyDescent="0.25">
      <c r="A213" s="77"/>
      <c r="B213" s="1" t="s">
        <v>287</v>
      </c>
      <c r="C213" s="8"/>
      <c r="D213" s="8">
        <v>500000</v>
      </c>
      <c r="E213" s="9">
        <f>IF(OR(C213&lt;&gt;0,D213&lt;&gt;0),SUM(C$3:C213)-SUM(D$3:D213),0)</f>
        <v>1553651</v>
      </c>
      <c r="F213" s="1"/>
      <c r="G213" s="3">
        <f>636000-E213</f>
        <v>-917651</v>
      </c>
    </row>
    <row r="215" spans="1:7" x14ac:dyDescent="0.25">
      <c r="F215">
        <v>1553651</v>
      </c>
    </row>
  </sheetData>
  <mergeCells count="29">
    <mergeCell ref="A210:A213"/>
    <mergeCell ref="A146:A154"/>
    <mergeCell ref="A137:A145"/>
    <mergeCell ref="A130:A136"/>
    <mergeCell ref="A176:A187"/>
    <mergeCell ref="A164:A175"/>
    <mergeCell ref="F1:F2"/>
    <mergeCell ref="A3:A7"/>
    <mergeCell ref="A8:A17"/>
    <mergeCell ref="A1:A2"/>
    <mergeCell ref="B1:B2"/>
    <mergeCell ref="C1:C2"/>
    <mergeCell ref="D1:D2"/>
    <mergeCell ref="E1:E2"/>
    <mergeCell ref="A34:A38"/>
    <mergeCell ref="A39:A41"/>
    <mergeCell ref="A18:A21"/>
    <mergeCell ref="A22:A33"/>
    <mergeCell ref="A193:A209"/>
    <mergeCell ref="A42:A64"/>
    <mergeCell ref="A65:A68"/>
    <mergeCell ref="A109:A114"/>
    <mergeCell ref="A93:A108"/>
    <mergeCell ref="A80:A92"/>
    <mergeCell ref="A69:A76"/>
    <mergeCell ref="A115:A122"/>
    <mergeCell ref="A123:A129"/>
    <mergeCell ref="A77:A79"/>
    <mergeCell ref="A155:A163"/>
  </mergeCells>
  <phoneticPr fontId="4" type="noConversion"/>
  <pageMargins left="0.7" right="0.7" top="0.75" bottom="0.75" header="0.3" footer="0.3"/>
  <pageSetup scale="6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124-2872-46AF-BB9B-F0CB0F4D919D}">
  <sheetPr codeName="Sheet3">
    <pageSetUpPr fitToPage="1"/>
  </sheetPr>
  <dimension ref="A1:H233"/>
  <sheetViews>
    <sheetView topLeftCell="A141" zoomScaleNormal="100" workbookViewId="0">
      <selection activeCell="B150" sqref="B150"/>
    </sheetView>
  </sheetViews>
  <sheetFormatPr defaultRowHeight="15" x14ac:dyDescent="0.25"/>
  <cols>
    <col min="1" max="1" width="25.28515625" customWidth="1"/>
    <col min="2" max="2" width="22.28515625" customWidth="1"/>
    <col min="3" max="3" width="19.5703125" customWidth="1"/>
    <col min="4" max="4" width="20" customWidth="1"/>
    <col min="5" max="5" width="25.28515625" customWidth="1"/>
    <col min="6" max="6" width="15.85546875" customWidth="1"/>
    <col min="7" max="8" width="15.5703125" bestFit="1" customWidth="1"/>
  </cols>
  <sheetData>
    <row r="1" spans="1:7" x14ac:dyDescent="0.25">
      <c r="A1" s="62" t="s">
        <v>0</v>
      </c>
      <c r="B1" s="80" t="s">
        <v>5</v>
      </c>
      <c r="C1" s="64" t="s">
        <v>1</v>
      </c>
      <c r="D1" s="64" t="s">
        <v>2</v>
      </c>
      <c r="E1" s="64" t="s">
        <v>3</v>
      </c>
      <c r="F1" s="78" t="s">
        <v>4</v>
      </c>
    </row>
    <row r="2" spans="1:7" x14ac:dyDescent="0.25">
      <c r="A2" s="63"/>
      <c r="B2" s="81"/>
      <c r="C2" s="65"/>
      <c r="D2" s="65"/>
      <c r="E2" s="65"/>
      <c r="F2" s="79"/>
    </row>
    <row r="3" spans="1:7" ht="15.75" x14ac:dyDescent="0.25">
      <c r="A3" s="56">
        <v>45383</v>
      </c>
      <c r="B3" s="5" t="s">
        <v>503</v>
      </c>
      <c r="C3" s="6">
        <v>1553651</v>
      </c>
      <c r="D3" s="6"/>
      <c r="E3" s="7">
        <f>IF(OR(C3&lt;&gt;0,D3&lt;&gt;0),SUM(C$3:C3)-SUM(D$3:D3),0)</f>
        <v>1553651</v>
      </c>
      <c r="F3" s="5"/>
    </row>
    <row r="4" spans="1:7" ht="15.75" x14ac:dyDescent="0.25">
      <c r="A4" s="57"/>
      <c r="B4" s="5" t="s">
        <v>7</v>
      </c>
      <c r="C4" s="6">
        <v>1700000</v>
      </c>
      <c r="D4" s="6"/>
      <c r="E4" s="7">
        <f>IF(OR(C4&lt;&gt;0,D4&lt;&gt;0),SUM(C$3:C4)-SUM(D$3:D4),0)</f>
        <v>3253651</v>
      </c>
      <c r="F4" s="5"/>
    </row>
    <row r="5" spans="1:7" ht="15.75" x14ac:dyDescent="0.25">
      <c r="A5" s="57"/>
      <c r="B5" s="5" t="s">
        <v>621</v>
      </c>
      <c r="C5" s="6"/>
      <c r="D5" s="6">
        <v>30000</v>
      </c>
      <c r="E5" s="7">
        <f>IF(OR(C5&lt;&gt;0,D5&lt;&gt;0),SUM(C$3:C5)-SUM(D$3:D5),0)</f>
        <v>3223651</v>
      </c>
      <c r="F5" s="5"/>
    </row>
    <row r="6" spans="1:7" ht="15.75" x14ac:dyDescent="0.25">
      <c r="A6" s="57"/>
      <c r="B6" s="5" t="s">
        <v>14</v>
      </c>
      <c r="C6" s="6"/>
      <c r="D6" s="6">
        <v>50000</v>
      </c>
      <c r="E6" s="7">
        <f>IF(OR(C6&lt;&gt;0,D6&lt;&gt;0),SUM(C$3:C6)-SUM(D$3:D6),0)</f>
        <v>3173651</v>
      </c>
      <c r="F6" s="5"/>
    </row>
    <row r="7" spans="1:7" ht="15.75" x14ac:dyDescent="0.25">
      <c r="A7" s="57"/>
      <c r="B7" s="5" t="s">
        <v>515</v>
      </c>
      <c r="C7" s="5"/>
      <c r="D7" s="6">
        <v>190000</v>
      </c>
      <c r="E7" s="7">
        <f>IF(OR(C7&lt;&gt;0,D7&lt;&gt;0),SUM(C$3:C7)-SUM(D$3:D7),0)</f>
        <v>2983651</v>
      </c>
      <c r="F7" s="5"/>
    </row>
    <row r="8" spans="1:7" ht="15.75" x14ac:dyDescent="0.25">
      <c r="A8" s="57"/>
      <c r="B8" s="5" t="s">
        <v>300</v>
      </c>
      <c r="C8" s="5"/>
      <c r="D8" s="6">
        <v>40000</v>
      </c>
      <c r="E8" s="7">
        <f>IF(OR(C8&lt;&gt;0,D8&lt;&gt;0),SUM(C$3:C8)-SUM(D$3:D8),0)</f>
        <v>2943651</v>
      </c>
      <c r="F8" s="5"/>
    </row>
    <row r="9" spans="1:7" ht="15.75" x14ac:dyDescent="0.25">
      <c r="A9" s="57"/>
      <c r="B9" s="5" t="s">
        <v>35</v>
      </c>
      <c r="C9" s="5"/>
      <c r="D9" s="6">
        <v>150000</v>
      </c>
      <c r="E9" s="7">
        <f>IF(OR(C9&lt;&gt;0,D9&lt;&gt;0),SUM(C$3:C9)-SUM(D$3:D9),0)</f>
        <v>2793651</v>
      </c>
      <c r="F9" s="5"/>
    </row>
    <row r="10" spans="1:7" ht="15.75" x14ac:dyDescent="0.25">
      <c r="A10" s="57"/>
      <c r="B10" s="5" t="s">
        <v>200</v>
      </c>
      <c r="C10" s="5"/>
      <c r="D10" s="6">
        <v>59500</v>
      </c>
      <c r="E10" s="7">
        <f>IF(OR(C10&lt;&gt;0,D10&lt;&gt;0),SUM(C$3:C10)-SUM(D$3:D10),0)</f>
        <v>2734151</v>
      </c>
      <c r="F10" s="5"/>
    </row>
    <row r="11" spans="1:7" ht="15.75" x14ac:dyDescent="0.25">
      <c r="A11" s="56">
        <v>45384</v>
      </c>
      <c r="B11" s="5" t="s">
        <v>523</v>
      </c>
      <c r="C11" s="6"/>
      <c r="D11" s="6">
        <v>100000</v>
      </c>
      <c r="E11" s="7">
        <f>IF(OR(C11&lt;&gt;0,D11&lt;&gt;0),SUM(C$3:C11)-SUM(D$3:D11),0)</f>
        <v>2634151</v>
      </c>
      <c r="F11" s="5"/>
    </row>
    <row r="12" spans="1:7" ht="15.75" x14ac:dyDescent="0.25">
      <c r="A12" s="57"/>
      <c r="B12" s="5" t="s">
        <v>505</v>
      </c>
      <c r="C12" s="6"/>
      <c r="D12" s="6">
        <v>200000</v>
      </c>
      <c r="E12" s="7">
        <f>IF(OR(C12&lt;&gt;0,D12&lt;&gt;0),SUM(C$3:C12)-SUM(D$3:D12),0)</f>
        <v>2434151</v>
      </c>
      <c r="F12" s="5"/>
      <c r="G12" s="3">
        <f>990000-E12</f>
        <v>-1444151</v>
      </c>
    </row>
    <row r="13" spans="1:7" ht="15.75" x14ac:dyDescent="0.25">
      <c r="A13" s="57"/>
      <c r="B13" s="5" t="s">
        <v>513</v>
      </c>
      <c r="C13" s="6"/>
      <c r="D13" s="6">
        <v>64500</v>
      </c>
      <c r="E13" s="7">
        <f>IF(OR(C13&lt;&gt;0,D13&lt;&gt;0),SUM(C$3:C13)-SUM(D$3:D13),0)</f>
        <v>2369651</v>
      </c>
      <c r="F13" s="5"/>
    </row>
    <row r="14" spans="1:7" ht="15.75" x14ac:dyDescent="0.25">
      <c r="A14" s="57"/>
      <c r="B14" s="5" t="s">
        <v>622</v>
      </c>
      <c r="C14" s="5"/>
      <c r="D14" s="6">
        <v>200000</v>
      </c>
      <c r="E14" s="7">
        <f>IF(OR(C14&lt;&gt;0,D14&lt;&gt;0),SUM(C$3:C14)-SUM(D$3:D14),0)</f>
        <v>2169651</v>
      </c>
      <c r="F14" s="5"/>
    </row>
    <row r="15" spans="1:7" ht="15.75" x14ac:dyDescent="0.25">
      <c r="A15" s="57"/>
      <c r="B15" s="5" t="s">
        <v>43</v>
      </c>
      <c r="C15" s="5"/>
      <c r="D15" s="6">
        <v>100000</v>
      </c>
      <c r="E15" s="7">
        <f>IF(OR(C15&lt;&gt;0,D15&lt;&gt;0),SUM(C$3:C15)-SUM(D$3:D15),0)</f>
        <v>2069651</v>
      </c>
      <c r="F15" s="5"/>
    </row>
    <row r="16" spans="1:7" ht="15.75" x14ac:dyDescent="0.25">
      <c r="A16" s="57"/>
      <c r="B16" s="5" t="s">
        <v>43</v>
      </c>
      <c r="C16" s="5"/>
      <c r="D16" s="6">
        <v>100000</v>
      </c>
      <c r="E16" s="7">
        <f>IF(OR(C16&lt;&gt;0,D16&lt;&gt;0),SUM(C$3:C16)-SUM(D$3:D16),0)</f>
        <v>1969651</v>
      </c>
      <c r="F16" s="5"/>
    </row>
    <row r="17" spans="1:8" ht="15.75" x14ac:dyDescent="0.25">
      <c r="A17" s="57"/>
      <c r="B17" s="5" t="s">
        <v>624</v>
      </c>
      <c r="C17" s="5"/>
      <c r="D17" s="6">
        <v>80000</v>
      </c>
      <c r="E17" s="7">
        <f>IF(OR(C17&lt;&gt;0,D17&lt;&gt;0),SUM(C$3:C17)-SUM(D$3:D17),0)</f>
        <v>1889651</v>
      </c>
      <c r="F17" s="5"/>
    </row>
    <row r="18" spans="1:8" ht="15.75" x14ac:dyDescent="0.25">
      <c r="A18" s="57"/>
      <c r="B18" s="5" t="s">
        <v>589</v>
      </c>
      <c r="C18" s="5"/>
      <c r="D18" s="6">
        <v>4000</v>
      </c>
      <c r="E18" s="7">
        <f>IF(OR(C18&lt;&gt;0,D18&lt;&gt;0),SUM(C$3:C18)-SUM(D$3:D18),0)</f>
        <v>1885651</v>
      </c>
      <c r="F18" s="5"/>
    </row>
    <row r="19" spans="1:8" ht="15.75" x14ac:dyDescent="0.25">
      <c r="A19" s="57"/>
      <c r="B19" s="5" t="s">
        <v>589</v>
      </c>
      <c r="C19" s="5"/>
      <c r="D19" s="6">
        <v>98700</v>
      </c>
      <c r="E19" s="7">
        <f>IF(OR(C19&lt;&gt;0,D19&lt;&gt;0),SUM(C$3:C19)-SUM(D$3:D19),0)</f>
        <v>1786951</v>
      </c>
      <c r="F19" s="5"/>
    </row>
    <row r="20" spans="1:8" ht="15.75" x14ac:dyDescent="0.25">
      <c r="A20" s="57"/>
      <c r="B20" s="5" t="s">
        <v>513</v>
      </c>
      <c r="C20" s="6"/>
      <c r="D20" s="6">
        <v>337500</v>
      </c>
      <c r="E20" s="7">
        <f>IF(OR(C20&lt;&gt;0,D20&lt;&gt;0),SUM(C$3:C20)-SUM(D$3:D20),0)</f>
        <v>1449451</v>
      </c>
      <c r="F20" s="5"/>
    </row>
    <row r="21" spans="1:8" ht="15.75" x14ac:dyDescent="0.25">
      <c r="A21" s="58"/>
      <c r="B21" s="5" t="s">
        <v>58</v>
      </c>
      <c r="C21" s="5"/>
      <c r="D21" s="6">
        <v>2000</v>
      </c>
      <c r="E21" s="7">
        <f>IF(OR(C21&lt;&gt;0,D21&lt;&gt;0),SUM(C$3:C21)-SUM(D$3:D21),0)</f>
        <v>1447451</v>
      </c>
      <c r="F21" s="5"/>
    </row>
    <row r="22" spans="1:8" ht="15.75" x14ac:dyDescent="0.25">
      <c r="A22" s="59">
        <v>45385</v>
      </c>
      <c r="B22" s="5" t="s">
        <v>623</v>
      </c>
      <c r="C22" s="6"/>
      <c r="D22" s="6">
        <v>100000</v>
      </c>
      <c r="E22" s="7">
        <f>IF(OR(C22&lt;&gt;0,D22&lt;&gt;0),SUM(C$3:C22)-SUM(D$3:D22),0)</f>
        <v>1347451</v>
      </c>
      <c r="F22" s="5"/>
      <c r="G22">
        <f>2062000+358000+110000</f>
        <v>2530000</v>
      </c>
    </row>
    <row r="23" spans="1:8" ht="15.75" x14ac:dyDescent="0.25">
      <c r="A23" s="59"/>
      <c r="B23" s="5" t="s">
        <v>7</v>
      </c>
      <c r="C23" s="6">
        <v>2610000</v>
      </c>
      <c r="D23" s="6"/>
      <c r="E23" s="7">
        <f>IF(OR(C23&lt;&gt;0,D23&lt;&gt;0),SUM(C$3:C23)-SUM(D$3:D23),0)</f>
        <v>3957451</v>
      </c>
      <c r="F23" s="5"/>
    </row>
    <row r="24" spans="1:8" ht="15.75" x14ac:dyDescent="0.25">
      <c r="A24" s="59"/>
      <c r="B24" s="5" t="s">
        <v>513</v>
      </c>
      <c r="C24" s="5"/>
      <c r="D24" s="6">
        <v>60000</v>
      </c>
      <c r="E24" s="7">
        <f>IF(OR(C24&lt;&gt;0,D24&lt;&gt;0),SUM(C$3:C24)-SUM(D$3:D24),0)</f>
        <v>3897451</v>
      </c>
      <c r="F24" s="5"/>
      <c r="H24">
        <f>2610000-550000</f>
        <v>2060000</v>
      </c>
    </row>
    <row r="25" spans="1:8" ht="15.75" x14ac:dyDescent="0.25">
      <c r="A25" s="59"/>
      <c r="B25" s="5" t="s">
        <v>625</v>
      </c>
      <c r="C25" s="5"/>
      <c r="D25" s="6">
        <v>60000</v>
      </c>
      <c r="E25" s="7">
        <f>IF(OR(C25&lt;&gt;0,D25&lt;&gt;0),SUM(C$3:C25)-SUM(D$3:D25),0)</f>
        <v>3837451</v>
      </c>
      <c r="F25" s="5"/>
      <c r="G25" s="3" t="e">
        <f>2082000-#REF!</f>
        <v>#REF!</v>
      </c>
    </row>
    <row r="26" spans="1:8" ht="15.75" x14ac:dyDescent="0.25">
      <c r="A26" s="59"/>
      <c r="B26" s="5" t="s">
        <v>383</v>
      </c>
      <c r="C26" s="5"/>
      <c r="D26" s="6">
        <v>10000</v>
      </c>
      <c r="E26" s="7">
        <f>IF(OR(C26&lt;&gt;0,D26&lt;&gt;0),SUM(C$3:C26)-SUM(D$3:D26),0)</f>
        <v>3827451</v>
      </c>
      <c r="F26" s="5"/>
    </row>
    <row r="27" spans="1:8" ht="15.75" x14ac:dyDescent="0.25">
      <c r="A27" s="59"/>
      <c r="B27" s="5" t="s">
        <v>626</v>
      </c>
      <c r="C27" s="5"/>
      <c r="D27" s="6">
        <v>100000</v>
      </c>
      <c r="E27" s="7">
        <f>IF(OR(C27&lt;&gt;0,D27&lt;&gt;0),SUM(C$3:C27)-SUM(D$3:D27),0)</f>
        <v>3727451</v>
      </c>
      <c r="F27" s="5"/>
      <c r="G27">
        <f>550000-90000-230000</f>
        <v>230000</v>
      </c>
    </row>
    <row r="28" spans="1:8" ht="15.75" x14ac:dyDescent="0.25">
      <c r="A28" s="59"/>
      <c r="B28" s="5" t="s">
        <v>627</v>
      </c>
      <c r="C28" s="5"/>
      <c r="D28" s="6">
        <v>60000</v>
      </c>
      <c r="E28" s="7">
        <f>IF(OR(C28&lt;&gt;0,D28&lt;&gt;0),SUM(C$3:C28)-SUM(D$3:D28),0)</f>
        <v>3667451</v>
      </c>
      <c r="F28" s="5"/>
      <c r="G28" t="s">
        <v>628</v>
      </c>
    </row>
    <row r="29" spans="1:8" ht="15.75" x14ac:dyDescent="0.25">
      <c r="A29" s="59"/>
      <c r="B29" s="5" t="s">
        <v>235</v>
      </c>
      <c r="C29" s="5"/>
      <c r="D29" s="6">
        <v>30000</v>
      </c>
      <c r="E29" s="7">
        <f>IF(OR(C29&lt;&gt;0,D29&lt;&gt;0),SUM(C$3:C29)-SUM(D$3:D29),0)</f>
        <v>3637451</v>
      </c>
      <c r="F29" s="5"/>
    </row>
    <row r="30" spans="1:8" ht="15.75" x14ac:dyDescent="0.25">
      <c r="A30" s="59"/>
      <c r="B30" s="5" t="s">
        <v>629</v>
      </c>
      <c r="C30" s="5"/>
      <c r="D30" s="6">
        <v>44000</v>
      </c>
      <c r="E30" s="7">
        <f>IF(OR(C30&lt;&gt;0,D30&lt;&gt;0),SUM(C$3:C30)-SUM(D$3:D30),0)</f>
        <v>3593451</v>
      </c>
      <c r="F30" s="5"/>
    </row>
    <row r="31" spans="1:8" ht="15.75" x14ac:dyDescent="0.25">
      <c r="A31" s="59"/>
      <c r="B31" s="5" t="s">
        <v>630</v>
      </c>
      <c r="C31" s="5"/>
      <c r="D31" s="6">
        <v>20000</v>
      </c>
      <c r="E31" s="7">
        <f>IF(OR(C31&lt;&gt;0,D31&lt;&gt;0),SUM(C$3:C31)-SUM(D$3:D31),0)</f>
        <v>3573451</v>
      </c>
      <c r="F31" s="5"/>
    </row>
    <row r="32" spans="1:8" ht="15.75" x14ac:dyDescent="0.25">
      <c r="A32" s="59"/>
      <c r="B32" s="5" t="s">
        <v>631</v>
      </c>
      <c r="C32" s="5"/>
      <c r="D32" s="6">
        <v>230000</v>
      </c>
      <c r="E32" s="7">
        <f>IF(OR(C32&lt;&gt;0,D32&lt;&gt;0),SUM(C$3:C32)-SUM(D$3:D32),0)</f>
        <v>3343451</v>
      </c>
      <c r="F32" s="5"/>
    </row>
    <row r="33" spans="1:7" ht="15.75" x14ac:dyDescent="0.25">
      <c r="A33" s="59"/>
      <c r="B33" s="5" t="s">
        <v>437</v>
      </c>
      <c r="C33" s="5"/>
      <c r="D33" s="6">
        <v>90000</v>
      </c>
      <c r="E33" s="7">
        <f>IF(OR(C33&lt;&gt;0,D33&lt;&gt;0),SUM(C$3:C33)-SUM(D$3:D33),0)</f>
        <v>3253451</v>
      </c>
      <c r="F33" s="5"/>
      <c r="G33" s="3">
        <f>2220000-E33</f>
        <v>-1033451</v>
      </c>
    </row>
    <row r="34" spans="1:7" ht="15.75" x14ac:dyDescent="0.25">
      <c r="A34" s="59">
        <v>45386</v>
      </c>
      <c r="B34" s="5" t="s">
        <v>632</v>
      </c>
      <c r="C34" s="5"/>
      <c r="D34" s="6">
        <v>200000</v>
      </c>
      <c r="E34" s="7">
        <f>IF(OR(C34&lt;&gt;0,D34&lt;&gt;0),SUM(C$3:C34)-SUM(D$3:D34),0)</f>
        <v>3053451</v>
      </c>
      <c r="F34" s="5"/>
    </row>
    <row r="35" spans="1:7" ht="15.75" x14ac:dyDescent="0.25">
      <c r="A35" s="59"/>
      <c r="B35" s="5" t="s">
        <v>657</v>
      </c>
      <c r="C35" s="5" t="s">
        <v>633</v>
      </c>
      <c r="D35" s="6">
        <v>100000</v>
      </c>
      <c r="E35" s="7">
        <f>IF(OR(C35&lt;&gt;0,D35&lt;&gt;0),SUM(C$3:C35)-SUM(D$3:D35),0)</f>
        <v>2953451</v>
      </c>
      <c r="F35" s="5"/>
    </row>
    <row r="36" spans="1:7" ht="15.75" x14ac:dyDescent="0.25">
      <c r="A36" s="59"/>
      <c r="B36" s="5" t="s">
        <v>634</v>
      </c>
      <c r="C36" s="5"/>
      <c r="D36" s="6">
        <v>90000</v>
      </c>
      <c r="E36" s="7">
        <f>IF(OR(C36&lt;&gt;0,D36&lt;&gt;0),SUM(C$3:C36)-SUM(D$3:D36),0)</f>
        <v>2863451</v>
      </c>
      <c r="F36" s="5"/>
    </row>
    <row r="37" spans="1:7" ht="15.75" x14ac:dyDescent="0.25">
      <c r="A37" s="59"/>
      <c r="B37" s="5" t="s">
        <v>360</v>
      </c>
      <c r="C37" s="5"/>
      <c r="D37" s="6">
        <v>273000</v>
      </c>
      <c r="E37" s="7">
        <f>IF(OR(C37&lt;&gt;0,D37&lt;&gt;0),SUM(C$3:C37)-SUM(D$3:D37),0)</f>
        <v>2590451</v>
      </c>
      <c r="F37" s="5"/>
      <c r="G37" s="3" t="e">
        <f>D37+D36-#REF!</f>
        <v>#REF!</v>
      </c>
    </row>
    <row r="38" spans="1:7" ht="15.75" x14ac:dyDescent="0.25">
      <c r="A38" s="59"/>
      <c r="B38" s="5" t="s">
        <v>14</v>
      </c>
      <c r="C38" s="5"/>
      <c r="D38" s="6">
        <v>30000</v>
      </c>
      <c r="E38" s="7">
        <f>IF(OR(C38&lt;&gt;0,D38&lt;&gt;0),SUM(C$3:C38)-SUM(D$3:D38),0)</f>
        <v>2560451</v>
      </c>
      <c r="F38" s="5"/>
    </row>
    <row r="39" spans="1:7" ht="15.75" x14ac:dyDescent="0.25">
      <c r="A39" s="56">
        <v>45387</v>
      </c>
      <c r="B39" s="5" t="s">
        <v>176</v>
      </c>
      <c r="C39" s="5"/>
      <c r="D39" s="6">
        <v>200000</v>
      </c>
      <c r="E39" s="7">
        <f>IF(OR(C39&lt;&gt;0,D39&lt;&gt;0),SUM(C$3:C39)-SUM(D$3:D39),0)</f>
        <v>2360451</v>
      </c>
      <c r="F39" s="5"/>
    </row>
    <row r="40" spans="1:7" ht="15.75" x14ac:dyDescent="0.25">
      <c r="A40" s="57"/>
      <c r="B40" s="5" t="s">
        <v>636</v>
      </c>
      <c r="C40" s="5"/>
      <c r="D40" s="6">
        <v>200000</v>
      </c>
      <c r="E40" s="7">
        <f>IF(OR(C40&lt;&gt;0,D40&lt;&gt;0),SUM(C$3:C40)-SUM(D$3:D40),0)</f>
        <v>2160451</v>
      </c>
      <c r="F40" s="5"/>
    </row>
    <row r="41" spans="1:7" ht="15.75" x14ac:dyDescent="0.25">
      <c r="A41" s="57"/>
      <c r="B41" s="5" t="s">
        <v>637</v>
      </c>
      <c r="C41" s="5"/>
      <c r="D41" s="6">
        <v>200000</v>
      </c>
      <c r="E41" s="7">
        <f>IF(OR(C41&lt;&gt;0,D41&lt;&gt;0),SUM(C$3:C41)-SUM(D$3:D41),0)</f>
        <v>1960451</v>
      </c>
      <c r="F41" s="5"/>
    </row>
    <row r="42" spans="1:7" ht="15.75" x14ac:dyDescent="0.25">
      <c r="A42" s="57"/>
      <c r="B42" s="5" t="s">
        <v>632</v>
      </c>
      <c r="C42" s="5"/>
      <c r="D42" s="6">
        <v>100000</v>
      </c>
      <c r="E42" s="7">
        <f>IF(OR(C42&lt;&gt;0,D42&lt;&gt;0),SUM(C$3:C42)-SUM(D$3:D42),0)</f>
        <v>1860451</v>
      </c>
      <c r="F42" s="5"/>
    </row>
    <row r="43" spans="1:7" ht="15.75" x14ac:dyDescent="0.25">
      <c r="A43" s="57"/>
      <c r="B43" s="5" t="s">
        <v>635</v>
      </c>
      <c r="C43" s="5"/>
      <c r="D43" s="6">
        <v>200000</v>
      </c>
      <c r="E43" s="7">
        <f>IF(OR(C43&lt;&gt;0,D43&lt;&gt;0),SUM(C$3:C43)-SUM(D$3:D43),0)</f>
        <v>1660451</v>
      </c>
      <c r="F43" s="5"/>
    </row>
    <row r="44" spans="1:7" ht="15.75" x14ac:dyDescent="0.25">
      <c r="A44" s="57"/>
      <c r="B44" s="5" t="s">
        <v>329</v>
      </c>
      <c r="C44" s="5"/>
      <c r="D44" s="6">
        <v>23000</v>
      </c>
      <c r="E44" s="7">
        <f>IF(OR(C44&lt;&gt;0,D44&lt;&gt;0),SUM(C$3:C44)-SUM(D$3:D44),0)</f>
        <v>1637451</v>
      </c>
      <c r="F44" s="5"/>
    </row>
    <row r="45" spans="1:7" ht="15.75" x14ac:dyDescent="0.25">
      <c r="A45" s="57"/>
      <c r="B45" s="5" t="s">
        <v>43</v>
      </c>
      <c r="C45" s="5"/>
      <c r="D45" s="6">
        <v>100000</v>
      </c>
      <c r="E45" s="7">
        <f>IF(OR(C45&lt;&gt;0,D45&lt;&gt;0),SUM(C$3:C45)-SUM(D$3:D45),0)</f>
        <v>1537451</v>
      </c>
      <c r="F45" s="5"/>
    </row>
    <row r="46" spans="1:7" ht="15.75" x14ac:dyDescent="0.25">
      <c r="A46" s="57"/>
      <c r="B46" s="5" t="s">
        <v>638</v>
      </c>
      <c r="C46" s="5"/>
      <c r="D46" s="6">
        <v>23000</v>
      </c>
      <c r="E46" s="7">
        <f>IF(OR(C46&lt;&gt;0,D46&lt;&gt;0),SUM(C$3:C46)-SUM(D$3:D46),0)</f>
        <v>1514451</v>
      </c>
      <c r="F46" s="5"/>
      <c r="G46" s="3">
        <f>535000-E47</f>
        <v>-934451</v>
      </c>
    </row>
    <row r="47" spans="1:7" ht="15.75" x14ac:dyDescent="0.25">
      <c r="A47" s="57"/>
      <c r="B47" s="5" t="s">
        <v>639</v>
      </c>
      <c r="C47" s="5"/>
      <c r="D47" s="6">
        <v>45000</v>
      </c>
      <c r="E47" s="7">
        <f>IF(OR(C47&lt;&gt;0,D47&lt;&gt;0),SUM(C$3:C47)-SUM(D$3:D47),0)</f>
        <v>1469451</v>
      </c>
      <c r="F47" s="5"/>
    </row>
    <row r="48" spans="1:7" ht="15.75" x14ac:dyDescent="0.25">
      <c r="A48" s="57"/>
      <c r="B48" s="5" t="s">
        <v>640</v>
      </c>
      <c r="C48" s="5"/>
      <c r="D48" s="6">
        <v>45000</v>
      </c>
      <c r="E48" s="7">
        <f>IF(OR(C48&lt;&gt;0,D48&lt;&gt;0),SUM(C$3:C48)-SUM(D$3:D48),0)</f>
        <v>1424451</v>
      </c>
      <c r="F48" s="5"/>
    </row>
    <row r="49" spans="1:7" ht="15.75" x14ac:dyDescent="0.25">
      <c r="A49" s="57"/>
      <c r="B49" s="5" t="s">
        <v>641</v>
      </c>
      <c r="C49" s="5"/>
      <c r="D49" s="6">
        <v>20000</v>
      </c>
      <c r="E49" s="7">
        <f>IF(OR(C49&lt;&gt;0,D49&lt;&gt;0),SUM(C$3:C49)-SUM(D$3:D49),0)</f>
        <v>1404451</v>
      </c>
      <c r="F49" s="5"/>
    </row>
    <row r="50" spans="1:7" ht="15.75" x14ac:dyDescent="0.25">
      <c r="A50" s="58"/>
      <c r="B50" s="5" t="s">
        <v>58</v>
      </c>
      <c r="C50" s="5"/>
      <c r="D50" s="6">
        <v>2000</v>
      </c>
      <c r="E50" s="7">
        <f>IF(OR(C50&lt;&gt;0,D50&lt;&gt;0),SUM(C$3:C50)-SUM(D$3:D50),0)</f>
        <v>1402451</v>
      </c>
      <c r="F50" s="5"/>
      <c r="G50" s="3">
        <f>525000-E50</f>
        <v>-877451</v>
      </c>
    </row>
    <row r="51" spans="1:7" ht="15.75" x14ac:dyDescent="0.25">
      <c r="A51" s="56">
        <v>45388</v>
      </c>
      <c r="B51" s="5" t="s">
        <v>642</v>
      </c>
      <c r="C51" s="5"/>
      <c r="D51" s="6">
        <v>100000</v>
      </c>
      <c r="E51" s="7">
        <f>IF(OR(C51&lt;&gt;0,D51&lt;&gt;0),SUM(C$3:C51)-SUM(D$3:D51),0)</f>
        <v>1302451</v>
      </c>
      <c r="F51" s="5"/>
    </row>
    <row r="52" spans="1:7" ht="15.75" x14ac:dyDescent="0.25">
      <c r="A52" s="57"/>
      <c r="B52" s="5" t="s">
        <v>643</v>
      </c>
      <c r="C52" s="5"/>
      <c r="D52" s="6">
        <v>25800</v>
      </c>
      <c r="E52" s="7">
        <f>IF(OR(C52&lt;&gt;0,D52&lt;&gt;0),SUM(C$3:C52)-SUM(D$3:D52),0)</f>
        <v>1276651</v>
      </c>
      <c r="F52" s="5"/>
    </row>
    <row r="53" spans="1:7" ht="15.75" x14ac:dyDescent="0.25">
      <c r="A53" s="57"/>
      <c r="B53" s="5" t="s">
        <v>133</v>
      </c>
      <c r="C53" s="5"/>
      <c r="D53" s="6">
        <v>110150</v>
      </c>
      <c r="E53" s="7">
        <f>IF(OR(C53&lt;&gt;0,D53&lt;&gt;0),SUM(C$3:C53)-SUM(D$3:D53),0)</f>
        <v>1166501</v>
      </c>
      <c r="F53" s="5"/>
    </row>
    <row r="54" spans="1:7" ht="15.75" x14ac:dyDescent="0.25">
      <c r="A54" s="57"/>
      <c r="B54" s="5" t="s">
        <v>7</v>
      </c>
      <c r="C54" s="6">
        <v>1000000</v>
      </c>
      <c r="D54" s="6"/>
      <c r="E54" s="7">
        <f>IF(OR(C54&lt;&gt;0,D54&lt;&gt;0),SUM(C$3:C54)-SUM(D$3:D54),0)</f>
        <v>2166501</v>
      </c>
      <c r="F54" s="5"/>
    </row>
    <row r="55" spans="1:7" ht="15.75" x14ac:dyDescent="0.25">
      <c r="A55" s="57"/>
      <c r="B55" s="5" t="s">
        <v>644</v>
      </c>
      <c r="C55" s="5"/>
      <c r="D55" s="6">
        <v>200000</v>
      </c>
      <c r="E55" s="7">
        <f>IF(OR(C55&lt;&gt;0,D55&lt;&gt;0),SUM(C$3:C55)-SUM(D$3:D55),0)</f>
        <v>1966501</v>
      </c>
      <c r="F55" s="5"/>
    </row>
    <row r="56" spans="1:7" ht="15.75" x14ac:dyDescent="0.25">
      <c r="A56" s="57"/>
      <c r="B56" s="5" t="s">
        <v>43</v>
      </c>
      <c r="C56" s="5"/>
      <c r="D56" s="6">
        <v>150000</v>
      </c>
      <c r="E56" s="7">
        <f>IF(OR(C56&lt;&gt;0,D56&lt;&gt;0),SUM(C$3:C56)-SUM(D$3:D56),0)</f>
        <v>1816501</v>
      </c>
      <c r="F56" s="5"/>
      <c r="G56">
        <f>136+70-300</f>
        <v>-94</v>
      </c>
    </row>
    <row r="57" spans="1:7" ht="15.75" x14ac:dyDescent="0.25">
      <c r="A57" s="57"/>
      <c r="B57" s="5" t="s">
        <v>645</v>
      </c>
      <c r="C57" s="5"/>
      <c r="D57" s="6">
        <v>50000</v>
      </c>
      <c r="E57" s="7">
        <f>IF(OR(C57&lt;&gt;0,D57&lt;&gt;0),SUM(C$3:C57)-SUM(D$3:D57),0)</f>
        <v>1766501</v>
      </c>
      <c r="F57" s="5"/>
    </row>
    <row r="58" spans="1:7" ht="15.75" x14ac:dyDescent="0.25">
      <c r="A58" s="57"/>
      <c r="B58" s="5" t="s">
        <v>11</v>
      </c>
      <c r="C58" s="5"/>
      <c r="D58" s="6">
        <v>59500</v>
      </c>
      <c r="E58" s="7">
        <f>IF(OR(C58&lt;&gt;0,D58&lt;&gt;0),SUM(C$3:C58)-SUM(D$3:D58),0)</f>
        <v>1707001</v>
      </c>
      <c r="F58" s="5"/>
    </row>
    <row r="59" spans="1:7" ht="15.75" x14ac:dyDescent="0.25">
      <c r="A59" s="57"/>
      <c r="B59" s="5" t="s">
        <v>646</v>
      </c>
      <c r="C59" s="5"/>
      <c r="D59" s="6">
        <v>116000</v>
      </c>
      <c r="E59" s="7">
        <f>IF(OR(C59&lt;&gt;0,D59&lt;&gt;0),SUM(C$3:C59)-SUM(D$3:D59),0)</f>
        <v>1591001</v>
      </c>
      <c r="F59" s="5"/>
    </row>
    <row r="60" spans="1:7" ht="15.75" x14ac:dyDescent="0.25">
      <c r="A60" s="58"/>
      <c r="B60" s="5" t="s">
        <v>679</v>
      </c>
      <c r="C60" s="5"/>
      <c r="D60" s="6">
        <v>30000</v>
      </c>
      <c r="E60" s="7">
        <f>IF(OR(C60&lt;&gt;0,D60&lt;&gt;0),SUM(C$3:C60)-SUM(D$3:D60),0)</f>
        <v>1561001</v>
      </c>
      <c r="F60" s="5"/>
    </row>
    <row r="61" spans="1:7" ht="15.75" x14ac:dyDescent="0.25">
      <c r="A61" s="56">
        <v>45390</v>
      </c>
      <c r="B61" s="5" t="s">
        <v>300</v>
      </c>
      <c r="C61" s="5"/>
      <c r="D61" s="6">
        <v>50000</v>
      </c>
      <c r="E61" s="7">
        <f>IF(OR(C61&lt;&gt;0,D61&lt;&gt;0),SUM(C$3:C61)-SUM(D$3:D61),0)</f>
        <v>1511001</v>
      </c>
      <c r="F61" s="5"/>
    </row>
    <row r="62" spans="1:7" ht="15.75" x14ac:dyDescent="0.25">
      <c r="A62" s="57"/>
      <c r="B62" s="5" t="s">
        <v>647</v>
      </c>
      <c r="C62" s="5"/>
      <c r="D62" s="6">
        <v>80500</v>
      </c>
      <c r="E62" s="7">
        <f>IF(OR(C62&lt;&gt;0,D62&lt;&gt;0),SUM(C$3:C62)-SUM(D$3:D62),0)</f>
        <v>1430501</v>
      </c>
      <c r="F62" s="5"/>
      <c r="G62" s="3">
        <f>558000-E62</f>
        <v>-872501</v>
      </c>
    </row>
    <row r="63" spans="1:7" ht="15.75" x14ac:dyDescent="0.25">
      <c r="A63" s="57"/>
      <c r="B63" s="5" t="s">
        <v>200</v>
      </c>
      <c r="C63" s="5"/>
      <c r="D63" s="6">
        <v>40000</v>
      </c>
      <c r="E63" s="7">
        <f>IF(OR(C63&lt;&gt;0,D63&lt;&gt;0),SUM(C$3:C63)-SUM(D$3:D63),0)</f>
        <v>1390501</v>
      </c>
      <c r="F63" s="5"/>
      <c r="G63" s="3"/>
    </row>
    <row r="64" spans="1:7" ht="15.75" x14ac:dyDescent="0.25">
      <c r="A64" s="57"/>
      <c r="B64" s="5" t="s">
        <v>345</v>
      </c>
      <c r="C64" s="5"/>
      <c r="D64" s="6">
        <v>30000</v>
      </c>
      <c r="E64" s="7">
        <f>IF(OR(C64&lt;&gt;0,D64&lt;&gt;0),SUM(C$3:C64)-SUM(D$3:D64),0)</f>
        <v>1360501</v>
      </c>
      <c r="F64" s="5"/>
      <c r="G64" s="3"/>
    </row>
    <row r="65" spans="1:8" ht="15.75" x14ac:dyDescent="0.25">
      <c r="A65" s="57"/>
      <c r="B65" s="5" t="s">
        <v>7</v>
      </c>
      <c r="C65" s="6">
        <v>1000000</v>
      </c>
      <c r="D65" s="6"/>
      <c r="E65" s="7">
        <f>IF(OR(C65&lt;&gt;0,D65&lt;&gt;0),SUM(C$3:C65)-SUM(D$3:D65),0)</f>
        <v>2360501</v>
      </c>
      <c r="F65" s="5"/>
    </row>
    <row r="66" spans="1:8" ht="15.75" x14ac:dyDescent="0.25">
      <c r="A66" s="57"/>
      <c r="B66" s="5" t="s">
        <v>43</v>
      </c>
      <c r="C66" s="5"/>
      <c r="D66" s="6">
        <v>150000</v>
      </c>
      <c r="E66" s="7">
        <f>IF(OR(C66&lt;&gt;0,D66&lt;&gt;0),SUM(C$3:C66)-SUM(D$3:D66),0)</f>
        <v>2210501</v>
      </c>
      <c r="F66" s="5"/>
    </row>
    <row r="67" spans="1:8" ht="15.75" x14ac:dyDescent="0.25">
      <c r="A67" s="57"/>
      <c r="B67" s="5" t="s">
        <v>648</v>
      </c>
      <c r="C67" s="5"/>
      <c r="D67" s="6">
        <v>580000</v>
      </c>
      <c r="E67" s="7">
        <f>IF(OR(C67&lt;&gt;0,D67&lt;&gt;0),SUM(C$3:C67)-SUM(D$3:D67),0)</f>
        <v>1630501</v>
      </c>
      <c r="F67" s="5"/>
    </row>
    <row r="68" spans="1:8" ht="15.75" x14ac:dyDescent="0.25">
      <c r="A68" s="57"/>
      <c r="B68" s="5" t="s">
        <v>185</v>
      </c>
      <c r="C68" s="5"/>
      <c r="D68" s="6">
        <v>68000</v>
      </c>
      <c r="E68" s="7">
        <f>IF(OR(C68&lt;&gt;0,D68&lt;&gt;0),SUM(C$3:C68)-SUM(D$3:D68),0)</f>
        <v>1562501</v>
      </c>
      <c r="F68" s="5"/>
    </row>
    <row r="69" spans="1:8" ht="15.75" x14ac:dyDescent="0.25">
      <c r="A69" s="57"/>
      <c r="B69" s="5" t="s">
        <v>649</v>
      </c>
      <c r="C69" s="5"/>
      <c r="D69" s="6">
        <v>12000</v>
      </c>
      <c r="E69" s="7">
        <f>IF(OR(C69&lt;&gt;0,D69&lt;&gt;0),SUM(C$3:C69)-SUM(D$3:D69),0)</f>
        <v>1550501</v>
      </c>
      <c r="F69" s="5"/>
    </row>
    <row r="70" spans="1:8" ht="15.75" x14ac:dyDescent="0.25">
      <c r="A70" s="57"/>
      <c r="B70" s="5" t="s">
        <v>46</v>
      </c>
      <c r="C70" s="5"/>
      <c r="D70" s="6">
        <v>30000</v>
      </c>
      <c r="E70" s="7">
        <f>IF(OR(C70&lt;&gt;0,D70&lt;&gt;0),SUM(C$3:C70)-SUM(D$3:D70),0)</f>
        <v>1520501</v>
      </c>
      <c r="F70" s="5"/>
      <c r="H70">
        <f>3282000+2000000</f>
        <v>5282000</v>
      </c>
    </row>
    <row r="71" spans="1:8" ht="15.75" x14ac:dyDescent="0.25">
      <c r="A71" s="57"/>
      <c r="B71" s="5" t="s">
        <v>650</v>
      </c>
      <c r="C71" s="5" t="s">
        <v>655</v>
      </c>
      <c r="D71" s="6">
        <v>27200</v>
      </c>
      <c r="E71" s="7">
        <f>IF(OR(C71&lt;&gt;0,D71&lt;&gt;0),SUM(C$3:C71)-SUM(D$3:D71),0)</f>
        <v>1493301</v>
      </c>
      <c r="F71" s="5"/>
    </row>
    <row r="72" spans="1:8" ht="15.75" x14ac:dyDescent="0.25">
      <c r="A72" s="57"/>
      <c r="B72" s="5" t="s">
        <v>651</v>
      </c>
      <c r="C72" s="5"/>
      <c r="D72" s="6">
        <v>40000</v>
      </c>
      <c r="E72" s="7">
        <f>IF(OR(C72&lt;&gt;0,D72&lt;&gt;0),SUM(C$3:C72)-SUM(D$3:D72),0)</f>
        <v>1453301</v>
      </c>
      <c r="F72" s="5"/>
      <c r="G72">
        <f>118-500</f>
        <v>-382</v>
      </c>
    </row>
    <row r="73" spans="1:8" ht="15.75" x14ac:dyDescent="0.25">
      <c r="A73" s="57"/>
      <c r="B73" s="5" t="s">
        <v>652</v>
      </c>
      <c r="C73" s="5"/>
      <c r="D73" s="6">
        <v>20000</v>
      </c>
      <c r="E73" s="7">
        <f>IF(OR(C73&lt;&gt;0,D73&lt;&gt;0),SUM(C$3:C73)-SUM(D$3:D73),0)</f>
        <v>1433301</v>
      </c>
      <c r="F73" s="5"/>
    </row>
    <row r="74" spans="1:8" ht="15.75" x14ac:dyDescent="0.25">
      <c r="A74" s="57"/>
      <c r="B74" s="5" t="s">
        <v>43</v>
      </c>
      <c r="C74" s="5"/>
      <c r="D74" s="6">
        <v>100000</v>
      </c>
      <c r="E74" s="7">
        <f>IF(OR(C74&lt;&gt;0,D74&lt;&gt;0),SUM(C$3:C74)-SUM(D$3:D74),0)</f>
        <v>1333301</v>
      </c>
      <c r="F74" s="5"/>
    </row>
    <row r="75" spans="1:8" ht="15.75" x14ac:dyDescent="0.25">
      <c r="A75" s="57"/>
      <c r="B75" s="5" t="s">
        <v>653</v>
      </c>
      <c r="C75" s="5"/>
      <c r="D75" s="6">
        <v>3000</v>
      </c>
      <c r="E75" s="7">
        <f>IF(OR(C75&lt;&gt;0,D75&lt;&gt;0),SUM(C$3:C75)-SUM(D$3:D75),0)</f>
        <v>1330301</v>
      </c>
      <c r="F75" s="5"/>
    </row>
    <row r="76" spans="1:8" ht="15.75" x14ac:dyDescent="0.25">
      <c r="A76" s="58"/>
      <c r="B76" s="5" t="s">
        <v>14</v>
      </c>
      <c r="C76" s="5"/>
      <c r="D76" s="6">
        <v>20000</v>
      </c>
      <c r="E76" s="7">
        <f>IF(OR(C76&lt;&gt;0,D76&lt;&gt;0),SUM(C$3:C76)-SUM(D$3:D76),0)</f>
        <v>1310301</v>
      </c>
      <c r="F76" s="5"/>
      <c r="G76" s="3">
        <f>656000-E76</f>
        <v>-654301</v>
      </c>
    </row>
    <row r="77" spans="1:8" ht="15.75" x14ac:dyDescent="0.25">
      <c r="A77" s="59">
        <v>45391</v>
      </c>
      <c r="B77" s="5" t="s">
        <v>7</v>
      </c>
      <c r="C77" s="6">
        <v>1550000</v>
      </c>
      <c r="D77" s="6"/>
      <c r="E77" s="7">
        <f>IF(OR(C77&lt;&gt;0,D77&lt;&gt;0),SUM(C$3:C77)-SUM(D$3:D77),0)</f>
        <v>2860301</v>
      </c>
      <c r="F77" s="5"/>
    </row>
    <row r="78" spans="1:8" ht="15.75" x14ac:dyDescent="0.25">
      <c r="A78" s="59"/>
      <c r="B78" s="5" t="s">
        <v>654</v>
      </c>
      <c r="C78" s="6"/>
      <c r="D78" s="6">
        <v>500000</v>
      </c>
      <c r="E78" s="7">
        <f>IF(OR(C78&lt;&gt;0,D78&lt;&gt;0),SUM(C$3:C78)-SUM(D$3:D78),0)</f>
        <v>2360301</v>
      </c>
      <c r="F78" s="5"/>
    </row>
    <row r="79" spans="1:8" ht="15.75" x14ac:dyDescent="0.25">
      <c r="A79" s="59"/>
      <c r="B79" s="5" t="s">
        <v>643</v>
      </c>
      <c r="C79" s="5"/>
      <c r="D79" s="6">
        <v>68000</v>
      </c>
      <c r="E79" s="7">
        <f>IF(OR(C79&lt;&gt;0,D79&lt;&gt;0),SUM(C$3:C79)-SUM(D$3:D79),0)</f>
        <v>2292301</v>
      </c>
      <c r="F79" s="5"/>
    </row>
    <row r="80" spans="1:8" ht="15.75" x14ac:dyDescent="0.25">
      <c r="A80" s="59"/>
      <c r="B80" s="5" t="s">
        <v>659</v>
      </c>
      <c r="C80" s="5"/>
      <c r="D80" s="6">
        <v>150000</v>
      </c>
      <c r="E80" s="7">
        <f>IF(OR(C80&lt;&gt;0,D80&lt;&gt;0),SUM(C$3:C80)-SUM(D$3:D80),0)</f>
        <v>2142301</v>
      </c>
      <c r="F80" s="5"/>
    </row>
    <row r="81" spans="1:7" ht="15.75" x14ac:dyDescent="0.25">
      <c r="A81" s="59"/>
      <c r="B81" s="5" t="s">
        <v>660</v>
      </c>
      <c r="C81" s="5"/>
      <c r="D81" s="6">
        <v>100000</v>
      </c>
      <c r="E81" s="7">
        <f>IF(OR(C81&lt;&gt;0,D81&lt;&gt;0),SUM(C$3:C81)-SUM(D$3:D81),0)</f>
        <v>2042301</v>
      </c>
      <c r="F81" s="5"/>
    </row>
    <row r="82" spans="1:7" ht="15.75" x14ac:dyDescent="0.25">
      <c r="A82" s="59"/>
      <c r="B82" s="5" t="s">
        <v>529</v>
      </c>
      <c r="C82" s="5"/>
      <c r="D82" s="6">
        <v>300000</v>
      </c>
      <c r="E82" s="7">
        <f>IF(OR(C82&lt;&gt;0,D82&lt;&gt;0),SUM(C$3:C82)-SUM(D$3:D82),0)</f>
        <v>1742301</v>
      </c>
      <c r="F82" s="5"/>
    </row>
    <row r="83" spans="1:7" ht="15.75" x14ac:dyDescent="0.25">
      <c r="A83" s="59"/>
      <c r="B83" s="5" t="s">
        <v>656</v>
      </c>
      <c r="C83" s="5"/>
      <c r="D83" s="6">
        <v>20000</v>
      </c>
      <c r="E83" s="7">
        <f>IF(OR(C83&lt;&gt;0,D83&lt;&gt;0),SUM(C$3:C83)-SUM(D$3:D83),0)</f>
        <v>1722301</v>
      </c>
      <c r="F83" s="5"/>
    </row>
    <row r="84" spans="1:7" ht="15.75" x14ac:dyDescent="0.25">
      <c r="A84" s="59"/>
      <c r="B84" s="5" t="s">
        <v>17</v>
      </c>
      <c r="C84" s="5"/>
      <c r="D84" s="6">
        <v>100000</v>
      </c>
      <c r="E84" s="7">
        <f>IF(OR(C84&lt;&gt;0,D84&lt;&gt;0),SUM(C$3:C84)-SUM(D$3:D84),0)</f>
        <v>1622301</v>
      </c>
      <c r="F84" s="5"/>
    </row>
    <row r="85" spans="1:7" ht="15.75" x14ac:dyDescent="0.25">
      <c r="A85" s="59"/>
      <c r="B85" s="5" t="s">
        <v>658</v>
      </c>
      <c r="C85" s="5"/>
      <c r="D85" s="6">
        <v>18000</v>
      </c>
      <c r="E85" s="7">
        <f>IF(OR(C85&lt;&gt;0,D85&lt;&gt;0),SUM(C$3:C85)-SUM(D$3:D85),0)</f>
        <v>1604301</v>
      </c>
      <c r="F85" s="5"/>
    </row>
    <row r="86" spans="1:7" ht="15.75" x14ac:dyDescent="0.25">
      <c r="A86" s="56">
        <v>45392</v>
      </c>
      <c r="B86" s="5" t="s">
        <v>7</v>
      </c>
      <c r="C86" s="6">
        <v>1000000</v>
      </c>
      <c r="D86" s="6"/>
      <c r="E86" s="7">
        <f>IF(OR(C86&lt;&gt;0,D86&lt;&gt;0),SUM(C$3:C86)-SUM(D$3:D86),0)</f>
        <v>2604301</v>
      </c>
      <c r="F86" s="5"/>
    </row>
    <row r="87" spans="1:7" ht="15.75" x14ac:dyDescent="0.25">
      <c r="A87" s="57"/>
      <c r="B87" s="5" t="s">
        <v>43</v>
      </c>
      <c r="C87" s="6"/>
      <c r="D87" s="6">
        <v>100000</v>
      </c>
      <c r="E87" s="7">
        <f>IF(OR(C87&lt;&gt;0,D87&lt;&gt;0),SUM(C$3:C87)-SUM(D$3:D87),0)</f>
        <v>2504301</v>
      </c>
      <c r="F87" s="5"/>
    </row>
    <row r="88" spans="1:7" ht="15.75" x14ac:dyDescent="0.25">
      <c r="A88" s="57"/>
      <c r="B88" s="5" t="s">
        <v>661</v>
      </c>
      <c r="C88" s="5"/>
      <c r="D88" s="6">
        <v>200000</v>
      </c>
      <c r="E88" s="7">
        <f>IF(OR(C88&lt;&gt;0,D88&lt;&gt;0),SUM(C$3:C88)-SUM(D$3:D88),0)</f>
        <v>2304301</v>
      </c>
      <c r="F88" s="5"/>
      <c r="G88" s="3">
        <f>1934000-E88</f>
        <v>-370301</v>
      </c>
    </row>
    <row r="89" spans="1:7" ht="15.75" x14ac:dyDescent="0.25">
      <c r="A89" s="57"/>
      <c r="B89" s="5" t="s">
        <v>662</v>
      </c>
      <c r="C89" s="5"/>
      <c r="D89" s="6">
        <v>23000</v>
      </c>
      <c r="E89" s="7">
        <f>IF(OR(C89&lt;&gt;0,D89&lt;&gt;0),SUM(C$3:C89)-SUM(D$3:D89),0)</f>
        <v>2281301</v>
      </c>
      <c r="F89" s="5"/>
    </row>
    <row r="90" spans="1:7" ht="15.75" x14ac:dyDescent="0.25">
      <c r="A90" s="57"/>
      <c r="B90" s="5" t="s">
        <v>663</v>
      </c>
      <c r="C90" s="5"/>
      <c r="D90" s="6">
        <v>50000</v>
      </c>
      <c r="E90" s="7">
        <f>IF(OR(C90&lt;&gt;0,D90&lt;&gt;0),SUM(C$3:C90)-SUM(D$3:D90),0)</f>
        <v>2231301</v>
      </c>
      <c r="F90" s="5"/>
      <c r="G90" s="3"/>
    </row>
    <row r="91" spans="1:7" ht="15.75" x14ac:dyDescent="0.25">
      <c r="A91" s="58"/>
      <c r="B91" s="5" t="s">
        <v>455</v>
      </c>
      <c r="C91" s="5"/>
      <c r="D91" s="6">
        <v>200000</v>
      </c>
      <c r="E91" s="7">
        <f>IF(OR(C91&lt;&gt;0,D91&lt;&gt;0),SUM(C$3:C91)-SUM(D$3:D91),0)</f>
        <v>2031301</v>
      </c>
      <c r="F91" s="5"/>
      <c r="G91" s="3">
        <f>1411000-E91</f>
        <v>-620301</v>
      </c>
    </row>
    <row r="92" spans="1:7" ht="15.75" x14ac:dyDescent="0.25">
      <c r="A92" s="56">
        <v>45393</v>
      </c>
      <c r="B92" s="5" t="s">
        <v>664</v>
      </c>
      <c r="C92" s="6"/>
      <c r="D92" s="6">
        <v>20000</v>
      </c>
      <c r="E92" s="7">
        <f>IF(OR(C92&lt;&gt;0,D92&lt;&gt;0),SUM(C$3:C92)-SUM(D$3:D92),0)</f>
        <v>2011301</v>
      </c>
      <c r="F92" s="5"/>
    </row>
    <row r="93" spans="1:7" ht="15.75" x14ac:dyDescent="0.25">
      <c r="A93" s="57"/>
      <c r="B93" s="5" t="s">
        <v>665</v>
      </c>
      <c r="C93" s="5"/>
      <c r="D93" s="6">
        <v>20000</v>
      </c>
      <c r="E93" s="7">
        <f>IF(OR(C93&lt;&gt;0,D93&lt;&gt;0),SUM(C$3:C93)-SUM(D$3:D93),0)</f>
        <v>1991301</v>
      </c>
      <c r="F93" s="5"/>
    </row>
    <row r="94" spans="1:7" ht="15.75" x14ac:dyDescent="0.25">
      <c r="A94" s="57"/>
      <c r="B94" s="5" t="s">
        <v>643</v>
      </c>
      <c r="C94" s="5"/>
      <c r="D94" s="6">
        <v>59000</v>
      </c>
      <c r="E94" s="7">
        <f>IF(OR(C94&lt;&gt;0,D94&lt;&gt;0),SUM(C$3:C94)-SUM(D$3:D94),0)</f>
        <v>1932301</v>
      </c>
      <c r="F94" s="5"/>
    </row>
    <row r="95" spans="1:7" ht="15.75" x14ac:dyDescent="0.25">
      <c r="A95" s="59">
        <v>45394</v>
      </c>
      <c r="B95" s="5" t="s">
        <v>666</v>
      </c>
      <c r="C95" s="6"/>
      <c r="D95" s="6">
        <v>14000</v>
      </c>
      <c r="E95" s="7">
        <f>IF(OR(C95&lt;&gt;0,D95&lt;&gt;0),SUM(C$3:C95)-SUM(D$3:D95),0)</f>
        <v>1918301</v>
      </c>
      <c r="F95" s="5"/>
    </row>
    <row r="96" spans="1:7" ht="15.75" x14ac:dyDescent="0.25">
      <c r="A96" s="59"/>
      <c r="B96" s="5" t="s">
        <v>133</v>
      </c>
      <c r="C96" s="5"/>
      <c r="D96" s="6">
        <v>185500</v>
      </c>
      <c r="E96" s="7">
        <f>IF(OR(C96&lt;&gt;0,D96&lt;&gt;0),SUM(C$3:C96)-SUM(D$3:D96),0)</f>
        <v>1732801</v>
      </c>
      <c r="F96" s="5"/>
    </row>
    <row r="97" spans="1:7" ht="15.75" x14ac:dyDescent="0.25">
      <c r="A97" s="59"/>
      <c r="B97" s="5" t="s">
        <v>162</v>
      </c>
      <c r="C97" s="5"/>
      <c r="D97" s="6">
        <v>84000</v>
      </c>
      <c r="E97" s="7">
        <f>IF(OR(C97&lt;&gt;0,D97&lt;&gt;0),SUM(C$3:C97)-SUM(D$3:D97),0)</f>
        <v>1648801</v>
      </c>
      <c r="F97" s="5"/>
    </row>
    <row r="98" spans="1:7" ht="15.75" x14ac:dyDescent="0.25">
      <c r="A98" s="59"/>
      <c r="B98" s="5" t="s">
        <v>667</v>
      </c>
      <c r="C98" s="5"/>
      <c r="D98" s="6">
        <v>310000</v>
      </c>
      <c r="E98" s="7">
        <f>IF(OR(C98&lt;&gt;0,D98&lt;&gt;0),SUM(C$3:C98)-SUM(D$3:D98),0)</f>
        <v>1338801</v>
      </c>
      <c r="F98" s="5"/>
    </row>
    <row r="99" spans="1:7" ht="15.75" x14ac:dyDescent="0.25">
      <c r="A99" s="59"/>
      <c r="B99" s="5" t="s">
        <v>58</v>
      </c>
      <c r="C99" s="5"/>
      <c r="D99" s="6">
        <v>1000</v>
      </c>
      <c r="E99" s="7">
        <f>IF(OR(C99&lt;&gt;0,D99&lt;&gt;0),SUM(C$3:C99)-SUM(D$3:D99),0)</f>
        <v>1337801</v>
      </c>
      <c r="F99" s="5"/>
    </row>
    <row r="100" spans="1:7" ht="15.75" x14ac:dyDescent="0.25">
      <c r="A100" s="59"/>
      <c r="B100" s="5" t="s">
        <v>16</v>
      </c>
      <c r="C100" s="5"/>
      <c r="D100" s="6">
        <v>75000</v>
      </c>
      <c r="E100" s="7">
        <f>IF(OR(C100&lt;&gt;0,D100&lt;&gt;0),SUM(C$3:C100)-SUM(D$3:D100),0)</f>
        <v>1262801</v>
      </c>
      <c r="F100" s="5"/>
    </row>
    <row r="101" spans="1:7" ht="15.75" x14ac:dyDescent="0.25">
      <c r="A101" s="59"/>
      <c r="B101" s="5" t="s">
        <v>56</v>
      </c>
      <c r="C101" s="5"/>
      <c r="D101" s="6">
        <v>16000</v>
      </c>
      <c r="E101" s="7">
        <f>IF(OR(C101&lt;&gt;0,D101&lt;&gt;0),SUM(C$3:C101)-SUM(D$3:D101),0)</f>
        <v>1246801</v>
      </c>
      <c r="F101" s="5"/>
      <c r="G101" s="3">
        <f>1006000-E101</f>
        <v>-240801</v>
      </c>
    </row>
    <row r="102" spans="1:7" ht="15.75" x14ac:dyDescent="0.25">
      <c r="A102" s="17">
        <v>45395</v>
      </c>
      <c r="B102" s="5" t="s">
        <v>494</v>
      </c>
      <c r="C102" s="5"/>
      <c r="D102" s="6">
        <v>50000</v>
      </c>
      <c r="E102" s="7">
        <f>IF(OR(C102&lt;&gt;0,D102&lt;&gt;0),SUM(C$3:C102)-SUM(D$3:D102),0)</f>
        <v>1196801</v>
      </c>
      <c r="F102" s="5"/>
      <c r="G102" s="3">
        <f>756000-E102</f>
        <v>-440801</v>
      </c>
    </row>
    <row r="103" spans="1:7" ht="15.75" x14ac:dyDescent="0.25">
      <c r="A103" s="56">
        <v>45397</v>
      </c>
      <c r="B103" s="5" t="s">
        <v>16</v>
      </c>
      <c r="C103" s="6"/>
      <c r="D103" s="6">
        <v>125000</v>
      </c>
      <c r="E103" s="7">
        <f>IF(OR(C103&lt;&gt;0,D103&lt;&gt;0),SUM(C$3:C103)-SUM(D$3:D103),0)</f>
        <v>1071801</v>
      </c>
      <c r="F103" s="5"/>
    </row>
    <row r="104" spans="1:7" ht="15.75" x14ac:dyDescent="0.25">
      <c r="A104" s="57"/>
      <c r="B104" s="5" t="s">
        <v>7</v>
      </c>
      <c r="C104" s="6">
        <v>2000000</v>
      </c>
      <c r="D104" s="6"/>
      <c r="E104" s="7">
        <f>IF(OR(C104&lt;&gt;0,D104&lt;&gt;0),SUM(C$3:C104)-SUM(D$3:D104),0)</f>
        <v>3071801</v>
      </c>
      <c r="F104" s="5"/>
    </row>
    <row r="105" spans="1:7" ht="15.75" x14ac:dyDescent="0.25">
      <c r="A105" s="57"/>
      <c r="B105" s="5" t="s">
        <v>668</v>
      </c>
      <c r="C105" s="5"/>
      <c r="D105" s="6">
        <v>20000</v>
      </c>
      <c r="E105" s="7">
        <f>IF(OR(C105&lt;&gt;0,D105&lt;&gt;0),SUM(C$3:C105)-SUM(D$3:D105),0)</f>
        <v>3051801</v>
      </c>
      <c r="F105" s="5"/>
    </row>
    <row r="106" spans="1:7" ht="15.75" x14ac:dyDescent="0.25">
      <c r="A106" s="57"/>
      <c r="B106" s="5" t="s">
        <v>669</v>
      </c>
      <c r="C106" s="5"/>
      <c r="D106" s="6">
        <v>500000</v>
      </c>
      <c r="E106" s="7">
        <f>IF(OR(C106&lt;&gt;0,D106&lt;&gt;0),SUM(C$3:C106)-SUM(D$3:D106),0)</f>
        <v>2551801</v>
      </c>
      <c r="F106" s="5"/>
    </row>
    <row r="107" spans="1:7" ht="15.75" x14ac:dyDescent="0.25">
      <c r="A107" s="57"/>
      <c r="B107" s="5" t="s">
        <v>632</v>
      </c>
      <c r="C107" s="5"/>
      <c r="D107" s="6">
        <v>150000</v>
      </c>
      <c r="E107" s="7">
        <f>IF(OR(C107&lt;&gt;0,D107&lt;&gt;0),SUM(C$3:C107)-SUM(D$3:D107),0)</f>
        <v>2401801</v>
      </c>
      <c r="F107" s="5"/>
    </row>
    <row r="108" spans="1:7" ht="15.75" x14ac:dyDescent="0.25">
      <c r="A108" s="57"/>
      <c r="B108" s="5" t="s">
        <v>670</v>
      </c>
      <c r="C108" s="5"/>
      <c r="D108" s="6">
        <v>31000</v>
      </c>
      <c r="E108" s="7">
        <f>IF(OR(C108&lt;&gt;0,D108&lt;&gt;0),SUM(C$3:C108)-SUM(D$3:D108),0)</f>
        <v>2370801</v>
      </c>
      <c r="F108" s="5"/>
    </row>
    <row r="109" spans="1:7" ht="15.75" x14ac:dyDescent="0.25">
      <c r="A109" s="57"/>
      <c r="B109" s="5" t="s">
        <v>587</v>
      </c>
      <c r="C109" s="5"/>
      <c r="D109" s="6">
        <v>20000</v>
      </c>
      <c r="E109" s="7">
        <f>IF(OR(C109&lt;&gt;0,D109&lt;&gt;0),SUM(C$3:C109)-SUM(D$3:D109),0)</f>
        <v>2350801</v>
      </c>
      <c r="F109" s="5"/>
    </row>
    <row r="110" spans="1:7" ht="15.75" x14ac:dyDescent="0.25">
      <c r="A110" s="57"/>
      <c r="B110" s="5" t="s">
        <v>659</v>
      </c>
      <c r="C110" s="5"/>
      <c r="D110" s="6">
        <v>200000</v>
      </c>
      <c r="E110" s="7">
        <f>IF(OR(C110&lt;&gt;0,D110&lt;&gt;0),SUM(C$3:C110)-SUM(D$3:D110),0)</f>
        <v>2150801</v>
      </c>
      <c r="F110" s="5"/>
    </row>
    <row r="111" spans="1:7" ht="15.75" x14ac:dyDescent="0.25">
      <c r="A111" s="57"/>
      <c r="B111" s="5" t="s">
        <v>635</v>
      </c>
      <c r="C111" s="5"/>
      <c r="D111" s="6">
        <v>200000</v>
      </c>
      <c r="E111" s="7">
        <f>IF(OR(C111&lt;&gt;0,D111&lt;&gt;0),SUM(C$3:C111)-SUM(D$3:D111),0)</f>
        <v>1950801</v>
      </c>
      <c r="F111" s="5"/>
    </row>
    <row r="112" spans="1:7" ht="15.75" x14ac:dyDescent="0.25">
      <c r="A112" s="57"/>
      <c r="B112" s="5" t="s">
        <v>298</v>
      </c>
      <c r="C112" s="5"/>
      <c r="D112" s="6">
        <v>100000</v>
      </c>
      <c r="E112" s="7">
        <f>IF(OR(C112&lt;&gt;0,D112&lt;&gt;0),SUM(C$3:C112)-SUM(D$3:D112),0)</f>
        <v>1850801</v>
      </c>
      <c r="F112" s="5"/>
    </row>
    <row r="113" spans="1:7" ht="15.75" x14ac:dyDescent="0.25">
      <c r="A113" s="57"/>
      <c r="B113" s="5" t="s">
        <v>122</v>
      </c>
      <c r="C113" s="5"/>
      <c r="D113" s="6">
        <v>225000</v>
      </c>
      <c r="E113" s="7">
        <f>IF(OR(C113&lt;&gt;0,D113&lt;&gt;0),SUM(C$3:C113)-SUM(D$3:D113),0)</f>
        <v>1625801</v>
      </c>
      <c r="F113" s="5"/>
      <c r="G113" s="3">
        <f>1191000-E113</f>
        <v>-434801</v>
      </c>
    </row>
    <row r="114" spans="1:7" ht="15.75" x14ac:dyDescent="0.25">
      <c r="A114" s="57"/>
      <c r="B114" s="5" t="s">
        <v>468</v>
      </c>
      <c r="C114" s="5"/>
      <c r="D114" s="6">
        <v>300000</v>
      </c>
      <c r="E114" s="7">
        <f>IF(OR(C114&lt;&gt;0,D114&lt;&gt;0),SUM(C$3:C114)-SUM(D$3:D114),0)</f>
        <v>1325801</v>
      </c>
      <c r="F114" s="5"/>
      <c r="G114" s="3"/>
    </row>
    <row r="115" spans="1:7" ht="15.75" x14ac:dyDescent="0.25">
      <c r="A115" s="57"/>
      <c r="B115" s="5" t="s">
        <v>674</v>
      </c>
      <c r="C115" s="5"/>
      <c r="D115" s="6">
        <v>200000</v>
      </c>
      <c r="E115" s="7">
        <f>IF(OR(C115&lt;&gt;0,D115&lt;&gt;0),SUM(C$3:C115)-SUM(D$3:D115),0)</f>
        <v>1125801</v>
      </c>
      <c r="F115" s="5"/>
      <c r="G115" s="3"/>
    </row>
    <row r="116" spans="1:7" ht="15.75" x14ac:dyDescent="0.25">
      <c r="A116" s="57"/>
      <c r="B116" s="5" t="s">
        <v>675</v>
      </c>
      <c r="C116" s="5"/>
      <c r="D116" s="6">
        <v>400000</v>
      </c>
      <c r="E116" s="7">
        <f>IF(OR(C116&lt;&gt;0,D116&lt;&gt;0),SUM(C$3:C116)-SUM(D$3:D116),0)</f>
        <v>725801</v>
      </c>
      <c r="F116" s="5"/>
      <c r="G116" s="3"/>
    </row>
    <row r="117" spans="1:7" ht="15.75" x14ac:dyDescent="0.25">
      <c r="A117" s="58"/>
      <c r="B117" s="5" t="s">
        <v>671</v>
      </c>
      <c r="C117" s="5"/>
      <c r="D117" s="6">
        <v>90000</v>
      </c>
      <c r="E117" s="7">
        <f>IF(OR(C117&lt;&gt;0,D117&lt;&gt;0),SUM(C$3:C117)-SUM(D$3:D117),0)</f>
        <v>635801</v>
      </c>
      <c r="F117" s="5"/>
    </row>
    <row r="118" spans="1:7" ht="15.75" x14ac:dyDescent="0.25">
      <c r="A118" s="56">
        <v>45398</v>
      </c>
      <c r="B118" s="5" t="s">
        <v>7</v>
      </c>
      <c r="C118" s="6">
        <v>1180000</v>
      </c>
      <c r="D118" s="6"/>
      <c r="E118" s="7">
        <f>IF(OR(C118&lt;&gt;0,D118&lt;&gt;0),SUM(C$3:C118)-SUM(D$3:D118),0)</f>
        <v>1815801</v>
      </c>
      <c r="F118" s="5"/>
    </row>
    <row r="119" spans="1:7" ht="15.75" x14ac:dyDescent="0.25">
      <c r="A119" s="57"/>
      <c r="B119" s="5" t="s">
        <v>505</v>
      </c>
      <c r="C119" s="6"/>
      <c r="D119" s="6">
        <v>200000</v>
      </c>
      <c r="E119" s="7">
        <f>IF(OR(C119&lt;&gt;0,D119&lt;&gt;0),SUM(C$3:C119)-SUM(D$3:D119),0)</f>
        <v>1615801</v>
      </c>
      <c r="F119" s="5"/>
    </row>
    <row r="120" spans="1:7" ht="15.75" x14ac:dyDescent="0.25">
      <c r="A120" s="57"/>
      <c r="B120" s="5" t="s">
        <v>676</v>
      </c>
      <c r="C120" s="6"/>
      <c r="D120" s="6">
        <v>200000</v>
      </c>
      <c r="E120" s="7">
        <f>IF(OR(C120&lt;&gt;0,D120&lt;&gt;0),SUM(C$3:C120)-SUM(D$3:D120),0)</f>
        <v>1415801</v>
      </c>
      <c r="F120" s="5"/>
    </row>
    <row r="121" spans="1:7" ht="15.75" x14ac:dyDescent="0.25">
      <c r="A121" s="57"/>
      <c r="B121" s="5" t="s">
        <v>602</v>
      </c>
      <c r="C121" s="5"/>
      <c r="D121" s="6">
        <v>53000</v>
      </c>
      <c r="E121" s="7">
        <f>IF(OR(C121&lt;&gt;0,D121&lt;&gt;0),SUM(C$3:C121)-SUM(D$3:D121),0)</f>
        <v>1362801</v>
      </c>
      <c r="F121" s="5"/>
    </row>
    <row r="122" spans="1:7" ht="15.75" x14ac:dyDescent="0.25">
      <c r="A122" s="57"/>
      <c r="B122" s="5" t="s">
        <v>58</v>
      </c>
      <c r="C122" s="5"/>
      <c r="D122" s="6">
        <v>2000</v>
      </c>
      <c r="E122" s="7">
        <f>IF(OR(C122&lt;&gt;0,D122&lt;&gt;0),SUM(C$3:C122)-SUM(D$3:D122),0)</f>
        <v>1360801</v>
      </c>
      <c r="F122" s="5"/>
    </row>
    <row r="123" spans="1:7" ht="15.75" x14ac:dyDescent="0.25">
      <c r="A123" s="57"/>
      <c r="B123" s="5" t="s">
        <v>11</v>
      </c>
      <c r="C123" s="5"/>
      <c r="D123" s="6">
        <v>31000</v>
      </c>
      <c r="E123" s="7">
        <f>IF(OR(C123&lt;&gt;0,D123&lt;&gt;0),SUM(C$3:C123)-SUM(D$3:D123),0)</f>
        <v>1329801</v>
      </c>
      <c r="F123" s="5"/>
    </row>
    <row r="124" spans="1:7" ht="15.75" x14ac:dyDescent="0.25">
      <c r="A124" s="57"/>
      <c r="B124" s="5" t="s">
        <v>677</v>
      </c>
      <c r="C124" s="5"/>
      <c r="D124" s="6">
        <v>100000</v>
      </c>
      <c r="E124" s="7">
        <f>IF(OR(C124&lt;&gt;0,D124&lt;&gt;0),SUM(C$3:C124)-SUM(D$3:D124),0)</f>
        <v>1229801</v>
      </c>
      <c r="F124" s="5"/>
    </row>
    <row r="125" spans="1:7" ht="15.75" x14ac:dyDescent="0.25">
      <c r="A125" s="57"/>
      <c r="B125" s="5" t="s">
        <v>678</v>
      </c>
      <c r="C125" s="5"/>
      <c r="D125" s="6">
        <v>68000</v>
      </c>
      <c r="E125" s="7">
        <f>IF(OR(C125&lt;&gt;0,D125&lt;&gt;0),SUM(C$3:C125)-SUM(D$3:D125),0)</f>
        <v>1161801</v>
      </c>
      <c r="F125" s="5"/>
    </row>
    <row r="126" spans="1:7" ht="15.75" x14ac:dyDescent="0.25">
      <c r="A126" s="57"/>
      <c r="B126" s="5" t="s">
        <v>672</v>
      </c>
      <c r="C126" s="5"/>
      <c r="D126" s="6">
        <v>300000</v>
      </c>
      <c r="E126" s="7">
        <f>IF(OR(C126&lt;&gt;0,D126&lt;&gt;0),SUM(C$3:C126)-SUM(D$3:D126),0)</f>
        <v>861801</v>
      </c>
      <c r="F126" s="5"/>
    </row>
    <row r="127" spans="1:7" ht="15.75" x14ac:dyDescent="0.25">
      <c r="A127" s="57"/>
      <c r="B127" s="5" t="s">
        <v>673</v>
      </c>
      <c r="C127" s="5"/>
      <c r="D127" s="6">
        <v>40000</v>
      </c>
      <c r="E127" s="7">
        <f>IF(OR(C127&lt;&gt;0,D127&lt;&gt;0),SUM(C$3:C127)-SUM(D$3:D127),0)</f>
        <v>821801</v>
      </c>
      <c r="F127" s="5"/>
      <c r="G127" s="3">
        <f>226000-E127</f>
        <v>-595801</v>
      </c>
    </row>
    <row r="128" spans="1:7" ht="15.75" x14ac:dyDescent="0.25">
      <c r="A128" s="57"/>
      <c r="B128" s="5" t="s">
        <v>200</v>
      </c>
      <c r="C128" s="5"/>
      <c r="D128" s="6">
        <v>74200</v>
      </c>
      <c r="E128" s="7">
        <f>IF(OR(C128&lt;&gt;0,D128&lt;&gt;0),SUM(C$3:C128)-SUM(D$3:D128),0)</f>
        <v>747601</v>
      </c>
      <c r="F128" s="5"/>
    </row>
    <row r="129" spans="1:7" ht="15.75" x14ac:dyDescent="0.25">
      <c r="A129" s="58"/>
      <c r="B129" s="5" t="s">
        <v>587</v>
      </c>
      <c r="C129" s="5"/>
      <c r="D129" s="6">
        <v>30000</v>
      </c>
      <c r="E129" s="7">
        <f>IF(OR(C129&lt;&gt;0,D129&lt;&gt;0),SUM(C$3:C129)-SUM(D$3:D129),0)</f>
        <v>717601</v>
      </c>
      <c r="F129" s="5"/>
    </row>
    <row r="130" spans="1:7" ht="15.75" x14ac:dyDescent="0.25">
      <c r="A130" s="59">
        <v>45399</v>
      </c>
      <c r="B130" s="5" t="s">
        <v>7</v>
      </c>
      <c r="C130" s="6">
        <v>1000000</v>
      </c>
      <c r="D130" s="6"/>
      <c r="E130" s="7">
        <f>IF(OR(C130&lt;&gt;0,D130&lt;&gt;0),SUM(C$3:C130)-SUM(D$3:D130),0)</f>
        <v>1717601</v>
      </c>
      <c r="F130" s="5"/>
    </row>
    <row r="131" spans="1:7" ht="15.75" x14ac:dyDescent="0.25">
      <c r="A131" s="59"/>
      <c r="B131" s="5" t="s">
        <v>680</v>
      </c>
      <c r="C131" s="6"/>
      <c r="D131" s="6">
        <v>388000</v>
      </c>
      <c r="E131" s="7">
        <f>IF(OR(C131&lt;&gt;0,D131&lt;&gt;0),SUM(C$3:C131)-SUM(D$3:D131),0)</f>
        <v>1329601</v>
      </c>
      <c r="F131" s="5"/>
      <c r="G131" s="3">
        <f>1001000-E131</f>
        <v>-328601</v>
      </c>
    </row>
    <row r="132" spans="1:7" ht="15.75" x14ac:dyDescent="0.25">
      <c r="A132" s="59"/>
      <c r="B132" s="5" t="s">
        <v>14</v>
      </c>
      <c r="C132" s="6"/>
      <c r="D132" s="6">
        <v>50000</v>
      </c>
      <c r="E132" s="7">
        <f>IF(OR(C132&lt;&gt;0,D132&lt;&gt;0),SUM(C$3:C132)-SUM(D$3:D132),0)</f>
        <v>1279601</v>
      </c>
      <c r="F132" s="5"/>
    </row>
    <row r="133" spans="1:7" ht="15.75" x14ac:dyDescent="0.25">
      <c r="A133" s="59"/>
      <c r="B133" s="5" t="s">
        <v>664</v>
      </c>
      <c r="C133" s="5"/>
      <c r="D133" s="6">
        <v>15000</v>
      </c>
      <c r="E133" s="7">
        <f>IF(OR(C133&lt;&gt;0,D133&lt;&gt;0),SUM(C$3:C133)-SUM(D$3:D133),0)</f>
        <v>1264601</v>
      </c>
      <c r="F133" s="5"/>
      <c r="G133" s="3">
        <f>936000-E133</f>
        <v>-328601</v>
      </c>
    </row>
    <row r="134" spans="1:7" ht="15.75" x14ac:dyDescent="0.25">
      <c r="A134" s="59">
        <v>45400</v>
      </c>
      <c r="B134" s="5" t="s">
        <v>681</v>
      </c>
      <c r="C134" s="6"/>
      <c r="D134" s="6">
        <v>300000</v>
      </c>
      <c r="E134" s="7">
        <f>IF(OR(C134&lt;&gt;0,D134&lt;&gt;0),SUM(C$3:C134)-SUM(D$3:D134),0)</f>
        <v>964601</v>
      </c>
      <c r="F134" s="5"/>
    </row>
    <row r="135" spans="1:7" ht="15.75" x14ac:dyDescent="0.25">
      <c r="A135" s="59"/>
      <c r="B135" s="5" t="s">
        <v>682</v>
      </c>
      <c r="C135" s="6"/>
      <c r="D135" s="6">
        <v>200000</v>
      </c>
      <c r="E135" s="7">
        <f>IF(OR(C135&lt;&gt;0,D135&lt;&gt;0),SUM(C$3:C135)-SUM(D$3:D135),0)</f>
        <v>764601</v>
      </c>
      <c r="F135" s="5"/>
    </row>
    <row r="136" spans="1:7" ht="15.75" x14ac:dyDescent="0.25">
      <c r="A136" s="59"/>
      <c r="B136" s="5" t="s">
        <v>46</v>
      </c>
      <c r="C136" s="6"/>
      <c r="D136" s="6">
        <v>30000</v>
      </c>
      <c r="E136" s="7">
        <f>IF(OR(C136&lt;&gt;0,D136&lt;&gt;0),SUM(C$3:C136)-SUM(D$3:D136),0)</f>
        <v>734601</v>
      </c>
      <c r="F136" s="5"/>
    </row>
    <row r="137" spans="1:7" ht="15.75" x14ac:dyDescent="0.25">
      <c r="A137" s="56">
        <v>45403</v>
      </c>
      <c r="B137" s="5" t="s">
        <v>7</v>
      </c>
      <c r="C137" s="6">
        <v>1000000</v>
      </c>
      <c r="D137" s="6"/>
      <c r="E137" s="7">
        <f>IF(OR(C137&lt;&gt;0,D137&lt;&gt;0),SUM(C$3:C137)-SUM(D$3:D137),0)</f>
        <v>1734601</v>
      </c>
      <c r="F137" s="5"/>
    </row>
    <row r="138" spans="1:7" ht="15.75" x14ac:dyDescent="0.25">
      <c r="A138" s="57"/>
      <c r="B138" s="5" t="s">
        <v>684</v>
      </c>
      <c r="C138" s="6"/>
      <c r="D138" s="6">
        <v>150000</v>
      </c>
      <c r="E138" s="7">
        <f>IF(OR(C138&lt;&gt;0,D138&lt;&gt;0),SUM(C$3:C138)-SUM(D$3:D138),0)</f>
        <v>1584601</v>
      </c>
      <c r="F138" s="5"/>
    </row>
    <row r="139" spans="1:7" ht="15.75" x14ac:dyDescent="0.25">
      <c r="A139" s="57"/>
      <c r="B139" s="5" t="s">
        <v>672</v>
      </c>
      <c r="C139" s="6"/>
      <c r="D139" s="6">
        <v>200000</v>
      </c>
      <c r="E139" s="7">
        <f>IF(OR(C139&lt;&gt;0,D139&lt;&gt;0),SUM(C$3:C139)-SUM(D$3:D139),0)</f>
        <v>1384601</v>
      </c>
      <c r="F139" s="5"/>
    </row>
    <row r="140" spans="1:7" ht="15.75" x14ac:dyDescent="0.25">
      <c r="A140" s="57"/>
      <c r="B140" s="5" t="s">
        <v>635</v>
      </c>
      <c r="C140" s="6"/>
      <c r="D140" s="6">
        <v>100000</v>
      </c>
      <c r="E140" s="7">
        <f>IF(OR(C140&lt;&gt;0,D140&lt;&gt;0),SUM(C$3:C140)-SUM(D$3:D140),0)</f>
        <v>1284601</v>
      </c>
      <c r="F140" s="5"/>
    </row>
    <row r="141" spans="1:7" ht="15.75" x14ac:dyDescent="0.25">
      <c r="A141" s="57"/>
      <c r="B141" s="5" t="s">
        <v>685</v>
      </c>
      <c r="C141" s="5"/>
      <c r="D141" s="6">
        <v>37000</v>
      </c>
      <c r="E141" s="7">
        <f>IF(OR(C141&lt;&gt;0,D141&lt;&gt;0),SUM(C$3:C141)-SUM(D$3:D141),0)</f>
        <v>1247601</v>
      </c>
      <c r="F141" s="5"/>
    </row>
    <row r="142" spans="1:7" ht="15" customHeight="1" x14ac:dyDescent="0.25">
      <c r="A142" s="58"/>
      <c r="B142" s="5" t="s">
        <v>587</v>
      </c>
      <c r="C142" s="5"/>
      <c r="D142" s="6">
        <v>20000</v>
      </c>
      <c r="E142" s="7">
        <f>IF(OR(C142&lt;&gt;0,D142&lt;&gt;0),SUM(C$3:C142)-SUM(D$3:D142),0)</f>
        <v>1227601</v>
      </c>
      <c r="F142" s="5"/>
    </row>
    <row r="143" spans="1:7" ht="15.75" x14ac:dyDescent="0.25">
      <c r="A143" s="56">
        <v>45404</v>
      </c>
      <c r="B143" s="5" t="s">
        <v>7</v>
      </c>
      <c r="C143" s="6">
        <v>974000</v>
      </c>
      <c r="D143" s="6"/>
      <c r="E143" s="7">
        <f>IF(OR(C143&lt;&gt;0,D143&lt;&gt;0),SUM(C$3:C143)-SUM(D$3:D143),0)</f>
        <v>2201601</v>
      </c>
      <c r="F143" s="5"/>
      <c r="G143">
        <f>525+700</f>
        <v>1225</v>
      </c>
    </row>
    <row r="144" spans="1:7" ht="15.75" x14ac:dyDescent="0.25">
      <c r="A144" s="57"/>
      <c r="B144" s="5" t="s">
        <v>7</v>
      </c>
      <c r="C144" s="6">
        <v>1553000</v>
      </c>
      <c r="D144" s="6"/>
      <c r="E144" s="7">
        <f>IF(OR(C144&lt;&gt;0,D144&lt;&gt;0),SUM(C$3:C144)-SUM(D$3:D144),0)</f>
        <v>3754601</v>
      </c>
      <c r="F144" s="5"/>
    </row>
    <row r="145" spans="1:6" ht="15.75" x14ac:dyDescent="0.25">
      <c r="A145" s="57"/>
      <c r="B145" s="5" t="s">
        <v>632</v>
      </c>
      <c r="C145" s="6"/>
      <c r="D145" s="6">
        <v>100000</v>
      </c>
      <c r="E145" s="7">
        <f>IF(OR(C145&lt;&gt;0,D145&lt;&gt;0),SUM(C$3:C145)-SUM(D$3:D145),0)</f>
        <v>3654601</v>
      </c>
      <c r="F145" s="5"/>
    </row>
    <row r="146" spans="1:6" ht="15.75" x14ac:dyDescent="0.25">
      <c r="A146" s="57"/>
      <c r="B146" s="5" t="s">
        <v>686</v>
      </c>
      <c r="C146" s="6"/>
      <c r="D146" s="6">
        <v>200000</v>
      </c>
      <c r="E146" s="7">
        <f>IF(OR(C146&lt;&gt;0,D146&lt;&gt;0),SUM(C$3:C146)-SUM(D$3:D146),0)</f>
        <v>3454601</v>
      </c>
      <c r="F146" s="5"/>
    </row>
    <row r="147" spans="1:6" ht="15.75" x14ac:dyDescent="0.25">
      <c r="A147" s="57"/>
      <c r="B147" s="5" t="s">
        <v>6</v>
      </c>
      <c r="C147" s="6"/>
      <c r="D147" s="6">
        <v>72200</v>
      </c>
      <c r="E147" s="7">
        <f>IF(OR(C147&lt;&gt;0,D147&lt;&gt;0),SUM(C$3:C147)-SUM(D$3:D147),0)</f>
        <v>3382401</v>
      </c>
      <c r="F147" s="5"/>
    </row>
    <row r="148" spans="1:6" ht="15.75" x14ac:dyDescent="0.25">
      <c r="A148" s="57"/>
      <c r="B148" s="5" t="s">
        <v>27</v>
      </c>
      <c r="C148" s="5"/>
      <c r="D148" s="6">
        <v>200000</v>
      </c>
      <c r="E148" s="7">
        <f>IF(OR(C148&lt;&gt;0,D148&lt;&gt;0),SUM(C$3:C148)-SUM(D$3:D148),0)</f>
        <v>3182401</v>
      </c>
      <c r="F148" s="5"/>
    </row>
    <row r="149" spans="1:6" ht="15.75" x14ac:dyDescent="0.25">
      <c r="A149" s="57"/>
      <c r="B149" s="5" t="s">
        <v>122</v>
      </c>
      <c r="C149" s="5"/>
      <c r="D149" s="6">
        <v>50000</v>
      </c>
      <c r="E149" s="7">
        <f>IF(OR(C149&lt;&gt;0,D149&lt;&gt;0),SUM(C$3:C149)-SUM(D$3:D149),0)</f>
        <v>3132401</v>
      </c>
      <c r="F149" s="5"/>
    </row>
    <row r="150" spans="1:6" ht="15.75" x14ac:dyDescent="0.25">
      <c r="A150" s="57"/>
      <c r="B150" s="5" t="s">
        <v>687</v>
      </c>
      <c r="C150" s="5"/>
      <c r="D150" s="6">
        <v>75000</v>
      </c>
      <c r="E150" s="7">
        <f>IF(OR(C150&lt;&gt;0,D150&lt;&gt;0),SUM(C$3:C150)-SUM(D$3:D150),0)</f>
        <v>3057401</v>
      </c>
      <c r="F150" s="5"/>
    </row>
    <row r="151" spans="1:6" ht="15.75" x14ac:dyDescent="0.25">
      <c r="A151" s="57"/>
      <c r="B151" s="5" t="s">
        <v>688</v>
      </c>
      <c r="C151" s="5"/>
      <c r="D151" s="6">
        <v>200000</v>
      </c>
      <c r="E151" s="7">
        <f>IF(OR(C151&lt;&gt;0,D151&lt;&gt;0),SUM(C$3:C151)-SUM(D$3:D151),0)</f>
        <v>2857401</v>
      </c>
      <c r="F151" s="5"/>
    </row>
    <row r="152" spans="1:6" ht="15.75" x14ac:dyDescent="0.25">
      <c r="A152" s="57"/>
      <c r="B152" s="5" t="s">
        <v>523</v>
      </c>
      <c r="C152" s="5"/>
      <c r="D152" s="6">
        <v>100000</v>
      </c>
      <c r="E152" s="7">
        <f>IF(OR(C152&lt;&gt;0,D152&lt;&gt;0),SUM(C$3:C152)-SUM(D$3:D152),0)</f>
        <v>2757401</v>
      </c>
      <c r="F152" s="5"/>
    </row>
    <row r="153" spans="1:6" ht="15.75" x14ac:dyDescent="0.25">
      <c r="A153" s="57"/>
      <c r="B153" s="5" t="s">
        <v>689</v>
      </c>
      <c r="C153" s="5"/>
      <c r="D153" s="6">
        <v>13000</v>
      </c>
      <c r="E153" s="7">
        <f>IF(OR(C153&lt;&gt;0,D153&lt;&gt;0),SUM(C$3:C153)-SUM(D$3:D153),0)</f>
        <v>2744401</v>
      </c>
      <c r="F153" s="5"/>
    </row>
    <row r="154" spans="1:6" ht="15.75" x14ac:dyDescent="0.25">
      <c r="A154" s="57"/>
      <c r="B154" s="5" t="s">
        <v>593</v>
      </c>
      <c r="C154" s="5"/>
      <c r="D154" s="6">
        <v>300000</v>
      </c>
      <c r="E154" s="7">
        <f>IF(OR(C154&lt;&gt;0,D154&lt;&gt;0),SUM(C$3:C154)-SUM(D$3:D154),0)</f>
        <v>2444401</v>
      </c>
      <c r="F154" s="5"/>
    </row>
    <row r="155" spans="1:6" ht="15.75" x14ac:dyDescent="0.25">
      <c r="A155" s="57"/>
      <c r="B155" s="5" t="s">
        <v>235</v>
      </c>
      <c r="C155" s="5"/>
      <c r="D155" s="6">
        <v>30000</v>
      </c>
      <c r="E155" s="7">
        <f>IF(OR(C155&lt;&gt;0,D155&lt;&gt;0),SUM(C$3:C155)-SUM(D$3:D155),0)</f>
        <v>2414401</v>
      </c>
      <c r="F155" s="5"/>
    </row>
    <row r="156" spans="1:6" ht="15.75" x14ac:dyDescent="0.25">
      <c r="A156" s="57"/>
      <c r="B156" s="5" t="s">
        <v>552</v>
      </c>
      <c r="C156" s="5"/>
      <c r="D156" s="6">
        <v>31000</v>
      </c>
      <c r="E156" s="7">
        <f>IF(OR(C156&lt;&gt;0,D156&lt;&gt;0),SUM(C$3:C156)-SUM(D$3:D156),0)</f>
        <v>2383401</v>
      </c>
      <c r="F156" s="5"/>
    </row>
    <row r="157" spans="1:6" ht="15.75" x14ac:dyDescent="0.25">
      <c r="A157" s="57"/>
      <c r="B157" s="5" t="s">
        <v>552</v>
      </c>
      <c r="C157" s="5"/>
      <c r="D157" s="6">
        <v>31000</v>
      </c>
      <c r="E157" s="7">
        <f>IF(OR(C157&lt;&gt;0,D157&lt;&gt;0),SUM(C$3:C157)-SUM(D$3:D157),0)</f>
        <v>2352401</v>
      </c>
      <c r="F157" s="5"/>
    </row>
    <row r="158" spans="1:6" ht="15.75" x14ac:dyDescent="0.25">
      <c r="A158" s="57"/>
      <c r="B158" s="5" t="s">
        <v>690</v>
      </c>
      <c r="C158" s="5"/>
      <c r="D158" s="6">
        <v>200000</v>
      </c>
      <c r="E158" s="7">
        <f>IF(OR(C158&lt;&gt;0,D158&lt;&gt;0),SUM(C$3:C158)-SUM(D$3:D158),0)</f>
        <v>2152401</v>
      </c>
      <c r="F158" s="5"/>
    </row>
    <row r="159" spans="1:6" ht="15.75" x14ac:dyDescent="0.25">
      <c r="A159" s="57"/>
      <c r="B159" s="5" t="s">
        <v>691</v>
      </c>
      <c r="C159" s="5"/>
      <c r="D159" s="6">
        <v>150000</v>
      </c>
      <c r="E159" s="7">
        <f>IF(OR(C159&lt;&gt;0,D159&lt;&gt;0),SUM(C$3:C159)-SUM(D$3:D159),0)</f>
        <v>2002401</v>
      </c>
      <c r="F159" s="5"/>
    </row>
    <row r="160" spans="1:6" ht="15.75" x14ac:dyDescent="0.25">
      <c r="A160" s="57"/>
      <c r="B160" s="5" t="s">
        <v>692</v>
      </c>
      <c r="C160" s="5"/>
      <c r="D160" s="6">
        <v>200000</v>
      </c>
      <c r="E160" s="7">
        <f>IF(OR(C160&lt;&gt;0,D160&lt;&gt;0),SUM(C$3:C160)-SUM(D$3:D160),0)</f>
        <v>1802401</v>
      </c>
      <c r="F160" s="5"/>
    </row>
    <row r="161" spans="1:7" ht="15.75" x14ac:dyDescent="0.25">
      <c r="A161" s="57"/>
      <c r="B161" s="5" t="s">
        <v>693</v>
      </c>
      <c r="C161" s="5"/>
      <c r="D161" s="6">
        <v>100000</v>
      </c>
      <c r="E161" s="7">
        <f>IF(OR(C161&lt;&gt;0,D161&lt;&gt;0),SUM(C$3:C161)-SUM(D$3:D161),0)</f>
        <v>1702401</v>
      </c>
      <c r="F161" s="5"/>
    </row>
    <row r="162" spans="1:7" ht="15.75" x14ac:dyDescent="0.25">
      <c r="A162" s="57"/>
      <c r="B162" s="5" t="s">
        <v>694</v>
      </c>
      <c r="C162" s="5"/>
      <c r="D162" s="6">
        <v>80500</v>
      </c>
      <c r="E162" s="7">
        <f>IF(OR(C162&lt;&gt;0,D162&lt;&gt;0),SUM(C$3:C162)-SUM(D$3:D162),0)</f>
        <v>1621901</v>
      </c>
      <c r="F162" s="5"/>
    </row>
    <row r="163" spans="1:7" ht="15.75" x14ac:dyDescent="0.25">
      <c r="A163" s="57"/>
      <c r="B163" s="5" t="s">
        <v>683</v>
      </c>
      <c r="C163" s="5"/>
      <c r="D163" s="6">
        <v>500000</v>
      </c>
      <c r="E163" s="7">
        <f>IF(OR(C163&lt;&gt;0,D163&lt;&gt;0),SUM(C$3:C163)-SUM(D$3:D163),0)</f>
        <v>1121901</v>
      </c>
      <c r="F163" s="5"/>
      <c r="G163" s="3"/>
    </row>
    <row r="164" spans="1:7" ht="15.75" x14ac:dyDescent="0.25">
      <c r="A164" s="57"/>
      <c r="B164" s="5" t="s">
        <v>52</v>
      </c>
      <c r="C164" s="5"/>
      <c r="D164" s="6">
        <v>20000</v>
      </c>
      <c r="E164" s="7">
        <f>IF(OR(C164&lt;&gt;0,D164&lt;&gt;0),SUM(C$3:C164)-SUM(D$3:D164),0)</f>
        <v>1101901</v>
      </c>
      <c r="F164" s="5"/>
    </row>
    <row r="165" spans="1:7" ht="15.75" x14ac:dyDescent="0.25">
      <c r="A165" s="57"/>
      <c r="B165" s="5" t="s">
        <v>695</v>
      </c>
      <c r="C165" s="5"/>
      <c r="D165" s="6">
        <v>16000</v>
      </c>
      <c r="E165" s="7">
        <f>IF(OR(C165&lt;&gt;0,D165&lt;&gt;0),SUM(C$3:C165)-SUM(D$3:D165),0)</f>
        <v>1085901</v>
      </c>
      <c r="F165" s="5"/>
    </row>
    <row r="166" spans="1:7" ht="15.75" x14ac:dyDescent="0.25">
      <c r="A166" s="58"/>
      <c r="B166" s="5" t="s">
        <v>696</v>
      </c>
      <c r="C166" s="5"/>
      <c r="D166" s="6">
        <v>50000</v>
      </c>
      <c r="E166" s="7">
        <f>IF(OR(C166&lt;&gt;0,D166&lt;&gt;0),SUM(C$3:C166)-SUM(D$3:D166),0)</f>
        <v>1035901</v>
      </c>
      <c r="F166" s="5"/>
    </row>
    <row r="167" spans="1:7" ht="15.75" x14ac:dyDescent="0.25">
      <c r="A167" s="59">
        <v>45405</v>
      </c>
      <c r="B167" s="5" t="s">
        <v>706</v>
      </c>
      <c r="C167" s="6"/>
      <c r="D167" s="6">
        <v>64400</v>
      </c>
      <c r="E167" s="7">
        <f>IF(OR(C167&lt;&gt;0,D167&lt;&gt;0),SUM(C$3:C167)-SUM(D$3:D167),0)</f>
        <v>971501</v>
      </c>
      <c r="F167" s="5"/>
    </row>
    <row r="168" spans="1:7" ht="15.75" x14ac:dyDescent="0.25">
      <c r="A168" s="59"/>
      <c r="B168" s="5" t="s">
        <v>14</v>
      </c>
      <c r="C168" s="6"/>
      <c r="D168" s="6">
        <v>20000</v>
      </c>
      <c r="E168" s="7">
        <f>IF(OR(C168&lt;&gt;0,D168&lt;&gt;0),SUM(C$3:C168)-SUM(D$3:D168),0)</f>
        <v>951501</v>
      </c>
      <c r="F168" s="5"/>
    </row>
    <row r="169" spans="1:7" ht="15.75" x14ac:dyDescent="0.25">
      <c r="A169" s="59"/>
      <c r="B169" s="5" t="s">
        <v>7</v>
      </c>
      <c r="C169" s="6">
        <v>2000000</v>
      </c>
      <c r="D169" s="6"/>
      <c r="E169" s="7">
        <f>IF(OR(C169&lt;&gt;0,D169&lt;&gt;0),SUM(C$3:C169)-SUM(D$3:D169),0)</f>
        <v>2951501</v>
      </c>
      <c r="F169" s="5"/>
    </row>
    <row r="170" spans="1:7" ht="15.75" x14ac:dyDescent="0.25">
      <c r="A170" s="59"/>
      <c r="B170" s="5" t="s">
        <v>43</v>
      </c>
      <c r="C170" s="5"/>
      <c r="D170" s="6">
        <v>150000</v>
      </c>
      <c r="E170" s="7">
        <f>IF(OR(C170&lt;&gt;0,D170&lt;&gt;0),SUM(C$3:C170)-SUM(D$3:D170),0)</f>
        <v>2801501</v>
      </c>
      <c r="F170" s="5"/>
    </row>
    <row r="171" spans="1:7" ht="15.75" x14ac:dyDescent="0.25">
      <c r="A171" s="59"/>
      <c r="B171" s="5" t="s">
        <v>62</v>
      </c>
      <c r="C171" s="5"/>
      <c r="D171" s="6">
        <v>257000</v>
      </c>
      <c r="E171" s="7">
        <f>IF(OR(C171&lt;&gt;0,D171&lt;&gt;0),SUM(C$3:C171)-SUM(D$3:D171),0)</f>
        <v>2544501</v>
      </c>
      <c r="F171" s="5"/>
      <c r="G171" s="3">
        <f>1400000-E171</f>
        <v>-1144501</v>
      </c>
    </row>
    <row r="172" spans="1:7" ht="15.75" x14ac:dyDescent="0.25">
      <c r="A172" s="59"/>
      <c r="B172" s="5" t="s">
        <v>697</v>
      </c>
      <c r="C172" s="5"/>
      <c r="D172" s="6">
        <v>19000</v>
      </c>
      <c r="E172" s="7">
        <f>IF(OR(C172&lt;&gt;0,D172&lt;&gt;0),SUM(C$3:C172)-SUM(D$3:D172),0)</f>
        <v>2525501</v>
      </c>
      <c r="F172" s="5"/>
    </row>
    <row r="173" spans="1:7" ht="15.75" x14ac:dyDescent="0.25">
      <c r="A173" s="59"/>
      <c r="B173" s="5" t="s">
        <v>698</v>
      </c>
      <c r="C173" s="5"/>
      <c r="D173" s="6">
        <v>105000</v>
      </c>
      <c r="E173" s="7">
        <f>IF(OR(C173&lt;&gt;0,D173&lt;&gt;0),SUM(C$3:C173)-SUM(D$3:D173),0)</f>
        <v>2420501</v>
      </c>
      <c r="F173" s="5"/>
    </row>
    <row r="174" spans="1:7" ht="15.75" x14ac:dyDescent="0.25">
      <c r="A174" s="59"/>
      <c r="B174" s="5" t="s">
        <v>122</v>
      </c>
      <c r="C174" s="5"/>
      <c r="D174" s="6">
        <v>100000</v>
      </c>
      <c r="E174" s="7">
        <f>IF(OR(C174&lt;&gt;0,D174&lt;&gt;0),SUM(C$3:C174)-SUM(D$3:D174),0)</f>
        <v>2320501</v>
      </c>
      <c r="F174" s="5"/>
    </row>
    <row r="175" spans="1:7" ht="15.75" x14ac:dyDescent="0.25">
      <c r="A175" s="59"/>
      <c r="B175" s="5" t="s">
        <v>675</v>
      </c>
      <c r="C175" s="5"/>
      <c r="D175" s="6">
        <v>100000</v>
      </c>
      <c r="E175" s="7">
        <f>IF(OR(C175&lt;&gt;0,D175&lt;&gt;0),SUM(C$3:C175)-SUM(D$3:D175),0)</f>
        <v>2220501</v>
      </c>
      <c r="F175" s="5"/>
    </row>
    <row r="176" spans="1:7" ht="15.75" x14ac:dyDescent="0.25">
      <c r="A176" s="56">
        <v>45406</v>
      </c>
      <c r="B176" s="5" t="s">
        <v>699</v>
      </c>
      <c r="C176" s="6"/>
      <c r="D176" s="6">
        <v>53000</v>
      </c>
      <c r="E176" s="7">
        <f>IF(OR(C176&lt;&gt;0,D176&lt;&gt;0),SUM(C$3:C176)-SUM(D$3:D176),0)</f>
        <v>2167501</v>
      </c>
      <c r="F176" s="5"/>
    </row>
    <row r="177" spans="1:7" ht="15.75" x14ac:dyDescent="0.25">
      <c r="A177" s="57"/>
      <c r="B177" s="5" t="s">
        <v>58</v>
      </c>
      <c r="C177" s="6"/>
      <c r="D177" s="6">
        <v>2000</v>
      </c>
      <c r="E177" s="7">
        <f>IF(OR(C177&lt;&gt;0,D177&lt;&gt;0),SUM(C$3:C177)-SUM(D$3:D177),0)</f>
        <v>2165501</v>
      </c>
      <c r="F177" s="5"/>
    </row>
    <row r="178" spans="1:7" ht="15.75" x14ac:dyDescent="0.25">
      <c r="A178" s="57"/>
      <c r="B178" s="5" t="s">
        <v>700</v>
      </c>
      <c r="C178" s="6"/>
      <c r="D178" s="6">
        <v>42000</v>
      </c>
      <c r="E178" s="7">
        <f>IF(OR(C178&lt;&gt;0,D178&lt;&gt;0),SUM(C$3:C178)-SUM(D$3:D178),0)</f>
        <v>2123501</v>
      </c>
      <c r="F178" s="5"/>
    </row>
    <row r="179" spans="1:7" ht="15.75" x14ac:dyDescent="0.25">
      <c r="A179" s="57"/>
      <c r="B179" s="5" t="s">
        <v>58</v>
      </c>
      <c r="C179" s="6"/>
      <c r="D179" s="6">
        <v>1000</v>
      </c>
      <c r="E179" s="7">
        <f>IF(OR(C179&lt;&gt;0,D179&lt;&gt;0),SUM(C$3:C179)-SUM(D$3:D179),0)</f>
        <v>2122501</v>
      </c>
      <c r="F179" s="5"/>
    </row>
    <row r="180" spans="1:7" ht="15.75" x14ac:dyDescent="0.25">
      <c r="A180" s="57"/>
      <c r="B180" s="5" t="s">
        <v>701</v>
      </c>
      <c r="C180" s="5"/>
      <c r="D180" s="6">
        <v>30000</v>
      </c>
      <c r="E180" s="7">
        <f>IF(OR(C180&lt;&gt;0,D180&lt;&gt;0),SUM(C$3:C180)-SUM(D$3:D180),0)</f>
        <v>2092501</v>
      </c>
      <c r="F180" s="5"/>
      <c r="G180" s="3">
        <f>1100000-E180</f>
        <v>-992501</v>
      </c>
    </row>
    <row r="181" spans="1:7" ht="15.75" x14ac:dyDescent="0.25">
      <c r="A181" s="57"/>
      <c r="B181" s="5" t="s">
        <v>702</v>
      </c>
      <c r="C181" s="5"/>
      <c r="D181" s="6">
        <v>19550</v>
      </c>
      <c r="E181" s="7">
        <f>IF(OR(C181&lt;&gt;0,D181&lt;&gt;0),SUM(C$3:C181)-SUM(D$3:D181),0)</f>
        <v>2072951</v>
      </c>
      <c r="F181" s="5"/>
    </row>
    <row r="182" spans="1:7" ht="15.75" x14ac:dyDescent="0.25">
      <c r="A182" s="57"/>
      <c r="B182" s="5" t="s">
        <v>704</v>
      </c>
      <c r="C182" s="5"/>
      <c r="D182" s="6">
        <v>200000</v>
      </c>
      <c r="E182" s="7">
        <f>IF(OR(C182&lt;&gt;0,D182&lt;&gt;0),SUM(C$3:C182)-SUM(D$3:D182),0)</f>
        <v>1872951</v>
      </c>
      <c r="F182" s="5"/>
    </row>
    <row r="183" spans="1:7" ht="15.75" x14ac:dyDescent="0.25">
      <c r="A183" s="58"/>
      <c r="B183" s="5" t="s">
        <v>472</v>
      </c>
      <c r="C183" s="5"/>
      <c r="D183" s="6">
        <v>30000</v>
      </c>
      <c r="E183" s="7">
        <f>IF(OR(C183&lt;&gt;0,D183&lt;&gt;0),SUM(C$3:C183)-SUM(D$3:D183),0)</f>
        <v>1842951</v>
      </c>
      <c r="F183" s="5"/>
    </row>
    <row r="184" spans="1:7" ht="15.75" x14ac:dyDescent="0.25">
      <c r="A184" s="56">
        <v>45407</v>
      </c>
      <c r="B184" s="5" t="s">
        <v>369</v>
      </c>
      <c r="C184" s="6"/>
      <c r="D184" s="6">
        <v>36000</v>
      </c>
      <c r="E184" s="7">
        <f>IF(OR(C184&lt;&gt;0,D184&lt;&gt;0),SUM(C$3:C184)-SUM(D$3:D184),0)</f>
        <v>1806951</v>
      </c>
      <c r="F184" s="5"/>
    </row>
    <row r="185" spans="1:7" ht="15.75" x14ac:dyDescent="0.25">
      <c r="A185" s="57"/>
      <c r="B185" s="5" t="s">
        <v>12</v>
      </c>
      <c r="C185" s="6"/>
      <c r="D185" s="6">
        <v>34000</v>
      </c>
      <c r="E185" s="7">
        <f>IF(OR(C185&lt;&gt;0,D185&lt;&gt;0),SUM(C$3:C185)-SUM(D$3:D185),0)</f>
        <v>1772951</v>
      </c>
      <c r="F185" s="5"/>
    </row>
    <row r="186" spans="1:7" ht="15.75" x14ac:dyDescent="0.25">
      <c r="A186" s="57"/>
      <c r="B186" s="5" t="s">
        <v>703</v>
      </c>
      <c r="C186" s="6"/>
      <c r="D186" s="6">
        <v>10000</v>
      </c>
      <c r="E186" s="7">
        <f>IF(OR(C186&lt;&gt;0,D186&lt;&gt;0),SUM(C$3:C186)-SUM(D$3:D186),0)</f>
        <v>1762951</v>
      </c>
      <c r="F186" s="5"/>
    </row>
    <row r="187" spans="1:7" ht="15.75" x14ac:dyDescent="0.25">
      <c r="A187" s="57"/>
      <c r="B187" s="5" t="s">
        <v>17</v>
      </c>
      <c r="C187" s="6"/>
      <c r="D187" s="6">
        <v>150000</v>
      </c>
      <c r="E187" s="7">
        <f>IF(OR(C187&lt;&gt;0,D187&lt;&gt;0),SUM(C$3:C187)-SUM(D$3:D187),0)</f>
        <v>1612951</v>
      </c>
      <c r="F187" s="5"/>
    </row>
    <row r="188" spans="1:7" ht="15.75" x14ac:dyDescent="0.25">
      <c r="A188" s="57"/>
      <c r="B188" s="5" t="s">
        <v>705</v>
      </c>
      <c r="C188" s="5"/>
      <c r="D188" s="6">
        <v>150000</v>
      </c>
      <c r="E188" s="7">
        <f>IF(OR(C188&lt;&gt;0,D188&lt;&gt;0),SUM(C$3:C188)-SUM(D$3:D188),0)</f>
        <v>1462951</v>
      </c>
      <c r="F188" s="5"/>
    </row>
    <row r="189" spans="1:7" ht="15.75" x14ac:dyDescent="0.25">
      <c r="A189" s="57"/>
      <c r="B189" s="5" t="s">
        <v>43</v>
      </c>
      <c r="C189" s="5"/>
      <c r="D189" s="6">
        <v>100000</v>
      </c>
      <c r="E189" s="7">
        <f>IF(OR(C189&lt;&gt;0,D189&lt;&gt;0),SUM(C$3:C189)-SUM(D$3:D189),0)</f>
        <v>1362951</v>
      </c>
      <c r="F189" s="5"/>
    </row>
    <row r="190" spans="1:7" ht="15.75" x14ac:dyDescent="0.25">
      <c r="A190" s="57"/>
      <c r="B190" s="5" t="s">
        <v>27</v>
      </c>
      <c r="C190" s="5"/>
      <c r="D190" s="6">
        <v>300000</v>
      </c>
      <c r="E190" s="7">
        <f>IF(OR(C190&lt;&gt;0,D190&lt;&gt;0),SUM(C$3:C190)-SUM(D$3:D190),0)</f>
        <v>1062951</v>
      </c>
      <c r="F190" s="5"/>
    </row>
    <row r="191" spans="1:7" ht="15.75" x14ac:dyDescent="0.25">
      <c r="A191" s="57"/>
      <c r="B191" s="5" t="s">
        <v>707</v>
      </c>
      <c r="C191" s="5"/>
      <c r="D191" s="6">
        <v>200000</v>
      </c>
      <c r="E191" s="7">
        <f>IF(OR(C191&lt;&gt;0,D191&lt;&gt;0),SUM(C$3:C191)-SUM(D$3:D191),0)</f>
        <v>862951</v>
      </c>
      <c r="F191" s="5"/>
    </row>
    <row r="192" spans="1:7" ht="15.75" x14ac:dyDescent="0.25">
      <c r="A192" s="58"/>
      <c r="B192" s="5" t="s">
        <v>710</v>
      </c>
      <c r="C192" s="5"/>
      <c r="D192" s="6">
        <v>100000</v>
      </c>
      <c r="E192" s="7">
        <f>IF(OR(C192&lt;&gt;0,D192&lt;&gt;0),SUM(C$3:C192)-SUM(D$3:D192),0)</f>
        <v>762951</v>
      </c>
      <c r="F192" s="5"/>
    </row>
    <row r="193" spans="1:8" ht="15.75" x14ac:dyDescent="0.25">
      <c r="A193" s="56">
        <v>45408</v>
      </c>
      <c r="B193" s="5" t="s">
        <v>708</v>
      </c>
      <c r="C193" s="6"/>
      <c r="D193" s="6">
        <v>30000</v>
      </c>
      <c r="E193" s="7">
        <f>IF(OR(C193&lt;&gt;0,D193&lt;&gt;0),SUM(C$3:C193)-SUM(D$3:D193),0)</f>
        <v>732951</v>
      </c>
      <c r="F193" s="5"/>
      <c r="G193">
        <f>67000-1132951</f>
        <v>-1065951</v>
      </c>
    </row>
    <row r="194" spans="1:8" ht="15.75" x14ac:dyDescent="0.25">
      <c r="A194" s="57"/>
      <c r="B194" s="5" t="s">
        <v>7</v>
      </c>
      <c r="C194" s="6">
        <v>2620000</v>
      </c>
      <c r="D194" s="6"/>
      <c r="E194" s="7">
        <f>IF(OR(C194&lt;&gt;0,D194&lt;&gt;0),SUM(C$3:C194)-SUM(D$3:D194),0)</f>
        <v>3352951</v>
      </c>
      <c r="F194" s="5"/>
      <c r="G194">
        <f>2220000+67000</f>
        <v>2287000</v>
      </c>
    </row>
    <row r="195" spans="1:8" ht="15.75" x14ac:dyDescent="0.25">
      <c r="A195" s="57"/>
      <c r="B195" s="5" t="s">
        <v>709</v>
      </c>
      <c r="C195" s="6"/>
      <c r="D195" s="6">
        <v>50000</v>
      </c>
      <c r="E195" s="7">
        <f>IF(OR(C195&lt;&gt;0,D195&lt;&gt;0),SUM(C$3:C195)-SUM(D$3:D195),0)</f>
        <v>3302951</v>
      </c>
      <c r="F195" s="5"/>
      <c r="H195" s="3">
        <f>G194-E194</f>
        <v>-1065951</v>
      </c>
    </row>
    <row r="196" spans="1:8" ht="15.75" x14ac:dyDescent="0.25">
      <c r="A196" s="57"/>
      <c r="B196" s="5" t="s">
        <v>644</v>
      </c>
      <c r="C196" s="6"/>
      <c r="D196" s="6">
        <v>200000</v>
      </c>
      <c r="E196" s="7">
        <f>IF(OR(C196&lt;&gt;0,D196&lt;&gt;0),SUM(C$3:C196)-SUM(D$3:D196),0)</f>
        <v>3102951</v>
      </c>
      <c r="F196" s="5"/>
    </row>
    <row r="197" spans="1:8" ht="15.75" x14ac:dyDescent="0.25">
      <c r="A197" s="57"/>
      <c r="B197" s="5" t="s">
        <v>14</v>
      </c>
      <c r="C197" s="5"/>
      <c r="D197" s="6">
        <v>40000</v>
      </c>
      <c r="E197" s="7">
        <f>IF(OR(C197&lt;&gt;0,D197&lt;&gt;0),SUM(C$3:C197)-SUM(D$3:D197),0)</f>
        <v>3062951</v>
      </c>
      <c r="F197" s="5"/>
    </row>
    <row r="198" spans="1:8" ht="15.75" x14ac:dyDescent="0.25">
      <c r="A198" s="58"/>
      <c r="B198" s="5" t="s">
        <v>46</v>
      </c>
      <c r="C198" s="5"/>
      <c r="D198" s="6">
        <v>30000</v>
      </c>
      <c r="E198" s="7">
        <f>IF(OR(C198&lt;&gt;0,D198&lt;&gt;0),SUM(C$3:C198)-SUM(D$3:D198),0)</f>
        <v>3032951</v>
      </c>
      <c r="F198" s="5"/>
    </row>
    <row r="199" spans="1:8" ht="15.75" x14ac:dyDescent="0.25">
      <c r="A199" s="59">
        <v>45410</v>
      </c>
      <c r="B199" s="5" t="s">
        <v>122</v>
      </c>
      <c r="C199" s="6"/>
      <c r="D199" s="6">
        <v>1000000</v>
      </c>
      <c r="E199" s="7">
        <f>IF(OR(C199&lt;&gt;0,D199&lt;&gt;0),SUM(C$3:C199)-SUM(D$3:D199),0)</f>
        <v>2032951</v>
      </c>
      <c r="F199" s="5"/>
    </row>
    <row r="200" spans="1:8" ht="15.75" x14ac:dyDescent="0.25">
      <c r="A200" s="59"/>
      <c r="B200" s="5" t="s">
        <v>43</v>
      </c>
      <c r="C200" s="6"/>
      <c r="D200" s="6">
        <v>100000</v>
      </c>
      <c r="E200" s="7">
        <f>IF(OR(C200&lt;&gt;0,D200&lt;&gt;0),SUM(C$3:C200)-SUM(D$3:D200),0)</f>
        <v>1932951</v>
      </c>
      <c r="F200" s="5"/>
    </row>
    <row r="201" spans="1:8" ht="15.75" x14ac:dyDescent="0.25">
      <c r="A201" s="59"/>
      <c r="B201" s="5" t="s">
        <v>707</v>
      </c>
      <c r="C201" s="6"/>
      <c r="D201" s="6">
        <v>100000</v>
      </c>
      <c r="E201" s="7">
        <f>IF(OR(C201&lt;&gt;0,D201&lt;&gt;0),SUM(C$3:C201)-SUM(D$3:D201),0)</f>
        <v>1832951</v>
      </c>
      <c r="F201" s="5"/>
    </row>
    <row r="202" spans="1:8" ht="15.75" x14ac:dyDescent="0.25">
      <c r="A202" s="59"/>
      <c r="B202" s="5" t="s">
        <v>672</v>
      </c>
      <c r="C202" s="6"/>
      <c r="D202" s="6">
        <v>200000</v>
      </c>
      <c r="E202" s="7">
        <f>IF(OR(C202&lt;&gt;0,D202&lt;&gt;0),SUM(C$3:C202)-SUM(D$3:D202),0)</f>
        <v>1632951</v>
      </c>
      <c r="F202" s="5"/>
    </row>
    <row r="203" spans="1:8" ht="15.75" x14ac:dyDescent="0.25">
      <c r="A203" s="56">
        <v>45411</v>
      </c>
      <c r="B203" s="5" t="s">
        <v>7</v>
      </c>
      <c r="C203" s="6">
        <v>1000000</v>
      </c>
      <c r="D203" s="6"/>
      <c r="E203" s="7">
        <f>IF(OR(C203&lt;&gt;0,D203&lt;&gt;0),SUM(C$3:C203)-SUM(D$3:D203),0)</f>
        <v>2632951</v>
      </c>
      <c r="F203" s="5"/>
    </row>
    <row r="204" spans="1:8" ht="15.75" x14ac:dyDescent="0.25">
      <c r="A204" s="57"/>
      <c r="B204" s="5" t="s">
        <v>711</v>
      </c>
      <c r="C204" s="6"/>
      <c r="D204" s="6">
        <v>30000</v>
      </c>
      <c r="E204" s="7">
        <f>IF(OR(C204&lt;&gt;0,D204&lt;&gt;0),SUM(C$3:C204)-SUM(D$3:D204),0)</f>
        <v>2602951</v>
      </c>
      <c r="F204" s="5"/>
    </row>
    <row r="205" spans="1:8" ht="15.75" x14ac:dyDescent="0.25">
      <c r="A205" s="57"/>
      <c r="B205" s="5" t="s">
        <v>238</v>
      </c>
      <c r="C205" s="6"/>
      <c r="D205" s="6">
        <v>1000</v>
      </c>
      <c r="E205" s="7">
        <f>IF(OR(C205&lt;&gt;0,D205&lt;&gt;0),SUM(C$3:C205)-SUM(D$3:D205),0)</f>
        <v>2601951</v>
      </c>
      <c r="F205" s="5"/>
    </row>
    <row r="206" spans="1:8" ht="15.75" x14ac:dyDescent="0.25">
      <c r="A206" s="57"/>
      <c r="B206" s="5" t="s">
        <v>712</v>
      </c>
      <c r="C206" s="6"/>
      <c r="D206" s="6">
        <v>55000</v>
      </c>
      <c r="E206" s="7">
        <f>IF(OR(C206&lt;&gt;0,D206&lt;&gt;0),SUM(C$3:C206)-SUM(D$3:D206),0)</f>
        <v>2546951</v>
      </c>
      <c r="F206" s="5"/>
    </row>
    <row r="207" spans="1:8" ht="15.75" x14ac:dyDescent="0.25">
      <c r="A207" s="57"/>
      <c r="B207" s="5" t="s">
        <v>713</v>
      </c>
      <c r="C207" s="5"/>
      <c r="D207" s="6">
        <v>200000</v>
      </c>
      <c r="E207" s="7">
        <f>IF(OR(C207&lt;&gt;0,D207&lt;&gt;0),SUM(C$3:C207)-SUM(D$3:D207),0)</f>
        <v>2346951</v>
      </c>
      <c r="F207" s="5"/>
    </row>
    <row r="208" spans="1:8" ht="15.75" x14ac:dyDescent="0.25">
      <c r="A208" s="57"/>
      <c r="B208" s="5" t="s">
        <v>714</v>
      </c>
      <c r="C208" s="5"/>
      <c r="D208" s="6">
        <v>100000</v>
      </c>
      <c r="E208" s="7">
        <f>IF(OR(C208&lt;&gt;0,D208&lt;&gt;0),SUM(C$3:C208)-SUM(D$3:D208),0)</f>
        <v>2246951</v>
      </c>
      <c r="F208" s="5"/>
    </row>
    <row r="209" spans="1:7" ht="15.75" x14ac:dyDescent="0.25">
      <c r="A209" s="58"/>
      <c r="B209" s="5" t="s">
        <v>715</v>
      </c>
      <c r="C209" s="5"/>
      <c r="D209" s="6">
        <v>34000</v>
      </c>
      <c r="E209" s="7">
        <f>IF(OR(C209&lt;&gt;0,D209&lt;&gt;0),SUM(C$3:C209)-SUM(D$3:D209),0)</f>
        <v>2212951</v>
      </c>
      <c r="F209" s="5"/>
    </row>
    <row r="210" spans="1:7" ht="15.75" x14ac:dyDescent="0.25">
      <c r="A210" s="56">
        <v>45412</v>
      </c>
      <c r="B210" s="5" t="s">
        <v>715</v>
      </c>
      <c r="C210" s="6"/>
      <c r="D210" s="6">
        <v>79000</v>
      </c>
      <c r="E210" s="7">
        <f>IF(OR(C210&lt;&gt;0,D210&lt;&gt;0),SUM(C$3:C210)-SUM(D$3:D210),0)</f>
        <v>2133951</v>
      </c>
      <c r="F210" s="5"/>
    </row>
    <row r="211" spans="1:7" ht="15.75" x14ac:dyDescent="0.25">
      <c r="A211" s="57"/>
      <c r="B211" s="5" t="s">
        <v>267</v>
      </c>
      <c r="C211" s="6"/>
      <c r="D211" s="6">
        <v>200000</v>
      </c>
      <c r="E211" s="7">
        <f>IF(OR(C211&lt;&gt;0,D211&lt;&gt;0),SUM(C$3:C211)-SUM(D$3:D211),0)</f>
        <v>1933951</v>
      </c>
      <c r="F211" s="5"/>
    </row>
    <row r="212" spans="1:7" ht="15.75" x14ac:dyDescent="0.25">
      <c r="A212" s="57"/>
      <c r="B212" s="5" t="s">
        <v>716</v>
      </c>
      <c r="C212" s="6"/>
      <c r="D212" s="6">
        <v>110000</v>
      </c>
      <c r="E212" s="7">
        <f>IF(OR(C212&lt;&gt;0,D212&lt;&gt;0),SUM(C$3:C212)-SUM(D$3:D212),0)</f>
        <v>1823951</v>
      </c>
      <c r="F212" s="5"/>
    </row>
    <row r="213" spans="1:7" ht="15.75" x14ac:dyDescent="0.25">
      <c r="A213" s="57"/>
      <c r="B213" s="5" t="s">
        <v>717</v>
      </c>
      <c r="C213" s="6"/>
      <c r="D213" s="6">
        <v>200000</v>
      </c>
      <c r="E213" s="7">
        <f>IF(OR(C213&lt;&gt;0,D213&lt;&gt;0),SUM(C$3:C213)-SUM(D$3:D213),0)</f>
        <v>1623951</v>
      </c>
      <c r="F213" s="5"/>
    </row>
    <row r="214" spans="1:7" ht="15.75" x14ac:dyDescent="0.25">
      <c r="A214" s="57"/>
      <c r="B214" s="5" t="s">
        <v>43</v>
      </c>
      <c r="C214" s="5"/>
      <c r="D214" s="6">
        <v>100000</v>
      </c>
      <c r="E214" s="7">
        <f>IF(OR(C214&lt;&gt;0,D214&lt;&gt;0),SUM(C$3:C214)-SUM(D$3:D214),0)</f>
        <v>1523951</v>
      </c>
      <c r="F214" s="5"/>
    </row>
    <row r="215" spans="1:7" ht="15.75" x14ac:dyDescent="0.25">
      <c r="A215" s="57"/>
      <c r="B215" s="5" t="s">
        <v>718</v>
      </c>
      <c r="C215" s="5"/>
      <c r="D215" s="6">
        <v>200000</v>
      </c>
      <c r="E215" s="7">
        <f>IF(OR(C215&lt;&gt;0,D215&lt;&gt;0),SUM(C$3:C215)-SUM(D$3:D215),0)</f>
        <v>1323951</v>
      </c>
      <c r="F215" s="5"/>
      <c r="G215">
        <v>1323951</v>
      </c>
    </row>
    <row r="218" spans="1:7" x14ac:dyDescent="0.25">
      <c r="G218" s="3"/>
    </row>
    <row r="219" spans="1:7" x14ac:dyDescent="0.25">
      <c r="G219" s="3">
        <f>320000-MEI!E8</f>
        <v>-1303951</v>
      </c>
    </row>
    <row r="222" spans="1:7" x14ac:dyDescent="0.25">
      <c r="G222" s="3">
        <f>320000-MEI!E10</f>
        <v>-1241951</v>
      </c>
    </row>
    <row r="233" spans="7:7" x14ac:dyDescent="0.25">
      <c r="G233" s="3">
        <f>1500000-MEI!E24</f>
        <v>-1267451</v>
      </c>
    </row>
  </sheetData>
  <mergeCells count="30">
    <mergeCell ref="A199:A202"/>
    <mergeCell ref="A203:A209"/>
    <mergeCell ref="A210:A215"/>
    <mergeCell ref="A11:A21"/>
    <mergeCell ref="A92:A94"/>
    <mergeCell ref="A61:A76"/>
    <mergeCell ref="A77:A85"/>
    <mergeCell ref="A51:A60"/>
    <mergeCell ref="A22:A33"/>
    <mergeCell ref="A176:A183"/>
    <mergeCell ref="A143:A166"/>
    <mergeCell ref="A34:A38"/>
    <mergeCell ref="A130:A133"/>
    <mergeCell ref="A134:A136"/>
    <mergeCell ref="A103:A117"/>
    <mergeCell ref="A167:A175"/>
    <mergeCell ref="F1:F2"/>
    <mergeCell ref="A3:A10"/>
    <mergeCell ref="A1:A2"/>
    <mergeCell ref="B1:B2"/>
    <mergeCell ref="C1:C2"/>
    <mergeCell ref="D1:D2"/>
    <mergeCell ref="E1:E2"/>
    <mergeCell ref="A184:A192"/>
    <mergeCell ref="A193:A198"/>
    <mergeCell ref="A95:A101"/>
    <mergeCell ref="A39:A50"/>
    <mergeCell ref="A86:A91"/>
    <mergeCell ref="A118:A129"/>
    <mergeCell ref="A137:A142"/>
  </mergeCells>
  <phoneticPr fontId="4" type="noConversion"/>
  <pageMargins left="0.7" right="0.7" top="0.75" bottom="0.75" header="0.3" footer="0.3"/>
  <pageSetup scale="5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8EA4-8C91-43A7-ADB1-0EAB2D0D082C}">
  <sheetPr codeName="Sheet4">
    <pageSetUpPr fitToPage="1"/>
  </sheetPr>
  <dimension ref="A1:J284"/>
  <sheetViews>
    <sheetView topLeftCell="A250" workbookViewId="0">
      <selection activeCell="D261" sqref="D261"/>
    </sheetView>
  </sheetViews>
  <sheetFormatPr defaultRowHeight="15" x14ac:dyDescent="0.25"/>
  <cols>
    <col min="1" max="1" width="28.42578125" customWidth="1"/>
    <col min="2" max="2" width="27.140625" customWidth="1"/>
    <col min="3" max="3" width="23.5703125" customWidth="1"/>
    <col min="4" max="4" width="24" customWidth="1"/>
    <col min="5" max="5" width="19.85546875" customWidth="1"/>
    <col min="6" max="6" width="18.5703125" customWidth="1"/>
    <col min="7" max="7" width="25.42578125" customWidth="1"/>
    <col min="8" max="10" width="15.5703125" bestFit="1" customWidth="1"/>
  </cols>
  <sheetData>
    <row r="1" spans="1:6" x14ac:dyDescent="0.25">
      <c r="A1" s="62" t="s">
        <v>0</v>
      </c>
      <c r="B1" s="80" t="s">
        <v>5</v>
      </c>
      <c r="C1" s="64" t="s">
        <v>1</v>
      </c>
      <c r="D1" s="64" t="s">
        <v>2</v>
      </c>
      <c r="E1" s="64" t="s">
        <v>3</v>
      </c>
      <c r="F1" s="78" t="s">
        <v>4</v>
      </c>
    </row>
    <row r="2" spans="1:6" x14ac:dyDescent="0.25">
      <c r="A2" s="63"/>
      <c r="B2" s="81"/>
      <c r="C2" s="65"/>
      <c r="D2" s="65"/>
      <c r="E2" s="65"/>
      <c r="F2" s="79"/>
    </row>
    <row r="3" spans="1:6" ht="15.75" x14ac:dyDescent="0.25">
      <c r="A3" s="56">
        <v>45413</v>
      </c>
      <c r="B3" s="18" t="s">
        <v>503</v>
      </c>
      <c r="C3" s="6">
        <v>1323951</v>
      </c>
      <c r="D3" s="6"/>
      <c r="E3" s="7">
        <f>IF(OR(C3&lt;&gt;0,D3&lt;&gt;0),SUM(C$3:C3)-SUM(D$3:D3),0)</f>
        <v>1323951</v>
      </c>
      <c r="F3" s="19"/>
    </row>
    <row r="4" spans="1:6" ht="15.75" x14ac:dyDescent="0.25">
      <c r="A4" s="57"/>
      <c r="B4" s="5" t="s">
        <v>723</v>
      </c>
      <c r="C4" s="6"/>
      <c r="D4" s="6">
        <v>150000</v>
      </c>
      <c r="E4" s="7">
        <f>IF(OR(C4&lt;&gt;0,D4&lt;&gt;0),SUM(C$3:C4)-SUM(D$3:D4),0)</f>
        <v>1173951</v>
      </c>
      <c r="F4" s="5"/>
    </row>
    <row r="5" spans="1:6" ht="15.75" x14ac:dyDescent="0.25">
      <c r="A5" s="57"/>
      <c r="B5" s="5" t="s">
        <v>7</v>
      </c>
      <c r="C5" s="6">
        <v>1000000</v>
      </c>
      <c r="D5" s="6"/>
      <c r="E5" s="7">
        <f>IF(OR(C5&lt;&gt;0,D5&lt;&gt;0),SUM(C$3:C5)-SUM(D$3:D5),0)</f>
        <v>2173951</v>
      </c>
      <c r="F5" s="5"/>
    </row>
    <row r="6" spans="1:6" ht="15.75" x14ac:dyDescent="0.25">
      <c r="A6" s="57"/>
      <c r="B6" s="5" t="s">
        <v>523</v>
      </c>
      <c r="C6" s="6"/>
      <c r="D6" s="6">
        <v>200000</v>
      </c>
      <c r="E6" s="7">
        <f>IF(OR(C6&lt;&gt;0,D6&lt;&gt;0),SUM(C$3:C6)-SUM(D$3:D6),0)</f>
        <v>1973951</v>
      </c>
      <c r="F6" s="5"/>
    </row>
    <row r="7" spans="1:6" ht="15.75" x14ac:dyDescent="0.25">
      <c r="A7" s="57"/>
      <c r="B7" s="5" t="s">
        <v>14</v>
      </c>
      <c r="C7" s="6"/>
      <c r="D7" s="6">
        <v>50000</v>
      </c>
      <c r="E7" s="7">
        <f>IF(OR(C7&lt;&gt;0,D7&lt;&gt;0),SUM(C$3:C7)-SUM(D$3:D7),0)</f>
        <v>1923951</v>
      </c>
      <c r="F7" s="5"/>
    </row>
    <row r="8" spans="1:6" ht="15.75" x14ac:dyDescent="0.25">
      <c r="A8" s="57"/>
      <c r="B8" s="5" t="s">
        <v>762</v>
      </c>
      <c r="C8" s="5"/>
      <c r="D8" s="6">
        <v>300000</v>
      </c>
      <c r="E8" s="7">
        <f>IF(OR(C8&lt;&gt;0,D8&lt;&gt;0),SUM(C$3:C8)-SUM(D$3:D8),0)</f>
        <v>1623951</v>
      </c>
      <c r="F8" s="5"/>
    </row>
    <row r="9" spans="1:6" ht="15.75" x14ac:dyDescent="0.25">
      <c r="A9" s="57"/>
      <c r="B9" s="5" t="s">
        <v>719</v>
      </c>
      <c r="C9" s="5"/>
      <c r="D9" s="6">
        <v>20000</v>
      </c>
      <c r="E9" s="7">
        <f>IF(OR(C9&lt;&gt;0,D9&lt;&gt;0),SUM(C$3:C9)-SUM(D$3:D9),0)</f>
        <v>1603951</v>
      </c>
      <c r="F9" s="5"/>
    </row>
    <row r="10" spans="1:6" ht="15.75" x14ac:dyDescent="0.25">
      <c r="A10" s="57"/>
      <c r="B10" s="5" t="s">
        <v>720</v>
      </c>
      <c r="C10" s="5"/>
      <c r="D10" s="6">
        <v>42000</v>
      </c>
      <c r="E10" s="7">
        <f>IF(OR(C10&lt;&gt;0,D10&lt;&gt;0),SUM(C$3:C10)-SUM(D$3:D10),0)</f>
        <v>1561951</v>
      </c>
      <c r="F10" s="5"/>
    </row>
    <row r="11" spans="1:6" ht="15.75" x14ac:dyDescent="0.25">
      <c r="A11" s="57"/>
      <c r="B11" s="5" t="s">
        <v>721</v>
      </c>
      <c r="C11" s="5">
        <v>150000</v>
      </c>
      <c r="D11" s="5"/>
      <c r="E11" s="7">
        <f>IF(OR(C11&lt;&gt;0,D11&lt;&gt;0),SUM(C$3:C11)-SUM(D$3:D11),0)</f>
        <v>1711951</v>
      </c>
      <c r="F11" s="5"/>
    </row>
    <row r="12" spans="1:6" ht="15.75" x14ac:dyDescent="0.25">
      <c r="A12" s="57"/>
      <c r="B12" s="5" t="s">
        <v>722</v>
      </c>
      <c r="C12" s="5"/>
      <c r="D12" s="6">
        <v>200000</v>
      </c>
      <c r="E12" s="7">
        <f>IF(OR(C12&lt;&gt;0,D12&lt;&gt;0),SUM(C$3:C12)-SUM(D$3:D12),0)</f>
        <v>1511951</v>
      </c>
      <c r="F12" s="5"/>
    </row>
    <row r="13" spans="1:6" ht="15.75" x14ac:dyDescent="0.25">
      <c r="A13" s="57"/>
      <c r="B13" s="5" t="s">
        <v>208</v>
      </c>
      <c r="C13" s="5"/>
      <c r="D13" s="6">
        <v>150000</v>
      </c>
      <c r="E13" s="7">
        <f>IF(OR(C13&lt;&gt;0,D13&lt;&gt;0),SUM(C$3:C13)-SUM(D$3:D13),0)</f>
        <v>1361951</v>
      </c>
      <c r="F13" s="5"/>
    </row>
    <row r="14" spans="1:6" ht="15.75" x14ac:dyDescent="0.25">
      <c r="A14" s="57"/>
      <c r="B14" s="5" t="s">
        <v>724</v>
      </c>
      <c r="C14" s="5"/>
      <c r="D14" s="6">
        <v>15000</v>
      </c>
      <c r="E14" s="7">
        <f>IF(OR(C14&lt;&gt;0,D14&lt;&gt;0),SUM(C$3:C14)-SUM(D$3:D14),0)</f>
        <v>1346951</v>
      </c>
      <c r="F14" s="5"/>
    </row>
    <row r="15" spans="1:6" ht="15.75" x14ac:dyDescent="0.25">
      <c r="A15" s="57"/>
      <c r="B15" s="5" t="s">
        <v>725</v>
      </c>
      <c r="C15" s="5"/>
      <c r="D15" s="6">
        <v>15000</v>
      </c>
      <c r="E15" s="7">
        <f>IF(OR(C15&lt;&gt;0,D15&lt;&gt;0),SUM(C$3:C15)-SUM(D$3:D15),0)</f>
        <v>1331951</v>
      </c>
      <c r="F15" s="5"/>
    </row>
    <row r="16" spans="1:6" ht="15.75" x14ac:dyDescent="0.25">
      <c r="A16" s="57"/>
      <c r="B16" s="5" t="s">
        <v>411</v>
      </c>
      <c r="C16" s="5"/>
      <c r="D16" s="6">
        <v>45000</v>
      </c>
      <c r="E16" s="7">
        <f>IF(OR(C16&lt;&gt;0,D16&lt;&gt;0),SUM(C$3:C16)-SUM(D$3:D16),0)</f>
        <v>1286951</v>
      </c>
      <c r="F16" s="5"/>
    </row>
    <row r="17" spans="1:6" ht="15.75" x14ac:dyDescent="0.25">
      <c r="A17" s="57"/>
      <c r="B17" s="5" t="s">
        <v>720</v>
      </c>
      <c r="C17" s="5"/>
      <c r="D17" s="6">
        <v>42000</v>
      </c>
      <c r="E17" s="7">
        <f>IF(OR(C17&lt;&gt;0,D17&lt;&gt;0),SUM(C$3:C17)-SUM(D$3:D17),0)</f>
        <v>1244951</v>
      </c>
      <c r="F17" s="5"/>
    </row>
    <row r="18" spans="1:6" ht="15.75" x14ac:dyDescent="0.25">
      <c r="A18" s="57"/>
      <c r="B18" s="5" t="s">
        <v>7</v>
      </c>
      <c r="C18" s="6">
        <v>100000</v>
      </c>
      <c r="D18" s="6"/>
      <c r="E18" s="7">
        <f>IF(OR(C18&lt;&gt;0,D18&lt;&gt;0),SUM(C$3:C18)-SUM(D$3:D18),0)</f>
        <v>1344951</v>
      </c>
      <c r="F18" s="5"/>
    </row>
    <row r="19" spans="1:6" ht="15.75" x14ac:dyDescent="0.25">
      <c r="A19" s="57"/>
      <c r="B19" s="5" t="s">
        <v>742</v>
      </c>
      <c r="C19" s="5"/>
      <c r="D19" s="6">
        <v>50000</v>
      </c>
      <c r="E19" s="7">
        <f>IF(OR(C19&lt;&gt;0,D19&lt;&gt;0),SUM(C$3:C19)-SUM(D$3:D19),0)</f>
        <v>1294951</v>
      </c>
      <c r="F19" s="5"/>
    </row>
    <row r="20" spans="1:6" ht="15.75" x14ac:dyDescent="0.25">
      <c r="A20" s="57"/>
      <c r="B20" s="5" t="s">
        <v>736</v>
      </c>
      <c r="C20" s="5"/>
      <c r="D20" s="6">
        <v>17500</v>
      </c>
      <c r="E20" s="7">
        <f>IF(OR(C20&lt;&gt;0,D20&lt;&gt;0),SUM(C$3:C20)-SUM(D$3:D20),0)</f>
        <v>1277451</v>
      </c>
      <c r="F20" s="5"/>
    </row>
    <row r="21" spans="1:6" ht="15.75" x14ac:dyDescent="0.25">
      <c r="A21" s="57"/>
      <c r="B21" s="5" t="s">
        <v>7</v>
      </c>
      <c r="C21" s="6">
        <v>1000000</v>
      </c>
      <c r="D21" s="6"/>
      <c r="E21" s="7">
        <f>IF(OR(C21&lt;&gt;0,D21&lt;&gt;0),SUM(C$3:C21)-SUM(D$3:D21),0)</f>
        <v>2277451</v>
      </c>
      <c r="F21" s="5"/>
    </row>
    <row r="22" spans="1:6" ht="15.75" x14ac:dyDescent="0.25">
      <c r="A22" s="57"/>
      <c r="B22" s="5" t="s">
        <v>729</v>
      </c>
      <c r="C22" s="5"/>
      <c r="D22" s="6">
        <v>100000</v>
      </c>
      <c r="E22" s="7">
        <f>IF(OR(C22&lt;&gt;0,D22&lt;&gt;0),SUM(C$3:C22)-SUM(D$3:D22),0)</f>
        <v>2177451</v>
      </c>
      <c r="F22" s="5"/>
    </row>
    <row r="23" spans="1:6" ht="15.75" x14ac:dyDescent="0.25">
      <c r="A23" s="58"/>
      <c r="B23" s="5" t="s">
        <v>728</v>
      </c>
      <c r="C23" s="5"/>
      <c r="D23" s="6">
        <v>10000</v>
      </c>
      <c r="E23" s="7">
        <f>IF(OR(C23&lt;&gt;0,D23&lt;&gt;0),SUM(C$3:C23)-SUM(D$3:D23),0)</f>
        <v>2167451</v>
      </c>
      <c r="F23" s="5"/>
    </row>
    <row r="24" spans="1:6" ht="15.75" x14ac:dyDescent="0.25">
      <c r="A24" s="59">
        <v>45414</v>
      </c>
      <c r="B24" s="5" t="s">
        <v>7</v>
      </c>
      <c r="C24" s="6">
        <v>600000</v>
      </c>
      <c r="D24" s="6"/>
      <c r="E24" s="7">
        <f>IF(OR(C24&lt;&gt;0,D24&lt;&gt;0),SUM(C$3:C24)-SUM(D$3:D24),0)</f>
        <v>2767451</v>
      </c>
      <c r="F24" s="5"/>
    </row>
    <row r="25" spans="1:6" ht="15.75" x14ac:dyDescent="0.25">
      <c r="A25" s="59"/>
      <c r="B25" s="5" t="s">
        <v>726</v>
      </c>
      <c r="C25" s="6"/>
      <c r="D25" s="6">
        <v>100000</v>
      </c>
      <c r="E25" s="7">
        <f>IF(OR(C25&lt;&gt;0,D25&lt;&gt;0),SUM(C$3:C25)-SUM(D$3:D25),0)</f>
        <v>2667451</v>
      </c>
      <c r="F25" s="5"/>
    </row>
    <row r="26" spans="1:6" ht="15.75" x14ac:dyDescent="0.25">
      <c r="A26" s="59"/>
      <c r="B26" s="5" t="s">
        <v>136</v>
      </c>
      <c r="C26" s="6"/>
      <c r="D26" s="6">
        <v>100000</v>
      </c>
      <c r="E26" s="21">
        <f>IF(OR(C26&lt;&gt;0,D26&lt;&gt;0),SUM(C$3:C26)-SUM(D$3:D26),0)</f>
        <v>2567451</v>
      </c>
      <c r="F26" s="5"/>
    </row>
    <row r="27" spans="1:6" ht="15.75" x14ac:dyDescent="0.25">
      <c r="A27" s="59"/>
      <c r="B27" s="5" t="s">
        <v>730</v>
      </c>
      <c r="C27" s="6"/>
      <c r="D27" s="6">
        <v>300000</v>
      </c>
      <c r="E27" s="7">
        <f>IF(OR(C27&lt;&gt;0,D27&lt;&gt;0),SUM(C$3:C27)-SUM(D$3:D27),0)</f>
        <v>2267451</v>
      </c>
      <c r="F27" s="5"/>
    </row>
    <row r="28" spans="1:6" ht="15.75" x14ac:dyDescent="0.25">
      <c r="A28" s="59"/>
      <c r="B28" s="5" t="s">
        <v>643</v>
      </c>
      <c r="C28" s="5"/>
      <c r="D28" s="6">
        <v>51300</v>
      </c>
      <c r="E28" s="7">
        <f>IF(OR(C28&lt;&gt;0,D28&lt;&gt;0),SUM(C$3:C28)-SUM(D$3:D28),0)</f>
        <v>2216151</v>
      </c>
      <c r="F28" s="5"/>
    </row>
    <row r="29" spans="1:6" ht="15.75" x14ac:dyDescent="0.25">
      <c r="A29" s="59"/>
      <c r="B29" s="5" t="s">
        <v>46</v>
      </c>
      <c r="C29" s="5"/>
      <c r="D29" s="6">
        <v>30000</v>
      </c>
      <c r="E29" s="7">
        <f>IF(OR(C29&lt;&gt;0,D29&lt;&gt;0),SUM(C$3:C29)-SUM(D$3:D29),0)</f>
        <v>2186151</v>
      </c>
      <c r="F29" s="5"/>
    </row>
    <row r="30" spans="1:6" ht="15.75" x14ac:dyDescent="0.25">
      <c r="A30" s="56">
        <v>45415</v>
      </c>
      <c r="B30" s="5" t="s">
        <v>7</v>
      </c>
      <c r="C30" s="6">
        <v>467000</v>
      </c>
      <c r="D30" s="6"/>
      <c r="E30" s="7">
        <f>IF(OR(C30&lt;&gt;0,D30&lt;&gt;0),SUM(C$3:C30)-SUM(D$3:D30),0)</f>
        <v>2653151</v>
      </c>
      <c r="F30" s="5"/>
    </row>
    <row r="31" spans="1:6" ht="15.75" x14ac:dyDescent="0.25">
      <c r="A31" s="57"/>
      <c r="B31" s="5" t="s">
        <v>727</v>
      </c>
      <c r="C31" s="6"/>
      <c r="D31" s="6">
        <v>50000</v>
      </c>
      <c r="E31" s="7">
        <f>IF(OR(C31&lt;&gt;0,D31&lt;&gt;0),SUM(C$3:C31)-SUM(D$3:D31),0)</f>
        <v>2603151</v>
      </c>
      <c r="F31" s="5"/>
    </row>
    <row r="32" spans="1:6" ht="15.75" x14ac:dyDescent="0.25">
      <c r="A32" s="57"/>
      <c r="B32" s="5" t="s">
        <v>625</v>
      </c>
      <c r="C32" s="6"/>
      <c r="D32" s="6">
        <v>60000</v>
      </c>
      <c r="E32" s="7">
        <f>IF(OR(C32&lt;&gt;0,D32&lt;&gt;0),SUM(C$3:C32)-SUM(D$3:D32),0)</f>
        <v>2543151</v>
      </c>
      <c r="F32" s="5"/>
    </row>
    <row r="33" spans="1:7" ht="15.75" x14ac:dyDescent="0.25">
      <c r="A33" s="57"/>
      <c r="B33" s="5" t="s">
        <v>731</v>
      </c>
      <c r="C33" s="6"/>
      <c r="D33" s="6">
        <v>154000</v>
      </c>
      <c r="E33" s="7">
        <f>IF(OR(C33&lt;&gt;0,D33&lt;&gt;0),SUM(C$3:C33)-SUM(D$3:D33),0)</f>
        <v>2389151</v>
      </c>
      <c r="F33" s="5"/>
      <c r="G33">
        <f>33173425+24450000+1500000</f>
        <v>59123425</v>
      </c>
    </row>
    <row r="34" spans="1:7" ht="15.75" x14ac:dyDescent="0.25">
      <c r="A34" s="57"/>
      <c r="B34" s="5" t="s">
        <v>732</v>
      </c>
      <c r="C34" s="6"/>
      <c r="D34" s="6">
        <v>70000</v>
      </c>
      <c r="E34" s="7">
        <f>IF(OR(C34&lt;&gt;0,D34&lt;&gt;0),SUM(C$3:C34)-SUM(D$3:D34),0)</f>
        <v>2319151</v>
      </c>
      <c r="F34" s="5"/>
      <c r="G34">
        <v>59123425</v>
      </c>
    </row>
    <row r="35" spans="1:7" ht="15.75" x14ac:dyDescent="0.25">
      <c r="A35" s="57"/>
      <c r="B35" s="5" t="s">
        <v>733</v>
      </c>
      <c r="C35" s="6"/>
      <c r="D35" s="6">
        <v>70000</v>
      </c>
      <c r="E35" s="7">
        <f>IF(OR(C35&lt;&gt;0,D35&lt;&gt;0),SUM(C$3:C35)-SUM(D$3:D35),0)</f>
        <v>2249151</v>
      </c>
      <c r="F35" s="5"/>
    </row>
    <row r="36" spans="1:7" ht="15.75" x14ac:dyDescent="0.25">
      <c r="A36" s="57"/>
      <c r="B36" s="5" t="s">
        <v>705</v>
      </c>
      <c r="C36" s="5"/>
      <c r="D36" s="6">
        <v>200000</v>
      </c>
      <c r="E36" s="7">
        <f>IF(OR(C36&lt;&gt;0,D36&lt;&gt;0),SUM(C$3:C36)-SUM(D$3:D36),0)</f>
        <v>2049151</v>
      </c>
      <c r="F36" s="5"/>
    </row>
    <row r="37" spans="1:7" ht="15.75" x14ac:dyDescent="0.25">
      <c r="A37" s="57"/>
      <c r="B37" s="5" t="s">
        <v>11</v>
      </c>
      <c r="C37" s="5"/>
      <c r="D37" s="6">
        <v>105000</v>
      </c>
      <c r="E37" s="7">
        <f>IF(OR(C37&lt;&gt;0,D37&lt;&gt;0),SUM(C$3:C37)-SUM(D$3:D37),0)</f>
        <v>1944151</v>
      </c>
      <c r="F37" s="5"/>
    </row>
    <row r="38" spans="1:7" ht="15.75" x14ac:dyDescent="0.25">
      <c r="A38" s="57"/>
      <c r="B38" s="5" t="s">
        <v>11</v>
      </c>
      <c r="C38" s="5"/>
      <c r="D38" s="6">
        <v>11500</v>
      </c>
      <c r="E38" s="7">
        <f>IF(OR(C38&lt;&gt;0,D38&lt;&gt;0),SUM(C$3:C38)-SUM(D$3:D38),0)</f>
        <v>1932651</v>
      </c>
      <c r="F38" s="5"/>
    </row>
    <row r="39" spans="1:7" ht="15.75" x14ac:dyDescent="0.25">
      <c r="A39" s="58"/>
      <c r="B39" s="5" t="s">
        <v>734</v>
      </c>
      <c r="C39" s="5"/>
      <c r="D39" s="6">
        <v>2000</v>
      </c>
      <c r="E39" s="7">
        <f>IF(OR(C39&lt;&gt;0,D39&lt;&gt;0),SUM(C$3:C39)-SUM(D$3:D39),0)</f>
        <v>1930651</v>
      </c>
      <c r="F39" s="5"/>
    </row>
    <row r="40" spans="1:7" ht="15.75" x14ac:dyDescent="0.25">
      <c r="A40" s="56">
        <v>45416</v>
      </c>
      <c r="B40" s="5" t="s">
        <v>7</v>
      </c>
      <c r="C40" s="6">
        <v>750000</v>
      </c>
      <c r="D40" s="6"/>
      <c r="E40" s="7">
        <f>IF(OR(C40&lt;&gt;0,D40&lt;&gt;0),SUM(C$3:C40)-SUM(D$3:D40),0)</f>
        <v>2680651</v>
      </c>
      <c r="F40" s="5"/>
    </row>
    <row r="41" spans="1:7" ht="15.75" x14ac:dyDescent="0.25">
      <c r="A41" s="57"/>
      <c r="B41" s="5" t="s">
        <v>14</v>
      </c>
      <c r="C41" s="6"/>
      <c r="D41" s="6">
        <v>50000</v>
      </c>
      <c r="E41" s="7">
        <f>IF(OR(C41&lt;&gt;0,D41&lt;&gt;0),SUM(C$3:C41)-SUM(D$3:D41),0)</f>
        <v>2630651</v>
      </c>
      <c r="F41" s="5"/>
    </row>
    <row r="42" spans="1:7" ht="15.75" x14ac:dyDescent="0.25">
      <c r="A42" s="57"/>
      <c r="B42" s="5" t="s">
        <v>735</v>
      </c>
      <c r="C42" s="5"/>
      <c r="D42" s="6">
        <v>100000</v>
      </c>
      <c r="E42" s="7">
        <f>IF(OR(C42&lt;&gt;0,D42&lt;&gt;0),SUM(C$3:C42)-SUM(D$3:D42),0)</f>
        <v>2530651</v>
      </c>
      <c r="F42" s="5"/>
      <c r="G42" s="3">
        <f>707000-E42</f>
        <v>-1823651</v>
      </c>
    </row>
    <row r="43" spans="1:7" ht="15.75" x14ac:dyDescent="0.25">
      <c r="A43" s="57"/>
      <c r="B43" s="5" t="s">
        <v>7</v>
      </c>
      <c r="C43" s="6">
        <v>1527500</v>
      </c>
      <c r="D43" s="6"/>
      <c r="E43" s="7">
        <f>IF(OR(C43&lt;&gt;0,D43&lt;&gt;0),SUM(C$3:C43)-SUM(D$3:D43),0)</f>
        <v>4058151</v>
      </c>
      <c r="F43" s="5"/>
      <c r="G43" s="3"/>
    </row>
    <row r="44" spans="1:7" ht="15.75" x14ac:dyDescent="0.25">
      <c r="A44" s="57"/>
      <c r="B44" s="5" t="s">
        <v>705</v>
      </c>
      <c r="C44" s="5"/>
      <c r="D44" s="6">
        <v>300000</v>
      </c>
      <c r="E44" s="7">
        <f>IF(OR(C44&lt;&gt;0,D44&lt;&gt;0),SUM(C$3:C44)-SUM(D$3:D44),0)</f>
        <v>3758151</v>
      </c>
      <c r="F44" s="5"/>
    </row>
    <row r="45" spans="1:7" ht="15.75" x14ac:dyDescent="0.25">
      <c r="A45" s="57"/>
      <c r="B45" s="5" t="s">
        <v>737</v>
      </c>
      <c r="C45" s="5"/>
      <c r="D45" s="6">
        <v>400000</v>
      </c>
      <c r="E45" s="7">
        <f>IF(OR(C45&lt;&gt;0,D45&lt;&gt;0),SUM(C$3:C45)-SUM(D$3:D45),0)</f>
        <v>3358151</v>
      </c>
      <c r="F45" s="5"/>
    </row>
    <row r="46" spans="1:7" ht="15.75" x14ac:dyDescent="0.25">
      <c r="A46" s="57"/>
      <c r="B46" s="5" t="s">
        <v>738</v>
      </c>
      <c r="C46" s="5"/>
      <c r="D46" s="6">
        <v>200000</v>
      </c>
      <c r="E46" s="7">
        <f>IF(OR(C46&lt;&gt;0,D46&lt;&gt;0),SUM(C$3:C46)-SUM(D$3:D46),0)</f>
        <v>3158151</v>
      </c>
      <c r="F46" s="5"/>
    </row>
    <row r="47" spans="1:7" ht="15.75" x14ac:dyDescent="0.25">
      <c r="A47" s="57"/>
      <c r="B47" s="5" t="s">
        <v>739</v>
      </c>
      <c r="C47" s="5"/>
      <c r="D47" s="6">
        <v>2500</v>
      </c>
      <c r="E47" s="7">
        <f>IF(OR(C47&lt;&gt;0,D47&lt;&gt;0),SUM(C$3:C47)-SUM(D$3:D47),0)</f>
        <v>3155651</v>
      </c>
      <c r="F47" s="5"/>
    </row>
    <row r="48" spans="1:7" ht="15.75" x14ac:dyDescent="0.25">
      <c r="A48" s="57"/>
      <c r="B48" s="5" t="s">
        <v>740</v>
      </c>
      <c r="C48" s="5"/>
      <c r="D48" s="6">
        <v>500000</v>
      </c>
      <c r="E48" s="7">
        <f>IF(OR(C48&lt;&gt;0,D48&lt;&gt;0),SUM(C$3:C48)-SUM(D$3:D48),0)</f>
        <v>2655651</v>
      </c>
      <c r="F48" s="5"/>
    </row>
    <row r="49" spans="1:8" ht="15.75" x14ac:dyDescent="0.25">
      <c r="A49" s="57"/>
      <c r="B49" s="5" t="s">
        <v>741</v>
      </c>
      <c r="C49" s="5"/>
      <c r="D49" s="6">
        <v>200000</v>
      </c>
      <c r="E49" s="7">
        <f>IF(OR(C49&lt;&gt;0,D49&lt;&gt;0),SUM(C$3:C49)-SUM(D$3:D49),0)</f>
        <v>2455651</v>
      </c>
      <c r="F49" s="5"/>
    </row>
    <row r="50" spans="1:8" ht="15.75" x14ac:dyDescent="0.25">
      <c r="A50" s="57"/>
      <c r="B50" s="5" t="s">
        <v>743</v>
      </c>
      <c r="C50" s="5"/>
      <c r="D50" s="6">
        <v>19000</v>
      </c>
      <c r="E50" s="7">
        <f>IF(OR(C50&lt;&gt;0,D50&lt;&gt;0),SUM(C$3:C50)-SUM(D$3:D50),0)</f>
        <v>2436651</v>
      </c>
      <c r="F50" s="5"/>
    </row>
    <row r="51" spans="1:8" ht="15.75" x14ac:dyDescent="0.25">
      <c r="A51" s="57"/>
      <c r="B51" s="5" t="s">
        <v>744</v>
      </c>
      <c r="C51" s="5"/>
      <c r="D51" s="6">
        <v>28000</v>
      </c>
      <c r="E51" s="7">
        <f>IF(OR(C51&lt;&gt;0,D51&lt;&gt;0),SUM(C$3:C51)-SUM(D$3:D51),0)</f>
        <v>2408651</v>
      </c>
      <c r="F51" s="5"/>
    </row>
    <row r="52" spans="1:8" ht="15.75" x14ac:dyDescent="0.25">
      <c r="A52" s="58"/>
      <c r="B52" s="5" t="s">
        <v>745</v>
      </c>
      <c r="C52" s="5"/>
      <c r="D52" s="6">
        <v>9000</v>
      </c>
      <c r="E52" s="7">
        <f>IF(OR(C52&lt;&gt;0,D52&lt;&gt;0),SUM(C$3:C52)-SUM(D$3:D52),0)</f>
        <v>2399651</v>
      </c>
      <c r="F52" s="5"/>
      <c r="G52" s="3">
        <f>705000-E52</f>
        <v>-1694651</v>
      </c>
    </row>
    <row r="53" spans="1:8" ht="15.75" x14ac:dyDescent="0.25">
      <c r="A53" s="59">
        <v>45418</v>
      </c>
      <c r="B53" s="5" t="s">
        <v>7</v>
      </c>
      <c r="C53" s="6">
        <v>972000</v>
      </c>
      <c r="D53" s="6"/>
      <c r="E53" s="7">
        <f>IF(OR(C53&lt;&gt;0,D53&lt;&gt;0),SUM(C$3:C53)-SUM(D$3:D53),0)</f>
        <v>3371651</v>
      </c>
      <c r="F53" s="5"/>
    </row>
    <row r="54" spans="1:8" ht="15.75" x14ac:dyDescent="0.25">
      <c r="A54" s="59"/>
      <c r="B54" s="5" t="s">
        <v>748</v>
      </c>
      <c r="C54" s="6"/>
      <c r="D54" s="6">
        <v>200000</v>
      </c>
      <c r="E54" s="7">
        <f>IF(OR(C54&lt;&gt;0,D54&lt;&gt;0),SUM(C$3:C54)-SUM(D$3:D54),0)</f>
        <v>3171651</v>
      </c>
      <c r="F54" s="5"/>
    </row>
    <row r="55" spans="1:8" ht="15.75" x14ac:dyDescent="0.25">
      <c r="A55" s="59"/>
      <c r="B55" s="5" t="s">
        <v>723</v>
      </c>
      <c r="C55" s="6"/>
      <c r="D55" s="6">
        <v>100000</v>
      </c>
      <c r="E55" s="7">
        <f>IF(OR(C55&lt;&gt;0,D55&lt;&gt;0),SUM(C$3:C55)-SUM(D$3:D55),0)</f>
        <v>3071651</v>
      </c>
      <c r="F55" s="5"/>
    </row>
    <row r="56" spans="1:8" ht="15.75" x14ac:dyDescent="0.25">
      <c r="A56" s="59"/>
      <c r="B56" s="5" t="s">
        <v>746</v>
      </c>
      <c r="C56" s="5"/>
      <c r="D56" s="6">
        <v>60000</v>
      </c>
      <c r="E56" s="7">
        <f>IF(OR(C56&lt;&gt;0,D56&lt;&gt;0),SUM(C$3:C56)-SUM(D$3:D56),0)</f>
        <v>3011651</v>
      </c>
      <c r="F56" s="5"/>
      <c r="G56" s="3">
        <f>1427000-E58</f>
        <v>-1400101</v>
      </c>
      <c r="H56" s="3" t="e">
        <f>1275101+G66</f>
        <v>#REF!</v>
      </c>
    </row>
    <row r="57" spans="1:8" ht="15.75" x14ac:dyDescent="0.25">
      <c r="A57" s="59">
        <v>45419</v>
      </c>
      <c r="B57" s="5" t="s">
        <v>754</v>
      </c>
      <c r="C57" s="6"/>
      <c r="D57" s="6">
        <v>179550</v>
      </c>
      <c r="E57" s="7">
        <f>IF(OR(C57&lt;&gt;0,D57&lt;&gt;0),SUM(C$3:C57)-SUM(D$3:D57),0)</f>
        <v>2832101</v>
      </c>
      <c r="F57" s="5"/>
    </row>
    <row r="58" spans="1:8" ht="15.75" x14ac:dyDescent="0.25">
      <c r="A58" s="59"/>
      <c r="B58" s="5" t="s">
        <v>747</v>
      </c>
      <c r="C58" s="5"/>
      <c r="D58" s="6">
        <v>5000</v>
      </c>
      <c r="E58" s="7">
        <f>IF(OR(C58&lt;&gt;0,D58&lt;&gt;0),SUM(C$3:C58)-SUM(D$3:D58),0)</f>
        <v>2827101</v>
      </c>
      <c r="F58" s="5"/>
    </row>
    <row r="59" spans="1:8" ht="15.75" x14ac:dyDescent="0.25">
      <c r="A59" s="59"/>
      <c r="B59" s="5" t="s">
        <v>7</v>
      </c>
      <c r="C59" s="6">
        <v>800000</v>
      </c>
      <c r="D59" s="6"/>
      <c r="E59" s="7">
        <f>IF(OR(C59&lt;&gt;0,D59&lt;&gt;0),SUM(C$3:C59)-SUM(D$3:D59),0)</f>
        <v>3627101</v>
      </c>
      <c r="F59" s="5"/>
    </row>
    <row r="60" spans="1:8" ht="15.75" x14ac:dyDescent="0.25">
      <c r="A60" s="56">
        <v>45420</v>
      </c>
      <c r="B60" s="5" t="s">
        <v>7</v>
      </c>
      <c r="C60" s="6">
        <v>730000</v>
      </c>
      <c r="D60" s="6"/>
      <c r="E60" s="7">
        <f>IF(OR(C60&lt;&gt;0,D60&lt;&gt;0),SUM(C$3:C60)-SUM(D$3:D60),0)</f>
        <v>4357101</v>
      </c>
      <c r="F60" s="5"/>
    </row>
    <row r="61" spans="1:8" ht="15.75" x14ac:dyDescent="0.25">
      <c r="A61" s="57"/>
      <c r="B61" s="5" t="s">
        <v>618</v>
      </c>
      <c r="C61" s="5"/>
      <c r="D61" s="6">
        <v>30000</v>
      </c>
      <c r="E61" s="7">
        <f>IF(OR(C61&lt;&gt;0,D61&lt;&gt;0),SUM(C$3:C61)-SUM(D$3:D61),0)</f>
        <v>4327101</v>
      </c>
      <c r="F61" s="5"/>
    </row>
    <row r="62" spans="1:8" ht="15.75" x14ac:dyDescent="0.25">
      <c r="A62" s="57"/>
      <c r="B62" s="5" t="s">
        <v>755</v>
      </c>
      <c r="C62" s="5"/>
      <c r="D62" s="6">
        <v>14500</v>
      </c>
      <c r="E62" s="7">
        <f>IF(OR(C62&lt;&gt;0,D62&lt;&gt;0),SUM(C$3:C62)-SUM(D$3:D62),0)</f>
        <v>4312601</v>
      </c>
      <c r="F62" s="5"/>
    </row>
    <row r="63" spans="1:8" ht="15.75" x14ac:dyDescent="0.25">
      <c r="A63" s="57"/>
      <c r="B63" s="5" t="s">
        <v>756</v>
      </c>
      <c r="C63" s="5"/>
      <c r="D63" s="6">
        <v>16000</v>
      </c>
      <c r="E63" s="7">
        <f>IF(OR(C63&lt;&gt;0,D63&lt;&gt;0),SUM(C$3:C63)-SUM(D$3:D63),0)</f>
        <v>4296601</v>
      </c>
      <c r="F63" s="5"/>
    </row>
    <row r="64" spans="1:8" ht="15.75" x14ac:dyDescent="0.25">
      <c r="A64" s="57"/>
      <c r="B64" s="5" t="s">
        <v>757</v>
      </c>
      <c r="C64" s="5"/>
      <c r="D64" s="6">
        <v>500000</v>
      </c>
      <c r="E64" s="7">
        <f>IF(OR(C64&lt;&gt;0,D64&lt;&gt;0),SUM(C$3:C64)-SUM(D$3:D64),0)</f>
        <v>3796601</v>
      </c>
      <c r="F64" s="5"/>
    </row>
    <row r="65" spans="1:7" ht="15.75" x14ac:dyDescent="0.25">
      <c r="A65" s="57"/>
      <c r="B65" s="5" t="s">
        <v>758</v>
      </c>
      <c r="C65" s="5"/>
      <c r="D65" s="6">
        <v>250000</v>
      </c>
      <c r="E65" s="7">
        <f>IF(OR(C65&lt;&gt;0,D65&lt;&gt;0),SUM(C$3:C65)-SUM(D$3:D65),0)</f>
        <v>3546601</v>
      </c>
      <c r="F65" s="5"/>
    </row>
    <row r="66" spans="1:7" ht="15.75" x14ac:dyDescent="0.25">
      <c r="A66" s="57"/>
      <c r="B66" s="5" t="s">
        <v>749</v>
      </c>
      <c r="C66" s="5"/>
      <c r="D66" s="6">
        <v>40500</v>
      </c>
      <c r="E66" s="7">
        <f>IF(OR(C66&lt;&gt;0,D66&lt;&gt;0),SUM(C$3:C66)-SUM(D$3:D66),0)</f>
        <v>3506101</v>
      </c>
      <c r="F66" s="5"/>
      <c r="G66" s="3" t="e">
        <f>600000-D66-D68-#REF!</f>
        <v>#REF!</v>
      </c>
    </row>
    <row r="67" spans="1:7" ht="15.75" x14ac:dyDescent="0.25">
      <c r="A67" s="57"/>
      <c r="B67" s="5" t="s">
        <v>750</v>
      </c>
      <c r="C67" s="5"/>
      <c r="D67" s="6">
        <v>30000</v>
      </c>
      <c r="E67" s="7">
        <f>IF(OR(C67&lt;&gt;0,D67&lt;&gt;0),SUM(C$3:C67)-SUM(D$3:D67),0)</f>
        <v>3476101</v>
      </c>
      <c r="F67" s="5"/>
    </row>
    <row r="68" spans="1:7" ht="15.75" x14ac:dyDescent="0.25">
      <c r="A68" s="57"/>
      <c r="B68" s="5" t="s">
        <v>751</v>
      </c>
      <c r="C68" s="5"/>
      <c r="D68" s="6">
        <v>54000</v>
      </c>
      <c r="E68" s="7">
        <f>IF(OR(C68&lt;&gt;0,D68&lt;&gt;0),SUM(C$3:C68)-SUM(D$3:D68),0)</f>
        <v>3422101</v>
      </c>
      <c r="F68" s="5"/>
    </row>
    <row r="69" spans="1:7" ht="15.75" x14ac:dyDescent="0.25">
      <c r="A69" s="57"/>
      <c r="B69" s="5" t="s">
        <v>387</v>
      </c>
      <c r="C69" s="5"/>
      <c r="D69" s="6">
        <v>30000</v>
      </c>
      <c r="E69" s="7">
        <f>IF(OR(C69&lt;&gt;0,D69&lt;&gt;0),SUM(C$3:C69)-SUM(D$3:D69),0)</f>
        <v>3392101</v>
      </c>
      <c r="F69" s="5"/>
      <c r="G69" s="3">
        <f>1362000+150000-E70</f>
        <v>-1870101</v>
      </c>
    </row>
    <row r="70" spans="1:7" ht="15.75" x14ac:dyDescent="0.25">
      <c r="A70" s="57"/>
      <c r="B70" s="5" t="s">
        <v>752</v>
      </c>
      <c r="C70" s="5"/>
      <c r="D70" s="6">
        <v>10000</v>
      </c>
      <c r="E70" s="7">
        <f>IF(OR(C70&lt;&gt;0,D70&lt;&gt;0),SUM(C$3:C70)-SUM(D$3:D70),0)</f>
        <v>3382101</v>
      </c>
      <c r="F70" s="5"/>
    </row>
    <row r="71" spans="1:7" ht="15.75" x14ac:dyDescent="0.25">
      <c r="A71" s="57"/>
      <c r="B71" s="5" t="s">
        <v>753</v>
      </c>
      <c r="C71" s="5"/>
      <c r="D71" s="6">
        <v>500000</v>
      </c>
      <c r="E71" s="7">
        <f>IF(OR(C71&lt;&gt;0,D71&lt;&gt;0),SUM(C$3:C71)-SUM(D$3:D71),0)</f>
        <v>2882101</v>
      </c>
      <c r="F71" s="5"/>
    </row>
    <row r="72" spans="1:7" ht="15.75" x14ac:dyDescent="0.25">
      <c r="A72" s="58"/>
      <c r="B72" s="5" t="s">
        <v>7</v>
      </c>
      <c r="C72" s="6">
        <v>50000</v>
      </c>
      <c r="D72" s="5"/>
      <c r="E72" s="7">
        <f>IF(OR(C72&lt;&gt;0,D72&lt;&gt;0),SUM(C$3:C72)-SUM(D$3:D72),0)</f>
        <v>2932101</v>
      </c>
      <c r="F72" s="5"/>
    </row>
    <row r="73" spans="1:7" ht="15.75" x14ac:dyDescent="0.25">
      <c r="A73" s="59">
        <v>45421</v>
      </c>
      <c r="B73" s="5" t="s">
        <v>208</v>
      </c>
      <c r="C73" s="6"/>
      <c r="D73" s="6">
        <v>150000</v>
      </c>
      <c r="E73" s="7">
        <f>IF(OR(C73&lt;&gt;0,D73&lt;&gt;0),SUM(C$3:C73)-SUM(D$3:D73),0)</f>
        <v>2782101</v>
      </c>
      <c r="F73" s="5"/>
    </row>
    <row r="74" spans="1:7" ht="15.75" x14ac:dyDescent="0.25">
      <c r="A74" s="59"/>
      <c r="B74" s="5" t="s">
        <v>759</v>
      </c>
      <c r="C74" s="5"/>
      <c r="D74" s="6">
        <v>200000</v>
      </c>
      <c r="E74" s="7">
        <f>IF(OR(C74&lt;&gt;0,D74&lt;&gt;0),SUM(C$3:C74)-SUM(D$3:D74),0)</f>
        <v>2582101</v>
      </c>
      <c r="F74" s="5"/>
    </row>
    <row r="75" spans="1:7" ht="15.75" x14ac:dyDescent="0.25">
      <c r="A75" s="59"/>
      <c r="B75" s="5" t="s">
        <v>14</v>
      </c>
      <c r="C75" s="5"/>
      <c r="D75" s="6">
        <v>50000</v>
      </c>
      <c r="E75" s="7">
        <f>IF(OR(C75&lt;&gt;0,D75&lt;&gt;0),SUM(C$3:C75)-SUM(D$3:D75),0)</f>
        <v>2532101</v>
      </c>
      <c r="F75" s="5"/>
    </row>
    <row r="76" spans="1:7" ht="15.75" x14ac:dyDescent="0.25">
      <c r="A76" s="59"/>
      <c r="B76" s="5" t="s">
        <v>760</v>
      </c>
      <c r="C76" s="5"/>
      <c r="D76" s="6">
        <v>21228</v>
      </c>
      <c r="E76" s="7">
        <f>IF(OR(C76&lt;&gt;0,D76&lt;&gt;0),SUM(C$3:C76)-SUM(D$3:D76),0)</f>
        <v>2510873</v>
      </c>
      <c r="F76" s="5"/>
    </row>
    <row r="77" spans="1:7" ht="15.75" x14ac:dyDescent="0.25">
      <c r="A77" s="59"/>
      <c r="B77" s="5" t="s">
        <v>7</v>
      </c>
      <c r="C77" s="6">
        <v>840000</v>
      </c>
      <c r="D77" s="6"/>
      <c r="E77" s="7">
        <f>IF(OR(C77&lt;&gt;0,D77&lt;&gt;0),SUM(C$3:C77)-SUM(D$3:D77),0)</f>
        <v>3350873</v>
      </c>
      <c r="F77" s="5"/>
    </row>
    <row r="78" spans="1:7" ht="15.75" x14ac:dyDescent="0.25">
      <c r="A78" s="59"/>
      <c r="B78" s="5" t="s">
        <v>763</v>
      </c>
      <c r="C78" s="5"/>
      <c r="D78" s="6">
        <v>170000</v>
      </c>
      <c r="E78" s="7">
        <f>IF(OR(C78&lt;&gt;0,D78&lt;&gt;0),SUM(C$3:C78)-SUM(D$3:D78),0)</f>
        <v>3180873</v>
      </c>
      <c r="F78" s="5"/>
    </row>
    <row r="79" spans="1:7" ht="15.75" x14ac:dyDescent="0.25">
      <c r="A79" s="59"/>
      <c r="B79" s="5" t="s">
        <v>411</v>
      </c>
      <c r="C79" s="5"/>
      <c r="D79" s="6">
        <v>35000</v>
      </c>
      <c r="E79" s="7">
        <f>IF(OR(C79&lt;&gt;0,D79&lt;&gt;0),SUM(C$3:C79)-SUM(D$3:D79),0)</f>
        <v>3145873</v>
      </c>
      <c r="F79" s="5"/>
    </row>
    <row r="80" spans="1:7" ht="15.75" x14ac:dyDescent="0.25">
      <c r="A80" s="59"/>
      <c r="B80" s="5" t="s">
        <v>761</v>
      </c>
      <c r="C80" s="5"/>
      <c r="D80" s="6">
        <v>18000</v>
      </c>
      <c r="E80" s="7">
        <f>IF(OR(C80&lt;&gt;0,D80&lt;&gt;0),SUM(C$3:C80)-SUM(D$3:D80),0)</f>
        <v>3127873</v>
      </c>
      <c r="F80" s="5"/>
    </row>
    <row r="81" spans="1:7" ht="15.75" x14ac:dyDescent="0.25">
      <c r="A81" s="59"/>
      <c r="B81" s="5" t="s">
        <v>129</v>
      </c>
      <c r="C81" s="5"/>
      <c r="D81" s="6">
        <v>518000</v>
      </c>
      <c r="E81" s="7">
        <f>IF(OR(C81&lt;&gt;0,D81&lt;&gt;0),SUM(C$3:C81)-SUM(D$3:D81),0)</f>
        <v>2609873</v>
      </c>
      <c r="F81" s="5"/>
    </row>
    <row r="82" spans="1:7" ht="15.75" x14ac:dyDescent="0.25">
      <c r="A82" s="59"/>
      <c r="B82" s="5" t="s">
        <v>76</v>
      </c>
      <c r="C82" s="5"/>
      <c r="D82" s="6">
        <v>30000</v>
      </c>
      <c r="E82" s="7">
        <f>IF(OR(C82&lt;&gt;0,D82&lt;&gt;0),SUM(C$3:C82)-SUM(D$3:D82),0)</f>
        <v>2579873</v>
      </c>
      <c r="F82" s="5"/>
    </row>
    <row r="83" spans="1:7" ht="15.75" x14ac:dyDescent="0.25">
      <c r="A83" s="59"/>
      <c r="B83" s="5" t="s">
        <v>255</v>
      </c>
      <c r="C83" s="5"/>
      <c r="D83" s="6">
        <v>20000</v>
      </c>
      <c r="E83" s="7">
        <f>IF(OR(C83&lt;&gt;0,D83&lt;&gt;0),SUM(C$3:C83)-SUM(D$3:D83),0)</f>
        <v>2559873</v>
      </c>
      <c r="F83" s="5"/>
      <c r="G83" s="3">
        <f>690000-E83</f>
        <v>-1869873</v>
      </c>
    </row>
    <row r="84" spans="1:7" ht="15.75" x14ac:dyDescent="0.25">
      <c r="A84" s="56">
        <v>45422</v>
      </c>
      <c r="B84" s="5" t="s">
        <v>770</v>
      </c>
      <c r="C84" s="6"/>
      <c r="D84" s="6">
        <v>100000</v>
      </c>
      <c r="E84" s="7">
        <f>IF(OR(C84&lt;&gt;0,D84&lt;&gt;0),SUM(C$3:C84)-SUM(D$3:D84),0)</f>
        <v>2459873</v>
      </c>
      <c r="F84" s="5"/>
    </row>
    <row r="85" spans="1:7" ht="15.75" x14ac:dyDescent="0.25">
      <c r="A85" s="57"/>
      <c r="B85" s="5" t="s">
        <v>764</v>
      </c>
      <c r="C85" s="5"/>
      <c r="D85" s="6">
        <v>25000</v>
      </c>
      <c r="E85" s="7">
        <f>IF(OR(C85&lt;&gt;0,D85&lt;&gt;0),SUM(C$3:C85)-SUM(D$3:D85),0)</f>
        <v>2434873</v>
      </c>
      <c r="F85" s="5"/>
      <c r="G85" s="3">
        <f>565000-E85</f>
        <v>-1869873</v>
      </c>
    </row>
    <row r="86" spans="1:7" ht="15.75" x14ac:dyDescent="0.25">
      <c r="A86" s="57"/>
      <c r="B86" s="5" t="s">
        <v>7</v>
      </c>
      <c r="C86" s="6">
        <v>1030000</v>
      </c>
      <c r="D86" s="6"/>
      <c r="E86" s="7">
        <f>IF(OR(C86&lt;&gt;0,D86&lt;&gt;0),SUM(C$3:C86)-SUM(D$3:D86),0)</f>
        <v>3464873</v>
      </c>
      <c r="F86" s="5"/>
    </row>
    <row r="87" spans="1:7" ht="15.75" x14ac:dyDescent="0.25">
      <c r="A87" s="57"/>
      <c r="B87" s="5" t="s">
        <v>778</v>
      </c>
      <c r="C87" s="6"/>
      <c r="D87" s="6">
        <v>40000</v>
      </c>
      <c r="E87" s="7">
        <f>IF(OR(C87&lt;&gt;0,D87&lt;&gt;0),SUM(C$3:C87)-SUM(D$3:D87),0)</f>
        <v>3424873</v>
      </c>
      <c r="F87" s="5"/>
    </row>
    <row r="88" spans="1:7" ht="15.75" x14ac:dyDescent="0.25">
      <c r="A88" s="58"/>
      <c r="B88" s="5" t="s">
        <v>587</v>
      </c>
      <c r="C88" s="5"/>
      <c r="D88" s="6">
        <v>20000</v>
      </c>
      <c r="E88" s="7">
        <f>IF(OR(C88&lt;&gt;0,D88&lt;&gt;0),SUM(C$3:C88)-SUM(D$3:D88),0)</f>
        <v>3404873</v>
      </c>
      <c r="F88" s="5"/>
      <c r="G88" s="3">
        <f>160000-C86</f>
        <v>-870000</v>
      </c>
    </row>
    <row r="89" spans="1:7" ht="15.75" x14ac:dyDescent="0.25">
      <c r="A89" s="56">
        <v>45423</v>
      </c>
      <c r="B89" s="5" t="s">
        <v>714</v>
      </c>
      <c r="C89" s="6"/>
      <c r="D89" s="6">
        <v>200000</v>
      </c>
      <c r="E89" s="7">
        <f>IF(OR(C89&lt;&gt;0,D89&lt;&gt;0),SUM(C$3:C89)-SUM(D$3:D89),0)</f>
        <v>3204873</v>
      </c>
      <c r="F89" s="5"/>
    </row>
    <row r="90" spans="1:7" ht="15.75" x14ac:dyDescent="0.25">
      <c r="A90" s="57"/>
      <c r="B90" s="5" t="s">
        <v>162</v>
      </c>
      <c r="C90" s="6"/>
      <c r="D90" s="6">
        <v>525000</v>
      </c>
      <c r="E90" s="7">
        <f>IF(OR(C90&lt;&gt;0,D90&lt;&gt;0),SUM(C$3:C90)-SUM(D$3:D90),0)</f>
        <v>2679873</v>
      </c>
      <c r="F90" s="5"/>
    </row>
    <row r="91" spans="1:7" ht="15.75" x14ac:dyDescent="0.25">
      <c r="A91" s="57"/>
      <c r="B91" s="5" t="s">
        <v>771</v>
      </c>
      <c r="C91" s="6"/>
      <c r="D91" s="6">
        <v>24000</v>
      </c>
      <c r="E91" s="7">
        <f>IF(OR(C91&lt;&gt;0,D91&lt;&gt;0),SUM(C$3:C91)-SUM(D$3:D91),0)</f>
        <v>2655873</v>
      </c>
      <c r="F91" s="5"/>
    </row>
    <row r="92" spans="1:7" ht="15.75" x14ac:dyDescent="0.25">
      <c r="A92" s="57"/>
      <c r="B92" s="5" t="s">
        <v>311</v>
      </c>
      <c r="C92" s="6"/>
      <c r="D92" s="6">
        <v>300000</v>
      </c>
      <c r="E92" s="7">
        <f>IF(OR(C92&lt;&gt;0,D92&lt;&gt;0),SUM(C$3:C92)-SUM(D$3:D92),0)</f>
        <v>2355873</v>
      </c>
      <c r="F92" s="5"/>
    </row>
    <row r="93" spans="1:7" ht="15.75" x14ac:dyDescent="0.25">
      <c r="A93" s="57"/>
      <c r="B93" s="5" t="s">
        <v>772</v>
      </c>
      <c r="C93" s="6"/>
      <c r="D93" s="6">
        <v>19500</v>
      </c>
      <c r="E93" s="7">
        <f>IF(OR(C93&lt;&gt;0,D93&lt;&gt;0),SUM(C$3:C93)-SUM(D$3:D93),0)</f>
        <v>2336373</v>
      </c>
      <c r="F93" s="5"/>
    </row>
    <row r="94" spans="1:7" ht="15.75" x14ac:dyDescent="0.25">
      <c r="A94" s="57"/>
      <c r="B94" s="5" t="s">
        <v>773</v>
      </c>
      <c r="C94" s="6"/>
      <c r="D94" s="6">
        <v>50000</v>
      </c>
      <c r="E94" s="7">
        <f>IF(OR(C94&lt;&gt;0,D94&lt;&gt;0),SUM(C$3:C94)-SUM(D$3:D94),0)</f>
        <v>2286373</v>
      </c>
      <c r="F94" s="5"/>
    </row>
    <row r="95" spans="1:7" ht="15.75" x14ac:dyDescent="0.25">
      <c r="A95" s="57"/>
      <c r="B95" s="5" t="s">
        <v>14</v>
      </c>
      <c r="C95" s="6"/>
      <c r="D95" s="6">
        <v>30000</v>
      </c>
      <c r="E95" s="7">
        <f>IF(OR(C95&lt;&gt;0,D95&lt;&gt;0),SUM(C$3:C95)-SUM(D$3:D95),0)</f>
        <v>2256373</v>
      </c>
      <c r="F95" s="5"/>
    </row>
    <row r="96" spans="1:7" ht="15.75" x14ac:dyDescent="0.25">
      <c r="A96" s="58"/>
      <c r="B96" s="5" t="s">
        <v>7</v>
      </c>
      <c r="C96" s="6">
        <v>1000000</v>
      </c>
      <c r="D96" s="6"/>
      <c r="E96" s="7">
        <f>IF(OR(C96&lt;&gt;0,D96&lt;&gt;0),SUM(C$3:C96)-SUM(D$3:D96),0)</f>
        <v>3256373</v>
      </c>
      <c r="F96" s="5"/>
    </row>
    <row r="97" spans="1:7" ht="15.75" x14ac:dyDescent="0.25">
      <c r="A97" s="56">
        <v>45425</v>
      </c>
      <c r="B97" s="5" t="s">
        <v>765</v>
      </c>
      <c r="C97" s="6"/>
      <c r="D97" s="6">
        <v>20000</v>
      </c>
      <c r="E97" s="7">
        <f>IF(OR(C97&lt;&gt;0,D97&lt;&gt;0),SUM(C$3:C97)-SUM(D$3:D97),0)</f>
        <v>3236373</v>
      </c>
      <c r="F97" s="5"/>
    </row>
    <row r="98" spans="1:7" ht="15.75" x14ac:dyDescent="0.25">
      <c r="A98" s="57"/>
      <c r="B98" s="5" t="s">
        <v>787</v>
      </c>
      <c r="C98" s="5"/>
      <c r="D98" s="6">
        <v>100000</v>
      </c>
      <c r="E98" s="7">
        <f>IF(OR(C98&lt;&gt;0,D98&lt;&gt;0),SUM(C$3:C98)-SUM(D$3:D98),0)</f>
        <v>3136373</v>
      </c>
      <c r="F98" s="5"/>
    </row>
    <row r="99" spans="1:7" ht="15.75" x14ac:dyDescent="0.25">
      <c r="A99" s="57"/>
      <c r="B99" s="5" t="s">
        <v>781</v>
      </c>
      <c r="C99" s="6"/>
      <c r="D99" s="6">
        <v>200000</v>
      </c>
      <c r="E99" s="7">
        <f>IF(OR(C99&lt;&gt;0,D99&lt;&gt;0),SUM(C$3:C99)-SUM(D$3:D99),0)</f>
        <v>2936373</v>
      </c>
      <c r="F99" s="5"/>
    </row>
    <row r="100" spans="1:7" ht="15.75" x14ac:dyDescent="0.25">
      <c r="A100" s="57"/>
      <c r="B100" s="5" t="s">
        <v>766</v>
      </c>
      <c r="C100" s="5"/>
      <c r="D100" s="6">
        <v>157000</v>
      </c>
      <c r="E100" s="7">
        <f>IF(OR(C100&lt;&gt;0,D100&lt;&gt;0),SUM(C$3:C100)-SUM(D$3:D100),0)</f>
        <v>2779373</v>
      </c>
      <c r="F100" s="5"/>
    </row>
    <row r="101" spans="1:7" ht="15.75" x14ac:dyDescent="0.25">
      <c r="A101" s="57"/>
      <c r="B101" s="5" t="s">
        <v>767</v>
      </c>
      <c r="C101" s="5"/>
      <c r="D101" s="6">
        <v>24300</v>
      </c>
      <c r="E101" s="7">
        <f>IF(OR(C101&lt;&gt;0,D101&lt;&gt;0),SUM(C$3:C101)-SUM(D$3:D101),0)</f>
        <v>2755073</v>
      </c>
      <c r="F101" s="5"/>
    </row>
    <row r="102" spans="1:7" ht="15.75" x14ac:dyDescent="0.25">
      <c r="A102" s="57"/>
      <c r="B102" s="5" t="s">
        <v>27</v>
      </c>
      <c r="C102" s="5"/>
      <c r="D102" s="6">
        <v>300000</v>
      </c>
      <c r="E102" s="7">
        <f>IF(OR(C102&lt;&gt;0,D102&lt;&gt;0),SUM(C$3:C102)-SUM(D$3:D102),0)</f>
        <v>2455073</v>
      </c>
      <c r="F102" s="5"/>
    </row>
    <row r="103" spans="1:7" ht="15.75" x14ac:dyDescent="0.25">
      <c r="A103" s="58"/>
      <c r="B103" s="5" t="s">
        <v>46</v>
      </c>
      <c r="C103" s="5"/>
      <c r="D103" s="6">
        <v>30000</v>
      </c>
      <c r="E103" s="7">
        <f>IF(OR(C103&lt;&gt;0,D103&lt;&gt;0),SUM(C$3:C103)-SUM(D$3:D103),0)</f>
        <v>2425073</v>
      </c>
      <c r="F103" s="5"/>
    </row>
    <row r="104" spans="1:7" ht="15.75" x14ac:dyDescent="0.25">
      <c r="A104" s="56">
        <v>45426</v>
      </c>
      <c r="B104" s="5" t="s">
        <v>7</v>
      </c>
      <c r="C104" s="6">
        <v>1500000</v>
      </c>
      <c r="D104" s="6"/>
      <c r="E104" s="7">
        <f>IF(OR(C104&lt;&gt;0,D104&lt;&gt;0),SUM(C$3:C104)-SUM(D$3:D104),0)</f>
        <v>3925073</v>
      </c>
      <c r="F104" s="5"/>
    </row>
    <row r="105" spans="1:7" ht="15.75" x14ac:dyDescent="0.25">
      <c r="A105" s="57"/>
      <c r="B105" s="5" t="s">
        <v>768</v>
      </c>
      <c r="C105" s="5"/>
      <c r="D105" s="6">
        <v>102000</v>
      </c>
      <c r="E105" s="7">
        <f>IF(OR(C105&lt;&gt;0,D105&lt;&gt;0),SUM(C$3:C105)-SUM(D$3:D105),0)</f>
        <v>3823073</v>
      </c>
      <c r="F105" s="5"/>
    </row>
    <row r="106" spans="1:7" ht="15.75" x14ac:dyDescent="0.25">
      <c r="A106" s="57"/>
      <c r="B106" s="5" t="s">
        <v>776</v>
      </c>
      <c r="C106" s="6"/>
      <c r="D106" s="6">
        <v>90000</v>
      </c>
      <c r="E106" s="7">
        <f>IF(OR(C106&lt;&gt;0,D106&lt;&gt;0),SUM(C$3:C106)-SUM(D$3:D106),0)</f>
        <v>3733073</v>
      </c>
      <c r="F106" s="5"/>
    </row>
    <row r="107" spans="1:7" ht="15.75" x14ac:dyDescent="0.25">
      <c r="A107" s="57"/>
      <c r="B107" s="5" t="s">
        <v>777</v>
      </c>
      <c r="C107" s="5"/>
      <c r="D107" s="6">
        <v>30000</v>
      </c>
      <c r="E107" s="7">
        <f>IF(OR(C107&lt;&gt;0,D107&lt;&gt;0),SUM(C$3:C107)-SUM(D$3:D107),0)</f>
        <v>3703073</v>
      </c>
      <c r="F107" s="5"/>
    </row>
    <row r="108" spans="1:7" ht="15.75" x14ac:dyDescent="0.25">
      <c r="A108" s="57"/>
      <c r="B108" s="5" t="s">
        <v>769</v>
      </c>
      <c r="C108" s="5"/>
      <c r="D108" s="6">
        <v>150000</v>
      </c>
      <c r="E108" s="7">
        <f>IF(OR(C108&lt;&gt;0,D108&lt;&gt;0),SUM(C$3:C108)-SUM(D$3:D108),0)</f>
        <v>3553073</v>
      </c>
      <c r="F108" s="5"/>
    </row>
    <row r="109" spans="1:7" ht="15.75" x14ac:dyDescent="0.25">
      <c r="A109" s="57"/>
      <c r="B109" s="5" t="s">
        <v>7</v>
      </c>
      <c r="C109" s="6">
        <v>940000</v>
      </c>
      <c r="D109" s="5"/>
      <c r="E109" s="7">
        <f>IF(OR(C109&lt;&gt;0,D109&lt;&gt;0),SUM(C$3:C109)-SUM(D$3:D109),0)</f>
        <v>4493073</v>
      </c>
      <c r="F109" s="5"/>
      <c r="G109" s="20">
        <f>2029000-E112</f>
        <v>-2250073</v>
      </c>
    </row>
    <row r="110" spans="1:7" ht="15.75" x14ac:dyDescent="0.25">
      <c r="A110" s="57"/>
      <c r="B110" s="5" t="s">
        <v>774</v>
      </c>
      <c r="C110" s="5"/>
      <c r="D110" s="6">
        <v>21000</v>
      </c>
      <c r="E110" s="7">
        <f>IF(OR(C110&lt;&gt;0,D110&lt;&gt;0),SUM(C$3:C110)-SUM(D$3:D110),0)</f>
        <v>4472073</v>
      </c>
      <c r="F110" s="5"/>
    </row>
    <row r="111" spans="1:7" ht="15.75" x14ac:dyDescent="0.25">
      <c r="A111" s="57"/>
      <c r="B111" s="5" t="s">
        <v>775</v>
      </c>
      <c r="C111" s="5"/>
      <c r="D111" s="6">
        <v>68000</v>
      </c>
      <c r="E111" s="7">
        <f>IF(OR(C111&lt;&gt;0,D111&lt;&gt;0),SUM(C$3:C111)-SUM(D$3:D111),0)</f>
        <v>4404073</v>
      </c>
      <c r="F111" s="5"/>
    </row>
    <row r="112" spans="1:7" ht="15.75" x14ac:dyDescent="0.25">
      <c r="A112" s="57"/>
      <c r="B112" s="5" t="s">
        <v>779</v>
      </c>
      <c r="C112" s="5"/>
      <c r="D112" s="6">
        <v>125000</v>
      </c>
      <c r="E112" s="7">
        <f>IF(OR(C112&lt;&gt;0,D112&lt;&gt;0),SUM(C$3:C112)-SUM(D$3:D112),0)</f>
        <v>4279073</v>
      </c>
      <c r="F112" s="5"/>
      <c r="G112" s="3">
        <f>2230500-E112</f>
        <v>-2048573</v>
      </c>
    </row>
    <row r="113" spans="1:7" ht="15.75" x14ac:dyDescent="0.25">
      <c r="A113" s="57"/>
      <c r="B113" s="5" t="s">
        <v>780</v>
      </c>
      <c r="C113" s="5"/>
      <c r="D113" s="6">
        <v>43200</v>
      </c>
      <c r="E113" s="7">
        <f>IF(OR(C113&lt;&gt;0,D113&lt;&gt;0),SUM(C$3:C113)-SUM(D$3:D113),0)</f>
        <v>4235873</v>
      </c>
      <c r="F113" s="5"/>
    </row>
    <row r="114" spans="1:7" ht="15.75" x14ac:dyDescent="0.25">
      <c r="A114" s="57"/>
      <c r="B114" s="5" t="s">
        <v>782</v>
      </c>
      <c r="C114" s="5"/>
      <c r="D114" s="6">
        <v>200000</v>
      </c>
      <c r="E114" s="7">
        <f>IF(OR(C114&lt;&gt;0,D114&lt;&gt;0),SUM(C$3:C114)-SUM(D$3:D114),0)</f>
        <v>4035873</v>
      </c>
      <c r="F114" s="5"/>
    </row>
    <row r="115" spans="1:7" ht="15.75" x14ac:dyDescent="0.25">
      <c r="A115" s="57"/>
      <c r="B115" s="5" t="s">
        <v>783</v>
      </c>
      <c r="C115" s="5"/>
      <c r="D115" s="6">
        <v>200000</v>
      </c>
      <c r="E115" s="7">
        <f>IF(OR(C115&lt;&gt;0,D115&lt;&gt;0),SUM(C$3:C115)-SUM(D$3:D115),0)</f>
        <v>3835873</v>
      </c>
      <c r="F115" s="5"/>
    </row>
    <row r="116" spans="1:7" ht="15.75" x14ac:dyDescent="0.25">
      <c r="A116" s="57"/>
      <c r="B116" s="5" t="s">
        <v>784</v>
      </c>
      <c r="C116" s="5"/>
      <c r="D116" s="6">
        <v>13000</v>
      </c>
      <c r="E116" s="7">
        <f>IF(OR(C116&lt;&gt;0,D116&lt;&gt;0),SUM(C$3:C116)-SUM(D$3:D116),0)</f>
        <v>3822873</v>
      </c>
      <c r="F116" s="5"/>
    </row>
    <row r="117" spans="1:7" ht="15.75" x14ac:dyDescent="0.25">
      <c r="A117" s="57"/>
      <c r="B117" s="5" t="s">
        <v>785</v>
      </c>
      <c r="C117" s="5"/>
      <c r="D117" s="6">
        <v>20500</v>
      </c>
      <c r="E117" s="7">
        <f>IF(OR(C117&lt;&gt;0,D117&lt;&gt;0),SUM(C$3:C117)-SUM(D$3:D117),0)</f>
        <v>3802373</v>
      </c>
      <c r="F117" s="5"/>
    </row>
    <row r="118" spans="1:7" ht="15.75" x14ac:dyDescent="0.25">
      <c r="A118" s="57"/>
      <c r="B118" s="5" t="s">
        <v>786</v>
      </c>
      <c r="C118" s="5"/>
      <c r="D118" s="6">
        <v>30000</v>
      </c>
      <c r="E118" s="7">
        <f>IF(OR(C118&lt;&gt;0,D118&lt;&gt;0),SUM(C$3:C118)-SUM(D$3:D118),0)</f>
        <v>3772373</v>
      </c>
      <c r="F118" s="5"/>
    </row>
    <row r="119" spans="1:7" ht="15.75" x14ac:dyDescent="0.25">
      <c r="A119" s="58"/>
      <c r="B119" s="5" t="s">
        <v>152</v>
      </c>
      <c r="C119" s="5"/>
      <c r="D119" s="6">
        <v>117050</v>
      </c>
      <c r="E119" s="7">
        <f>IF(OR(C119&lt;&gt;0,D119&lt;&gt;0),SUM(C$3:C119)-SUM(D$3:D119),0)</f>
        <v>3655323</v>
      </c>
      <c r="F119" s="5"/>
    </row>
    <row r="120" spans="1:7" ht="15.75" x14ac:dyDescent="0.25">
      <c r="A120" s="59">
        <v>45427</v>
      </c>
      <c r="B120" s="5" t="s">
        <v>680</v>
      </c>
      <c r="C120" s="6"/>
      <c r="D120" s="6">
        <v>77000</v>
      </c>
      <c r="E120" s="7">
        <f>IF(OR(C120&lt;&gt;0,D120&lt;&gt;0),SUM(C$3:C120)-SUM(D$3:D120),0)</f>
        <v>3578323</v>
      </c>
      <c r="F120" s="5"/>
      <c r="G120" s="3" cm="1">
        <f t="array" ref="G120:G122">1066000-E120:E122</f>
        <v>-2512323</v>
      </c>
    </row>
    <row r="121" spans="1:7" ht="15.75" x14ac:dyDescent="0.25">
      <c r="A121" s="59"/>
      <c r="B121" s="5" t="s">
        <v>788</v>
      </c>
      <c r="C121" s="5"/>
      <c r="D121" s="6">
        <v>120000</v>
      </c>
      <c r="E121" s="7">
        <f>IF(OR(C121&lt;&gt;0,D121&lt;&gt;0),SUM(C$3:C121)-SUM(D$3:D121),0)</f>
        <v>3458323</v>
      </c>
      <c r="F121" s="5"/>
      <c r="G121">
        <v>-2392323</v>
      </c>
    </row>
    <row r="122" spans="1:7" ht="15.75" x14ac:dyDescent="0.25">
      <c r="A122" s="59"/>
      <c r="B122" s="5" t="s">
        <v>789</v>
      </c>
      <c r="C122" s="5"/>
      <c r="D122" s="6">
        <v>300000</v>
      </c>
      <c r="E122" s="7">
        <f>IF(OR(C122&lt;&gt;0,D122&lt;&gt;0),SUM(C$3:C122)-SUM(D$3:D122),0)</f>
        <v>3158323</v>
      </c>
      <c r="F122" s="5"/>
      <c r="G122">
        <v>-2092323</v>
      </c>
    </row>
    <row r="123" spans="1:7" ht="15.75" x14ac:dyDescent="0.25">
      <c r="A123" s="59"/>
      <c r="B123" s="5" t="s">
        <v>7</v>
      </c>
      <c r="C123" s="6">
        <v>970000</v>
      </c>
      <c r="D123" s="5"/>
      <c r="E123" s="7">
        <f>IF(OR(C123&lt;&gt;0,D123&lt;&gt;0),SUM(C$3:C123)-SUM(D$3:D123),0)</f>
        <v>4128323</v>
      </c>
      <c r="F123" s="5"/>
    </row>
    <row r="124" spans="1:7" ht="15.75" x14ac:dyDescent="0.25">
      <c r="A124" s="59"/>
      <c r="B124" s="5" t="s">
        <v>174</v>
      </c>
      <c r="C124" s="5"/>
      <c r="D124" s="6">
        <v>200000</v>
      </c>
      <c r="E124" s="7">
        <f>IF(OR(C124&lt;&gt;0,D124&lt;&gt;0),SUM(C$3:C124)-SUM(D$3:D124),0)</f>
        <v>3928323</v>
      </c>
      <c r="F124" s="5"/>
    </row>
    <row r="125" spans="1:7" ht="15.75" x14ac:dyDescent="0.25">
      <c r="A125" s="59"/>
      <c r="B125" s="5" t="s">
        <v>14</v>
      </c>
      <c r="C125" s="5"/>
      <c r="D125" s="6">
        <v>50000</v>
      </c>
      <c r="E125" s="7">
        <f>IF(OR(C125&lt;&gt;0,D125&lt;&gt;0),SUM(C$3:C125)-SUM(D$3:D125),0)</f>
        <v>3878323</v>
      </c>
      <c r="F125" s="5"/>
      <c r="G125">
        <f>280/12</f>
        <v>23.333333333333332</v>
      </c>
    </row>
    <row r="126" spans="1:7" ht="15.75" x14ac:dyDescent="0.25">
      <c r="A126" s="59"/>
      <c r="B126" s="5" t="s">
        <v>790</v>
      </c>
      <c r="C126" s="5"/>
      <c r="D126" s="6">
        <v>19000</v>
      </c>
      <c r="E126" s="7">
        <f>IF(OR(C126&lt;&gt;0,D126&lt;&gt;0),SUM(C$3:C126)-SUM(D$3:D126),0)</f>
        <v>3859323</v>
      </c>
      <c r="F126" s="5"/>
    </row>
    <row r="127" spans="1:7" ht="15.75" x14ac:dyDescent="0.25">
      <c r="A127" s="59"/>
      <c r="B127" s="5" t="s">
        <v>125</v>
      </c>
      <c r="C127" s="5"/>
      <c r="D127" s="6">
        <v>30000</v>
      </c>
      <c r="E127" s="7">
        <f>IF(OR(C127&lt;&gt;0,D127&lt;&gt;0),SUM(C$3:C127)-SUM(D$3:D127),0)</f>
        <v>3829323</v>
      </c>
      <c r="F127" s="5"/>
    </row>
    <row r="128" spans="1:7" ht="15.75" x14ac:dyDescent="0.25">
      <c r="A128" s="59"/>
      <c r="B128" s="5" t="s">
        <v>12</v>
      </c>
      <c r="C128" s="5"/>
      <c r="D128" s="6">
        <v>40000</v>
      </c>
      <c r="E128" s="7">
        <f>IF(OR(C128&lt;&gt;0,D128&lt;&gt;0),SUM(C$3:C128)-SUM(D$3:D128),0)</f>
        <v>3789323</v>
      </c>
      <c r="F128" s="5"/>
    </row>
    <row r="129" spans="1:7" ht="15.75" x14ac:dyDescent="0.25">
      <c r="A129" s="59"/>
      <c r="B129" s="5" t="s">
        <v>12</v>
      </c>
      <c r="C129" s="5"/>
      <c r="D129" s="6">
        <v>14500</v>
      </c>
      <c r="E129" s="7">
        <f>IF(OR(C129&lt;&gt;0,D129&lt;&gt;0),SUM(C$3:C129)-SUM(D$3:D129),0)</f>
        <v>3774823</v>
      </c>
      <c r="F129" s="5"/>
    </row>
    <row r="130" spans="1:7" ht="15.75" x14ac:dyDescent="0.25">
      <c r="A130" s="59"/>
      <c r="B130" s="5" t="s">
        <v>791</v>
      </c>
      <c r="C130" s="5"/>
      <c r="D130" s="6">
        <v>500000</v>
      </c>
      <c r="E130" s="7">
        <f>IF(OR(C130&lt;&gt;0,D130&lt;&gt;0),SUM(C$3:C130)-SUM(D$3:D130),0)</f>
        <v>3274823</v>
      </c>
      <c r="F130" s="5"/>
      <c r="G130" s="3">
        <f>1209000-E130</f>
        <v>-2065823</v>
      </c>
    </row>
    <row r="131" spans="1:7" ht="15.75" x14ac:dyDescent="0.25">
      <c r="A131" s="59"/>
      <c r="B131" s="5" t="s">
        <v>792</v>
      </c>
      <c r="C131" s="5"/>
      <c r="D131" s="6">
        <v>53000</v>
      </c>
      <c r="E131" s="7">
        <f>IF(OR(C131&lt;&gt;0,D131&lt;&gt;0),SUM(C$3:C131)-SUM(D$3:D131),0)</f>
        <v>3221823</v>
      </c>
      <c r="F131" s="5"/>
    </row>
    <row r="132" spans="1:7" ht="15.75" x14ac:dyDescent="0.25">
      <c r="A132" s="59"/>
      <c r="B132" s="5" t="s">
        <v>238</v>
      </c>
      <c r="C132" s="5"/>
      <c r="D132" s="6">
        <v>2000</v>
      </c>
      <c r="E132" s="7">
        <f>IF(OR(C132&lt;&gt;0,D132&lt;&gt;0),SUM(C$3:C132)-SUM(D$3:D132),0)</f>
        <v>3219823</v>
      </c>
      <c r="F132" s="5"/>
      <c r="G132" s="3">
        <f>1100000-E132</f>
        <v>-2119823</v>
      </c>
    </row>
    <row r="133" spans="1:7" ht="15.75" x14ac:dyDescent="0.25">
      <c r="A133" s="56">
        <v>45428</v>
      </c>
      <c r="B133" s="5" t="s">
        <v>7</v>
      </c>
      <c r="C133" s="6">
        <v>1050000</v>
      </c>
      <c r="D133" s="6"/>
      <c r="E133" s="7">
        <f>IF(OR(C133&lt;&gt;0,D133&lt;&gt;0),SUM(C$3:C133)-SUM(D$3:D133),0)</f>
        <v>4269823</v>
      </c>
      <c r="F133" s="5"/>
    </row>
    <row r="134" spans="1:7" ht="15.75" x14ac:dyDescent="0.25">
      <c r="A134" s="57"/>
      <c r="B134" s="5" t="s">
        <v>632</v>
      </c>
      <c r="C134" s="5"/>
      <c r="D134" s="6">
        <v>200000</v>
      </c>
      <c r="E134" s="7">
        <f>IF(OR(C134&lt;&gt;0,D134&lt;&gt;0),SUM(C$3:C134)-SUM(D$3:D134),0)</f>
        <v>4069823</v>
      </c>
      <c r="F134" s="5"/>
    </row>
    <row r="135" spans="1:7" ht="15.75" x14ac:dyDescent="0.25">
      <c r="A135" s="57"/>
      <c r="B135" s="5" t="s">
        <v>795</v>
      </c>
      <c r="C135" s="5"/>
      <c r="D135" s="6">
        <v>100000</v>
      </c>
      <c r="E135" s="7">
        <f>IF(OR(C135&lt;&gt;0,D135&lt;&gt;0),SUM(C$3:C135)-SUM(D$3:D135),0)</f>
        <v>3969823</v>
      </c>
      <c r="F135" s="5"/>
    </row>
    <row r="136" spans="1:7" ht="15.75" x14ac:dyDescent="0.25">
      <c r="A136" s="57"/>
      <c r="B136" s="5" t="s">
        <v>794</v>
      </c>
      <c r="C136" s="5"/>
      <c r="D136" s="6">
        <v>150000</v>
      </c>
      <c r="E136" s="7">
        <f>IF(OR(C136&lt;&gt;0,D136&lt;&gt;0),SUM(C$3:C136)-SUM(D$3:D136),0)</f>
        <v>3819823</v>
      </c>
      <c r="F136" s="5"/>
    </row>
    <row r="137" spans="1:7" ht="15.75" x14ac:dyDescent="0.25">
      <c r="A137" s="57"/>
      <c r="B137" s="5" t="s">
        <v>235</v>
      </c>
      <c r="C137" s="5"/>
      <c r="D137" s="6">
        <v>25000</v>
      </c>
      <c r="E137" s="7">
        <f>IF(OR(C137&lt;&gt;0,D137&lt;&gt;0),SUM(C$3:C137)-SUM(D$3:D137),0)</f>
        <v>3794823</v>
      </c>
      <c r="F137" s="5"/>
    </row>
    <row r="138" spans="1:7" ht="15.75" x14ac:dyDescent="0.25">
      <c r="A138" s="57"/>
      <c r="B138" s="5" t="s">
        <v>255</v>
      </c>
      <c r="C138" s="5"/>
      <c r="D138" s="6">
        <v>20000</v>
      </c>
      <c r="E138" s="7">
        <f>IF(OR(C138&lt;&gt;0,D138&lt;&gt;0),SUM(C$3:C138)-SUM(D$3:D138),0)</f>
        <v>3774823</v>
      </c>
      <c r="F138" s="5"/>
    </row>
    <row r="139" spans="1:7" ht="15.75" x14ac:dyDescent="0.25">
      <c r="A139" s="57"/>
      <c r="B139" s="5" t="s">
        <v>793</v>
      </c>
      <c r="C139" s="5"/>
      <c r="D139" s="6">
        <v>700000</v>
      </c>
      <c r="E139" s="7">
        <f>IF(OR(C139&lt;&gt;0,D139&lt;&gt;0),SUM(C$3:C139)-SUM(D$3:D139),0)</f>
        <v>3074823</v>
      </c>
      <c r="F139" s="5"/>
    </row>
    <row r="140" spans="1:7" ht="15.75" x14ac:dyDescent="0.25">
      <c r="A140" s="57"/>
      <c r="B140" s="5" t="s">
        <v>796</v>
      </c>
      <c r="C140" s="5"/>
      <c r="D140" s="6">
        <v>30000</v>
      </c>
      <c r="E140" s="7">
        <f>IF(OR(C140&lt;&gt;0,D140&lt;&gt;0),SUM(C$3:C140)-SUM(D$3:D140),0)</f>
        <v>3044823</v>
      </c>
      <c r="F140" s="5"/>
      <c r="G140" s="3">
        <f>844000-E140</f>
        <v>-2200823</v>
      </c>
    </row>
    <row r="141" spans="1:7" ht="15.75" x14ac:dyDescent="0.25">
      <c r="A141" s="57"/>
      <c r="B141" s="5" t="s">
        <v>793</v>
      </c>
      <c r="C141" s="5"/>
      <c r="D141" s="6">
        <v>700000</v>
      </c>
      <c r="E141" s="7">
        <f>IF(OR(C141&lt;&gt;0,D141&lt;&gt;0),SUM(C$3:C141)-SUM(D$3:D141),0)</f>
        <v>2344823</v>
      </c>
      <c r="F141" s="5"/>
    </row>
    <row r="142" spans="1:7" ht="15.75" x14ac:dyDescent="0.25">
      <c r="A142" s="58"/>
      <c r="B142" s="5" t="s">
        <v>797</v>
      </c>
      <c r="C142" s="5"/>
      <c r="D142" s="6">
        <v>20000</v>
      </c>
      <c r="E142" s="7">
        <f>IF(OR(C142&lt;&gt;0,D142&lt;&gt;0),SUM(C$3:C142)-SUM(D$3:D142),0)</f>
        <v>2324823</v>
      </c>
      <c r="F142" s="5"/>
      <c r="G142" s="3">
        <f>24000-E142</f>
        <v>-2300823</v>
      </c>
    </row>
    <row r="143" spans="1:7" ht="15.75" x14ac:dyDescent="0.25">
      <c r="A143" s="59">
        <v>45429</v>
      </c>
      <c r="B143" s="5" t="s">
        <v>7</v>
      </c>
      <c r="C143" s="6">
        <v>1150000</v>
      </c>
      <c r="D143" s="6"/>
      <c r="E143" s="7">
        <f>IF(OR(C143&lt;&gt;0,D143&lt;&gt;0),SUM(C$3:C143)-SUM(D$3:D143),0)</f>
        <v>3474823</v>
      </c>
      <c r="F143" s="5"/>
    </row>
    <row r="144" spans="1:7" ht="15.75" x14ac:dyDescent="0.25">
      <c r="A144" s="59"/>
      <c r="B144" s="5" t="s">
        <v>798</v>
      </c>
      <c r="C144" s="5"/>
      <c r="D144" s="6">
        <v>100000</v>
      </c>
      <c r="E144" s="7">
        <f>IF(OR(C144&lt;&gt;0,D144&lt;&gt;0),SUM(C$3:C144)-SUM(D$3:D144),0)</f>
        <v>3374823</v>
      </c>
      <c r="F144" s="5"/>
    </row>
    <row r="145" spans="1:8" ht="15.75" x14ac:dyDescent="0.25">
      <c r="A145" s="59"/>
      <c r="B145" s="5" t="s">
        <v>799</v>
      </c>
      <c r="C145" s="5"/>
      <c r="D145" s="6">
        <v>70000</v>
      </c>
      <c r="E145" s="7">
        <f>IF(OR(C145&lt;&gt;0,D145&lt;&gt;0),SUM(C$3:C145)-SUM(D$3:D145),0)</f>
        <v>3304823</v>
      </c>
      <c r="F145" s="5"/>
    </row>
    <row r="146" spans="1:8" ht="15.75" x14ac:dyDescent="0.25">
      <c r="A146" s="59"/>
      <c r="B146" s="5" t="s">
        <v>800</v>
      </c>
      <c r="C146" s="5"/>
      <c r="D146" s="6">
        <v>35500</v>
      </c>
      <c r="E146" s="7">
        <f>IF(OR(C146&lt;&gt;0,D146&lt;&gt;0),SUM(C$3:C146)-SUM(D$3:D146),0)</f>
        <v>3269323</v>
      </c>
      <c r="F146" s="5"/>
      <c r="G146" s="3">
        <f>519000-E147</f>
        <v>-2350323</v>
      </c>
      <c r="H146" s="3" t="e">
        <f>205500-#REF!</f>
        <v>#REF!</v>
      </c>
    </row>
    <row r="147" spans="1:8" ht="15.75" x14ac:dyDescent="0.25">
      <c r="A147" s="59"/>
      <c r="B147" s="5" t="s">
        <v>811</v>
      </c>
      <c r="C147" s="6"/>
      <c r="D147" s="6">
        <v>400000</v>
      </c>
      <c r="E147" s="7">
        <f>IF(OR(C147&lt;&gt;0,D147&lt;&gt;0),SUM(C$3:C147)-SUM(D$3:D147),0)</f>
        <v>2869323</v>
      </c>
      <c r="F147" s="5"/>
      <c r="G147" s="3">
        <f>690000-E147</f>
        <v>-2179323</v>
      </c>
    </row>
    <row r="148" spans="1:8" ht="15.75" x14ac:dyDescent="0.25">
      <c r="A148" s="56">
        <v>45430</v>
      </c>
      <c r="B148" s="5" t="s">
        <v>7</v>
      </c>
      <c r="C148" s="6">
        <v>950000</v>
      </c>
      <c r="D148" s="6"/>
      <c r="E148" s="7">
        <f>IF(OR(C148&lt;&gt;0,D148&lt;&gt;0),SUM(C$3:C148)-SUM(D$3:D148),0)</f>
        <v>3819323</v>
      </c>
      <c r="F148" s="5"/>
      <c r="G148" s="3"/>
    </row>
    <row r="149" spans="1:8" ht="15.75" x14ac:dyDescent="0.25">
      <c r="A149" s="57"/>
      <c r="B149" s="5" t="s">
        <v>17</v>
      </c>
      <c r="C149" s="6"/>
      <c r="D149" s="6">
        <v>300000</v>
      </c>
      <c r="E149" s="7">
        <f>IF(OR(C149&lt;&gt;0,D149&lt;&gt;0),SUM(C$3:C149)-SUM(D$3:D149),0)</f>
        <v>3519323</v>
      </c>
      <c r="F149" s="5"/>
    </row>
    <row r="150" spans="1:8" ht="15.75" x14ac:dyDescent="0.25">
      <c r="A150" s="57"/>
      <c r="B150" s="5" t="s">
        <v>694</v>
      </c>
      <c r="C150" s="5"/>
      <c r="D150" s="6">
        <v>14000</v>
      </c>
      <c r="E150" s="7">
        <f>IF(OR(C150&lt;&gt;0,D150&lt;&gt;0),SUM(C$3:C150)-SUM(D$3:D150),0)</f>
        <v>3505323</v>
      </c>
      <c r="F150" s="5"/>
    </row>
    <row r="151" spans="1:8" ht="15.75" x14ac:dyDescent="0.25">
      <c r="A151" s="57"/>
      <c r="B151" s="5" t="s">
        <v>76</v>
      </c>
      <c r="C151" s="5"/>
      <c r="D151" s="6">
        <v>25000</v>
      </c>
      <c r="E151" s="7">
        <f>IF(OR(C151&lt;&gt;0,D151&lt;&gt;0),SUM(C$3:C151)-SUM(D$3:D151),0)</f>
        <v>3480323</v>
      </c>
      <c r="F151" s="5"/>
    </row>
    <row r="152" spans="1:8" ht="15.75" x14ac:dyDescent="0.25">
      <c r="A152" s="57"/>
      <c r="B152" s="5" t="s">
        <v>801</v>
      </c>
      <c r="C152" s="5"/>
      <c r="D152" s="6">
        <v>24500</v>
      </c>
      <c r="E152" s="7">
        <f>IF(OR(C152&lt;&gt;0,D152&lt;&gt;0),SUM(C$3:C152)-SUM(D$3:D152),0)</f>
        <v>3455823</v>
      </c>
      <c r="F152" s="5"/>
    </row>
    <row r="153" spans="1:8" ht="15.75" x14ac:dyDescent="0.25">
      <c r="A153" s="57"/>
      <c r="B153" s="5" t="s">
        <v>255</v>
      </c>
      <c r="C153" s="6"/>
      <c r="D153" s="6">
        <v>20000</v>
      </c>
      <c r="E153" s="7">
        <f>IF(OR(C153&lt;&gt;0,D153&lt;&gt;0),SUM(C$3:C153)-SUM(D$3:D153),0)</f>
        <v>3435823</v>
      </c>
      <c r="F153" s="5"/>
    </row>
    <row r="154" spans="1:8" ht="15.75" x14ac:dyDescent="0.25">
      <c r="A154" s="58"/>
      <c r="B154" s="5" t="s">
        <v>802</v>
      </c>
      <c r="C154" s="5"/>
      <c r="D154" s="6">
        <v>50000</v>
      </c>
      <c r="E154" s="7">
        <f>IF(OR(C154&lt;&gt;0,D154&lt;&gt;0),SUM(C$3:C154)-SUM(D$3:D154),0)</f>
        <v>3385823</v>
      </c>
      <c r="F154" s="5"/>
    </row>
    <row r="155" spans="1:8" ht="15.75" x14ac:dyDescent="0.25">
      <c r="A155" s="56">
        <v>45432</v>
      </c>
      <c r="B155" s="5" t="s">
        <v>264</v>
      </c>
      <c r="C155" s="6"/>
      <c r="D155" s="6">
        <v>100000</v>
      </c>
      <c r="E155" s="7">
        <f>IF(OR(C155&lt;&gt;0,D155&lt;&gt;0),SUM(C$3:C155)-SUM(D$3:D155),0)</f>
        <v>3285823</v>
      </c>
      <c r="F155" s="5"/>
    </row>
    <row r="156" spans="1:8" ht="15.75" x14ac:dyDescent="0.25">
      <c r="A156" s="57"/>
      <c r="B156" s="5" t="s">
        <v>814</v>
      </c>
      <c r="C156" s="5"/>
      <c r="D156" s="6">
        <v>200000</v>
      </c>
      <c r="E156" s="7">
        <f>IF(OR(C156&lt;&gt;0,D156&lt;&gt;0),SUM(C$3:C156)-SUM(D$3:D156),0)</f>
        <v>3085823</v>
      </c>
      <c r="F156" s="5"/>
    </row>
    <row r="157" spans="1:8" ht="15.75" x14ac:dyDescent="0.25">
      <c r="A157" s="57"/>
      <c r="B157" s="5" t="s">
        <v>812</v>
      </c>
      <c r="C157" s="5"/>
      <c r="D157" s="6">
        <v>68218</v>
      </c>
      <c r="E157" s="7">
        <f>IF(OR(C157&lt;&gt;0,D157&lt;&gt;0),SUM(C$3:C157)-SUM(D$3:D157),0)</f>
        <v>3017605</v>
      </c>
      <c r="F157" s="5"/>
    </row>
    <row r="158" spans="1:8" ht="15.75" x14ac:dyDescent="0.25">
      <c r="A158" s="57"/>
      <c r="B158" s="5" t="s">
        <v>813</v>
      </c>
      <c r="C158" s="5"/>
      <c r="D158" s="6">
        <v>25500</v>
      </c>
      <c r="E158" s="7">
        <f>IF(OR(C158&lt;&gt;0,D158&lt;&gt;0),SUM(C$3:C158)-SUM(D$3:D158),0)</f>
        <v>2992105</v>
      </c>
      <c r="F158" s="5"/>
    </row>
    <row r="159" spans="1:8" ht="15.75" x14ac:dyDescent="0.25">
      <c r="A159" s="57"/>
      <c r="B159" s="5" t="s">
        <v>813</v>
      </c>
      <c r="C159" s="5"/>
      <c r="D159" s="6">
        <v>20500</v>
      </c>
      <c r="E159" s="7">
        <f>IF(OR(C159&lt;&gt;0,D159&lt;&gt;0),SUM(C$3:C159)-SUM(D$3:D159),0)</f>
        <v>2971605</v>
      </c>
      <c r="F159" s="5"/>
    </row>
    <row r="160" spans="1:8" ht="15.75" x14ac:dyDescent="0.25">
      <c r="A160" s="57"/>
      <c r="B160" s="5" t="s">
        <v>618</v>
      </c>
      <c r="C160" s="5"/>
      <c r="D160" s="6">
        <v>30000</v>
      </c>
      <c r="E160" s="7">
        <f>IF(OR(C160&lt;&gt;0,D160&lt;&gt;0),SUM(C$3:C160)-SUM(D$3:D160),0)</f>
        <v>2941605</v>
      </c>
      <c r="F160" s="5"/>
    </row>
    <row r="161" spans="1:7" ht="15.75" x14ac:dyDescent="0.25">
      <c r="A161" s="57"/>
      <c r="B161" s="5" t="s">
        <v>58</v>
      </c>
      <c r="C161" s="5"/>
      <c r="D161" s="6">
        <v>2000</v>
      </c>
      <c r="E161" s="7">
        <f>IF(OR(C161&lt;&gt;0,D161&lt;&gt;0),SUM(C$3:C161)-SUM(D$3:D161),0)</f>
        <v>2939605</v>
      </c>
      <c r="F161" s="5"/>
    </row>
    <row r="162" spans="1:7" ht="15.75" x14ac:dyDescent="0.25">
      <c r="A162" s="57"/>
      <c r="B162" s="5" t="s">
        <v>675</v>
      </c>
      <c r="C162" s="5"/>
      <c r="D162" s="6">
        <v>200000</v>
      </c>
      <c r="E162" s="7">
        <f>IF(OR(C162&lt;&gt;0,D162&lt;&gt;0),SUM(C$3:C162)-SUM(D$3:D162),0)</f>
        <v>2739605</v>
      </c>
      <c r="F162" s="5"/>
    </row>
    <row r="163" spans="1:7" ht="15.75" x14ac:dyDescent="0.25">
      <c r="A163" s="57"/>
      <c r="B163" s="5" t="s">
        <v>830</v>
      </c>
      <c r="C163" s="6"/>
      <c r="D163" s="6">
        <v>30000</v>
      </c>
      <c r="E163" s="7">
        <f>IF(OR(C163&lt;&gt;0,D163&lt;&gt;0),SUM(C$3:C163)-SUM(D$3:D163),0)</f>
        <v>2709605</v>
      </c>
      <c r="F163" s="5"/>
    </row>
    <row r="164" spans="1:7" ht="15.75" x14ac:dyDescent="0.25">
      <c r="A164" s="57"/>
      <c r="B164" s="5" t="s">
        <v>803</v>
      </c>
      <c r="C164" s="5"/>
      <c r="D164" s="6">
        <v>200000</v>
      </c>
      <c r="E164" s="7">
        <f>IF(OR(C164&lt;&gt;0,D164&lt;&gt;0),SUM(C$3:C164)-SUM(D$3:D164),0)</f>
        <v>2509605</v>
      </c>
      <c r="F164" s="5"/>
      <c r="G164" s="3">
        <f>1105000-E155</f>
        <v>-2180823</v>
      </c>
    </row>
    <row r="165" spans="1:7" ht="15.75" x14ac:dyDescent="0.25">
      <c r="A165" s="58"/>
      <c r="B165" s="5" t="s">
        <v>804</v>
      </c>
      <c r="C165" s="5"/>
      <c r="D165" s="6">
        <v>50000</v>
      </c>
      <c r="E165" s="7">
        <f>IF(OR(C165&lt;&gt;0,D165&lt;&gt;0),SUM(C$3:C165)-SUM(D$3:D165),0)</f>
        <v>2459605</v>
      </c>
      <c r="F165" s="5"/>
      <c r="G165" s="3">
        <f>50000-E165</f>
        <v>-2409605</v>
      </c>
    </row>
    <row r="166" spans="1:7" ht="15.75" x14ac:dyDescent="0.25">
      <c r="A166" s="56">
        <v>45433</v>
      </c>
      <c r="B166" s="5" t="s">
        <v>805</v>
      </c>
      <c r="C166" s="6"/>
      <c r="D166" s="6">
        <v>2000000</v>
      </c>
      <c r="E166" s="7">
        <f>IF(OR(C166&lt;&gt;0,D166&lt;&gt;0),SUM(C$3:C166)-SUM(D$3:D166),0)</f>
        <v>459605</v>
      </c>
      <c r="F166" s="5"/>
      <c r="G166" s="3">
        <f>50000-E166</f>
        <v>-409605</v>
      </c>
    </row>
    <row r="167" spans="1:7" ht="15.75" x14ac:dyDescent="0.25">
      <c r="A167" s="57"/>
      <c r="B167" s="5" t="s">
        <v>7</v>
      </c>
      <c r="C167" s="6">
        <v>1420000</v>
      </c>
      <c r="D167" s="6"/>
      <c r="E167" s="7">
        <f>IF(OR(C167&lt;&gt;0,D167&lt;&gt;0),SUM(C$3:C167)-SUM(D$3:D167),0)</f>
        <v>1879605</v>
      </c>
      <c r="F167" s="5"/>
      <c r="G167" s="3">
        <f>1420000+50000-E167</f>
        <v>-409605</v>
      </c>
    </row>
    <row r="168" spans="1:7" ht="15.75" x14ac:dyDescent="0.25">
      <c r="A168" s="57"/>
      <c r="B168" s="5" t="s">
        <v>208</v>
      </c>
      <c r="C168" s="5"/>
      <c r="D168" s="6">
        <v>150000</v>
      </c>
      <c r="E168" s="7">
        <f>IF(OR(C168&lt;&gt;0,D168&lt;&gt;0),SUM(C$3:C168)-SUM(D$3:D168),0)</f>
        <v>1729605</v>
      </c>
      <c r="F168" s="5"/>
    </row>
    <row r="169" spans="1:7" ht="15.75" x14ac:dyDescent="0.25">
      <c r="A169" s="57"/>
      <c r="B169" s="5" t="s">
        <v>831</v>
      </c>
      <c r="C169" s="5"/>
      <c r="D169" s="6">
        <v>20000</v>
      </c>
      <c r="E169" s="7">
        <f>IF(OR(C169&lt;&gt;0,D169&lt;&gt;0),SUM(C$3:C169)-SUM(D$3:D169),0)</f>
        <v>1709605</v>
      </c>
      <c r="F169" s="5"/>
    </row>
    <row r="170" spans="1:7" ht="15.75" x14ac:dyDescent="0.25">
      <c r="A170" s="57"/>
      <c r="B170" s="5" t="s">
        <v>815</v>
      </c>
      <c r="C170" s="6"/>
      <c r="D170" s="6">
        <v>440000</v>
      </c>
      <c r="E170" s="7">
        <f>IF(OR(C170&lt;&gt;0,D170&lt;&gt;0),SUM(C$3:C170)-SUM(D$3:D170),0)</f>
        <v>1269605</v>
      </c>
      <c r="F170" s="5"/>
    </row>
    <row r="171" spans="1:7" ht="15.75" x14ac:dyDescent="0.25">
      <c r="A171" s="57"/>
      <c r="B171" s="5" t="s">
        <v>647</v>
      </c>
      <c r="C171" s="6"/>
      <c r="D171" s="6">
        <v>44200</v>
      </c>
      <c r="E171" s="7">
        <f>IF(OR(C171&lt;&gt;0,D171&lt;&gt;0),SUM(C$3:C171)-SUM(D$3:D171),0)</f>
        <v>1225405</v>
      </c>
      <c r="F171" s="5"/>
    </row>
    <row r="172" spans="1:7" ht="15.75" x14ac:dyDescent="0.25">
      <c r="A172" s="57"/>
      <c r="B172" s="5" t="s">
        <v>806</v>
      </c>
      <c r="C172" s="5"/>
      <c r="D172" s="6">
        <v>360000</v>
      </c>
      <c r="E172" s="7">
        <f>IF(OR(C172&lt;&gt;0,D172&lt;&gt;0),SUM(C$3:C172)-SUM(D$3:D172),0)</f>
        <v>865405</v>
      </c>
      <c r="F172" s="5"/>
    </row>
    <row r="173" spans="1:7" ht="15.75" x14ac:dyDescent="0.25">
      <c r="A173" s="57"/>
      <c r="B173" s="5" t="s">
        <v>807</v>
      </c>
      <c r="C173" s="5"/>
      <c r="D173" s="6">
        <v>144500</v>
      </c>
      <c r="E173" s="7">
        <f>IF(OR(C173&lt;&gt;0,D173&lt;&gt;0),SUM(C$3:C173)-SUM(D$3:D173),0)</f>
        <v>720905</v>
      </c>
      <c r="F173" s="5"/>
      <c r="G173" s="3">
        <f>255000-E173</f>
        <v>-465905</v>
      </c>
    </row>
    <row r="174" spans="1:7" ht="15.75" x14ac:dyDescent="0.25">
      <c r="A174" s="57"/>
      <c r="B174" s="5" t="s">
        <v>122</v>
      </c>
      <c r="C174" s="5"/>
      <c r="D174" s="6">
        <v>50000</v>
      </c>
      <c r="E174" s="7">
        <f>IF(OR(C174&lt;&gt;0,D174&lt;&gt;0),SUM(C$3:C174)-SUM(D$3:D174),0)</f>
        <v>670905</v>
      </c>
      <c r="F174" s="5"/>
      <c r="G174" s="3">
        <f>255000-E174</f>
        <v>-415905</v>
      </c>
    </row>
    <row r="175" spans="1:7" ht="15.75" x14ac:dyDescent="0.25">
      <c r="A175" s="58"/>
      <c r="B175" s="5" t="s">
        <v>27</v>
      </c>
      <c r="C175" s="5"/>
      <c r="D175" s="6">
        <v>300000</v>
      </c>
      <c r="E175" s="7">
        <f>IF(OR(C175&lt;&gt;0,D175&lt;&gt;0),SUM(C$3:C175)-SUM(D$3:D175),0)</f>
        <v>370905</v>
      </c>
      <c r="F175" s="5"/>
    </row>
    <row r="176" spans="1:7" ht="15.75" x14ac:dyDescent="0.25">
      <c r="A176" s="59">
        <v>45434</v>
      </c>
      <c r="B176" s="5" t="s">
        <v>810</v>
      </c>
      <c r="C176" s="6"/>
      <c r="D176" s="6">
        <v>100000</v>
      </c>
      <c r="E176" s="7">
        <f>IF(OR(C176&lt;&gt;0,D176&lt;&gt;0),SUM(C$3:C176)-SUM(D$3:D176),0)</f>
        <v>270905</v>
      </c>
      <c r="F176" s="5"/>
    </row>
    <row r="177" spans="1:7" ht="15.75" x14ac:dyDescent="0.25">
      <c r="A177" s="59"/>
      <c r="B177" s="5" t="s">
        <v>7</v>
      </c>
      <c r="C177" s="6">
        <v>1300000</v>
      </c>
      <c r="D177" s="6"/>
      <c r="E177" s="7">
        <f>IF(OR(C177&lt;&gt;0,D177&lt;&gt;0),SUM(C$3:C177)-SUM(D$3:D177),0)</f>
        <v>1570905</v>
      </c>
      <c r="F177" s="5"/>
    </row>
    <row r="178" spans="1:7" ht="15.75" x14ac:dyDescent="0.25">
      <c r="A178" s="59"/>
      <c r="B178" s="5" t="s">
        <v>808</v>
      </c>
      <c r="C178" s="6">
        <v>250000</v>
      </c>
      <c r="D178" s="6"/>
      <c r="E178" s="7">
        <f>IF(OR(C178&lt;&gt;0,D178&lt;&gt;0),SUM(C$3:C178)-SUM(D$3:D178),0)</f>
        <v>1820905</v>
      </c>
      <c r="F178" s="5"/>
    </row>
    <row r="179" spans="1:7" ht="15.75" x14ac:dyDescent="0.25">
      <c r="A179" s="59"/>
      <c r="B179" s="5" t="s">
        <v>7</v>
      </c>
      <c r="C179" s="6">
        <v>1000000</v>
      </c>
      <c r="D179" s="6"/>
      <c r="E179" s="7">
        <f>IF(OR(C179&lt;&gt;0,D179&lt;&gt;0),SUM(C$3:C179)-SUM(D$3:D179),0)</f>
        <v>2820905</v>
      </c>
      <c r="F179" s="5"/>
    </row>
    <row r="180" spans="1:7" ht="15.75" x14ac:dyDescent="0.25">
      <c r="A180" s="59"/>
      <c r="B180" s="5" t="s">
        <v>809</v>
      </c>
      <c r="C180" s="5"/>
      <c r="D180" s="6">
        <v>300000</v>
      </c>
      <c r="E180" s="7">
        <f>IF(OR(C180&lt;&gt;0,D180&lt;&gt;0),SUM(C$3:C180)-SUM(D$3:D180),0)</f>
        <v>2520905</v>
      </c>
      <c r="F180" s="5"/>
    </row>
    <row r="181" spans="1:7" ht="15.75" x14ac:dyDescent="0.25">
      <c r="A181" s="59"/>
      <c r="B181" s="5" t="s">
        <v>794</v>
      </c>
      <c r="C181" s="5"/>
      <c r="D181" s="6">
        <v>300000</v>
      </c>
      <c r="E181" s="7">
        <f>IF(OR(C181&lt;&gt;0,D181&lt;&gt;0),SUM(C$3:C181)-SUM(D$3:D181),0)</f>
        <v>2220905</v>
      </c>
      <c r="F181" s="5"/>
      <c r="G181" s="3">
        <f>1857700-E181</f>
        <v>-363205</v>
      </c>
    </row>
    <row r="182" spans="1:7" ht="15.75" x14ac:dyDescent="0.25">
      <c r="A182" s="59"/>
      <c r="B182" s="5" t="s">
        <v>819</v>
      </c>
      <c r="C182" s="5"/>
      <c r="D182" s="6">
        <v>70000</v>
      </c>
      <c r="E182" s="7">
        <f>IF(OR(C182&lt;&gt;0,D182&lt;&gt;0),SUM(C$3:C182)-SUM(D$3:D182),0)</f>
        <v>2150905</v>
      </c>
      <c r="F182" s="5"/>
      <c r="G182" s="3"/>
    </row>
    <row r="183" spans="1:7" ht="15.75" x14ac:dyDescent="0.25">
      <c r="A183" s="59"/>
      <c r="B183" s="5" t="s">
        <v>570</v>
      </c>
      <c r="C183" s="5"/>
      <c r="D183" s="6">
        <v>490000</v>
      </c>
      <c r="E183" s="7">
        <f>IF(OR(C183&lt;&gt;0,D183&lt;&gt;0),SUM(C$3:C183)-SUM(D$3:D183),0)</f>
        <v>1660905</v>
      </c>
      <c r="F183" s="5"/>
      <c r="G183" s="3">
        <f>1857700-490000-E183</f>
        <v>-293205</v>
      </c>
    </row>
    <row r="184" spans="1:7" ht="15.75" x14ac:dyDescent="0.25">
      <c r="A184" s="56">
        <v>45435</v>
      </c>
      <c r="B184" s="5" t="s">
        <v>829</v>
      </c>
      <c r="C184" s="6"/>
      <c r="D184" s="6">
        <v>20000</v>
      </c>
      <c r="E184" s="7">
        <f>IF(OR(C184&lt;&gt;0,D184&lt;&gt;0),SUM(C$3:C184)-SUM(D$3:D184),0)</f>
        <v>1640905</v>
      </c>
      <c r="F184" s="5"/>
      <c r="G184" s="3">
        <f>1275700-E184</f>
        <v>-365205</v>
      </c>
    </row>
    <row r="185" spans="1:7" ht="15.75" x14ac:dyDescent="0.25">
      <c r="A185" s="57"/>
      <c r="B185" s="5" t="s">
        <v>684</v>
      </c>
      <c r="C185" s="6"/>
      <c r="D185" s="6">
        <v>50000</v>
      </c>
      <c r="E185" s="7">
        <f>IF(OR(C185&lt;&gt;0,D185&lt;&gt;0),SUM(C$3:C185)-SUM(D$3:D185),0)</f>
        <v>1590905</v>
      </c>
      <c r="F185" s="5"/>
    </row>
    <row r="186" spans="1:7" ht="15.75" x14ac:dyDescent="0.25">
      <c r="A186" s="57"/>
      <c r="B186" s="5" t="s">
        <v>827</v>
      </c>
      <c r="C186" s="6"/>
      <c r="D186" s="6">
        <v>60000</v>
      </c>
      <c r="E186" s="7">
        <f>IF(OR(C186&lt;&gt;0,D186&lt;&gt;0),SUM(C$3:C186)-SUM(D$3:D186),0)</f>
        <v>1530905</v>
      </c>
      <c r="F186" s="5"/>
    </row>
    <row r="187" spans="1:7" ht="15.75" x14ac:dyDescent="0.25">
      <c r="A187" s="57"/>
      <c r="B187" s="5" t="s">
        <v>828</v>
      </c>
      <c r="C187" s="6"/>
      <c r="D187" s="6">
        <v>40000</v>
      </c>
      <c r="E187" s="7">
        <f>IF(OR(C187&lt;&gt;0,D187&lt;&gt;0),SUM(C$3:C187)-SUM(D$3:D187),0)</f>
        <v>1490905</v>
      </c>
      <c r="F187" s="5"/>
    </row>
    <row r="188" spans="1:7" ht="15.75" x14ac:dyDescent="0.25">
      <c r="A188" s="57"/>
      <c r="B188" s="5" t="s">
        <v>43</v>
      </c>
      <c r="C188" s="6"/>
      <c r="D188" s="6">
        <v>150000</v>
      </c>
      <c r="E188" s="7">
        <f>IF(OR(C188&lt;&gt;0,D188&lt;&gt;0),SUM(C$3:C188)-SUM(D$3:D188),0)</f>
        <v>1340905</v>
      </c>
      <c r="F188" s="5"/>
    </row>
    <row r="189" spans="1:7" ht="15.75" x14ac:dyDescent="0.25">
      <c r="A189" s="57"/>
      <c r="B189" s="5" t="s">
        <v>816</v>
      </c>
      <c r="C189" s="5"/>
      <c r="D189" s="6">
        <v>150000</v>
      </c>
      <c r="E189" s="7">
        <f>IF(OR(C189&lt;&gt;0,D189&lt;&gt;0),SUM(C$3:C189)-SUM(D$3:D189),0)</f>
        <v>1190905</v>
      </c>
      <c r="F189" s="5"/>
    </row>
    <row r="190" spans="1:7" ht="15.75" x14ac:dyDescent="0.25">
      <c r="A190" s="57"/>
      <c r="B190" s="5" t="s">
        <v>7</v>
      </c>
      <c r="C190" s="6">
        <v>950000</v>
      </c>
      <c r="D190" s="6"/>
      <c r="E190" s="7">
        <f>IF(OR(C190&lt;&gt;0,D190&lt;&gt;0),SUM(C$3:C190)-SUM(D$3:D190),0)</f>
        <v>2140905</v>
      </c>
      <c r="F190" s="5"/>
    </row>
    <row r="191" spans="1:7" ht="15.75" x14ac:dyDescent="0.25">
      <c r="A191" s="57"/>
      <c r="B191" s="5" t="s">
        <v>817</v>
      </c>
      <c r="C191" s="5"/>
      <c r="D191" s="6">
        <v>50000</v>
      </c>
      <c r="E191" s="7">
        <f>IF(OR(C191&lt;&gt;0,D191&lt;&gt;0),SUM(C$3:C191)-SUM(D$3:D191),0)</f>
        <v>2090905</v>
      </c>
      <c r="F191" s="5"/>
    </row>
    <row r="192" spans="1:7" ht="15.75" x14ac:dyDescent="0.25">
      <c r="A192" s="58"/>
      <c r="B192" s="5" t="s">
        <v>818</v>
      </c>
      <c r="C192" s="5"/>
      <c r="D192" s="6">
        <v>13000</v>
      </c>
      <c r="E192" s="7">
        <f>IF(OR(C192&lt;&gt;0,D192&lt;&gt;0),SUM(C$3:C192)-SUM(D$3:D192),0)</f>
        <v>2077905</v>
      </c>
      <c r="F192" s="5"/>
      <c r="G192" s="3">
        <f>1612700-E192</f>
        <v>-465205</v>
      </c>
    </row>
    <row r="193" spans="1:8" ht="15.75" x14ac:dyDescent="0.25">
      <c r="A193" s="56">
        <v>45436</v>
      </c>
      <c r="B193" s="5" t="s">
        <v>67</v>
      </c>
      <c r="C193" s="6"/>
      <c r="D193" s="6">
        <v>75000</v>
      </c>
      <c r="E193" s="7">
        <f>IF(OR(C193&lt;&gt;0,D193&lt;&gt;0),SUM(C$3:C193)-SUM(D$3:D193),0)</f>
        <v>2002905</v>
      </c>
      <c r="F193" s="5"/>
    </row>
    <row r="194" spans="1:8" ht="15.75" x14ac:dyDescent="0.25">
      <c r="A194" s="57"/>
      <c r="B194" s="5" t="s">
        <v>832</v>
      </c>
      <c r="C194" s="6"/>
      <c r="D194" s="6">
        <v>200000</v>
      </c>
      <c r="E194" s="7">
        <f>IF(OR(C194&lt;&gt;0,D194&lt;&gt;0),SUM(C$3:C194)-SUM(D$3:D194),0)</f>
        <v>1802905</v>
      </c>
      <c r="F194" s="5"/>
      <c r="G194" s="3">
        <f>1337700-E194</f>
        <v>-465205</v>
      </c>
      <c r="H194">
        <f>8000000000*6/100</f>
        <v>480000000</v>
      </c>
    </row>
    <row r="195" spans="1:8" ht="15.75" x14ac:dyDescent="0.25">
      <c r="A195" s="57"/>
      <c r="B195" s="5" t="s">
        <v>820</v>
      </c>
      <c r="C195" s="6"/>
      <c r="D195" s="6">
        <v>60000</v>
      </c>
      <c r="E195" s="7">
        <f>IF(OR(C195&lt;&gt;0,D195&lt;&gt;0),SUM(C$3:C195)-SUM(D$3:D195),0)</f>
        <v>1742905</v>
      </c>
      <c r="F195" s="5"/>
    </row>
    <row r="196" spans="1:8" ht="15.75" x14ac:dyDescent="0.25">
      <c r="A196" s="57"/>
      <c r="B196" s="5" t="s">
        <v>821</v>
      </c>
      <c r="C196" s="6"/>
      <c r="D196" s="6">
        <v>200000</v>
      </c>
      <c r="E196" s="7">
        <f>IF(OR(C196&lt;&gt;0,D196&lt;&gt;0),SUM(C$3:C196)-SUM(D$3:D196),0)</f>
        <v>1542905</v>
      </c>
      <c r="F196" s="5"/>
    </row>
    <row r="197" spans="1:8" ht="15.75" x14ac:dyDescent="0.25">
      <c r="A197" s="57"/>
      <c r="B197" s="5" t="s">
        <v>822</v>
      </c>
      <c r="C197" s="5"/>
      <c r="D197" s="6">
        <v>700000</v>
      </c>
      <c r="E197" s="7">
        <f>IF(OR(C197&lt;&gt;0,D197&lt;&gt;0),SUM(C$3:C197)-SUM(D$3:D197),0)</f>
        <v>842905</v>
      </c>
      <c r="F197" s="5"/>
    </row>
    <row r="198" spans="1:8" ht="15.75" x14ac:dyDescent="0.25">
      <c r="A198" s="57"/>
      <c r="B198" s="5" t="s">
        <v>7</v>
      </c>
      <c r="C198" s="6">
        <v>1100000</v>
      </c>
      <c r="D198" s="6"/>
      <c r="E198" s="7">
        <f>IF(OR(C198&lt;&gt;0,D198&lt;&gt;0),SUM(C$3:C198)-SUM(D$3:D198),0)</f>
        <v>1942905</v>
      </c>
      <c r="F198" s="5"/>
      <c r="G198" s="3">
        <f>1467700-E198</f>
        <v>-475205</v>
      </c>
    </row>
    <row r="199" spans="1:8" ht="15.75" x14ac:dyDescent="0.25">
      <c r="A199" s="57"/>
      <c r="B199" s="5" t="s">
        <v>823</v>
      </c>
      <c r="C199" s="5"/>
      <c r="D199" s="6">
        <v>100000</v>
      </c>
      <c r="E199" s="7">
        <f>IF(OR(C199&lt;&gt;0,D199&lt;&gt;0),SUM(C$3:C199)-SUM(D$3:D199),0)</f>
        <v>1842905</v>
      </c>
      <c r="F199" s="5"/>
    </row>
    <row r="200" spans="1:8" ht="15.75" x14ac:dyDescent="0.25">
      <c r="A200" s="57"/>
      <c r="B200" s="5" t="s">
        <v>824</v>
      </c>
      <c r="C200" s="5"/>
      <c r="D200" s="6">
        <v>800000</v>
      </c>
      <c r="E200" s="7">
        <f>IF(OR(C200&lt;&gt;0,D200&lt;&gt;0),SUM(C$3:C200)-SUM(D$3:D200),0)</f>
        <v>1042905</v>
      </c>
      <c r="F200" s="5"/>
    </row>
    <row r="201" spans="1:8" ht="15.75" x14ac:dyDescent="0.25">
      <c r="A201" s="58"/>
      <c r="B201" s="5" t="s">
        <v>46</v>
      </c>
      <c r="C201" s="5"/>
      <c r="D201" s="6">
        <v>30000</v>
      </c>
      <c r="E201" s="7">
        <f>IF(OR(C201&lt;&gt;0,D201&lt;&gt;0),SUM(C$3:C201)-SUM(D$3:D201),0)</f>
        <v>1012905</v>
      </c>
      <c r="F201" s="5"/>
      <c r="G201" s="3">
        <f>537700-E201</f>
        <v>-475205</v>
      </c>
    </row>
    <row r="202" spans="1:8" ht="15.75" x14ac:dyDescent="0.25">
      <c r="A202" s="56">
        <v>45437</v>
      </c>
      <c r="B202" s="5" t="s">
        <v>7</v>
      </c>
      <c r="C202" s="6">
        <v>900000</v>
      </c>
      <c r="D202" s="6"/>
      <c r="E202" s="7">
        <f>IF(OR(C202&lt;&gt;0,D202&lt;&gt;0),SUM(C$3:C202)-SUM(D$3:D202),0)</f>
        <v>1912905</v>
      </c>
      <c r="F202" s="5"/>
    </row>
    <row r="203" spans="1:8" ht="15.75" x14ac:dyDescent="0.25">
      <c r="A203" s="57"/>
      <c r="B203" s="5" t="s">
        <v>825</v>
      </c>
      <c r="C203" s="6"/>
      <c r="D203" s="6">
        <v>50000</v>
      </c>
      <c r="E203" s="7">
        <f>IF(OR(C203&lt;&gt;0,D203&lt;&gt;0),SUM(C$3:C203)-SUM(D$3:D203),0)</f>
        <v>1862905</v>
      </c>
      <c r="F203" s="5"/>
    </row>
    <row r="204" spans="1:8" ht="15.75" x14ac:dyDescent="0.25">
      <c r="A204" s="57"/>
      <c r="B204" s="5" t="s">
        <v>125</v>
      </c>
      <c r="C204" s="6"/>
      <c r="D204" s="6">
        <v>20000</v>
      </c>
      <c r="E204" s="7">
        <f>IF(OR(C204&lt;&gt;0,D204&lt;&gt;0),SUM(C$3:C204)-SUM(D$3:D204),0)</f>
        <v>1842905</v>
      </c>
      <c r="F204" s="5"/>
      <c r="G204" s="3">
        <f>910700-E204</f>
        <v>-932205</v>
      </c>
    </row>
    <row r="205" spans="1:8" ht="15.75" x14ac:dyDescent="0.25">
      <c r="A205" s="57"/>
      <c r="B205" s="5" t="s">
        <v>826</v>
      </c>
      <c r="C205" s="5"/>
      <c r="D205" s="6">
        <v>150000</v>
      </c>
      <c r="E205" s="7">
        <f>IF(OR(C205&lt;&gt;0,D205&lt;&gt;0),SUM(C$3:C205)-SUM(D$3:D205),0)</f>
        <v>1692905</v>
      </c>
      <c r="F205" s="5"/>
      <c r="G205" s="3">
        <f>1210700-E205</f>
        <v>-482205</v>
      </c>
    </row>
    <row r="206" spans="1:8" ht="15.75" x14ac:dyDescent="0.25">
      <c r="A206" s="57"/>
      <c r="B206" s="5" t="s">
        <v>857</v>
      </c>
      <c r="C206" s="6"/>
      <c r="D206" s="6">
        <v>200000</v>
      </c>
      <c r="E206" s="7">
        <f>IF(OR(C206&lt;&gt;0,D206&lt;&gt;0),SUM(C$3:C206)-SUM(D$3:D206),0)</f>
        <v>1492905</v>
      </c>
      <c r="F206" s="5"/>
    </row>
    <row r="207" spans="1:8" ht="15.75" x14ac:dyDescent="0.25">
      <c r="A207" s="57"/>
      <c r="B207" s="5" t="s">
        <v>833</v>
      </c>
      <c r="C207" s="6"/>
      <c r="D207" s="6">
        <v>25000</v>
      </c>
      <c r="E207" s="7">
        <f>IF(OR(C207&lt;&gt;0,D207&lt;&gt;0),SUM(C$3:C207)-SUM(D$3:D207),0)</f>
        <v>1467905</v>
      </c>
      <c r="F207" s="5"/>
    </row>
    <row r="208" spans="1:8" ht="15.75" x14ac:dyDescent="0.25">
      <c r="A208" s="57"/>
      <c r="B208" s="5" t="s">
        <v>58</v>
      </c>
      <c r="C208" s="6"/>
      <c r="D208" s="6">
        <v>2000</v>
      </c>
      <c r="E208" s="7">
        <f>IF(OR(C208&lt;&gt;0,D208&lt;&gt;0),SUM(C$3:C208)-SUM(D$3:D208),0)</f>
        <v>1465905</v>
      </c>
      <c r="F208" s="5"/>
    </row>
    <row r="209" spans="1:7" ht="15.75" x14ac:dyDescent="0.25">
      <c r="A209" s="58"/>
      <c r="B209" s="5" t="s">
        <v>664</v>
      </c>
      <c r="C209" s="6"/>
      <c r="D209" s="6">
        <v>30000</v>
      </c>
      <c r="E209" s="7">
        <f>IF(OR(C209&lt;&gt;0,D209&lt;&gt;0),SUM(C$3:C209)-SUM(D$3:D209),0)</f>
        <v>1435905</v>
      </c>
      <c r="F209" s="5"/>
    </row>
    <row r="210" spans="1:7" ht="15.75" x14ac:dyDescent="0.25">
      <c r="A210" s="56">
        <v>45438</v>
      </c>
      <c r="B210" s="5" t="s">
        <v>420</v>
      </c>
      <c r="C210" s="6"/>
      <c r="D210" s="6">
        <v>25000</v>
      </c>
      <c r="E210" s="7">
        <f>IF(OR(C210&lt;&gt;0,D210&lt;&gt;0),SUM(C$3:C210)-SUM(D$3:D210),0)</f>
        <v>1410905</v>
      </c>
      <c r="F210" s="5"/>
    </row>
    <row r="211" spans="1:7" ht="15.75" x14ac:dyDescent="0.25">
      <c r="A211" s="57"/>
      <c r="B211" s="5" t="s">
        <v>238</v>
      </c>
      <c r="C211" s="6"/>
      <c r="D211" s="6">
        <v>2000</v>
      </c>
      <c r="E211" s="7">
        <f>IF(OR(C211&lt;&gt;0,D211&lt;&gt;0),SUM(C$3:C211)-SUM(D$3:D211),0)</f>
        <v>1408905</v>
      </c>
      <c r="F211" s="5"/>
    </row>
    <row r="212" spans="1:7" ht="15.75" x14ac:dyDescent="0.25">
      <c r="A212" s="57"/>
      <c r="B212" s="5" t="s">
        <v>792</v>
      </c>
      <c r="C212" s="6"/>
      <c r="D212" s="6">
        <v>53000</v>
      </c>
      <c r="E212" s="7">
        <f>IF(OR(C212&lt;&gt;0,D212&lt;&gt;0),SUM(C$3:C212)-SUM(D$3:D212),0)</f>
        <v>1355905</v>
      </c>
      <c r="F212" s="5"/>
    </row>
    <row r="213" spans="1:7" ht="15.75" x14ac:dyDescent="0.25">
      <c r="A213" s="57"/>
      <c r="B213" s="5" t="s">
        <v>58</v>
      </c>
      <c r="C213" s="6"/>
      <c r="D213" s="6">
        <v>2000</v>
      </c>
      <c r="E213" s="7">
        <f>IF(OR(C213&lt;&gt;0,D213&lt;&gt;0),SUM(C$3:C213)-SUM(D$3:D213),0)</f>
        <v>1353905</v>
      </c>
      <c r="F213" s="5"/>
    </row>
    <row r="214" spans="1:7" ht="15.75" x14ac:dyDescent="0.25">
      <c r="A214" s="57"/>
      <c r="B214" s="5" t="s">
        <v>7</v>
      </c>
      <c r="C214" s="6">
        <v>900000</v>
      </c>
      <c r="D214" s="6"/>
      <c r="E214" s="7">
        <f>IF(OR(C214&lt;&gt;0,D214&lt;&gt;0),SUM(C$3:C214)-SUM(D$3:D214),0)</f>
        <v>2253905</v>
      </c>
      <c r="F214" s="5"/>
    </row>
    <row r="215" spans="1:7" ht="15.75" x14ac:dyDescent="0.25">
      <c r="A215" s="57"/>
      <c r="B215" s="5" t="s">
        <v>298</v>
      </c>
      <c r="C215" s="5"/>
      <c r="D215" s="6">
        <v>1000000</v>
      </c>
      <c r="E215" s="7">
        <f>IF(OR(C215&lt;&gt;0,D215&lt;&gt;0),SUM(C$3:C215)-SUM(D$3:D215),0)</f>
        <v>1253905</v>
      </c>
      <c r="F215" s="5"/>
      <c r="G215" s="3">
        <f>561700-E215</f>
        <v>-692205</v>
      </c>
    </row>
    <row r="216" spans="1:7" ht="15.75" x14ac:dyDescent="0.25">
      <c r="A216" s="57"/>
      <c r="B216" s="5" t="s">
        <v>255</v>
      </c>
      <c r="C216" s="6"/>
      <c r="D216" s="6">
        <v>81000</v>
      </c>
      <c r="E216" s="7">
        <f>IF(OR(C216&lt;&gt;0,D216&lt;&gt;0),SUM(C$3:C216)-SUM(D$3:D216),0)</f>
        <v>1172905</v>
      </c>
      <c r="F216" s="5"/>
    </row>
    <row r="217" spans="1:7" ht="15.75" x14ac:dyDescent="0.25">
      <c r="A217" s="57"/>
      <c r="B217" s="5" t="s">
        <v>75</v>
      </c>
      <c r="C217" s="5"/>
      <c r="D217" s="6">
        <v>31000</v>
      </c>
      <c r="E217" s="7">
        <f>IF(OR(C217&lt;&gt;0,D217&lt;&gt;0),SUM(C$3:C217)-SUM(D$3:D217),0)</f>
        <v>1141905</v>
      </c>
      <c r="F217" s="5"/>
    </row>
    <row r="218" spans="1:7" ht="15.75" x14ac:dyDescent="0.25">
      <c r="A218" s="58"/>
      <c r="B218" s="5" t="s">
        <v>52</v>
      </c>
      <c r="C218" s="5"/>
      <c r="D218" s="6">
        <v>30000</v>
      </c>
      <c r="E218" s="7">
        <f>IF(OR(C218&lt;&gt;0,D218&lt;&gt;0),SUM(C$3:C218)-SUM(D$3:D218),0)</f>
        <v>1111905</v>
      </c>
      <c r="F218" s="5"/>
      <c r="G218" s="3">
        <f>470700-E218</f>
        <v>-641205</v>
      </c>
    </row>
    <row r="219" spans="1:7" ht="15.75" x14ac:dyDescent="0.25">
      <c r="A219" s="59">
        <v>45439</v>
      </c>
      <c r="B219" s="5" t="s">
        <v>835</v>
      </c>
      <c r="C219" s="6"/>
      <c r="D219" s="6">
        <v>200000</v>
      </c>
      <c r="E219" s="7">
        <f>IF(OR(C219&lt;&gt;0,D219&lt;&gt;0),SUM(C$3:C219)-SUM(D$3:D219),0)</f>
        <v>911905</v>
      </c>
      <c r="F219" s="5"/>
    </row>
    <row r="220" spans="1:7" ht="15.75" x14ac:dyDescent="0.25">
      <c r="A220" s="59"/>
      <c r="B220" s="5" t="s">
        <v>7</v>
      </c>
      <c r="C220" s="6">
        <v>1000000</v>
      </c>
      <c r="D220" s="6"/>
      <c r="E220" s="7">
        <f>IF(OR(C220&lt;&gt;0,D220&lt;&gt;0),SUM(C$3:C220)-SUM(D$3:D220),0)</f>
        <v>1911905</v>
      </c>
      <c r="F220" s="5"/>
    </row>
    <row r="221" spans="1:7" ht="15.75" x14ac:dyDescent="0.25">
      <c r="A221" s="59"/>
      <c r="B221" s="5" t="s">
        <v>7</v>
      </c>
      <c r="C221" s="6">
        <v>1010000</v>
      </c>
      <c r="D221" s="6"/>
      <c r="E221" s="7">
        <f>IF(OR(C221&lt;&gt;0,D221&lt;&gt;0),SUM(C$3:C221)-SUM(D$3:D221),0)</f>
        <v>2921905</v>
      </c>
      <c r="F221" s="5"/>
    </row>
    <row r="222" spans="1:7" ht="15.75" x14ac:dyDescent="0.25">
      <c r="A222" s="59"/>
      <c r="B222" s="5" t="s">
        <v>809</v>
      </c>
      <c r="C222" s="6"/>
      <c r="D222" s="6">
        <v>300000</v>
      </c>
      <c r="E222" s="7">
        <f>IF(OR(C222&lt;&gt;0,D222&lt;&gt;0),SUM(C$3:C222)-SUM(D$3:D222),0)</f>
        <v>2621905</v>
      </c>
      <c r="F222" s="5"/>
    </row>
    <row r="223" spans="1:7" ht="15.75" x14ac:dyDescent="0.25">
      <c r="A223" s="59"/>
      <c r="B223" s="5" t="s">
        <v>834</v>
      </c>
      <c r="C223" s="6"/>
      <c r="D223" s="6">
        <v>110000</v>
      </c>
      <c r="E223" s="7">
        <f>IF(OR(C223&lt;&gt;0,D223&lt;&gt;0),SUM(C$3:C223)-SUM(D$3:D223),0)</f>
        <v>2511905</v>
      </c>
      <c r="F223" s="5"/>
    </row>
    <row r="224" spans="1:7" ht="15.75" x14ac:dyDescent="0.25">
      <c r="A224" s="59"/>
      <c r="B224" s="5" t="s">
        <v>836</v>
      </c>
      <c r="C224" s="5"/>
      <c r="D224" s="6">
        <v>150000</v>
      </c>
      <c r="E224" s="7">
        <f>IF(OR(C224&lt;&gt;0,D224&lt;&gt;0),SUM(C$3:C224)-SUM(D$3:D224),0)</f>
        <v>2361905</v>
      </c>
      <c r="F224" s="5"/>
    </row>
    <row r="225" spans="1:7" ht="15.75" x14ac:dyDescent="0.25">
      <c r="A225" s="56">
        <v>45440</v>
      </c>
      <c r="B225" s="5" t="s">
        <v>684</v>
      </c>
      <c r="C225" s="6"/>
      <c r="D225" s="6">
        <v>50000</v>
      </c>
      <c r="E225" s="7">
        <f>IF(OR(C225&lt;&gt;0,D225&lt;&gt;0),SUM(C$3:C225)-SUM(D$3:D225),0)</f>
        <v>2311905</v>
      </c>
      <c r="F225" s="5"/>
    </row>
    <row r="226" spans="1:7" ht="15.75" x14ac:dyDescent="0.25">
      <c r="A226" s="57"/>
      <c r="B226" s="5" t="s">
        <v>798</v>
      </c>
      <c r="C226" s="6"/>
      <c r="D226" s="6">
        <v>100000</v>
      </c>
      <c r="E226" s="7">
        <f>IF(OR(C226&lt;&gt;0,D226&lt;&gt;0),SUM(C$3:C226)-SUM(D$3:D226),0)</f>
        <v>2211905</v>
      </c>
      <c r="F226" s="5"/>
      <c r="G226" s="3">
        <f>1370700-E226</f>
        <v>-841205</v>
      </c>
    </row>
    <row r="227" spans="1:7" ht="15.75" x14ac:dyDescent="0.25">
      <c r="A227" s="57"/>
      <c r="B227" s="5" t="s">
        <v>840</v>
      </c>
      <c r="C227" s="6"/>
      <c r="D227" s="6">
        <v>83000</v>
      </c>
      <c r="E227" s="7">
        <f>IF(OR(C227&lt;&gt;0,D227&lt;&gt;0),SUM(C$3:C227)-SUM(D$3:D227),0)</f>
        <v>2128905</v>
      </c>
      <c r="F227" s="5"/>
      <c r="G227" s="8"/>
    </row>
    <row r="228" spans="1:7" ht="15.75" x14ac:dyDescent="0.25">
      <c r="A228" s="57"/>
      <c r="B228" s="5" t="s">
        <v>14</v>
      </c>
      <c r="C228" s="6"/>
      <c r="D228" s="6">
        <v>50000</v>
      </c>
      <c r="E228" s="7">
        <f>IF(OR(C228&lt;&gt;0,D228&lt;&gt;0),SUM(C$3:C228)-SUM(D$3:D228),0)</f>
        <v>2078905</v>
      </c>
      <c r="F228" s="5"/>
    </row>
    <row r="229" spans="1:7" ht="15.75" x14ac:dyDescent="0.25">
      <c r="A229" s="58"/>
      <c r="B229" s="5" t="s">
        <v>843</v>
      </c>
      <c r="C229" s="6"/>
      <c r="D229" s="6">
        <v>3000</v>
      </c>
      <c r="E229" s="7">
        <f>IF(OR(C229&lt;&gt;0,D229&lt;&gt;0),SUM(C$3:C229)-SUM(D$3:D229),0)</f>
        <v>2075905</v>
      </c>
      <c r="F229" s="5"/>
    </row>
    <row r="230" spans="1:7" ht="15.75" x14ac:dyDescent="0.25">
      <c r="A230" s="56">
        <v>45441</v>
      </c>
      <c r="B230" s="5" t="s">
        <v>837</v>
      </c>
      <c r="C230" s="6"/>
      <c r="D230" s="6">
        <v>36000</v>
      </c>
      <c r="E230" s="7">
        <f>IF(OR(C230&lt;&gt;0,D230&lt;&gt;0),SUM(C$3:C230)-SUM(D$3:D230),0)</f>
        <v>2039905</v>
      </c>
      <c r="F230" s="5"/>
    </row>
    <row r="231" spans="1:7" ht="15.75" x14ac:dyDescent="0.25">
      <c r="A231" s="57"/>
      <c r="B231" s="5" t="s">
        <v>104</v>
      </c>
      <c r="C231" s="6"/>
      <c r="D231" s="6">
        <v>68000</v>
      </c>
      <c r="E231" s="7">
        <f>IF(OR(C231&lt;&gt;0,D231&lt;&gt;0),SUM(C$3:C231)-SUM(D$3:D231),0)</f>
        <v>1971905</v>
      </c>
      <c r="F231" s="5"/>
    </row>
    <row r="232" spans="1:7" ht="15.75" x14ac:dyDescent="0.25">
      <c r="A232" s="57"/>
      <c r="B232" s="5" t="s">
        <v>7</v>
      </c>
      <c r="C232" s="6">
        <v>1885000</v>
      </c>
      <c r="D232" s="6"/>
      <c r="E232" s="7">
        <f>IF(OR(C232&lt;&gt;0,D232&lt;&gt;0),SUM(C$3:C232)-SUM(D$3:D232),0)</f>
        <v>3856905</v>
      </c>
      <c r="F232" s="5" t="s">
        <v>72</v>
      </c>
    </row>
    <row r="233" spans="1:7" ht="15.75" x14ac:dyDescent="0.25">
      <c r="A233" s="57"/>
      <c r="B233" s="5" t="s">
        <v>838</v>
      </c>
      <c r="C233" s="6"/>
      <c r="D233" s="6">
        <v>200000</v>
      </c>
      <c r="E233" s="7">
        <f>IF(OR(C233&lt;&gt;0,D233&lt;&gt;0),SUM(C$3:C233)-SUM(D$3:D233),0)</f>
        <v>3656905</v>
      </c>
      <c r="F233" s="5"/>
      <c r="G233" s="3">
        <f>2777700-E233</f>
        <v>-879205</v>
      </c>
    </row>
    <row r="234" spans="1:7" ht="15.75" x14ac:dyDescent="0.25">
      <c r="A234" s="57"/>
      <c r="B234" s="5" t="s">
        <v>769</v>
      </c>
      <c r="C234" s="5"/>
      <c r="D234" s="6">
        <v>150000</v>
      </c>
      <c r="E234" s="7">
        <f>IF(OR(C234&lt;&gt;0,D234&lt;&gt;0),SUM(C$3:C234)-SUM(D$3:D234),0)</f>
        <v>3506905</v>
      </c>
      <c r="F234" s="5"/>
    </row>
    <row r="235" spans="1:7" ht="15.75" x14ac:dyDescent="0.25">
      <c r="A235" s="57"/>
      <c r="B235" s="5" t="s">
        <v>521</v>
      </c>
      <c r="C235" s="5"/>
      <c r="D235" s="6">
        <v>111000</v>
      </c>
      <c r="E235" s="7">
        <f>IF(OR(C235&lt;&gt;0,D235&lt;&gt;0),SUM(C$3:C235)-SUM(D$3:D235),0)</f>
        <v>3395905</v>
      </c>
      <c r="F235" s="5"/>
    </row>
    <row r="236" spans="1:7" ht="15.75" x14ac:dyDescent="0.25">
      <c r="A236" s="57"/>
      <c r="B236" s="5" t="s">
        <v>329</v>
      </c>
      <c r="C236" s="5"/>
      <c r="D236" s="6">
        <v>500000</v>
      </c>
      <c r="E236" s="7">
        <f>IF(OR(C236&lt;&gt;0,D236&lt;&gt;0),SUM(C$3:C236)-SUM(D$3:D236),0)</f>
        <v>2895905</v>
      </c>
      <c r="F236" s="5"/>
    </row>
    <row r="237" spans="1:7" ht="15.75" x14ac:dyDescent="0.25">
      <c r="A237" s="57"/>
      <c r="B237" s="5" t="s">
        <v>27</v>
      </c>
      <c r="C237" s="5"/>
      <c r="D237" s="6">
        <v>100000</v>
      </c>
      <c r="E237" s="7">
        <f>IF(OR(C237&lt;&gt;0,D237&lt;&gt;0),SUM(C$3:C237)-SUM(D$3:D237),0)</f>
        <v>2795905</v>
      </c>
      <c r="F237" s="5"/>
    </row>
    <row r="238" spans="1:7" ht="15.75" x14ac:dyDescent="0.25">
      <c r="A238" s="57"/>
      <c r="B238" s="5" t="s">
        <v>6</v>
      </c>
      <c r="C238" s="5"/>
      <c r="D238" s="6">
        <v>58800</v>
      </c>
      <c r="E238" s="7">
        <f>IF(OR(C238&lt;&gt;0,D238&lt;&gt;0),SUM(C$3:C238)-SUM(D$3:D238),0)</f>
        <v>2737105</v>
      </c>
      <c r="F238" s="5"/>
    </row>
    <row r="239" spans="1:7" ht="15.75" x14ac:dyDescent="0.25">
      <c r="A239" s="57"/>
      <c r="B239" s="5" t="s">
        <v>14</v>
      </c>
      <c r="C239" s="5"/>
      <c r="D239" s="6">
        <v>50000</v>
      </c>
      <c r="E239" s="7">
        <f>IF(OR(C239&lt;&gt;0,D239&lt;&gt;0),SUM(C$3:C239)-SUM(D$3:D239),0)</f>
        <v>2687105</v>
      </c>
      <c r="F239" s="5"/>
    </row>
    <row r="240" spans="1:7" ht="15.75" x14ac:dyDescent="0.25">
      <c r="A240" s="57"/>
      <c r="B240" s="5" t="s">
        <v>849</v>
      </c>
      <c r="C240" s="5"/>
      <c r="D240" s="6">
        <v>50000</v>
      </c>
      <c r="E240" s="7">
        <f>IF(OR(C240&lt;&gt;0,D240&lt;&gt;0),SUM(C$3:C240)-SUM(D$3:D240),0)</f>
        <v>2637105</v>
      </c>
      <c r="F240" s="5"/>
    </row>
    <row r="241" spans="1:9" ht="15.75" x14ac:dyDescent="0.25">
      <c r="A241" s="57"/>
      <c r="B241" s="5" t="s">
        <v>46</v>
      </c>
      <c r="C241" s="5"/>
      <c r="D241" s="6">
        <v>30000</v>
      </c>
      <c r="E241" s="7">
        <f>IF(OR(C241&lt;&gt;0,D241&lt;&gt;0),SUM(C$3:C241)-SUM(D$3:D241),0)</f>
        <v>2607105</v>
      </c>
      <c r="F241" s="5"/>
    </row>
    <row r="242" spans="1:9" ht="15.75" x14ac:dyDescent="0.25">
      <c r="A242" s="57"/>
      <c r="B242" s="5" t="s">
        <v>839</v>
      </c>
      <c r="C242" s="5"/>
      <c r="D242" s="6">
        <v>25000</v>
      </c>
      <c r="E242" s="7">
        <f>IF(OR(C242&lt;&gt;0,D242&lt;&gt;0),SUM(C$3:C242)-SUM(D$3:D242),0)</f>
        <v>2582105</v>
      </c>
      <c r="F242" s="5"/>
    </row>
    <row r="243" spans="1:9" ht="15.75" x14ac:dyDescent="0.25">
      <c r="A243" s="58"/>
      <c r="B243" s="5" t="s">
        <v>58</v>
      </c>
      <c r="C243" s="5"/>
      <c r="D243" s="6">
        <v>2000</v>
      </c>
      <c r="E243" s="7">
        <f>IF(OR(C243&lt;&gt;0,D243&lt;&gt;0),SUM(C$3:C243)-SUM(D$3:D243),0)</f>
        <v>2580105</v>
      </c>
      <c r="F243" s="5"/>
    </row>
    <row r="244" spans="1:9" ht="15.75" x14ac:dyDescent="0.25">
      <c r="A244" s="56">
        <v>45442</v>
      </c>
      <c r="B244" s="5" t="s">
        <v>847</v>
      </c>
      <c r="C244" s="6"/>
      <c r="D244" s="6">
        <v>900000</v>
      </c>
      <c r="E244" s="7">
        <f>IF(OR(C244&lt;&gt;0,D244&lt;&gt;0),SUM(C$3:C244)-SUM(D$3:D244),0)</f>
        <v>1680105</v>
      </c>
      <c r="F244" s="5"/>
    </row>
    <row r="245" spans="1:9" ht="15.75" x14ac:dyDescent="0.25">
      <c r="A245" s="57"/>
      <c r="B245" s="5" t="s">
        <v>647</v>
      </c>
      <c r="C245" s="6"/>
      <c r="D245" s="6">
        <v>96000</v>
      </c>
      <c r="E245" s="7">
        <f>IF(OR(C245&lt;&gt;0,D245&lt;&gt;0),SUM(C$3:C245)-SUM(D$3:D245),0)</f>
        <v>1584105</v>
      </c>
      <c r="F245" s="5"/>
      <c r="H245" s="3"/>
    </row>
    <row r="246" spans="1:9" ht="15.75" x14ac:dyDescent="0.25">
      <c r="A246" s="57"/>
      <c r="B246" s="5" t="s">
        <v>841</v>
      </c>
      <c r="C246" s="5"/>
      <c r="D246" s="6">
        <v>50000</v>
      </c>
      <c r="E246" s="7">
        <f>IF(OR(C246&lt;&gt;0,D246&lt;&gt;0),SUM(C$3:C246)-SUM(D$3:D246),0)</f>
        <v>1534105</v>
      </c>
      <c r="F246" s="5"/>
      <c r="H246" s="3"/>
    </row>
    <row r="247" spans="1:9" ht="15.75" x14ac:dyDescent="0.25">
      <c r="A247" s="57"/>
      <c r="B247" s="5" t="s">
        <v>842</v>
      </c>
      <c r="C247" s="5"/>
      <c r="D247" s="6">
        <v>55000</v>
      </c>
      <c r="E247" s="7">
        <f>IF(OR(C247&lt;&gt;0,D247&lt;&gt;0),SUM(C$3:C247)-SUM(D$3:D247),0)</f>
        <v>1479105</v>
      </c>
      <c r="F247" s="5"/>
    </row>
    <row r="248" spans="1:9" ht="15.75" x14ac:dyDescent="0.25">
      <c r="A248" s="57"/>
      <c r="B248" s="5" t="s">
        <v>238</v>
      </c>
      <c r="C248" s="5"/>
      <c r="D248" s="6">
        <v>2000</v>
      </c>
      <c r="E248" s="7">
        <f>IF(OR(C248&lt;&gt;0,D248&lt;&gt;0),SUM(C$3:C248)-SUM(D$3:D248),0)</f>
        <v>1477105</v>
      </c>
      <c r="F248" s="5"/>
      <c r="G248" s="20">
        <f>43700+550000</f>
        <v>593700</v>
      </c>
      <c r="H248" s="3">
        <f>G248-E248</f>
        <v>-883405</v>
      </c>
    </row>
    <row r="249" spans="1:9" ht="15.75" x14ac:dyDescent="0.25">
      <c r="A249" s="57"/>
      <c r="B249" s="5" t="s">
        <v>844</v>
      </c>
      <c r="C249" s="6">
        <v>300000</v>
      </c>
      <c r="D249" s="6"/>
      <c r="E249" s="7">
        <f>IF(OR(C249&lt;&gt;0,D249&lt;&gt;0),SUM(C$3:C249)-SUM(D$3:D249),0)</f>
        <v>1777105</v>
      </c>
      <c r="F249" s="5"/>
    </row>
    <row r="250" spans="1:9" ht="15.75" x14ac:dyDescent="0.25">
      <c r="A250" s="57"/>
      <c r="B250" s="5" t="s">
        <v>845</v>
      </c>
      <c r="C250" s="5"/>
      <c r="D250" s="6">
        <v>200000</v>
      </c>
      <c r="E250" s="7">
        <f>IF(OR(C250&lt;&gt;0,D250&lt;&gt;0),SUM(C$3:C250)-SUM(D$3:D250),0)</f>
        <v>1577105</v>
      </c>
      <c r="F250" s="5"/>
    </row>
    <row r="251" spans="1:9" ht="15.75" x14ac:dyDescent="0.25">
      <c r="A251" s="57"/>
      <c r="B251" s="5" t="s">
        <v>846</v>
      </c>
      <c r="C251" s="5"/>
      <c r="D251" s="6">
        <v>33300</v>
      </c>
      <c r="E251" s="7">
        <f>IF(OR(C251&lt;&gt;0,D251&lt;&gt;0),SUM(C$3:C251)-SUM(D$3:D251),0)</f>
        <v>1543805</v>
      </c>
      <c r="F251" s="5"/>
      <c r="H251" s="8">
        <v>800000</v>
      </c>
    </row>
    <row r="252" spans="1:9" ht="15.75" x14ac:dyDescent="0.25">
      <c r="A252" s="57"/>
      <c r="B252" s="5" t="s">
        <v>7</v>
      </c>
      <c r="C252" s="6">
        <v>800000</v>
      </c>
      <c r="D252" s="6"/>
      <c r="E252" s="7">
        <f>IF(OR(C252&lt;&gt;0,D252&lt;&gt;0),SUM(C$3:C252)-SUM(D$3:D252),0)</f>
        <v>2343805</v>
      </c>
      <c r="F252" s="5"/>
      <c r="I252" s="8"/>
    </row>
    <row r="253" spans="1:9" ht="15.75" x14ac:dyDescent="0.25">
      <c r="A253" s="57"/>
      <c r="B253" s="5" t="s">
        <v>7</v>
      </c>
      <c r="C253" s="6">
        <v>592500</v>
      </c>
      <c r="D253" s="6"/>
      <c r="E253" s="7">
        <f>IF(OR(C253&lt;&gt;0,D253&lt;&gt;0),SUM(C$3:C253)-SUM(D$3:D253),0)</f>
        <v>2936305</v>
      </c>
      <c r="F253" s="5"/>
      <c r="I253" s="8"/>
    </row>
    <row r="254" spans="1:9" ht="15.75" x14ac:dyDescent="0.25">
      <c r="A254" s="57"/>
      <c r="B254" s="23" t="s">
        <v>854</v>
      </c>
      <c r="C254" s="23"/>
      <c r="D254" s="24">
        <v>1050000</v>
      </c>
      <c r="E254" s="7">
        <f>IF(OR(C254&lt;&gt;0,D254&lt;&gt;0),SUM(C$3:C254)-SUM(D$3:D254),0)</f>
        <v>1886305</v>
      </c>
      <c r="F254" s="5"/>
      <c r="I254" s="8">
        <f>342500-800000</f>
        <v>-457500</v>
      </c>
    </row>
    <row r="255" spans="1:9" ht="15.75" x14ac:dyDescent="0.25">
      <c r="A255" s="58"/>
      <c r="B255" s="5" t="s">
        <v>848</v>
      </c>
      <c r="C255" s="5"/>
      <c r="D255" s="6">
        <v>342500</v>
      </c>
      <c r="E255" s="7">
        <f>IF(OR(C255&lt;&gt;0,D255&lt;&gt;0),SUM(C$3:C255)-SUM(D$3:D255),0)</f>
        <v>1543805</v>
      </c>
      <c r="F255" s="5"/>
      <c r="I255" s="8"/>
    </row>
    <row r="256" spans="1:9" ht="15.75" x14ac:dyDescent="0.25">
      <c r="A256" s="82">
        <v>45443</v>
      </c>
      <c r="B256" s="23" t="s">
        <v>852</v>
      </c>
      <c r="C256" s="23"/>
      <c r="D256" s="24">
        <v>150000</v>
      </c>
      <c r="E256" s="7">
        <f>IF(OR(C256&lt;&gt;0,D256&lt;&gt;0),SUM(C$3:C256)-SUM(D$3:D256),0)</f>
        <v>1393805</v>
      </c>
      <c r="F256" s="23"/>
      <c r="I256" s="22"/>
    </row>
    <row r="257" spans="1:10" ht="15.75" x14ac:dyDescent="0.25">
      <c r="A257" s="82"/>
      <c r="B257" s="23" t="s">
        <v>850</v>
      </c>
      <c r="C257" s="23"/>
      <c r="D257" s="24">
        <v>40000</v>
      </c>
      <c r="E257" s="7">
        <f>IF(OR(C257&lt;&gt;0,D257&lt;&gt;0),SUM(C$3:C257)-SUM(D$3:D257),0)</f>
        <v>1353805</v>
      </c>
      <c r="F257" s="23"/>
      <c r="I257" s="22"/>
    </row>
    <row r="258" spans="1:10" ht="15.75" x14ac:dyDescent="0.25">
      <c r="A258" s="82"/>
      <c r="B258" s="23" t="s">
        <v>76</v>
      </c>
      <c r="C258" s="24"/>
      <c r="D258" s="24">
        <v>30000</v>
      </c>
      <c r="E258" s="7">
        <f>IF(OR(C258&lt;&gt;0,D258&lt;&gt;0),SUM(C$3:C258)-SUM(D$3:D258),0)</f>
        <v>1323805</v>
      </c>
      <c r="F258" s="23"/>
      <c r="G258" s="3">
        <f>211700-E258</f>
        <v>-1112105</v>
      </c>
      <c r="J258" s="3">
        <f>750000-I254</f>
        <v>1207500</v>
      </c>
    </row>
    <row r="266" spans="1:10" x14ac:dyDescent="0.25">
      <c r="F266" t="s">
        <v>855</v>
      </c>
      <c r="G266" t="s">
        <v>856</v>
      </c>
    </row>
    <row r="267" spans="1:10" x14ac:dyDescent="0.25">
      <c r="E267" s="8">
        <v>200000</v>
      </c>
      <c r="F267" s="8">
        <v>100000</v>
      </c>
      <c r="G267" s="8">
        <v>100000</v>
      </c>
    </row>
    <row r="279" spans="3:7" x14ac:dyDescent="0.25">
      <c r="C279" s="8">
        <v>69617000</v>
      </c>
      <c r="D279" s="3">
        <f>C279/3</f>
        <v>23205666.666666668</v>
      </c>
    </row>
    <row r="281" spans="3:7" x14ac:dyDescent="0.25">
      <c r="G281" s="8">
        <v>47610584</v>
      </c>
    </row>
    <row r="282" spans="3:7" x14ac:dyDescent="0.25">
      <c r="G282" s="8">
        <v>69617000</v>
      </c>
    </row>
    <row r="283" spans="3:7" x14ac:dyDescent="0.25">
      <c r="G283" s="8">
        <v>5500000</v>
      </c>
    </row>
    <row r="284" spans="3:7" x14ac:dyDescent="0.25">
      <c r="F284" t="s">
        <v>851</v>
      </c>
      <c r="G284" s="3">
        <f>SUM(G281:G283)</f>
        <v>122727584</v>
      </c>
    </row>
  </sheetData>
  <mergeCells count="34">
    <mergeCell ref="A57:A59"/>
    <mergeCell ref="A3:A23"/>
    <mergeCell ref="A24:A29"/>
    <mergeCell ref="A30:A39"/>
    <mergeCell ref="A193:A201"/>
    <mergeCell ref="A184:A192"/>
    <mergeCell ref="A60:A72"/>
    <mergeCell ref="A53:A56"/>
    <mergeCell ref="A40:A52"/>
    <mergeCell ref="A73:A83"/>
    <mergeCell ref="A120:A132"/>
    <mergeCell ref="A89:A96"/>
    <mergeCell ref="A97:A103"/>
    <mergeCell ref="A133:A142"/>
    <mergeCell ref="A143:A147"/>
    <mergeCell ref="A148:A154"/>
    <mergeCell ref="F1:F2"/>
    <mergeCell ref="A1:A2"/>
    <mergeCell ref="B1:B2"/>
    <mergeCell ref="C1:C2"/>
    <mergeCell ref="D1:D2"/>
    <mergeCell ref="E1:E2"/>
    <mergeCell ref="A166:A175"/>
    <mergeCell ref="A176:A183"/>
    <mergeCell ref="A84:A88"/>
    <mergeCell ref="A104:A119"/>
    <mergeCell ref="A256:A258"/>
    <mergeCell ref="A230:A243"/>
    <mergeCell ref="A225:A229"/>
    <mergeCell ref="A244:A255"/>
    <mergeCell ref="A210:A218"/>
    <mergeCell ref="A202:A209"/>
    <mergeCell ref="A219:A224"/>
    <mergeCell ref="A155:A165"/>
  </mergeCells>
  <phoneticPr fontId="4" type="noConversion"/>
  <pageMargins left="1" right="1" top="1" bottom="1" header="0.5" footer="0.5"/>
  <pageSetup scale="67" fitToHeight="0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0CFF-B3F2-4747-986F-08FD6D7B1051}">
  <sheetPr codeName="Sheet5">
    <pageSetUpPr fitToPage="1"/>
  </sheetPr>
  <dimension ref="A1:M261"/>
  <sheetViews>
    <sheetView topLeftCell="A245" zoomScaleNormal="100" workbookViewId="0">
      <selection activeCell="E258" sqref="E258"/>
    </sheetView>
  </sheetViews>
  <sheetFormatPr defaultRowHeight="15" x14ac:dyDescent="0.25"/>
  <cols>
    <col min="1" max="1" width="24.42578125" customWidth="1"/>
    <col min="2" max="2" width="21" customWidth="1"/>
    <col min="3" max="4" width="18.42578125" customWidth="1"/>
    <col min="5" max="5" width="22.7109375" customWidth="1"/>
    <col min="6" max="6" width="18.28515625" customWidth="1"/>
    <col min="7" max="8" width="15.5703125" bestFit="1" customWidth="1"/>
    <col min="9" max="9" width="17.7109375" bestFit="1" customWidth="1"/>
    <col min="10" max="11" width="13.5703125" customWidth="1"/>
    <col min="12" max="12" width="20.85546875" customWidth="1"/>
    <col min="13" max="13" width="28" customWidth="1"/>
    <col min="14" max="14" width="18.5703125" customWidth="1"/>
  </cols>
  <sheetData>
    <row r="1" spans="1:9" x14ac:dyDescent="0.25">
      <c r="A1" s="62" t="s">
        <v>0</v>
      </c>
      <c r="B1" s="80" t="s">
        <v>5</v>
      </c>
      <c r="C1" s="64" t="s">
        <v>1</v>
      </c>
      <c r="D1" s="64" t="s">
        <v>2</v>
      </c>
      <c r="E1" s="64" t="s">
        <v>3</v>
      </c>
      <c r="F1" s="78" t="s">
        <v>4</v>
      </c>
      <c r="G1" s="28"/>
      <c r="H1" s="28"/>
      <c r="I1" s="28"/>
    </row>
    <row r="2" spans="1:9" x14ac:dyDescent="0.25">
      <c r="A2" s="63"/>
      <c r="B2" s="81"/>
      <c r="C2" s="65"/>
      <c r="D2" s="65"/>
      <c r="E2" s="65"/>
      <c r="F2" s="79"/>
      <c r="G2" s="28"/>
      <c r="H2" s="28"/>
      <c r="I2" s="28"/>
    </row>
    <row r="3" spans="1:9" ht="15.75" x14ac:dyDescent="0.25">
      <c r="A3" s="59">
        <v>45444</v>
      </c>
      <c r="B3" s="18" t="s">
        <v>503</v>
      </c>
      <c r="C3" s="25">
        <v>1323805</v>
      </c>
      <c r="D3" s="25"/>
      <c r="E3" s="26">
        <f>IF(OR(C3&lt;&gt;0,D3&lt;&gt;0),SUM(C$3:C3)-SUM(D$3:D3),0)</f>
        <v>1323805</v>
      </c>
      <c r="F3" s="19"/>
      <c r="G3" s="28"/>
      <c r="H3" s="28"/>
      <c r="I3" s="28"/>
    </row>
    <row r="4" spans="1:9" ht="15.75" x14ac:dyDescent="0.25">
      <c r="A4" s="59"/>
      <c r="B4" s="5" t="s">
        <v>853</v>
      </c>
      <c r="C4" s="6"/>
      <c r="D4" s="6">
        <v>41500</v>
      </c>
      <c r="E4" s="7">
        <f>IF(OR(C4&lt;&gt;0,D4&lt;&gt;0),SUM(C$3:C4)-SUM(D$3:D4),0)</f>
        <v>1282305</v>
      </c>
      <c r="F4" s="5"/>
      <c r="G4" s="28"/>
      <c r="H4" s="28"/>
      <c r="I4" s="28"/>
    </row>
    <row r="5" spans="1:9" ht="15.75" x14ac:dyDescent="0.25">
      <c r="A5" s="59"/>
      <c r="B5" s="5" t="s">
        <v>70</v>
      </c>
      <c r="C5" s="6"/>
      <c r="D5" s="6">
        <v>2000</v>
      </c>
      <c r="E5" s="7">
        <f>IF(OR(C5&lt;&gt;0,D5&lt;&gt;0),SUM(C$3:C5)-SUM(D$3:D5),0)</f>
        <v>1280305</v>
      </c>
      <c r="F5" s="5"/>
      <c r="G5" s="29">
        <f>347700-E5</f>
        <v>-932605</v>
      </c>
      <c r="H5" s="28"/>
      <c r="I5" s="28"/>
    </row>
    <row r="6" spans="1:9" ht="15.75" x14ac:dyDescent="0.25">
      <c r="A6" s="59"/>
      <c r="B6" s="5" t="s">
        <v>740</v>
      </c>
      <c r="C6" s="6"/>
      <c r="D6" s="6">
        <v>100000</v>
      </c>
      <c r="E6" s="7">
        <f>IF(OR(C6&lt;&gt;0,D6&lt;&gt;0),SUM(C$3:C6)-SUM(D$3:D6),0)</f>
        <v>1180305</v>
      </c>
      <c r="F6" s="5"/>
      <c r="G6" s="28"/>
      <c r="H6" s="28"/>
      <c r="I6" s="28"/>
    </row>
    <row r="7" spans="1:9" ht="15.75" x14ac:dyDescent="0.25">
      <c r="A7" s="59"/>
      <c r="B7" s="5" t="s">
        <v>14</v>
      </c>
      <c r="C7" s="6"/>
      <c r="D7" s="6">
        <v>30000</v>
      </c>
      <c r="E7" s="7">
        <f>IF(OR(C7&lt;&gt;0,D7&lt;&gt;0),SUM(C$3:C7)-SUM(D$3:D7),0)</f>
        <v>1150305</v>
      </c>
      <c r="F7" s="5"/>
      <c r="G7" s="28"/>
      <c r="H7" s="28"/>
      <c r="I7" s="28"/>
    </row>
    <row r="8" spans="1:9" ht="15.75" x14ac:dyDescent="0.25">
      <c r="A8" s="56">
        <v>45445</v>
      </c>
      <c r="B8" s="5" t="s">
        <v>7</v>
      </c>
      <c r="C8" s="6">
        <v>1500000</v>
      </c>
      <c r="D8" s="6"/>
      <c r="E8" s="7">
        <f>IF(OR(C8&lt;&gt;0,D8&lt;&gt;0),SUM(C$3:C8)-SUM(D$3:D8),0)</f>
        <v>2650305</v>
      </c>
      <c r="F8" s="5"/>
      <c r="G8" s="28"/>
      <c r="H8" s="28"/>
      <c r="I8" s="28"/>
    </row>
    <row r="9" spans="1:9" ht="15.75" x14ac:dyDescent="0.25">
      <c r="A9" s="57"/>
      <c r="B9" s="27" t="s">
        <v>876</v>
      </c>
      <c r="C9" s="6"/>
      <c r="D9" s="6">
        <v>200000</v>
      </c>
      <c r="E9" s="7">
        <f>IF(OR(C9&lt;&gt;0,D9&lt;&gt;0),SUM(C$3:C9)-SUM(D$3:D9),0)</f>
        <v>2450305</v>
      </c>
      <c r="F9" s="19"/>
      <c r="G9" s="28"/>
      <c r="H9" s="28"/>
      <c r="I9" s="28"/>
    </row>
    <row r="10" spans="1:9" ht="15.75" x14ac:dyDescent="0.25">
      <c r="A10" s="57"/>
      <c r="B10" s="5" t="s">
        <v>877</v>
      </c>
      <c r="C10" s="6"/>
      <c r="D10" s="6">
        <v>200000</v>
      </c>
      <c r="E10" s="7">
        <f>IF(OR(C10&lt;&gt;0,D10&lt;&gt;0),SUM(C$3:C10)-SUM(D$3:D10),0)</f>
        <v>2250305</v>
      </c>
      <c r="F10" s="5"/>
      <c r="G10" s="28"/>
      <c r="H10" s="28"/>
      <c r="I10" s="28"/>
    </row>
    <row r="11" spans="1:9" ht="15.75" x14ac:dyDescent="0.25">
      <c r="A11" s="57"/>
      <c r="B11" s="5" t="s">
        <v>58</v>
      </c>
      <c r="C11" s="6"/>
      <c r="D11" s="6">
        <v>2000</v>
      </c>
      <c r="E11" s="7">
        <f>IF(OR(C11&lt;&gt;0,D11&lt;&gt;0),SUM(C$3:C11)-SUM(D$3:D11),0)</f>
        <v>2248305</v>
      </c>
      <c r="F11" s="5"/>
      <c r="G11" s="28"/>
      <c r="H11" s="28"/>
      <c r="I11" s="28"/>
    </row>
    <row r="12" spans="1:9" ht="15.75" x14ac:dyDescent="0.25">
      <c r="A12" s="57"/>
      <c r="B12" s="5" t="s">
        <v>878</v>
      </c>
      <c r="C12" s="6"/>
      <c r="D12" s="6">
        <v>200000</v>
      </c>
      <c r="E12" s="7">
        <f>IF(OR(C12&lt;&gt;0,D12&lt;&gt;0),SUM(C$3:C12)-SUM(D$3:D12),0)</f>
        <v>2048305</v>
      </c>
      <c r="F12" s="5"/>
      <c r="G12" s="28"/>
      <c r="H12" s="28"/>
      <c r="I12" s="28"/>
    </row>
    <row r="13" spans="1:9" ht="15.75" x14ac:dyDescent="0.25">
      <c r="A13" s="57"/>
      <c r="B13" s="5" t="s">
        <v>561</v>
      </c>
      <c r="C13" s="6"/>
      <c r="D13" s="6">
        <v>400000</v>
      </c>
      <c r="E13" s="7">
        <f>IF(OR(C13&lt;&gt;0,D13&lt;&gt;0),SUM(C$3:C13)-SUM(D$3:D13),0)</f>
        <v>1648305</v>
      </c>
      <c r="F13" s="5"/>
      <c r="G13" s="28"/>
      <c r="H13" s="28"/>
      <c r="I13" s="28"/>
    </row>
    <row r="14" spans="1:9" ht="15.75" x14ac:dyDescent="0.25">
      <c r="A14" s="57"/>
      <c r="B14" s="5" t="s">
        <v>14</v>
      </c>
      <c r="C14" s="6"/>
      <c r="D14" s="6">
        <v>20000</v>
      </c>
      <c r="E14" s="7">
        <f>IF(OR(C14&lt;&gt;0,D14&lt;&gt;0),SUM(C$3:C14)-SUM(D$3:D14),0)</f>
        <v>1628305</v>
      </c>
      <c r="F14" s="5"/>
      <c r="G14" s="28"/>
      <c r="H14" s="28"/>
      <c r="I14" s="28"/>
    </row>
    <row r="15" spans="1:9" ht="15.75" x14ac:dyDescent="0.25">
      <c r="A15" s="58"/>
      <c r="B15" s="5" t="s">
        <v>722</v>
      </c>
      <c r="C15" s="6"/>
      <c r="D15" s="6">
        <v>200000</v>
      </c>
      <c r="E15" s="7">
        <f>IF(OR(C15&lt;&gt;0,D15&lt;&gt;0),SUM(C$3:C15)-SUM(D$3:D15),0)</f>
        <v>1428305</v>
      </c>
      <c r="F15" s="5"/>
      <c r="G15" s="28"/>
      <c r="H15" s="29">
        <f>1222000-C8</f>
        <v>-278000</v>
      </c>
      <c r="I15" s="28"/>
    </row>
    <row r="16" spans="1:9" ht="15.75" x14ac:dyDescent="0.25">
      <c r="A16" s="56">
        <v>45446</v>
      </c>
      <c r="B16" s="5" t="s">
        <v>7</v>
      </c>
      <c r="C16" s="6">
        <v>1000000</v>
      </c>
      <c r="D16" s="6"/>
      <c r="E16" s="7">
        <f>IF(OR(C16&lt;&gt;0,D16&lt;&gt;0),SUM(C$3:C16)-SUM(D$3:D16),0)</f>
        <v>2428305</v>
      </c>
      <c r="F16" s="5"/>
      <c r="G16" s="28"/>
      <c r="H16" s="28"/>
      <c r="I16" s="28"/>
    </row>
    <row r="17" spans="1:9" ht="15.75" x14ac:dyDescent="0.25">
      <c r="A17" s="57"/>
      <c r="B17" s="27" t="s">
        <v>43</v>
      </c>
      <c r="C17" s="6"/>
      <c r="D17" s="6">
        <v>100000</v>
      </c>
      <c r="E17" s="7">
        <f>IF(OR(C17&lt;&gt;0,D17&lt;&gt;0),SUM(C$3:C17)-SUM(D$3:D17),0)</f>
        <v>2328305</v>
      </c>
      <c r="F17" s="19"/>
      <c r="G17" s="28"/>
      <c r="H17" s="28"/>
      <c r="I17" s="28"/>
    </row>
    <row r="18" spans="1:9" ht="15.75" x14ac:dyDescent="0.25">
      <c r="A18" s="57"/>
      <c r="B18" s="27" t="s">
        <v>285</v>
      </c>
      <c r="C18" s="6"/>
      <c r="D18" s="6">
        <v>200000</v>
      </c>
      <c r="E18" s="7">
        <f>IF(OR(C18&lt;&gt;0,D18&lt;&gt;0),SUM(C$3:C18)-SUM(D$3:D18),0)</f>
        <v>2128305</v>
      </c>
      <c r="F18" s="5"/>
      <c r="G18" s="28"/>
      <c r="H18" s="28"/>
      <c r="I18" s="28"/>
    </row>
    <row r="19" spans="1:9" ht="15.75" x14ac:dyDescent="0.25">
      <c r="A19" s="57"/>
      <c r="B19" s="5" t="s">
        <v>46</v>
      </c>
      <c r="C19" s="6"/>
      <c r="D19" s="6">
        <v>30000</v>
      </c>
      <c r="E19" s="7">
        <f>IF(OR(C19&lt;&gt;0,D19&lt;&gt;0),SUM(C$3:C19)-SUM(D$3:D19),0)</f>
        <v>2098305</v>
      </c>
      <c r="F19" s="5"/>
      <c r="G19" s="29">
        <f>167700+700000-E19</f>
        <v>-1230605</v>
      </c>
      <c r="H19" s="28"/>
      <c r="I19" s="28"/>
    </row>
    <row r="20" spans="1:9" ht="15.75" x14ac:dyDescent="0.25">
      <c r="A20" s="57"/>
      <c r="B20" s="5" t="s">
        <v>858</v>
      </c>
      <c r="C20" s="6">
        <v>500000</v>
      </c>
      <c r="D20" s="6"/>
      <c r="E20" s="7">
        <f>IF(OR(C20&lt;&gt;0,D20&lt;&gt;0),SUM(C$3:C20)-SUM(D$3:D20),0)</f>
        <v>2598305</v>
      </c>
      <c r="F20" s="5"/>
      <c r="G20" s="28"/>
      <c r="H20" s="28"/>
      <c r="I20" s="28"/>
    </row>
    <row r="21" spans="1:9" ht="15.75" x14ac:dyDescent="0.25">
      <c r="A21" s="57"/>
      <c r="B21" s="5" t="s">
        <v>724</v>
      </c>
      <c r="C21" s="6"/>
      <c r="D21" s="6">
        <v>22500</v>
      </c>
      <c r="E21" s="7">
        <f>IF(OR(C21&lt;&gt;0,D21&lt;&gt;0),SUM(C$3:C21)-SUM(D$3:D21),0)</f>
        <v>2575805</v>
      </c>
      <c r="F21" s="5"/>
      <c r="G21" s="28"/>
      <c r="H21" s="28"/>
      <c r="I21" s="28"/>
    </row>
    <row r="22" spans="1:9" ht="15.75" x14ac:dyDescent="0.25">
      <c r="A22" s="57"/>
      <c r="B22" s="5" t="s">
        <v>859</v>
      </c>
      <c r="C22" s="6"/>
      <c r="D22" s="6">
        <v>31800</v>
      </c>
      <c r="E22" s="7">
        <f>IF(OR(C22&lt;&gt;0,D22&lt;&gt;0),SUM(C$3:C22)-SUM(D$3:D22),0)</f>
        <v>2544005</v>
      </c>
      <c r="F22" s="5"/>
      <c r="G22" s="28"/>
      <c r="H22" s="28"/>
      <c r="I22" s="28"/>
    </row>
    <row r="23" spans="1:9" ht="15.75" x14ac:dyDescent="0.25">
      <c r="A23" s="57"/>
      <c r="B23" s="5" t="s">
        <v>860</v>
      </c>
      <c r="C23" s="5"/>
      <c r="D23" s="6">
        <v>27500</v>
      </c>
      <c r="E23" s="7">
        <f>IF(OR(C23&lt;&gt;0,D23&lt;&gt;0),SUM(C$3:C23)-SUM(D$3:D23),0)</f>
        <v>2516505</v>
      </c>
      <c r="F23" s="5"/>
      <c r="G23" s="28"/>
      <c r="H23" s="28"/>
      <c r="I23" s="28"/>
    </row>
    <row r="24" spans="1:9" ht="15.75" x14ac:dyDescent="0.25">
      <c r="A24" s="57"/>
      <c r="B24" s="5" t="s">
        <v>861</v>
      </c>
      <c r="C24" s="5"/>
      <c r="D24" s="6">
        <v>35000</v>
      </c>
      <c r="E24" s="7">
        <f>IF(OR(C24&lt;&gt;0,D24&lt;&gt;0),SUM(C$3:C24)-SUM(D$3:D24),0)</f>
        <v>2481505</v>
      </c>
      <c r="F24" s="5"/>
      <c r="G24" s="28"/>
      <c r="H24" s="28"/>
      <c r="I24" s="28"/>
    </row>
    <row r="25" spans="1:9" ht="15.75" x14ac:dyDescent="0.25">
      <c r="A25" s="57"/>
      <c r="B25" s="5" t="s">
        <v>865</v>
      </c>
      <c r="C25" s="6"/>
      <c r="D25" s="6">
        <v>50000</v>
      </c>
      <c r="E25" s="7">
        <f>IF(OR(C25&lt;&gt;0,D25&lt;&gt;0),SUM(C$3:C25)-SUM(D$3:D25),0)</f>
        <v>2431505</v>
      </c>
      <c r="F25" s="5"/>
      <c r="G25" s="28"/>
      <c r="H25" s="28"/>
      <c r="I25" s="28"/>
    </row>
    <row r="26" spans="1:9" ht="15.75" x14ac:dyDescent="0.25">
      <c r="A26" s="57"/>
      <c r="B26" s="5" t="s">
        <v>803</v>
      </c>
      <c r="C26" s="5"/>
      <c r="D26" s="6">
        <v>100000</v>
      </c>
      <c r="E26" s="7">
        <f>IF(OR(C26&lt;&gt;0,D26&lt;&gt;0),SUM(C$3:C26)-SUM(D$3:D26),0)</f>
        <v>2331505</v>
      </c>
      <c r="F26" s="5"/>
      <c r="G26" s="28"/>
      <c r="H26" s="28"/>
      <c r="I26" s="28"/>
    </row>
    <row r="27" spans="1:9" ht="15.75" x14ac:dyDescent="0.25">
      <c r="A27" s="57"/>
      <c r="B27" s="5" t="s">
        <v>866</v>
      </c>
      <c r="C27" s="5"/>
      <c r="D27" s="6">
        <v>50000</v>
      </c>
      <c r="E27" s="7">
        <f>IF(OR(C27&lt;&gt;0,D27&lt;&gt;0),SUM(C$3:C27)-SUM(D$3:D27),0)</f>
        <v>2281505</v>
      </c>
      <c r="F27" s="5"/>
      <c r="G27" s="28"/>
      <c r="H27" s="28"/>
      <c r="I27" s="28"/>
    </row>
    <row r="28" spans="1:9" ht="15.75" x14ac:dyDescent="0.25">
      <c r="A28" s="57"/>
      <c r="B28" s="5" t="s">
        <v>863</v>
      </c>
      <c r="C28" s="5"/>
      <c r="D28" s="6">
        <v>20000</v>
      </c>
      <c r="E28" s="7">
        <f>IF(OR(C28&lt;&gt;0,D28&lt;&gt;0),SUM(C$3:C28)-SUM(D$3:D28),0)</f>
        <v>2261505</v>
      </c>
      <c r="F28" s="5"/>
      <c r="G28" s="28"/>
      <c r="H28" s="28"/>
      <c r="I28" s="28"/>
    </row>
    <row r="29" spans="1:9" ht="15.75" x14ac:dyDescent="0.25">
      <c r="A29" s="57"/>
      <c r="B29" s="5" t="s">
        <v>864</v>
      </c>
      <c r="C29" s="5"/>
      <c r="D29" s="6">
        <v>10000</v>
      </c>
      <c r="E29" s="7">
        <f>IF(OR(C29&lt;&gt;0,D29&lt;&gt;0),SUM(C$3:C29)-SUM(D$3:D29),0)</f>
        <v>2251505</v>
      </c>
      <c r="F29" s="5"/>
      <c r="G29" s="28"/>
      <c r="H29" s="28"/>
      <c r="I29" s="28"/>
    </row>
    <row r="30" spans="1:9" ht="15.75" x14ac:dyDescent="0.25">
      <c r="A30" s="57"/>
      <c r="B30" s="5" t="s">
        <v>862</v>
      </c>
      <c r="C30" s="5"/>
      <c r="D30" s="6">
        <v>30000</v>
      </c>
      <c r="E30" s="7">
        <f>IF(OR(C30&lt;&gt;0,D30&lt;&gt;0),SUM(C$3:C30)-SUM(D$3:D30),0)</f>
        <v>2221505</v>
      </c>
      <c r="F30" s="5"/>
      <c r="G30" s="28"/>
      <c r="H30" s="29"/>
      <c r="I30" s="28"/>
    </row>
    <row r="31" spans="1:9" ht="15.75" x14ac:dyDescent="0.25">
      <c r="A31" s="57"/>
      <c r="B31" s="5" t="s">
        <v>867</v>
      </c>
      <c r="C31" s="5"/>
      <c r="D31" s="6">
        <v>123200</v>
      </c>
      <c r="E31" s="7">
        <f>IF(OR(C31&lt;&gt;0,D31&lt;&gt;0),SUM(C$3:C31)-SUM(D$3:D31),0)</f>
        <v>2098305</v>
      </c>
      <c r="F31" s="5"/>
      <c r="G31" s="28"/>
      <c r="H31" s="28"/>
      <c r="I31" s="28"/>
    </row>
    <row r="32" spans="1:9" ht="15.75" x14ac:dyDescent="0.25">
      <c r="A32" s="57"/>
      <c r="B32" s="5" t="s">
        <v>868</v>
      </c>
      <c r="C32" s="5"/>
      <c r="D32" s="6">
        <v>100000</v>
      </c>
      <c r="E32" s="7">
        <f>IF(OR(C32&lt;&gt;0,D32&lt;&gt;0),SUM(C$3:C32)-SUM(D$3:D32),0)</f>
        <v>1998305</v>
      </c>
      <c r="F32" s="5"/>
      <c r="G32" s="28"/>
      <c r="H32" s="28"/>
      <c r="I32" s="28"/>
    </row>
    <row r="33" spans="1:9" ht="15.75" x14ac:dyDescent="0.25">
      <c r="A33" s="57"/>
      <c r="B33" s="5" t="s">
        <v>869</v>
      </c>
      <c r="C33" s="5"/>
      <c r="D33" s="6">
        <v>139000</v>
      </c>
      <c r="E33" s="7">
        <f>IF(OR(C33&lt;&gt;0,D33&lt;&gt;0),SUM(C$3:C33)-SUM(D$3:D33),0)</f>
        <v>1859305</v>
      </c>
      <c r="F33" s="5"/>
      <c r="G33" s="28"/>
      <c r="H33" s="28"/>
      <c r="I33" s="28"/>
    </row>
    <row r="34" spans="1:9" ht="15.75" x14ac:dyDescent="0.25">
      <c r="A34" s="57"/>
      <c r="B34" s="5" t="s">
        <v>870</v>
      </c>
      <c r="C34" s="5"/>
      <c r="D34" s="6">
        <v>20500</v>
      </c>
      <c r="E34" s="7">
        <f>IF(OR(C34&lt;&gt;0,D34&lt;&gt;0),SUM(C$3:C34)-SUM(D$3:D34),0)</f>
        <v>1838805</v>
      </c>
      <c r="F34" s="5"/>
      <c r="G34" s="28"/>
      <c r="H34" s="28"/>
      <c r="I34" s="28"/>
    </row>
    <row r="35" spans="1:9" ht="15.75" x14ac:dyDescent="0.25">
      <c r="A35" s="58"/>
      <c r="B35" s="5" t="s">
        <v>871</v>
      </c>
      <c r="C35" s="5"/>
      <c r="D35" s="6">
        <v>34000</v>
      </c>
      <c r="E35" s="7">
        <f>IF(OR(C35&lt;&gt;0,D35&lt;&gt;0),SUM(C$3:C35)-SUM(D$3:D35),0)</f>
        <v>1804805</v>
      </c>
      <c r="F35" s="5"/>
      <c r="G35" s="29">
        <f>567700-E35</f>
        <v>-1237105</v>
      </c>
      <c r="H35" s="28"/>
      <c r="I35" s="28"/>
    </row>
    <row r="36" spans="1:9" ht="15.75" x14ac:dyDescent="0.25">
      <c r="A36" s="59">
        <v>45447</v>
      </c>
      <c r="B36" s="5" t="s">
        <v>7</v>
      </c>
      <c r="C36" s="6">
        <v>1000000</v>
      </c>
      <c r="D36" s="6"/>
      <c r="E36" s="7">
        <f>IF(OR(C36&lt;&gt;0,D36&lt;&gt;0),SUM(C$3:C36)-SUM(D$3:D36),0)</f>
        <v>2804805</v>
      </c>
      <c r="F36" s="5"/>
      <c r="G36" s="28"/>
      <c r="H36" s="28"/>
      <c r="I36" s="28"/>
    </row>
    <row r="37" spans="1:9" ht="15.75" x14ac:dyDescent="0.25">
      <c r="A37" s="59"/>
      <c r="B37" s="27" t="s">
        <v>129</v>
      </c>
      <c r="C37" s="6"/>
      <c r="D37" s="6">
        <v>602000</v>
      </c>
      <c r="E37" s="7">
        <f>IF(OR(C37&lt;&gt;0,D37&lt;&gt;0),SUM(C$3:C37)-SUM(D$3:D37),0)</f>
        <v>2202805</v>
      </c>
      <c r="F37" s="19"/>
      <c r="G37" s="28"/>
      <c r="H37" s="28"/>
      <c r="I37" s="28"/>
    </row>
    <row r="38" spans="1:9" ht="15.75" x14ac:dyDescent="0.25">
      <c r="A38" s="59"/>
      <c r="B38" s="27" t="s">
        <v>183</v>
      </c>
      <c r="C38" s="6"/>
      <c r="D38" s="6">
        <v>100000</v>
      </c>
      <c r="E38" s="7">
        <f>IF(OR(C38&lt;&gt;0,D38&lt;&gt;0),SUM(C$3:C38)-SUM(D$3:D38),0)</f>
        <v>2102805</v>
      </c>
      <c r="F38" s="5"/>
      <c r="G38" s="28"/>
      <c r="H38" s="28"/>
      <c r="I38" s="28"/>
    </row>
    <row r="39" spans="1:9" ht="15.75" x14ac:dyDescent="0.25">
      <c r="A39" s="59"/>
      <c r="B39" s="5" t="s">
        <v>872</v>
      </c>
      <c r="C39" s="6"/>
      <c r="D39" s="6">
        <v>300000</v>
      </c>
      <c r="E39" s="7">
        <f>IF(OR(C39&lt;&gt;0,D39&lt;&gt;0),SUM(C$3:C39)-SUM(D$3:D39),0)</f>
        <v>1802805</v>
      </c>
      <c r="F39" s="5"/>
      <c r="G39" s="28"/>
      <c r="H39" s="28"/>
      <c r="I39" s="28"/>
    </row>
    <row r="40" spans="1:9" ht="15.75" x14ac:dyDescent="0.25">
      <c r="A40" s="59"/>
      <c r="B40" s="5" t="s">
        <v>204</v>
      </c>
      <c r="C40" s="6"/>
      <c r="D40" s="6">
        <v>150000</v>
      </c>
      <c r="E40" s="7">
        <f>IF(OR(C40&lt;&gt;0,D40&lt;&gt;0),SUM(C$3:C40)-SUM(D$3:D40),0)</f>
        <v>1652805</v>
      </c>
      <c r="F40" s="5"/>
      <c r="G40" s="28"/>
      <c r="H40" s="28"/>
      <c r="I40" s="28"/>
    </row>
    <row r="41" spans="1:9" ht="15.75" x14ac:dyDescent="0.25">
      <c r="A41" s="59"/>
      <c r="B41" s="5" t="s">
        <v>625</v>
      </c>
      <c r="C41" s="6"/>
      <c r="D41" s="6">
        <v>60000</v>
      </c>
      <c r="E41" s="7">
        <f>IF(OR(C41&lt;&gt;0,D41&lt;&gt;0),SUM(C$3:C41)-SUM(D$3:D41),0)</f>
        <v>1592805</v>
      </c>
      <c r="F41" s="5"/>
      <c r="G41" s="28"/>
      <c r="H41" s="28"/>
      <c r="I41" s="28"/>
    </row>
    <row r="42" spans="1:9" ht="15.75" x14ac:dyDescent="0.25">
      <c r="A42" s="59"/>
      <c r="B42" s="5" t="s">
        <v>152</v>
      </c>
      <c r="C42" s="6"/>
      <c r="D42" s="6">
        <v>128100</v>
      </c>
      <c r="E42" s="7">
        <f>IF(OR(C42&lt;&gt;0,D42&lt;&gt;0),SUM(C$3:C42)-SUM(D$3:D42),0)</f>
        <v>1464705</v>
      </c>
      <c r="F42" s="5"/>
      <c r="G42" s="29">
        <f>261900-E42</f>
        <v>-1202805</v>
      </c>
      <c r="H42" s="28"/>
      <c r="I42" s="28"/>
    </row>
    <row r="43" spans="1:9" ht="15.75" x14ac:dyDescent="0.25">
      <c r="A43" s="59"/>
      <c r="B43" s="5" t="s">
        <v>882</v>
      </c>
      <c r="C43" s="5"/>
      <c r="D43" s="6">
        <v>150000</v>
      </c>
      <c r="E43" s="7">
        <f>IF(OR(C43&lt;&gt;0,D43&lt;&gt;0),SUM(C$3:C43)-SUM(D$3:D43),0)</f>
        <v>1314705</v>
      </c>
      <c r="F43" s="5"/>
      <c r="G43" s="28"/>
      <c r="H43" s="28"/>
      <c r="I43" s="28"/>
    </row>
    <row r="44" spans="1:9" ht="15.75" x14ac:dyDescent="0.25">
      <c r="A44" s="59"/>
      <c r="B44" s="5" t="s">
        <v>873</v>
      </c>
      <c r="C44" s="5"/>
      <c r="D44" s="6">
        <v>16000</v>
      </c>
      <c r="E44" s="7">
        <f>IF(OR(C44&lt;&gt;0,D44&lt;&gt;0),SUM(C$3:C44)-SUM(D$3:D44),0)</f>
        <v>1298705</v>
      </c>
      <c r="F44" s="5"/>
      <c r="G44" s="28"/>
      <c r="H44" s="29">
        <f>738100-C36</f>
        <v>-261900</v>
      </c>
      <c r="I44" s="28"/>
    </row>
    <row r="45" spans="1:9" ht="15.75" x14ac:dyDescent="0.25">
      <c r="A45" s="59"/>
      <c r="B45" s="5" t="s">
        <v>874</v>
      </c>
      <c r="C45" s="6"/>
      <c r="D45" s="6">
        <v>45000</v>
      </c>
      <c r="E45" s="7">
        <f>IF(OR(C45&lt;&gt;0,D45&lt;&gt;0),SUM(C$3:C45)-SUM(D$3:D45),0)</f>
        <v>1253705</v>
      </c>
      <c r="F45" s="5"/>
      <c r="G45" s="28"/>
      <c r="H45" s="28"/>
      <c r="I45" s="28"/>
    </row>
    <row r="46" spans="1:9" ht="15.75" x14ac:dyDescent="0.25">
      <c r="A46" s="59"/>
      <c r="B46" s="5" t="s">
        <v>875</v>
      </c>
      <c r="C46" s="5"/>
      <c r="D46" s="6">
        <v>16000</v>
      </c>
      <c r="E46" s="7">
        <f>IF(OR(C46&lt;&gt;0,D46&lt;&gt;0),SUM(C$3:C46)-SUM(D$3:D46),0)</f>
        <v>1237705</v>
      </c>
      <c r="F46" s="5"/>
      <c r="G46" s="28"/>
      <c r="H46" s="28"/>
      <c r="I46" s="28"/>
    </row>
    <row r="47" spans="1:9" ht="15.75" x14ac:dyDescent="0.25">
      <c r="A47" s="59"/>
      <c r="B47" s="5" t="s">
        <v>7</v>
      </c>
      <c r="C47" s="6">
        <v>1000000</v>
      </c>
      <c r="D47" s="6" t="s">
        <v>72</v>
      </c>
      <c r="E47" s="7">
        <f>IF(OR(C47&lt;&gt;0,D47&lt;&gt;0),SUM(C$3:C47)-SUM(D$3:D47),0)</f>
        <v>2237705</v>
      </c>
      <c r="F47" s="5"/>
      <c r="G47" s="28"/>
      <c r="H47" s="28"/>
      <c r="I47" s="28"/>
    </row>
    <row r="48" spans="1:9" ht="15.75" x14ac:dyDescent="0.25">
      <c r="A48" s="59"/>
      <c r="B48" s="5" t="s">
        <v>152</v>
      </c>
      <c r="C48" s="5"/>
      <c r="D48" s="6">
        <v>154900</v>
      </c>
      <c r="E48" s="7">
        <f>IF(OR(C48&lt;&gt;0,D48&lt;&gt;0),SUM(C$3:C48)-SUM(D$3:D48),0)</f>
        <v>2082805</v>
      </c>
      <c r="F48" s="5"/>
      <c r="G48" s="28"/>
      <c r="H48" s="28"/>
      <c r="I48" s="28"/>
    </row>
    <row r="49" spans="1:9" ht="15.75" x14ac:dyDescent="0.25">
      <c r="A49" s="59"/>
      <c r="B49" s="5" t="s">
        <v>879</v>
      </c>
      <c r="C49" s="5"/>
      <c r="D49" s="6">
        <v>165000</v>
      </c>
      <c r="E49" s="7">
        <f>IF(OR(C49&lt;&gt;0,D49&lt;&gt;0),SUM(C$3:C49)-SUM(D$3:D49),0)</f>
        <v>1917805</v>
      </c>
      <c r="F49" s="5"/>
      <c r="G49" s="28"/>
      <c r="H49" s="28"/>
      <c r="I49" s="28"/>
    </row>
    <row r="50" spans="1:9" ht="15.75" x14ac:dyDescent="0.25">
      <c r="A50" s="59"/>
      <c r="B50" s="5" t="s">
        <v>763</v>
      </c>
      <c r="C50" s="5"/>
      <c r="D50" s="6">
        <v>200000</v>
      </c>
      <c r="E50" s="7">
        <f>IF(OR(C50&lt;&gt;0,D50&lt;&gt;0),SUM(C$3:C50)-SUM(D$3:D50),0)</f>
        <v>1717805</v>
      </c>
      <c r="F50" s="5"/>
      <c r="G50" s="28"/>
      <c r="H50" s="28"/>
      <c r="I50" s="28">
        <f>150000*11</f>
        <v>1650000</v>
      </c>
    </row>
    <row r="51" spans="1:9" ht="15.75" x14ac:dyDescent="0.25">
      <c r="A51" s="59"/>
      <c r="B51" s="5" t="s">
        <v>880</v>
      </c>
      <c r="C51" s="5"/>
      <c r="D51" s="6">
        <v>50000</v>
      </c>
      <c r="E51" s="7">
        <f>IF(OR(C51&lt;&gt;0,D51&lt;&gt;0),SUM(C$3:C51)-SUM(D$3:D51),0)</f>
        <v>1667805</v>
      </c>
      <c r="F51" s="5"/>
      <c r="G51" s="28"/>
      <c r="H51" s="28"/>
      <c r="I51" s="28"/>
    </row>
    <row r="52" spans="1:9" ht="15.75" x14ac:dyDescent="0.25">
      <c r="A52" s="56">
        <v>45448</v>
      </c>
      <c r="B52" s="5" t="s">
        <v>881</v>
      </c>
      <c r="C52" s="6"/>
      <c r="D52" s="6">
        <v>420000</v>
      </c>
      <c r="E52" s="7">
        <f>IF(OR(C52&lt;&gt;0,D52&lt;&gt;0),SUM(C$3:C52)-SUM(D$3:D52),0)</f>
        <v>1247805</v>
      </c>
      <c r="F52" s="5"/>
      <c r="G52" s="29">
        <f>207400-E52</f>
        <v>-1040405</v>
      </c>
      <c r="H52" s="28"/>
      <c r="I52" s="28"/>
    </row>
    <row r="53" spans="1:9" ht="15.75" x14ac:dyDescent="0.25">
      <c r="A53" s="57"/>
      <c r="B53" s="27" t="s">
        <v>805</v>
      </c>
      <c r="C53" s="6"/>
      <c r="D53" s="6">
        <v>1000000</v>
      </c>
      <c r="E53" s="7">
        <f>IF(OR(C53&lt;&gt;0,D53&lt;&gt;0),SUM(C$3:C53)-SUM(D$3:D53),0)</f>
        <v>247805</v>
      </c>
      <c r="F53" s="19"/>
      <c r="G53" s="29">
        <f>207400-E53</f>
        <v>-40405</v>
      </c>
      <c r="H53" s="28"/>
      <c r="I53" s="28"/>
    </row>
    <row r="54" spans="1:9" ht="15.75" x14ac:dyDescent="0.25">
      <c r="A54" s="57"/>
      <c r="B54" s="27" t="s">
        <v>7</v>
      </c>
      <c r="C54" s="6">
        <v>518500</v>
      </c>
      <c r="D54" s="6"/>
      <c r="E54" s="7">
        <f>IF(OR(C54&lt;&gt;0,D54&lt;&gt;0),SUM(C$3:C54)-SUM(D$3:D54),0)</f>
        <v>766305</v>
      </c>
      <c r="F54" s="19"/>
      <c r="G54" s="29"/>
      <c r="H54" s="28"/>
      <c r="I54" s="28"/>
    </row>
    <row r="55" spans="1:9" ht="15.75" x14ac:dyDescent="0.25">
      <c r="A55" s="57"/>
      <c r="B55" s="27" t="s">
        <v>883</v>
      </c>
      <c r="C55" s="6"/>
      <c r="D55" s="6">
        <v>320000</v>
      </c>
      <c r="E55" s="7">
        <f>IF(OR(C55&lt;&gt;0,D55&lt;&gt;0),SUM(C$3:C55)-SUM(D$3:D55),0)</f>
        <v>446305</v>
      </c>
      <c r="F55" s="5"/>
      <c r="G55" s="28"/>
      <c r="H55" s="28"/>
      <c r="I55" s="28"/>
    </row>
    <row r="56" spans="1:9" ht="15.75" x14ac:dyDescent="0.25">
      <c r="A56" s="57"/>
      <c r="B56" s="5" t="s">
        <v>884</v>
      </c>
      <c r="C56" s="6"/>
      <c r="D56" s="6">
        <v>100000</v>
      </c>
      <c r="E56" s="7">
        <f>IF(OR(C56&lt;&gt;0,D56&lt;&gt;0),SUM(C$3:C56)-SUM(D$3:D56),0)</f>
        <v>346305</v>
      </c>
      <c r="F56" s="5"/>
      <c r="G56" s="28"/>
      <c r="H56" s="28"/>
      <c r="I56" s="28"/>
    </row>
    <row r="57" spans="1:9" ht="15.75" x14ac:dyDescent="0.25">
      <c r="A57" s="57"/>
      <c r="B57" s="5" t="s">
        <v>885</v>
      </c>
      <c r="C57" s="6"/>
      <c r="D57" s="6">
        <v>16500</v>
      </c>
      <c r="E57" s="7">
        <f>IF(OR(C57&lt;&gt;0,D57&lt;&gt;0),SUM(C$3:C57)-SUM(D$3:D57),0)</f>
        <v>329805</v>
      </c>
      <c r="F57" s="5"/>
      <c r="G57" s="28"/>
      <c r="H57" s="28"/>
      <c r="I57" s="28"/>
    </row>
    <row r="58" spans="1:9" ht="15.75" x14ac:dyDescent="0.25">
      <c r="A58" s="57"/>
      <c r="B58" s="5" t="s">
        <v>886</v>
      </c>
      <c r="C58" s="6"/>
      <c r="D58" s="6">
        <v>17000</v>
      </c>
      <c r="E58" s="7">
        <f>IF(OR(C58&lt;&gt;0,D58&lt;&gt;0),SUM(C$3:C58)-SUM(D$3:D58),0)</f>
        <v>312805</v>
      </c>
      <c r="F58" s="5"/>
      <c r="G58" s="28"/>
      <c r="H58" s="28"/>
      <c r="I58" s="28"/>
    </row>
    <row r="59" spans="1:9" ht="15.75" x14ac:dyDescent="0.25">
      <c r="A59" s="57"/>
      <c r="B59" s="5" t="s">
        <v>887</v>
      </c>
      <c r="C59" s="5"/>
      <c r="D59" s="6">
        <v>55000</v>
      </c>
      <c r="E59" s="7">
        <f>IF(OR(C59&lt;&gt;0,D59&lt;&gt;0),SUM(C$3:C59)-SUM(D$3:D59),0)</f>
        <v>257805</v>
      </c>
      <c r="F59" s="5"/>
      <c r="G59" s="28"/>
      <c r="H59" s="28"/>
      <c r="I59" s="28"/>
    </row>
    <row r="60" spans="1:9" ht="15.75" x14ac:dyDescent="0.25">
      <c r="A60" s="57"/>
      <c r="B60" s="5" t="s">
        <v>7</v>
      </c>
      <c r="C60" s="6">
        <v>354500</v>
      </c>
      <c r="D60" s="6"/>
      <c r="E60" s="7">
        <f>IF(OR(C60&lt;&gt;0,D60&lt;&gt;0),SUM(C$3:C60)-SUM(D$3:D60),0)</f>
        <v>612305</v>
      </c>
      <c r="F60" s="5"/>
      <c r="G60" s="28"/>
      <c r="H60" s="28"/>
      <c r="I60" s="28"/>
    </row>
    <row r="61" spans="1:9" ht="15.75" x14ac:dyDescent="0.25">
      <c r="A61" s="57"/>
      <c r="B61" s="5" t="s">
        <v>7</v>
      </c>
      <c r="C61" s="6">
        <v>1000000</v>
      </c>
      <c r="D61" s="6"/>
      <c r="E61" s="7">
        <f>IF(OR(C61&lt;&gt;0,D61&lt;&gt;0),SUM(C$3:C61)-SUM(D$3:D61),0)</f>
        <v>1612305</v>
      </c>
      <c r="F61" s="5"/>
      <c r="G61" s="28"/>
      <c r="H61" s="28"/>
      <c r="I61" s="28"/>
    </row>
    <row r="62" spans="1:9" ht="15.75" x14ac:dyDescent="0.25">
      <c r="A62" s="57"/>
      <c r="B62" s="5" t="s">
        <v>888</v>
      </c>
      <c r="C62" s="5"/>
      <c r="D62" s="6">
        <v>198500</v>
      </c>
      <c r="E62" s="7">
        <f>IF(OR(C62&lt;&gt;0,D62&lt;&gt;0),SUM(C$3:C62)-SUM(D$3:D62),0)</f>
        <v>1413805</v>
      </c>
      <c r="F62" s="5"/>
      <c r="G62" s="28"/>
      <c r="H62" s="28"/>
      <c r="I62" s="28"/>
    </row>
    <row r="63" spans="1:9" ht="15.75" x14ac:dyDescent="0.25">
      <c r="A63" s="57"/>
      <c r="B63" s="5" t="s">
        <v>14</v>
      </c>
      <c r="C63" s="6"/>
      <c r="D63" s="6">
        <v>50000</v>
      </c>
      <c r="E63" s="7">
        <f>IF(OR(C63&lt;&gt;0,D63&lt;&gt;0),SUM(C$3:C63)-SUM(D$3:D63),0)</f>
        <v>1363805</v>
      </c>
      <c r="F63" s="5"/>
      <c r="G63" s="28"/>
      <c r="H63" s="28"/>
      <c r="I63" s="28"/>
    </row>
    <row r="64" spans="1:9" ht="15.75" x14ac:dyDescent="0.25">
      <c r="A64" s="57"/>
      <c r="B64" s="5" t="s">
        <v>889</v>
      </c>
      <c r="C64" s="5"/>
      <c r="D64" s="6">
        <v>6000</v>
      </c>
      <c r="E64" s="7">
        <f>IF(OR(C64&lt;&gt;0,D64&lt;&gt;0),SUM(C$3:C64)-SUM(D$3:D64),0)</f>
        <v>1357805</v>
      </c>
      <c r="F64" s="5"/>
      <c r="G64" s="28"/>
      <c r="H64" s="28"/>
      <c r="I64" s="28"/>
    </row>
    <row r="65" spans="1:9" ht="15.75" x14ac:dyDescent="0.25">
      <c r="A65" s="57"/>
      <c r="B65" s="5" t="s">
        <v>890</v>
      </c>
      <c r="C65" s="6"/>
      <c r="D65" s="6">
        <v>80000</v>
      </c>
      <c r="E65" s="7">
        <f>IF(OR(C65&lt;&gt;0,D65&lt;&gt;0),SUM(C$3:C65)-SUM(D$3:D65),0)</f>
        <v>1277805</v>
      </c>
      <c r="F65" s="5"/>
      <c r="G65" s="28"/>
      <c r="H65" s="28"/>
      <c r="I65" s="28"/>
    </row>
    <row r="66" spans="1:9" ht="15.75" x14ac:dyDescent="0.25">
      <c r="A66" s="58"/>
      <c r="B66" s="5" t="s">
        <v>891</v>
      </c>
      <c r="C66" s="5"/>
      <c r="D66" s="6">
        <v>20000</v>
      </c>
      <c r="E66" s="7">
        <f>IF(OR(C66&lt;&gt;0,D66&lt;&gt;0),SUM(C$3:C66)-SUM(D$3:D66),0)</f>
        <v>1257805</v>
      </c>
      <c r="F66" s="5"/>
      <c r="G66" s="28"/>
      <c r="H66" s="28"/>
      <c r="I66" s="28"/>
    </row>
    <row r="67" spans="1:9" ht="15.75" x14ac:dyDescent="0.25">
      <c r="A67" s="56">
        <v>45449</v>
      </c>
      <c r="B67" s="5" t="s">
        <v>7</v>
      </c>
      <c r="C67" s="6">
        <v>250000</v>
      </c>
      <c r="D67" s="6"/>
      <c r="E67" s="7">
        <f>IF(OR(C67&lt;&gt;0,D67&lt;&gt;0),SUM(C$3:C67)-SUM(D$3:D67),0)</f>
        <v>1507805</v>
      </c>
      <c r="F67" s="5"/>
      <c r="G67" s="29">
        <f>1457400-E67</f>
        <v>-50405</v>
      </c>
      <c r="H67" s="28"/>
      <c r="I67" s="28"/>
    </row>
    <row r="68" spans="1:9" ht="15.75" x14ac:dyDescent="0.25">
      <c r="A68" s="57"/>
      <c r="B68" s="5" t="s">
        <v>7</v>
      </c>
      <c r="C68" s="6">
        <v>3600000</v>
      </c>
      <c r="D68" s="6"/>
      <c r="E68" s="7">
        <f>IF(OR(C68&lt;&gt;0,D68&lt;&gt;0),SUM(C$3:C68)-SUM(D$3:D68),0)</f>
        <v>5107805</v>
      </c>
      <c r="F68" s="19"/>
      <c r="G68" s="28"/>
      <c r="H68" s="28"/>
      <c r="I68" s="28"/>
    </row>
    <row r="69" spans="1:9" ht="15.75" x14ac:dyDescent="0.25">
      <c r="A69" s="57"/>
      <c r="B69" s="27" t="s">
        <v>892</v>
      </c>
      <c r="C69" s="6"/>
      <c r="D69" s="6">
        <v>370000</v>
      </c>
      <c r="E69" s="7">
        <f>IF(OR(C69&lt;&gt;0,D69&lt;&gt;0),SUM(C$3:C69)-SUM(D$3:D69),0)</f>
        <v>4737805</v>
      </c>
      <c r="F69" s="5"/>
      <c r="G69" s="28"/>
      <c r="H69" s="28"/>
      <c r="I69" s="28"/>
    </row>
    <row r="70" spans="1:9" ht="15.75" x14ac:dyDescent="0.25">
      <c r="A70" s="57"/>
      <c r="B70" s="5" t="s">
        <v>893</v>
      </c>
      <c r="C70" s="6"/>
      <c r="D70" s="6">
        <v>68350</v>
      </c>
      <c r="E70" s="7">
        <f>IF(OR(C70&lt;&gt;0,D70&lt;&gt;0),SUM(C$3:C70)-SUM(D$3:D70),0)</f>
        <v>4669455</v>
      </c>
      <c r="F70" s="5"/>
      <c r="G70" s="28"/>
      <c r="H70" s="28"/>
      <c r="I70" s="28"/>
    </row>
    <row r="71" spans="1:9" ht="15.75" x14ac:dyDescent="0.25">
      <c r="A71" s="57"/>
      <c r="B71" s="5" t="s">
        <v>894</v>
      </c>
      <c r="C71" s="6"/>
      <c r="D71" s="6">
        <v>100000</v>
      </c>
      <c r="E71" s="7">
        <f>IF(OR(C71&lt;&gt;0,D71&lt;&gt;0),SUM(C$3:C71)-SUM(D$3:D71),0)</f>
        <v>4569455</v>
      </c>
      <c r="F71" s="5"/>
      <c r="G71" s="28"/>
      <c r="H71" s="28"/>
      <c r="I71" s="28"/>
    </row>
    <row r="72" spans="1:9" ht="15.75" x14ac:dyDescent="0.25">
      <c r="A72" s="57"/>
      <c r="B72" s="5" t="s">
        <v>895</v>
      </c>
      <c r="C72" s="6"/>
      <c r="D72" s="6">
        <v>150000</v>
      </c>
      <c r="E72" s="7">
        <f>IF(OR(C72&lt;&gt;0,D72&lt;&gt;0),SUM(C$3:C72)-SUM(D$3:D72),0)</f>
        <v>4419455</v>
      </c>
      <c r="F72" s="5"/>
      <c r="G72" s="28"/>
      <c r="H72" s="28"/>
      <c r="I72" s="28"/>
    </row>
    <row r="73" spans="1:9" ht="15.75" x14ac:dyDescent="0.25">
      <c r="A73" s="57"/>
      <c r="B73" s="5" t="s">
        <v>896</v>
      </c>
      <c r="C73" s="6"/>
      <c r="D73" s="6">
        <v>2000000</v>
      </c>
      <c r="E73" s="7">
        <f>IF(OR(C73&lt;&gt;0,D73&lt;&gt;0),SUM(C$3:C73)-SUM(D$3:D73),0)</f>
        <v>2419455</v>
      </c>
      <c r="F73" s="5"/>
      <c r="G73" s="28"/>
      <c r="H73" s="28"/>
      <c r="I73" s="28"/>
    </row>
    <row r="74" spans="1:9" ht="15.75" x14ac:dyDescent="0.25">
      <c r="A74" s="58"/>
      <c r="B74" s="5" t="s">
        <v>133</v>
      </c>
      <c r="C74" s="6"/>
      <c r="D74" s="6">
        <v>353250</v>
      </c>
      <c r="E74" s="7">
        <f>IF(OR(C74&lt;&gt;0,D74&lt;&gt;0),SUM(C$3:C74)-SUM(D$3:D74),0)</f>
        <v>2066205</v>
      </c>
      <c r="F74" s="5"/>
      <c r="G74" s="28"/>
      <c r="H74" s="28"/>
      <c r="I74" s="28"/>
    </row>
    <row r="75" spans="1:9" ht="15.75" x14ac:dyDescent="0.25">
      <c r="A75" s="56">
        <v>45450</v>
      </c>
      <c r="B75" s="5" t="s">
        <v>902</v>
      </c>
      <c r="C75" s="6"/>
      <c r="D75" s="6">
        <v>33000</v>
      </c>
      <c r="E75" s="7">
        <f>IF(OR(C75&lt;&gt;0,D75&lt;&gt;0),SUM(C$3:C75)-SUM(D$3:D75),0)</f>
        <v>2033205</v>
      </c>
      <c r="F75" s="5"/>
      <c r="G75" s="28"/>
      <c r="H75" s="28"/>
      <c r="I75" s="28"/>
    </row>
    <row r="76" spans="1:9" ht="15.75" x14ac:dyDescent="0.25">
      <c r="A76" s="57"/>
      <c r="B76" s="5" t="s">
        <v>133</v>
      </c>
      <c r="C76" s="6"/>
      <c r="D76" s="6">
        <v>88063</v>
      </c>
      <c r="E76" s="7">
        <f>IF(OR(C76&lt;&gt;0,D76&lt;&gt;0),SUM(C$3:C76)-SUM(D$3:D76),0)</f>
        <v>1945142</v>
      </c>
      <c r="F76" s="5"/>
      <c r="G76" s="28"/>
      <c r="H76" s="28"/>
      <c r="I76" s="28"/>
    </row>
    <row r="77" spans="1:9" ht="15.75" x14ac:dyDescent="0.25">
      <c r="A77" s="57"/>
      <c r="B77" s="5" t="s">
        <v>903</v>
      </c>
      <c r="C77" s="6"/>
      <c r="D77" s="6">
        <v>15400</v>
      </c>
      <c r="E77" s="7">
        <f>IF(OR(C77&lt;&gt;0,D77&lt;&gt;0),SUM(C$3:C77)-SUM(D$3:D77),0)</f>
        <v>1929742</v>
      </c>
      <c r="F77" s="5"/>
      <c r="G77" s="28"/>
      <c r="H77" s="28"/>
      <c r="I77" s="28"/>
    </row>
    <row r="78" spans="1:9" ht="15.75" x14ac:dyDescent="0.25">
      <c r="A78" s="57"/>
      <c r="B78" s="5" t="s">
        <v>897</v>
      </c>
      <c r="C78" s="6"/>
      <c r="D78" s="6">
        <v>125000</v>
      </c>
      <c r="E78" s="7">
        <f>IF(OR(C78&lt;&gt;0,D78&lt;&gt;0),SUM(C$3:C78)-SUM(D$3:D78),0)</f>
        <v>1804742</v>
      </c>
      <c r="F78" s="19"/>
      <c r="G78" s="28"/>
      <c r="H78" s="28"/>
      <c r="I78" s="28"/>
    </row>
    <row r="79" spans="1:9" ht="15.75" x14ac:dyDescent="0.25">
      <c r="A79" s="57"/>
      <c r="B79" s="27" t="s">
        <v>898</v>
      </c>
      <c r="C79" s="6"/>
      <c r="D79" s="6">
        <v>150000</v>
      </c>
      <c r="E79" s="7">
        <f>IF(OR(C79&lt;&gt;0,D79&lt;&gt;0),SUM(C$3:C79)-SUM(D$3:D79),0)</f>
        <v>1654742</v>
      </c>
      <c r="F79" s="19"/>
      <c r="G79" s="28"/>
      <c r="H79" s="28"/>
      <c r="I79" s="28"/>
    </row>
    <row r="80" spans="1:9" ht="15.75" x14ac:dyDescent="0.25">
      <c r="A80" s="57"/>
      <c r="B80" s="27" t="s">
        <v>7</v>
      </c>
      <c r="C80" s="6">
        <v>300000</v>
      </c>
      <c r="D80" s="6"/>
      <c r="E80" s="7">
        <f>IF(OR(C80&lt;&gt;0,D80&lt;&gt;0),SUM(C$3:C80)-SUM(D$3:D80),0)</f>
        <v>1954742</v>
      </c>
      <c r="F80" s="19"/>
      <c r="G80" s="28"/>
      <c r="H80" s="28"/>
      <c r="I80" s="28">
        <f>27*5</f>
        <v>135</v>
      </c>
    </row>
    <row r="81" spans="1:9" ht="15.75" x14ac:dyDescent="0.25">
      <c r="A81" s="57"/>
      <c r="B81" s="27" t="s">
        <v>899</v>
      </c>
      <c r="C81" s="6"/>
      <c r="D81" s="6">
        <v>100000</v>
      </c>
      <c r="E81" s="7">
        <f>IF(OR(C81&lt;&gt;0,D81&lt;&gt;0),SUM(C$3:C81)-SUM(D$3:D81),0)</f>
        <v>1854742</v>
      </c>
      <c r="F81" s="5"/>
      <c r="G81" s="28"/>
      <c r="H81" s="28"/>
      <c r="I81" s="28"/>
    </row>
    <row r="82" spans="1:9" ht="15.75" x14ac:dyDescent="0.25">
      <c r="A82" s="57"/>
      <c r="B82" s="27" t="s">
        <v>900</v>
      </c>
      <c r="C82" s="6"/>
      <c r="D82" s="6">
        <v>200000</v>
      </c>
      <c r="E82" s="7">
        <f>IF(OR(C82&lt;&gt;0,D82&lt;&gt;0),SUM(C$3:C82)-SUM(D$3:D82),0)</f>
        <v>1654742</v>
      </c>
      <c r="F82" s="5"/>
      <c r="G82" s="28"/>
      <c r="H82" s="28"/>
      <c r="I82" s="28"/>
    </row>
    <row r="83" spans="1:9" ht="15.75" x14ac:dyDescent="0.25">
      <c r="A83" s="57"/>
      <c r="B83" s="5" t="s">
        <v>901</v>
      </c>
      <c r="C83" s="6"/>
      <c r="D83" s="6">
        <v>670000</v>
      </c>
      <c r="E83" s="7">
        <f>IF(OR(C83&lt;&gt;0,D83&lt;&gt;0),SUM(C$3:C83)-SUM(D$3:D83),0)</f>
        <v>984742</v>
      </c>
      <c r="F83" s="5"/>
      <c r="G83" s="28"/>
      <c r="H83" s="28"/>
      <c r="I83" s="28"/>
    </row>
    <row r="84" spans="1:9" ht="15.75" x14ac:dyDescent="0.25">
      <c r="A84" s="57"/>
      <c r="B84" s="5" t="s">
        <v>904</v>
      </c>
      <c r="C84" s="6"/>
      <c r="D84" s="6">
        <v>135000</v>
      </c>
      <c r="E84" s="7">
        <f>IF(OR(C84&lt;&gt;0,D84&lt;&gt;0),SUM(C$3:C84)-SUM(D$3:D84),0)</f>
        <v>849742</v>
      </c>
      <c r="F84" s="5"/>
      <c r="G84" s="28"/>
      <c r="H84" s="28"/>
      <c r="I84" s="28"/>
    </row>
    <row r="85" spans="1:9" ht="15.75" x14ac:dyDescent="0.25">
      <c r="A85" s="57"/>
      <c r="B85" s="5" t="s">
        <v>46</v>
      </c>
      <c r="C85" s="6"/>
      <c r="D85" s="6">
        <v>30000</v>
      </c>
      <c r="E85" s="7">
        <f>IF(OR(C85&lt;&gt;0,D85&lt;&gt;0),SUM(C$3:C85)-SUM(D$3:D85),0)</f>
        <v>819742</v>
      </c>
      <c r="F85" s="5"/>
      <c r="G85" s="28"/>
      <c r="H85" s="28"/>
      <c r="I85" s="28"/>
    </row>
    <row r="86" spans="1:9" ht="15.75" x14ac:dyDescent="0.25">
      <c r="A86" s="57"/>
      <c r="B86" s="5" t="s">
        <v>122</v>
      </c>
      <c r="C86" s="5"/>
      <c r="D86" s="6">
        <v>150000</v>
      </c>
      <c r="E86" s="7">
        <f>IF(OR(C86&lt;&gt;0,D86&lt;&gt;0),SUM(C$3:C86)-SUM(D$3:D86),0)</f>
        <v>669742</v>
      </c>
      <c r="F86" s="5"/>
      <c r="G86" s="28"/>
      <c r="H86" s="28"/>
      <c r="I86" s="28"/>
    </row>
    <row r="87" spans="1:9" ht="15.75" x14ac:dyDescent="0.25">
      <c r="A87" s="57"/>
      <c r="B87" s="5" t="s">
        <v>270</v>
      </c>
      <c r="C87" s="5"/>
      <c r="D87" s="6">
        <v>58600</v>
      </c>
      <c r="E87" s="7">
        <f>IF(OR(C87&lt;&gt;0,D87&lt;&gt;0),SUM(C$3:C87)-SUM(D$3:D87),0)</f>
        <v>611142</v>
      </c>
      <c r="F87" s="5"/>
      <c r="G87" s="28"/>
      <c r="H87" s="28"/>
      <c r="I87" s="28"/>
    </row>
    <row r="88" spans="1:9" ht="15.75" x14ac:dyDescent="0.25">
      <c r="A88" s="57"/>
      <c r="B88" s="5" t="s">
        <v>137</v>
      </c>
      <c r="C88" s="5"/>
      <c r="D88" s="6">
        <v>50000</v>
      </c>
      <c r="E88" s="7">
        <f>IF(OR(C88&lt;&gt;0,D88&lt;&gt;0),SUM(C$3:C88)-SUM(D$3:D88),0)</f>
        <v>561142</v>
      </c>
      <c r="F88" s="5"/>
      <c r="G88" s="28"/>
      <c r="H88" s="28"/>
      <c r="I88" s="28"/>
    </row>
    <row r="89" spans="1:9" ht="15.75" x14ac:dyDescent="0.25">
      <c r="A89" s="57"/>
      <c r="B89" s="5" t="s">
        <v>905</v>
      </c>
      <c r="C89" s="5"/>
      <c r="D89" s="6">
        <v>200000</v>
      </c>
      <c r="E89" s="7">
        <f>IF(OR(C89&lt;&gt;0,D89&lt;&gt;0),SUM(C$3:C89)-SUM(D$3:D89),0)</f>
        <v>361142</v>
      </c>
      <c r="F89" s="5"/>
      <c r="G89" s="28"/>
      <c r="H89" s="28"/>
      <c r="I89" s="28"/>
    </row>
    <row r="90" spans="1:9" ht="15.75" x14ac:dyDescent="0.25">
      <c r="A90" s="57"/>
      <c r="B90" s="5" t="s">
        <v>906</v>
      </c>
      <c r="C90" s="5"/>
      <c r="D90" s="6">
        <v>47197</v>
      </c>
      <c r="E90" s="7">
        <f>IF(OR(C90&lt;&gt;0,D90&lt;&gt;0),SUM(C$3:C90)-SUM(D$3:D90),0)</f>
        <v>313945</v>
      </c>
      <c r="F90" s="5"/>
      <c r="G90" s="28"/>
      <c r="H90" s="28"/>
      <c r="I90" s="28"/>
    </row>
    <row r="91" spans="1:9" ht="15.75" x14ac:dyDescent="0.25">
      <c r="A91" s="57"/>
      <c r="B91" s="5" t="s">
        <v>7</v>
      </c>
      <c r="C91" s="6">
        <v>1090000</v>
      </c>
      <c r="D91" s="5"/>
      <c r="E91" s="7">
        <f>IF(OR(C91&lt;&gt;0,D91&lt;&gt;0),SUM(C$3:C91)-SUM(D$3:D91),0)</f>
        <v>1403945</v>
      </c>
      <c r="F91" s="5"/>
      <c r="G91" s="28"/>
      <c r="H91" s="28"/>
      <c r="I91" s="28"/>
    </row>
    <row r="92" spans="1:9" ht="15.75" x14ac:dyDescent="0.25">
      <c r="A92" s="57"/>
      <c r="B92" s="5" t="s">
        <v>714</v>
      </c>
      <c r="C92" s="5"/>
      <c r="D92" s="6">
        <v>100000</v>
      </c>
      <c r="E92" s="7">
        <f>IF(OR(C92&lt;&gt;0,D92&lt;&gt;0),SUM(C$3:C92)-SUM(D$3:D92),0)</f>
        <v>1303945</v>
      </c>
      <c r="F92" s="5"/>
      <c r="G92" s="28"/>
      <c r="H92" s="28"/>
      <c r="I92" s="28"/>
    </row>
    <row r="93" spans="1:9" ht="15.75" x14ac:dyDescent="0.25">
      <c r="A93" s="58"/>
      <c r="B93" s="5" t="s">
        <v>911</v>
      </c>
      <c r="C93" s="5"/>
      <c r="D93" s="6">
        <v>14000</v>
      </c>
      <c r="E93" s="7">
        <f>IF(OR(C93&lt;&gt;0,D93&lt;&gt;0),SUM(C$3:C93)-SUM(D$3:D93),0)</f>
        <v>1289945</v>
      </c>
      <c r="F93" s="5"/>
      <c r="G93" s="28"/>
      <c r="H93" s="28"/>
      <c r="I93" s="28"/>
    </row>
    <row r="94" spans="1:9" ht="15.75" x14ac:dyDescent="0.25">
      <c r="A94" s="59">
        <v>45451</v>
      </c>
      <c r="B94" s="5" t="s">
        <v>748</v>
      </c>
      <c r="C94" s="5"/>
      <c r="D94" s="6">
        <v>200000</v>
      </c>
      <c r="E94" s="7">
        <f>IF(OR(C94&lt;&gt;0,D94&lt;&gt;0),SUM(C$3:C94)-SUM(D$3:D94),0)</f>
        <v>1089945</v>
      </c>
      <c r="F94" s="5"/>
      <c r="G94" s="28"/>
      <c r="H94" s="28"/>
      <c r="I94" s="28"/>
    </row>
    <row r="95" spans="1:9" ht="15.75" x14ac:dyDescent="0.25">
      <c r="A95" s="59"/>
      <c r="B95" s="5" t="s">
        <v>907</v>
      </c>
      <c r="C95" s="5"/>
      <c r="D95" s="6">
        <v>4000</v>
      </c>
      <c r="E95" s="7">
        <f>IF(OR(C95&lt;&gt;0,D95&lt;&gt;0),SUM(C$3:C95)-SUM(D$3:D95),0)</f>
        <v>1085945</v>
      </c>
      <c r="F95" s="5"/>
      <c r="G95" s="28"/>
      <c r="H95" s="28"/>
      <c r="I95" s="28"/>
    </row>
    <row r="96" spans="1:9" ht="15.75" x14ac:dyDescent="0.25">
      <c r="A96" s="59"/>
      <c r="B96" s="5" t="s">
        <v>920</v>
      </c>
      <c r="C96" s="5"/>
      <c r="D96" s="6">
        <v>55000</v>
      </c>
      <c r="E96" s="7">
        <f>IF(OR(C96&lt;&gt;0,D96&lt;&gt;0),SUM(C$3:C96)-SUM(D$3:D96),0)</f>
        <v>1030945</v>
      </c>
      <c r="F96" s="5"/>
      <c r="G96" s="28"/>
      <c r="H96" s="28"/>
      <c r="I96" s="28"/>
    </row>
    <row r="97" spans="1:9" ht="15.75" x14ac:dyDescent="0.25">
      <c r="A97" s="59"/>
      <c r="B97" s="5" t="s">
        <v>908</v>
      </c>
      <c r="C97" s="5"/>
      <c r="D97" s="6">
        <v>240000</v>
      </c>
      <c r="E97" s="7">
        <f>IF(OR(C97&lt;&gt;0,D97&lt;&gt;0),SUM(C$3:C97)-SUM(D$3:D97),0)</f>
        <v>790945</v>
      </c>
      <c r="F97" s="5"/>
      <c r="G97" s="28"/>
      <c r="H97" s="28"/>
      <c r="I97" s="28"/>
    </row>
    <row r="98" spans="1:9" ht="15.75" x14ac:dyDescent="0.25">
      <c r="A98" s="59"/>
      <c r="B98" s="5" t="s">
        <v>909</v>
      </c>
      <c r="C98" s="5"/>
      <c r="D98" s="6">
        <v>41500</v>
      </c>
      <c r="E98" s="7">
        <f>IF(OR(C98&lt;&gt;0,D98&lt;&gt;0),SUM(C$3:C98)-SUM(D$3:D98),0)</f>
        <v>749445</v>
      </c>
      <c r="F98" s="5"/>
      <c r="G98" s="28"/>
      <c r="H98" s="28"/>
      <c r="I98" s="28"/>
    </row>
    <row r="99" spans="1:9" ht="15.75" x14ac:dyDescent="0.25">
      <c r="A99" s="59"/>
      <c r="B99" s="5" t="s">
        <v>58</v>
      </c>
      <c r="C99" s="5"/>
      <c r="D99" s="6">
        <v>2000</v>
      </c>
      <c r="E99" s="7">
        <f>IF(OR(C99&lt;&gt;0,D99&lt;&gt;0),SUM(C$3:C99)-SUM(D$3:D99),0)</f>
        <v>747445</v>
      </c>
      <c r="F99" s="5"/>
      <c r="G99" s="28"/>
      <c r="H99" s="28"/>
      <c r="I99" s="28"/>
    </row>
    <row r="100" spans="1:9" ht="15.75" x14ac:dyDescent="0.25">
      <c r="A100" s="59"/>
      <c r="B100" s="5" t="s">
        <v>910</v>
      </c>
      <c r="C100" s="5"/>
      <c r="D100" s="6">
        <v>10000</v>
      </c>
      <c r="E100" s="7">
        <f>IF(OR(C100&lt;&gt;0,D100&lt;&gt;0),SUM(C$3:C100)-SUM(D$3:D100),0)</f>
        <v>737445</v>
      </c>
      <c r="F100" s="5"/>
      <c r="G100" s="29">
        <f>584000-E100</f>
        <v>-153445</v>
      </c>
      <c r="H100" s="28" t="s">
        <v>912</v>
      </c>
      <c r="I100" s="28"/>
    </row>
    <row r="101" spans="1:9" ht="15.75" x14ac:dyDescent="0.25">
      <c r="A101" s="59"/>
      <c r="B101" s="5" t="s">
        <v>913</v>
      </c>
      <c r="C101" s="5"/>
      <c r="D101" s="6">
        <v>65000</v>
      </c>
      <c r="E101" s="7">
        <f>IF(OR(C101&lt;&gt;0,D101&lt;&gt;0),SUM(C$3:C101)-SUM(D$3:D101),0)</f>
        <v>672445</v>
      </c>
      <c r="F101" s="5"/>
      <c r="G101" s="28"/>
      <c r="H101" s="28"/>
      <c r="I101" s="28"/>
    </row>
    <row r="102" spans="1:9" ht="15.75" x14ac:dyDescent="0.25">
      <c r="A102" s="59"/>
      <c r="B102" s="5" t="s">
        <v>914</v>
      </c>
      <c r="C102" s="5"/>
      <c r="D102" s="6">
        <v>10000</v>
      </c>
      <c r="E102" s="7">
        <f>IF(OR(C102&lt;&gt;0,D102&lt;&gt;0),SUM(C$3:C102)-SUM(D$3:D102),0)</f>
        <v>662445</v>
      </c>
      <c r="F102" s="5"/>
      <c r="G102" s="28"/>
      <c r="H102" s="28"/>
      <c r="I102" s="28"/>
    </row>
    <row r="103" spans="1:9" ht="15.75" x14ac:dyDescent="0.25">
      <c r="A103" s="59"/>
      <c r="B103" s="5" t="s">
        <v>7</v>
      </c>
      <c r="C103" s="6">
        <v>2649000</v>
      </c>
      <c r="D103" s="6"/>
      <c r="E103" s="7">
        <f>IF(OR(C103&lt;&gt;0,D103&lt;&gt;0),SUM(C$3:C103)-SUM(D$3:D103),0)</f>
        <v>3311445</v>
      </c>
      <c r="F103" s="5"/>
      <c r="G103" s="28"/>
      <c r="H103" s="28"/>
      <c r="I103" s="28"/>
    </row>
    <row r="104" spans="1:9" ht="15.75" x14ac:dyDescent="0.25">
      <c r="A104" s="59"/>
      <c r="B104" s="5" t="s">
        <v>915</v>
      </c>
      <c r="C104" s="5"/>
      <c r="D104" s="6">
        <v>50000</v>
      </c>
      <c r="E104" s="7">
        <f>IF(OR(C104&lt;&gt;0,D104&lt;&gt;0),SUM(C$3:C104)-SUM(D$3:D104),0)</f>
        <v>3261445</v>
      </c>
      <c r="F104" s="5"/>
      <c r="G104" s="28"/>
      <c r="H104" s="28"/>
      <c r="I104" s="28"/>
    </row>
    <row r="105" spans="1:9" ht="15.75" x14ac:dyDescent="0.25">
      <c r="A105" s="59"/>
      <c r="B105" s="5" t="s">
        <v>916</v>
      </c>
      <c r="C105" s="5"/>
      <c r="D105" s="6">
        <v>50000</v>
      </c>
      <c r="E105" s="7">
        <f>IF(OR(C105&lt;&gt;0,D105&lt;&gt;0),SUM(C$3:C105)-SUM(D$3:D105),0)</f>
        <v>3211445</v>
      </c>
      <c r="F105" s="5"/>
      <c r="G105" s="28"/>
      <c r="H105" s="28"/>
      <c r="I105" s="28"/>
    </row>
    <row r="106" spans="1:9" ht="15.75" x14ac:dyDescent="0.25">
      <c r="A106" s="59"/>
      <c r="B106" s="5" t="s">
        <v>917</v>
      </c>
      <c r="C106" s="5"/>
      <c r="D106" s="6">
        <v>2549000</v>
      </c>
      <c r="E106" s="7">
        <f>IF(OR(C106&lt;&gt;0,D106&lt;&gt;0),SUM(C$3:C106)-SUM(D$3:D106),0)</f>
        <v>662445</v>
      </c>
      <c r="F106" s="5"/>
      <c r="G106" s="28"/>
      <c r="H106" s="28"/>
      <c r="I106" s="28"/>
    </row>
    <row r="107" spans="1:9" ht="15.75" x14ac:dyDescent="0.25">
      <c r="A107" s="59"/>
      <c r="B107" s="5" t="s">
        <v>918</v>
      </c>
      <c r="C107" s="5"/>
      <c r="D107" s="6">
        <v>150000</v>
      </c>
      <c r="E107" s="7">
        <f>IF(OR(C107&lt;&gt;0,D107&lt;&gt;0),SUM(C$3:C107)-SUM(D$3:D107),0)</f>
        <v>512445</v>
      </c>
      <c r="F107" s="5"/>
      <c r="G107" s="28"/>
      <c r="H107" s="28"/>
      <c r="I107" s="28"/>
    </row>
    <row r="108" spans="1:9" ht="15.75" x14ac:dyDescent="0.25">
      <c r="A108" s="56">
        <v>45453</v>
      </c>
      <c r="B108" s="5" t="s">
        <v>919</v>
      </c>
      <c r="C108" s="5"/>
      <c r="D108" s="6">
        <v>150000</v>
      </c>
      <c r="E108" s="7">
        <f>IF(OR(C108&lt;&gt;0,D108&lt;&gt;0),SUM(C$3:C108)-SUM(D$3:D108),0)</f>
        <v>362445</v>
      </c>
      <c r="F108" s="5"/>
      <c r="G108" s="29">
        <f>220000-E108</f>
        <v>-142445</v>
      </c>
      <c r="H108" s="28"/>
      <c r="I108" s="28"/>
    </row>
    <row r="109" spans="1:9" ht="15.75" x14ac:dyDescent="0.25">
      <c r="A109" s="57"/>
      <c r="B109" s="5" t="s">
        <v>921</v>
      </c>
      <c r="C109" s="5"/>
      <c r="D109" s="6">
        <v>16700</v>
      </c>
      <c r="E109" s="7">
        <f>IF(OR(C109&lt;&gt;0,D109&lt;&gt;0),SUM(C$3:C109)-SUM(D$3:D109),0)</f>
        <v>345745</v>
      </c>
      <c r="F109" s="5"/>
      <c r="G109" s="28"/>
      <c r="H109" s="28"/>
      <c r="I109" s="28"/>
    </row>
    <row r="110" spans="1:9" ht="15.75" x14ac:dyDescent="0.25">
      <c r="A110" s="57"/>
      <c r="B110" s="5" t="s">
        <v>922</v>
      </c>
      <c r="C110" s="5"/>
      <c r="D110" s="6">
        <v>30000</v>
      </c>
      <c r="E110" s="7">
        <f>IF(OR(C110&lt;&gt;0,D110&lt;&gt;0),SUM(C$3:C110)-SUM(D$3:D110),0)</f>
        <v>315745</v>
      </c>
      <c r="F110" s="5"/>
      <c r="G110" s="28"/>
      <c r="H110" s="28"/>
      <c r="I110" s="28"/>
    </row>
    <row r="111" spans="1:9" ht="15.75" x14ac:dyDescent="0.25">
      <c r="A111" s="57"/>
      <c r="B111" s="5" t="s">
        <v>235</v>
      </c>
      <c r="C111" s="5"/>
      <c r="D111" s="6">
        <v>20000</v>
      </c>
      <c r="E111" s="7">
        <f>IF(OR(C111&lt;&gt;0,D111&lt;&gt;0),SUM(C$3:C111)-SUM(D$3:D111),0)</f>
        <v>295745</v>
      </c>
      <c r="F111" s="5"/>
      <c r="G111" s="29">
        <f>196500-E111</f>
        <v>-99245</v>
      </c>
      <c r="H111" s="28"/>
      <c r="I111" s="28"/>
    </row>
    <row r="112" spans="1:9" ht="15.75" x14ac:dyDescent="0.25">
      <c r="A112" s="57"/>
      <c r="B112" s="5" t="s">
        <v>923</v>
      </c>
      <c r="C112" s="5"/>
      <c r="D112" s="6">
        <v>33000</v>
      </c>
      <c r="E112" s="7">
        <f>IF(OR(C112&lt;&gt;0,D112&lt;&gt;0),SUM(C$3:C112)-SUM(D$3:D112),0)</f>
        <v>262745</v>
      </c>
      <c r="F112" s="5"/>
      <c r="G112" s="29">
        <f>196500-E112</f>
        <v>-66245</v>
      </c>
      <c r="H112" s="28">
        <f>41400-66700</f>
        <v>-25300</v>
      </c>
      <c r="I112" s="28"/>
    </row>
    <row r="113" spans="1:9" ht="15.75" x14ac:dyDescent="0.25">
      <c r="A113" s="57"/>
      <c r="B113" s="5" t="s">
        <v>7</v>
      </c>
      <c r="C113" s="6">
        <v>200000</v>
      </c>
      <c r="D113" s="6"/>
      <c r="E113" s="7">
        <f>IF(OR(C113&lt;&gt;0,D113&lt;&gt;0),SUM(C$3:C113)-SUM(D$3:D113),0)</f>
        <v>462745</v>
      </c>
      <c r="F113" s="5"/>
      <c r="G113" s="29"/>
      <c r="H113" s="28"/>
      <c r="I113" s="28"/>
    </row>
    <row r="114" spans="1:9" ht="15.75" x14ac:dyDescent="0.25">
      <c r="A114" s="58"/>
      <c r="B114" s="5" t="s">
        <v>27</v>
      </c>
      <c r="C114" s="5"/>
      <c r="D114" s="6">
        <v>300000</v>
      </c>
      <c r="E114" s="7">
        <f>IF(OR(C114&lt;&gt;0,D114&lt;&gt;0),SUM(C$3:C114)-SUM(D$3:D114),0)</f>
        <v>162745</v>
      </c>
      <c r="F114" s="5"/>
      <c r="G114" s="28"/>
      <c r="H114" s="28"/>
      <c r="I114" s="28"/>
    </row>
    <row r="115" spans="1:9" ht="15.75" x14ac:dyDescent="0.25">
      <c r="A115" s="59">
        <v>45454</v>
      </c>
      <c r="B115" s="5" t="s">
        <v>924</v>
      </c>
      <c r="C115" s="6">
        <f>102500+950000</f>
        <v>1052500</v>
      </c>
      <c r="D115" s="6"/>
      <c r="E115" s="7">
        <f>IF(OR(C115&lt;&gt;0,D115&lt;&gt;0),SUM(C$3:C115)-SUM(D$3:D115),0)</f>
        <v>1215245</v>
      </c>
      <c r="F115" s="5"/>
      <c r="G115" s="28"/>
      <c r="H115" s="28"/>
      <c r="I115" s="28"/>
    </row>
    <row r="116" spans="1:9" ht="15.75" x14ac:dyDescent="0.25">
      <c r="A116" s="59"/>
      <c r="B116" s="5" t="s">
        <v>122</v>
      </c>
      <c r="C116" s="5"/>
      <c r="D116" s="6">
        <v>100000</v>
      </c>
      <c r="E116" s="7">
        <f>IF(OR(C116&lt;&gt;0,D116&lt;&gt;0),SUM(C$3:C116)-SUM(D$3:D116),0)</f>
        <v>1115245</v>
      </c>
      <c r="F116" s="5"/>
      <c r="G116" s="28"/>
      <c r="H116" s="28"/>
      <c r="I116" s="28"/>
    </row>
    <row r="117" spans="1:9" ht="15.75" x14ac:dyDescent="0.25">
      <c r="A117" s="59"/>
      <c r="B117" s="5" t="s">
        <v>739</v>
      </c>
      <c r="C117" s="5"/>
      <c r="D117" s="6">
        <v>2500</v>
      </c>
      <c r="E117" s="7">
        <f>IF(OR(C117&lt;&gt;0,D117&lt;&gt;0),SUM(C$3:C117)-SUM(D$3:D117),0)</f>
        <v>1112745</v>
      </c>
      <c r="F117" s="5"/>
      <c r="G117" s="28"/>
      <c r="H117" s="28"/>
      <c r="I117" s="28"/>
    </row>
    <row r="118" spans="1:9" ht="15.75" x14ac:dyDescent="0.25">
      <c r="A118" s="59"/>
      <c r="B118" s="5" t="s">
        <v>925</v>
      </c>
      <c r="C118" s="5"/>
      <c r="D118" s="6">
        <v>15000</v>
      </c>
      <c r="E118" s="7">
        <f>IF(OR(C118&lt;&gt;0,D118&lt;&gt;0),SUM(C$3:C118)-SUM(D$3:D118),0)</f>
        <v>1097745</v>
      </c>
      <c r="F118" s="5"/>
      <c r="G118" s="28"/>
      <c r="H118" s="28"/>
      <c r="I118" s="28"/>
    </row>
    <row r="119" spans="1:9" ht="15.75" x14ac:dyDescent="0.25">
      <c r="A119" s="59"/>
      <c r="B119" s="5" t="s">
        <v>926</v>
      </c>
      <c r="C119" s="6"/>
      <c r="D119" s="6">
        <v>500000</v>
      </c>
      <c r="E119" s="7">
        <f>IF(OR(C119&lt;&gt;0,D119&lt;&gt;0),SUM(C$3:C119)-SUM(D$3:D119),0)</f>
        <v>597745</v>
      </c>
      <c r="F119" s="5"/>
      <c r="G119" s="28"/>
      <c r="H119" s="28"/>
      <c r="I119" s="28"/>
    </row>
    <row r="120" spans="1:9" ht="15.75" x14ac:dyDescent="0.25">
      <c r="A120" s="59"/>
      <c r="B120" s="5" t="s">
        <v>927</v>
      </c>
      <c r="C120" s="5"/>
      <c r="D120" s="6">
        <v>450000</v>
      </c>
      <c r="E120" s="7">
        <f>IF(OR(C120&lt;&gt;0,D120&lt;&gt;0),SUM(C$3:C120)-SUM(D$3:D120),0)</f>
        <v>147745</v>
      </c>
      <c r="F120" s="5"/>
      <c r="G120" s="28"/>
      <c r="H120" s="28"/>
      <c r="I120" s="28"/>
    </row>
    <row r="121" spans="1:9" ht="15.75" x14ac:dyDescent="0.25">
      <c r="A121" s="59"/>
      <c r="B121" s="5" t="s">
        <v>7</v>
      </c>
      <c r="C121" s="6">
        <v>1070000</v>
      </c>
      <c r="D121" s="6"/>
      <c r="E121" s="7">
        <f>IF(OR(C121&lt;&gt;0,D121&lt;&gt;0),SUM(C$3:C121)-SUM(D$3:D121),0)</f>
        <v>1217745</v>
      </c>
      <c r="F121" s="5"/>
      <c r="G121" s="29"/>
      <c r="H121" s="28"/>
      <c r="I121" s="28"/>
    </row>
    <row r="122" spans="1:9" ht="15.75" x14ac:dyDescent="0.25">
      <c r="A122" s="59"/>
      <c r="B122" s="5" t="s">
        <v>929</v>
      </c>
      <c r="C122" s="5"/>
      <c r="D122" s="6">
        <v>141000</v>
      </c>
      <c r="E122" s="7">
        <f>IF(OR(C122&lt;&gt;0,D122&lt;&gt;0),SUM(C$3:C122)-SUM(D$3:D122),0)</f>
        <v>1076745</v>
      </c>
      <c r="F122" s="5"/>
      <c r="G122" s="28"/>
      <c r="H122" s="28"/>
      <c r="I122" s="28"/>
    </row>
    <row r="123" spans="1:9" ht="15.75" x14ac:dyDescent="0.25">
      <c r="A123" s="59"/>
      <c r="B123" s="5" t="s">
        <v>928</v>
      </c>
      <c r="C123" s="5"/>
      <c r="D123" s="6">
        <v>31500</v>
      </c>
      <c r="E123" s="7">
        <f>IF(OR(C123&lt;&gt;0,D123&lt;&gt;0),SUM(C$3:C123)-SUM(D$3:D123),0)</f>
        <v>1045245</v>
      </c>
      <c r="F123" s="5"/>
      <c r="G123" s="28"/>
      <c r="H123" s="28"/>
      <c r="I123" s="28"/>
    </row>
    <row r="124" spans="1:9" ht="15.75" x14ac:dyDescent="0.25">
      <c r="A124" s="59"/>
      <c r="B124" s="5" t="s">
        <v>930</v>
      </c>
      <c r="C124" s="5"/>
      <c r="D124" s="6">
        <v>200000</v>
      </c>
      <c r="E124" s="7">
        <f>IF(OR(C124&lt;&gt;0,D124&lt;&gt;0),SUM(C$3:C124)-SUM(D$3:D124),0)</f>
        <v>845245</v>
      </c>
      <c r="F124" s="5"/>
      <c r="G124" s="28"/>
      <c r="H124" s="28"/>
      <c r="I124" s="28"/>
    </row>
    <row r="125" spans="1:9" ht="15.75" x14ac:dyDescent="0.25">
      <c r="A125" s="59"/>
      <c r="B125" s="5" t="s">
        <v>931</v>
      </c>
      <c r="C125" s="5"/>
      <c r="D125" s="6">
        <v>25000</v>
      </c>
      <c r="E125" s="7">
        <f>IF(OR(C125&lt;&gt;0,D125&lt;&gt;0),SUM(C$3:C125)-SUM(D$3:D125),0)</f>
        <v>820245</v>
      </c>
      <c r="F125" s="5"/>
      <c r="G125" s="29">
        <f>670000+88500-E125</f>
        <v>-61745</v>
      </c>
      <c r="H125" s="28"/>
      <c r="I125" s="28"/>
    </row>
    <row r="126" spans="1:9" ht="15.75" x14ac:dyDescent="0.25">
      <c r="A126" s="59">
        <v>45455</v>
      </c>
      <c r="B126" s="5" t="s">
        <v>7</v>
      </c>
      <c r="C126" s="6">
        <v>900000</v>
      </c>
      <c r="D126" s="6"/>
      <c r="E126" s="7">
        <f>IF(OR(C126&lt;&gt;0,D126&lt;&gt;0),SUM(C$3:C126)-SUM(D$3:D126),0)</f>
        <v>1720245</v>
      </c>
      <c r="F126" s="5"/>
      <c r="G126" s="28"/>
      <c r="H126" s="28"/>
      <c r="I126" s="28"/>
    </row>
    <row r="127" spans="1:9" ht="15.75" x14ac:dyDescent="0.25">
      <c r="A127" s="59"/>
      <c r="B127" s="5" t="s">
        <v>152</v>
      </c>
      <c r="C127" s="5"/>
      <c r="D127" s="6">
        <v>211800</v>
      </c>
      <c r="E127" s="7">
        <f>IF(OR(C127&lt;&gt;0,D127&lt;&gt;0),SUM(C$3:C127)-SUM(D$3:D127),0)</f>
        <v>1508445</v>
      </c>
      <c r="F127" s="5"/>
      <c r="G127" s="28"/>
      <c r="H127" s="28"/>
      <c r="I127" s="28"/>
    </row>
    <row r="128" spans="1:9" ht="15.75" x14ac:dyDescent="0.25">
      <c r="A128" s="59"/>
      <c r="B128" s="5" t="s">
        <v>715</v>
      </c>
      <c r="C128" s="6"/>
      <c r="D128" s="6">
        <v>52000</v>
      </c>
      <c r="E128" s="7">
        <f>IF(OR(C128&lt;&gt;0,D128&lt;&gt;0),SUM(C$3:C128)-SUM(D$3:D128),0)</f>
        <v>1456445</v>
      </c>
      <c r="F128" s="5"/>
      <c r="G128" s="28"/>
      <c r="H128" s="28"/>
      <c r="I128" s="28"/>
    </row>
    <row r="129" spans="1:9" ht="15.75" x14ac:dyDescent="0.25">
      <c r="A129" s="59"/>
      <c r="B129" s="5" t="s">
        <v>643</v>
      </c>
      <c r="C129" s="5"/>
      <c r="D129" s="6">
        <v>69500</v>
      </c>
      <c r="E129" s="7">
        <f>IF(OR(C129&lt;&gt;0,D129&lt;&gt;0),SUM(C$3:C129)-SUM(D$3:D129),0)</f>
        <v>1386945</v>
      </c>
      <c r="F129" s="5"/>
      <c r="G129" s="29" t="e">
        <f>#REF!-D127-D128-D129</f>
        <v>#REF!</v>
      </c>
      <c r="H129" s="28"/>
      <c r="I129" s="28"/>
    </row>
    <row r="130" spans="1:9" ht="15.75" x14ac:dyDescent="0.25">
      <c r="A130" s="59"/>
      <c r="B130" s="5" t="s">
        <v>7</v>
      </c>
      <c r="C130" s="6">
        <v>1125000</v>
      </c>
      <c r="D130" s="6"/>
      <c r="E130" s="7">
        <f>IF(OR(C130&lt;&gt;0,D130&lt;&gt;0),SUM(C$3:C130)-SUM(D$3:D130),0)</f>
        <v>2511945</v>
      </c>
      <c r="F130" s="5"/>
      <c r="G130" s="28"/>
      <c r="H130" s="28"/>
      <c r="I130" s="28"/>
    </row>
    <row r="131" spans="1:9" ht="15.75" x14ac:dyDescent="0.25">
      <c r="A131" s="59"/>
      <c r="B131" s="5" t="s">
        <v>680</v>
      </c>
      <c r="C131" s="5"/>
      <c r="D131" s="6">
        <v>232000</v>
      </c>
      <c r="E131" s="7">
        <f>IF(OR(C131&lt;&gt;0,D131&lt;&gt;0),SUM(C$3:C131)-SUM(D$3:D131),0)</f>
        <v>2279945</v>
      </c>
      <c r="F131" s="5"/>
      <c r="G131" s="28"/>
      <c r="H131" s="28"/>
      <c r="I131" s="28"/>
    </row>
    <row r="132" spans="1:9" ht="15.75" x14ac:dyDescent="0.25">
      <c r="A132" s="59"/>
      <c r="B132" s="5" t="s">
        <v>932</v>
      </c>
      <c r="C132" s="5"/>
      <c r="D132" s="6">
        <v>80000</v>
      </c>
      <c r="E132" s="7">
        <f>IF(OR(C132&lt;&gt;0,D132&lt;&gt;0),SUM(C$3:C132)-SUM(D$3:D132),0)</f>
        <v>2199945</v>
      </c>
      <c r="F132" s="5"/>
      <c r="G132" s="28">
        <f>312000-600000</f>
        <v>-288000</v>
      </c>
      <c r="H132" s="28"/>
      <c r="I132" s="28"/>
    </row>
    <row r="133" spans="1:9" ht="15.75" x14ac:dyDescent="0.25">
      <c r="A133" s="59"/>
      <c r="B133" s="5" t="s">
        <v>14</v>
      </c>
      <c r="C133" s="5"/>
      <c r="D133" s="6">
        <v>30000</v>
      </c>
      <c r="E133" s="7">
        <f>IF(OR(C133&lt;&gt;0,D133&lt;&gt;0),SUM(C$3:C133)-SUM(D$3:D133),0)</f>
        <v>2169945</v>
      </c>
      <c r="F133" s="5"/>
      <c r="G133" s="29">
        <f>1918000-E133</f>
        <v>-251945</v>
      </c>
      <c r="H133" s="28"/>
      <c r="I133" s="28"/>
    </row>
    <row r="134" spans="1:9" ht="15.75" x14ac:dyDescent="0.25">
      <c r="A134" s="56">
        <v>45456</v>
      </c>
      <c r="B134" s="5" t="s">
        <v>7</v>
      </c>
      <c r="C134" s="6">
        <v>1100000</v>
      </c>
      <c r="D134" s="6"/>
      <c r="E134" s="7">
        <f>IF(OR(C134&lt;&gt;0,D134&lt;&gt;0),SUM(C$3:C134)-SUM(D$3:D134),0)</f>
        <v>3269945</v>
      </c>
      <c r="F134" s="5"/>
      <c r="G134" s="29"/>
      <c r="H134" s="28"/>
      <c r="I134" s="28"/>
    </row>
    <row r="135" spans="1:9" ht="15.75" x14ac:dyDescent="0.25">
      <c r="A135" s="57"/>
      <c r="B135" s="5" t="s">
        <v>933</v>
      </c>
      <c r="C135" s="5"/>
      <c r="D135" s="6">
        <v>200000</v>
      </c>
      <c r="E135" s="7">
        <f>IF(OR(C135&lt;&gt;0,D135&lt;&gt;0),SUM(C$3:C135)-SUM(D$3:D135),0)</f>
        <v>3069945</v>
      </c>
      <c r="F135" s="5"/>
      <c r="G135" s="28"/>
      <c r="H135" s="28"/>
      <c r="I135" s="28"/>
    </row>
    <row r="136" spans="1:9" ht="15.75" x14ac:dyDescent="0.25">
      <c r="A136" s="57"/>
      <c r="B136" s="5" t="s">
        <v>934</v>
      </c>
      <c r="C136" s="5"/>
      <c r="D136" s="6">
        <v>200000</v>
      </c>
      <c r="E136" s="7">
        <f>IF(OR(C136&lt;&gt;0,D136&lt;&gt;0),SUM(C$3:C136)-SUM(D$3:D136),0)</f>
        <v>2869945</v>
      </c>
      <c r="F136" s="5"/>
      <c r="G136" s="28"/>
      <c r="H136" s="28"/>
      <c r="I136" s="28"/>
    </row>
    <row r="137" spans="1:9" ht="15.75" x14ac:dyDescent="0.25">
      <c r="A137" s="57"/>
      <c r="B137" s="5" t="s">
        <v>707</v>
      </c>
      <c r="C137" s="6"/>
      <c r="D137" s="6">
        <v>100000</v>
      </c>
      <c r="E137" s="7">
        <f>IF(OR(C137&lt;&gt;0,D137&lt;&gt;0),SUM(C$3:C137)-SUM(D$3:D137),0)</f>
        <v>2769945</v>
      </c>
      <c r="F137" s="5"/>
      <c r="G137" s="28"/>
      <c r="H137" s="28"/>
      <c r="I137" s="28"/>
    </row>
    <row r="138" spans="1:9" ht="15.75" x14ac:dyDescent="0.25">
      <c r="A138" s="57"/>
      <c r="B138" s="5" t="s">
        <v>622</v>
      </c>
      <c r="C138" s="6"/>
      <c r="D138" s="6">
        <v>100000</v>
      </c>
      <c r="E138" s="7">
        <f>IF(OR(C138&lt;&gt;0,D138&lt;&gt;0),SUM(C$3:C138)-SUM(D$3:D138),0)</f>
        <v>2669945</v>
      </c>
      <c r="F138" s="5"/>
      <c r="G138" s="28"/>
      <c r="H138" s="28"/>
      <c r="I138" s="28"/>
    </row>
    <row r="139" spans="1:9" ht="15.75" x14ac:dyDescent="0.25">
      <c r="A139" s="57"/>
      <c r="B139" s="5" t="s">
        <v>935</v>
      </c>
      <c r="C139" s="5"/>
      <c r="D139" s="6">
        <v>300000</v>
      </c>
      <c r="E139" s="7">
        <f>IF(OR(C139&lt;&gt;0,D139&lt;&gt;0),SUM(C$3:C139)-SUM(D$3:D139),0)</f>
        <v>2369945</v>
      </c>
      <c r="F139" s="5"/>
      <c r="G139" s="28"/>
      <c r="H139" s="28"/>
      <c r="I139" s="28"/>
    </row>
    <row r="140" spans="1:9" ht="15.75" x14ac:dyDescent="0.25">
      <c r="A140" s="57"/>
      <c r="B140" s="5" t="s">
        <v>936</v>
      </c>
      <c r="C140" s="5"/>
      <c r="D140" s="6">
        <v>50000</v>
      </c>
      <c r="E140" s="7">
        <f>IF(OR(C140&lt;&gt;0,D140&lt;&gt;0),SUM(C$3:C140)-SUM(D$3:D140),0)</f>
        <v>2319945</v>
      </c>
      <c r="F140" s="5"/>
      <c r="G140" s="28"/>
      <c r="H140" s="28"/>
      <c r="I140" s="28"/>
    </row>
    <row r="141" spans="1:9" ht="15.75" x14ac:dyDescent="0.25">
      <c r="A141" s="57"/>
      <c r="B141" s="5" t="s">
        <v>937</v>
      </c>
      <c r="C141" s="5"/>
      <c r="D141" s="6">
        <v>15000</v>
      </c>
      <c r="E141" s="7">
        <f>IF(OR(C141&lt;&gt;0,D141&lt;&gt;0),SUM(C$3:C141)-SUM(D$3:D141),0)</f>
        <v>2304945</v>
      </c>
      <c r="F141" s="5"/>
      <c r="G141" s="28"/>
      <c r="H141" s="28" t="s">
        <v>72</v>
      </c>
      <c r="I141" s="28"/>
    </row>
    <row r="142" spans="1:9" ht="15.75" x14ac:dyDescent="0.25">
      <c r="A142" s="57"/>
      <c r="B142" s="5" t="s">
        <v>938</v>
      </c>
      <c r="C142" s="5"/>
      <c r="D142" s="6">
        <v>16500</v>
      </c>
      <c r="E142" s="7">
        <f>IF(OR(C142&lt;&gt;0,D142&lt;&gt;0),SUM(C$3:C142)-SUM(D$3:D142),0)</f>
        <v>2288445</v>
      </c>
      <c r="F142" s="5"/>
      <c r="G142" s="29">
        <f>2183000-E142</f>
        <v>-105445</v>
      </c>
      <c r="H142" s="28"/>
      <c r="I142" s="28"/>
    </row>
    <row r="143" spans="1:9" ht="15.75" x14ac:dyDescent="0.25">
      <c r="A143" s="57"/>
      <c r="B143" s="5" t="s">
        <v>7</v>
      </c>
      <c r="C143" s="6">
        <v>1000000</v>
      </c>
      <c r="D143" s="6"/>
      <c r="E143" s="7">
        <f>IF(OR(C143&lt;&gt;0,D143&lt;&gt;0),SUM(C$3:C143)-SUM(D$3:D143),0)</f>
        <v>3288445</v>
      </c>
      <c r="F143" s="5"/>
      <c r="G143" s="29"/>
      <c r="H143" s="28"/>
      <c r="I143" s="28"/>
    </row>
    <row r="144" spans="1:9" ht="15.75" x14ac:dyDescent="0.25">
      <c r="A144" s="57"/>
      <c r="B144" s="5" t="s">
        <v>939</v>
      </c>
      <c r="C144" s="5"/>
      <c r="D144" s="6">
        <v>835700</v>
      </c>
      <c r="E144" s="7">
        <f>IF(OR(C144&lt;&gt;0,D144&lt;&gt;0),SUM(C$3:C144)-SUM(D$3:D144),0)</f>
        <v>2452745</v>
      </c>
      <c r="F144" s="5"/>
      <c r="G144" s="28"/>
      <c r="H144" s="28"/>
      <c r="I144" s="28"/>
    </row>
    <row r="145" spans="1:9" ht="15.75" x14ac:dyDescent="0.25">
      <c r="A145" s="57"/>
      <c r="B145" s="5" t="s">
        <v>940</v>
      </c>
      <c r="C145" s="5"/>
      <c r="D145" s="6">
        <v>1000</v>
      </c>
      <c r="E145" s="7">
        <f>IF(OR(C145&lt;&gt;0,D145&lt;&gt;0),SUM(C$3:C145)-SUM(D$3:D145),0)</f>
        <v>2451745</v>
      </c>
      <c r="F145" s="5"/>
      <c r="G145" s="28"/>
      <c r="H145" s="28"/>
      <c r="I145" s="28"/>
    </row>
    <row r="146" spans="1:9" ht="15.75" x14ac:dyDescent="0.25">
      <c r="A146" s="57"/>
      <c r="B146" s="5" t="s">
        <v>948</v>
      </c>
      <c r="C146" s="5"/>
      <c r="D146" s="6">
        <v>50000</v>
      </c>
      <c r="E146" s="7">
        <f>IF(OR(C146&lt;&gt;0,D146&lt;&gt;0),SUM(C$3:C146)-SUM(D$3:D146),0)</f>
        <v>2401745</v>
      </c>
      <c r="F146" s="5"/>
      <c r="G146" s="28"/>
      <c r="H146" s="28"/>
      <c r="I146" s="28"/>
    </row>
    <row r="147" spans="1:9" ht="15.75" x14ac:dyDescent="0.25">
      <c r="A147" s="57"/>
      <c r="B147" s="5" t="s">
        <v>941</v>
      </c>
      <c r="C147" s="5"/>
      <c r="D147" s="6">
        <v>491985</v>
      </c>
      <c r="E147" s="7">
        <f>IF(OR(C147&lt;&gt;0,D147&lt;&gt;0),SUM(C$3:C147)-SUM(D$3:D147),0)</f>
        <v>1909760</v>
      </c>
      <c r="F147" s="5"/>
      <c r="G147" s="28"/>
      <c r="H147" s="28"/>
      <c r="I147" s="28"/>
    </row>
    <row r="148" spans="1:9" ht="15.75" x14ac:dyDescent="0.25">
      <c r="A148" s="57"/>
      <c r="B148" s="5" t="s">
        <v>942</v>
      </c>
      <c r="C148" s="5"/>
      <c r="D148" s="6">
        <v>69000</v>
      </c>
      <c r="E148" s="7">
        <f>IF(OR(C148&lt;&gt;0,D148&lt;&gt;0),SUM(C$3:C148)-SUM(D$3:D148),0)</f>
        <v>1840760</v>
      </c>
      <c r="F148" s="5"/>
      <c r="G148" s="28"/>
      <c r="H148" s="28"/>
      <c r="I148" s="28"/>
    </row>
    <row r="149" spans="1:9" ht="15.75" x14ac:dyDescent="0.25">
      <c r="A149" s="57"/>
      <c r="B149" s="5" t="s">
        <v>943</v>
      </c>
      <c r="C149" s="5"/>
      <c r="D149" s="6">
        <v>116550</v>
      </c>
      <c r="E149" s="7">
        <f>IF(OR(C149&lt;&gt;0,D149&lt;&gt;0),SUM(C$3:C149)-SUM(D$3:D149),0)</f>
        <v>1724210</v>
      </c>
      <c r="F149" s="5"/>
      <c r="G149" s="28"/>
      <c r="H149" s="28"/>
      <c r="I149" s="28"/>
    </row>
    <row r="150" spans="1:9" ht="15.75" x14ac:dyDescent="0.25">
      <c r="A150" s="57"/>
      <c r="B150" s="5" t="s">
        <v>944</v>
      </c>
      <c r="C150" s="5"/>
      <c r="D150" s="6">
        <v>55500</v>
      </c>
      <c r="E150" s="7">
        <f>IF(OR(C150&lt;&gt;0,D150&lt;&gt;0),SUM(C$3:C150)-SUM(D$3:D150),0)</f>
        <v>1668710</v>
      </c>
      <c r="F150" s="5"/>
      <c r="G150" s="28"/>
      <c r="H150" s="28"/>
      <c r="I150" s="28"/>
    </row>
    <row r="151" spans="1:9" ht="15.75" x14ac:dyDescent="0.25">
      <c r="A151" s="57"/>
      <c r="B151" s="5" t="s">
        <v>945</v>
      </c>
      <c r="C151" s="5"/>
      <c r="D151" s="6">
        <v>1221500</v>
      </c>
      <c r="E151" s="7">
        <f>IF(OR(C151&lt;&gt;0,D151&lt;&gt;0),SUM(C$3:C151)-SUM(D$3:D151),0)</f>
        <v>447210</v>
      </c>
      <c r="F151" s="5"/>
      <c r="G151" s="28"/>
      <c r="H151" s="28"/>
      <c r="I151" s="28"/>
    </row>
    <row r="152" spans="1:9" ht="15.75" x14ac:dyDescent="0.25">
      <c r="A152" s="57"/>
      <c r="B152" s="5" t="s">
        <v>940</v>
      </c>
      <c r="C152" s="5"/>
      <c r="D152" s="6">
        <v>1000</v>
      </c>
      <c r="E152" s="7">
        <f>IF(OR(C152&lt;&gt;0,D152&lt;&gt;0),SUM(C$3:C152)-SUM(D$3:D152),0)</f>
        <v>446210</v>
      </c>
      <c r="F152" s="5"/>
      <c r="G152" s="28"/>
      <c r="H152" s="28"/>
      <c r="I152" s="28"/>
    </row>
    <row r="153" spans="1:9" ht="15.75" x14ac:dyDescent="0.25">
      <c r="A153" s="57"/>
      <c r="B153" s="5" t="s">
        <v>946</v>
      </c>
      <c r="C153" s="5"/>
      <c r="D153" s="6">
        <v>15000</v>
      </c>
      <c r="E153" s="7">
        <f>IF(OR(C153&lt;&gt;0,D153&lt;&gt;0),SUM(C$3:C153)-SUM(D$3:D153),0)</f>
        <v>431210</v>
      </c>
      <c r="F153" s="5"/>
      <c r="G153" s="28"/>
      <c r="H153" s="28"/>
      <c r="I153" s="28"/>
    </row>
    <row r="154" spans="1:9" ht="15.75" x14ac:dyDescent="0.25">
      <c r="A154" s="57"/>
      <c r="B154" s="5" t="s">
        <v>943</v>
      </c>
      <c r="C154" s="5"/>
      <c r="D154" s="6">
        <v>225000</v>
      </c>
      <c r="E154" s="7">
        <f>IF(OR(C154&lt;&gt;0,D154&lt;&gt;0),SUM(C$3:C154)-SUM(D$3:D154),0)</f>
        <v>206210</v>
      </c>
      <c r="F154" s="5"/>
      <c r="G154" s="28"/>
      <c r="H154" s="28"/>
      <c r="I154" s="28"/>
    </row>
    <row r="155" spans="1:9" ht="15.75" x14ac:dyDescent="0.25">
      <c r="A155" s="57"/>
      <c r="B155" s="5" t="s">
        <v>678</v>
      </c>
      <c r="C155" s="5"/>
      <c r="D155" s="6">
        <v>68000</v>
      </c>
      <c r="E155" s="7">
        <f>IF(OR(C155&lt;&gt;0,D155&lt;&gt;0),SUM(C$3:C155)-SUM(D$3:D155),0)</f>
        <v>138210</v>
      </c>
      <c r="F155" s="5"/>
      <c r="G155" s="28"/>
      <c r="H155" s="28"/>
      <c r="I155" s="28"/>
    </row>
    <row r="156" spans="1:9" ht="15.75" x14ac:dyDescent="0.25">
      <c r="A156" s="57"/>
      <c r="B156" s="5" t="s">
        <v>43</v>
      </c>
      <c r="C156" s="5"/>
      <c r="D156" s="6">
        <v>100000</v>
      </c>
      <c r="E156" s="7">
        <f>IF(OR(C156&lt;&gt;0,D156&lt;&gt;0),SUM(C$3:C156)-SUM(D$3:D156),0)</f>
        <v>38210</v>
      </c>
      <c r="F156" s="5"/>
      <c r="G156" s="28"/>
      <c r="H156" s="28"/>
      <c r="I156" s="28"/>
    </row>
    <row r="157" spans="1:9" ht="15.75" x14ac:dyDescent="0.25">
      <c r="A157" s="57"/>
      <c r="B157" s="5" t="s">
        <v>947</v>
      </c>
      <c r="C157" s="5"/>
      <c r="D157" s="6">
        <v>50000</v>
      </c>
      <c r="E157" s="7">
        <f>IF(OR(C157&lt;&gt;0,D157&lt;&gt;0),SUM(C$3:C157)-SUM(D$3:D157),0)</f>
        <v>-11790</v>
      </c>
      <c r="F157" s="5"/>
      <c r="G157" s="28"/>
      <c r="H157" s="28"/>
      <c r="I157" s="28"/>
    </row>
    <row r="158" spans="1:9" ht="15.75" x14ac:dyDescent="0.25">
      <c r="A158" s="57"/>
      <c r="B158" s="5" t="s">
        <v>949</v>
      </c>
      <c r="C158" s="5"/>
      <c r="D158" s="6">
        <v>24000</v>
      </c>
      <c r="E158" s="7">
        <f>IF(OR(C158&lt;&gt;0,D158&lt;&gt;0),SUM(C$3:C158)-SUM(D$3:D158),0)</f>
        <v>-35790</v>
      </c>
      <c r="F158" s="5"/>
      <c r="G158" s="28"/>
      <c r="H158" s="28"/>
      <c r="I158" s="28"/>
    </row>
    <row r="159" spans="1:9" ht="15.75" x14ac:dyDescent="0.25">
      <c r="A159" s="57"/>
      <c r="B159" s="5" t="s">
        <v>950</v>
      </c>
      <c r="C159" s="5"/>
      <c r="D159" s="6">
        <v>23500</v>
      </c>
      <c r="E159" s="7">
        <f>IF(OR(C159&lt;&gt;0,D159&lt;&gt;0),SUM(C$3:C159)-SUM(D$3:D159),0)</f>
        <v>-59290</v>
      </c>
      <c r="F159" s="5"/>
      <c r="G159" s="28"/>
      <c r="H159" s="28"/>
      <c r="I159" s="28" t="s">
        <v>951</v>
      </c>
    </row>
    <row r="160" spans="1:9" ht="15.75" x14ac:dyDescent="0.25">
      <c r="A160" s="57"/>
      <c r="B160" s="5" t="s">
        <v>937</v>
      </c>
      <c r="C160" s="5"/>
      <c r="D160" s="6">
        <v>7000</v>
      </c>
      <c r="E160" s="7">
        <f>IF(OR(C160&lt;&gt;0,D160&lt;&gt;0),SUM(C$3:C160)-SUM(D$3:D160),0)</f>
        <v>-66290</v>
      </c>
      <c r="F160" s="5"/>
      <c r="G160" s="28"/>
      <c r="H160" s="29">
        <f>SUM(D144:D160)</f>
        <v>3354735</v>
      </c>
      <c r="I160" s="29">
        <f>1000000-H160</f>
        <v>-2354735</v>
      </c>
    </row>
    <row r="161" spans="1:9" ht="15.75" x14ac:dyDescent="0.25">
      <c r="A161" s="57"/>
      <c r="B161" s="5" t="s">
        <v>7</v>
      </c>
      <c r="C161" s="6">
        <v>2354735</v>
      </c>
      <c r="D161" s="5"/>
      <c r="E161" s="7">
        <f>IF(OR(C161&lt;&gt;0,D161&lt;&gt;0),SUM(C$3:C161)-SUM(D$3:D161),0)</f>
        <v>2288445</v>
      </c>
      <c r="F161" s="5"/>
      <c r="G161" s="28"/>
      <c r="H161" s="28"/>
      <c r="I161" s="28"/>
    </row>
    <row r="162" spans="1:9" ht="15.75" x14ac:dyDescent="0.25">
      <c r="A162" s="58"/>
      <c r="B162" s="5" t="s">
        <v>952</v>
      </c>
      <c r="C162" s="6"/>
      <c r="D162" s="6">
        <v>112000</v>
      </c>
      <c r="E162" s="7">
        <f>IF(OR(C162&lt;&gt;0,D162&lt;&gt;0),SUM(C$3:C162)-SUM(D$3:D162),0)</f>
        <v>2176445</v>
      </c>
      <c r="F162" s="5"/>
      <c r="G162" s="29"/>
      <c r="H162" s="28"/>
      <c r="I162" s="28"/>
    </row>
    <row r="163" spans="1:9" ht="15.75" x14ac:dyDescent="0.25">
      <c r="A163" s="56">
        <v>45457</v>
      </c>
      <c r="B163" s="5" t="s">
        <v>720</v>
      </c>
      <c r="C163" s="6"/>
      <c r="D163" s="6">
        <v>42000</v>
      </c>
      <c r="E163" s="7">
        <f>IF(OR(C163&lt;&gt;0,D163&lt;&gt;0),SUM(C$3:C163)-SUM(D$3:D163),0)</f>
        <v>2134445</v>
      </c>
      <c r="F163" s="5"/>
      <c r="G163" s="28"/>
      <c r="H163" s="28"/>
      <c r="I163" s="28">
        <v>2354735</v>
      </c>
    </row>
    <row r="164" spans="1:9" ht="15.75" x14ac:dyDescent="0.25">
      <c r="A164" s="57"/>
      <c r="B164" s="5" t="s">
        <v>953</v>
      </c>
      <c r="C164" s="5"/>
      <c r="D164" s="6">
        <v>161000</v>
      </c>
      <c r="E164" s="7">
        <f>IF(OR(C164&lt;&gt;0,D164&lt;&gt;0),SUM(C$3:C164)-SUM(D$3:D164),0)</f>
        <v>1973445</v>
      </c>
      <c r="F164" s="5"/>
      <c r="G164" s="28"/>
      <c r="H164" s="28"/>
      <c r="I164" s="28"/>
    </row>
    <row r="165" spans="1:9" ht="15.75" x14ac:dyDescent="0.25">
      <c r="A165" s="57"/>
      <c r="B165" s="5" t="s">
        <v>954</v>
      </c>
      <c r="C165" s="5"/>
      <c r="D165" s="6">
        <v>6000</v>
      </c>
      <c r="E165" s="7">
        <f>IF(OR(C165&lt;&gt;0,D165&lt;&gt;0),SUM(C$3:C165)-SUM(D$3:D165),0)</f>
        <v>1967445</v>
      </c>
      <c r="F165" s="5"/>
      <c r="G165" s="28"/>
      <c r="H165" s="28"/>
      <c r="I165" s="28"/>
    </row>
    <row r="166" spans="1:9" ht="15.75" x14ac:dyDescent="0.25">
      <c r="A166" s="57"/>
      <c r="B166" s="5" t="s">
        <v>955</v>
      </c>
      <c r="C166" s="6"/>
      <c r="D166" s="6">
        <v>141000</v>
      </c>
      <c r="E166" s="7">
        <f>IF(OR(C166&lt;&gt;0,D166&lt;&gt;0),SUM(C$3:C166)-SUM(D$3:D166),0)</f>
        <v>1826445</v>
      </c>
      <c r="F166" s="5"/>
      <c r="G166" s="28"/>
      <c r="H166" s="28"/>
      <c r="I166" s="28"/>
    </row>
    <row r="167" spans="1:9" ht="15.75" x14ac:dyDescent="0.25">
      <c r="A167" s="57"/>
      <c r="B167" s="5" t="s">
        <v>16</v>
      </c>
      <c r="C167" s="5"/>
      <c r="D167" s="6">
        <v>75000</v>
      </c>
      <c r="E167" s="7">
        <f>IF(OR(C167&lt;&gt;0,D167&lt;&gt;0),SUM(C$3:C167)-SUM(D$3:D167),0)</f>
        <v>1751445</v>
      </c>
      <c r="F167" s="5"/>
      <c r="G167" s="28"/>
      <c r="H167" s="28"/>
      <c r="I167" s="28"/>
    </row>
    <row r="168" spans="1:9" ht="15.75" x14ac:dyDescent="0.25">
      <c r="A168" s="58"/>
      <c r="B168" s="5" t="s">
        <v>875</v>
      </c>
      <c r="C168" s="5"/>
      <c r="D168" s="6">
        <v>15000</v>
      </c>
      <c r="E168" s="7">
        <f>IF(OR(C168&lt;&gt;0,D168&lt;&gt;0),SUM(C$3:C168)-SUM(D$3:D168),0)</f>
        <v>1736445</v>
      </c>
      <c r="F168" s="5"/>
      <c r="G168" s="29">
        <f>1746500-E168</f>
        <v>10055</v>
      </c>
      <c r="H168" s="28"/>
      <c r="I168" s="28"/>
    </row>
    <row r="169" spans="1:9" ht="15.75" x14ac:dyDescent="0.25">
      <c r="A169" s="56">
        <v>45458</v>
      </c>
      <c r="B169" s="5" t="s">
        <v>327</v>
      </c>
      <c r="C169" s="6"/>
      <c r="D169" s="6">
        <v>135000</v>
      </c>
      <c r="E169" s="7">
        <f>IF(OR(C169&lt;&gt;0,D169&lt;&gt;0),SUM(C$3:C169)-SUM(D$3:D169),0)</f>
        <v>1601445</v>
      </c>
      <c r="F169" s="5"/>
      <c r="G169" s="28"/>
      <c r="H169" s="28"/>
      <c r="I169" s="28"/>
    </row>
    <row r="170" spans="1:9" ht="15.75" x14ac:dyDescent="0.25">
      <c r="A170" s="57"/>
      <c r="B170" s="5" t="s">
        <v>892</v>
      </c>
      <c r="C170" s="5"/>
      <c r="D170" s="6">
        <v>370000</v>
      </c>
      <c r="E170" s="7">
        <f>IF(OR(C170&lt;&gt;0,D170&lt;&gt;0),SUM(C$3:C170)-SUM(D$3:D170),0)</f>
        <v>1231445</v>
      </c>
      <c r="F170" s="5"/>
      <c r="G170" s="28"/>
      <c r="H170" s="28"/>
      <c r="I170" s="28"/>
    </row>
    <row r="171" spans="1:9" ht="15.75" x14ac:dyDescent="0.25">
      <c r="A171" s="57"/>
      <c r="B171" s="5" t="s">
        <v>46</v>
      </c>
      <c r="C171" s="5"/>
      <c r="D171" s="6">
        <v>30000</v>
      </c>
      <c r="E171" s="7">
        <f>IF(OR(C171&lt;&gt;0,D171&lt;&gt;0),SUM(C$3:C171)-SUM(D$3:D171),0)</f>
        <v>1201445</v>
      </c>
      <c r="F171" s="5"/>
      <c r="G171" s="28"/>
      <c r="H171" s="28"/>
      <c r="I171" s="28"/>
    </row>
    <row r="172" spans="1:9" ht="15.75" x14ac:dyDescent="0.25">
      <c r="A172" s="57"/>
      <c r="B172" s="5" t="s">
        <v>960</v>
      </c>
      <c r="C172" s="6"/>
      <c r="D172" s="6">
        <v>9000</v>
      </c>
      <c r="E172" s="7">
        <f>IF(OR(C172&lt;&gt;0,D172&lt;&gt;0),SUM(C$3:C172)-SUM(D$3:D172),0)</f>
        <v>1192445</v>
      </c>
      <c r="F172" s="5"/>
      <c r="G172" s="28"/>
      <c r="H172" s="29"/>
      <c r="I172" s="28"/>
    </row>
    <row r="173" spans="1:9" ht="15.75" x14ac:dyDescent="0.25">
      <c r="A173" s="57"/>
      <c r="B173" s="5" t="s">
        <v>76</v>
      </c>
      <c r="C173" s="5"/>
      <c r="D173" s="6">
        <v>30000</v>
      </c>
      <c r="E173" s="7">
        <f>IF(OR(C173&lt;&gt;0,D173&lt;&gt;0),SUM(C$3:C173)-SUM(D$3:D173),0)</f>
        <v>1162445</v>
      </c>
      <c r="F173" s="5"/>
      <c r="G173" s="28"/>
      <c r="H173" s="28"/>
      <c r="I173" s="28"/>
    </row>
    <row r="174" spans="1:9" ht="15.75" x14ac:dyDescent="0.25">
      <c r="A174" s="57"/>
      <c r="B174" s="5" t="s">
        <v>678</v>
      </c>
      <c r="C174" s="5"/>
      <c r="D174" s="6">
        <v>20000</v>
      </c>
      <c r="E174" s="7">
        <f>IF(OR(C174&lt;&gt;0,D174&lt;&gt;0),SUM(C$3:C174)-SUM(D$3:D174),0)</f>
        <v>1142445</v>
      </c>
      <c r="F174" s="5"/>
      <c r="G174" s="28"/>
      <c r="H174" s="28"/>
      <c r="I174" s="28"/>
    </row>
    <row r="175" spans="1:9" ht="15.75" x14ac:dyDescent="0.25">
      <c r="A175" s="58"/>
      <c r="B175" s="5" t="s">
        <v>961</v>
      </c>
      <c r="C175" s="5"/>
      <c r="D175" s="6">
        <v>100000</v>
      </c>
      <c r="E175" s="7">
        <f>IF(OR(C175&lt;&gt;0,D175&lt;&gt;0),SUM(C$3:C175)-SUM(D$3:D175),0)</f>
        <v>1042445</v>
      </c>
      <c r="F175" s="5"/>
      <c r="G175" s="28"/>
      <c r="H175" s="28"/>
      <c r="I175" s="28"/>
    </row>
    <row r="176" spans="1:9" ht="15.75" x14ac:dyDescent="0.25">
      <c r="A176" s="56">
        <v>45459</v>
      </c>
      <c r="B176" s="5" t="s">
        <v>964</v>
      </c>
      <c r="C176" s="6">
        <v>286640</v>
      </c>
      <c r="D176" s="6"/>
      <c r="E176" s="7">
        <f>IF(OR(C176&lt;&gt;0,D176&lt;&gt;0),SUM(C$3:C176)-SUM(D$3:D176),0)</f>
        <v>1329085</v>
      </c>
      <c r="F176" s="5"/>
      <c r="G176" s="28"/>
      <c r="H176" s="28"/>
      <c r="I176" s="28"/>
    </row>
    <row r="177" spans="1:13" ht="15.75" x14ac:dyDescent="0.25">
      <c r="A177" s="57"/>
      <c r="B177" s="5" t="s">
        <v>287</v>
      </c>
      <c r="C177" s="5"/>
      <c r="D177" s="6">
        <v>100000</v>
      </c>
      <c r="E177" s="7">
        <f>IF(OR(C177&lt;&gt;0,D177&lt;&gt;0),SUM(C$3:C177)-SUM(D$3:D177),0)</f>
        <v>1229085</v>
      </c>
      <c r="F177" s="5"/>
      <c r="G177" s="28"/>
      <c r="H177" s="28"/>
      <c r="I177" s="28"/>
    </row>
    <row r="178" spans="1:13" ht="15.75" x14ac:dyDescent="0.25">
      <c r="A178" s="57"/>
      <c r="B178" s="5" t="s">
        <v>962</v>
      </c>
      <c r="C178" s="5"/>
      <c r="D178" s="6">
        <v>316000</v>
      </c>
      <c r="E178" s="7">
        <f>IF(OR(C178&lt;&gt;0,D178&lt;&gt;0),SUM(C$3:C178)-SUM(D$3:D178),0)</f>
        <v>913085</v>
      </c>
      <c r="F178" s="5"/>
      <c r="G178" s="28"/>
      <c r="H178" s="29" cm="1">
        <f t="array" ref="H178:H179">I181:I182-250000</f>
        <v>-250000</v>
      </c>
      <c r="I178" s="28"/>
    </row>
    <row r="179" spans="1:13" ht="15.75" x14ac:dyDescent="0.25">
      <c r="A179" s="57"/>
      <c r="B179" s="5" t="s">
        <v>963</v>
      </c>
      <c r="C179" s="6"/>
      <c r="D179" s="6">
        <v>6000</v>
      </c>
      <c r="E179" s="7">
        <f>IF(OR(C179&lt;&gt;0,D179&lt;&gt;0),SUM(C$3:C179)-SUM(D$3:D179),0)</f>
        <v>907085</v>
      </c>
      <c r="F179" s="5"/>
      <c r="G179" s="28"/>
      <c r="H179" s="28">
        <v>-250000</v>
      </c>
      <c r="I179" s="28"/>
    </row>
    <row r="180" spans="1:13" ht="15.75" x14ac:dyDescent="0.25">
      <c r="A180" s="57"/>
      <c r="B180" s="5" t="s">
        <v>923</v>
      </c>
      <c r="C180" s="5"/>
      <c r="D180" s="6">
        <v>20400</v>
      </c>
      <c r="E180" s="7">
        <f>IF(OR(C180&lt;&gt;0,D180&lt;&gt;0),SUM(C$3:C180)-SUM(D$3:D180),0)</f>
        <v>886685</v>
      </c>
      <c r="F180" s="5"/>
      <c r="G180" s="28"/>
      <c r="H180" s="28"/>
      <c r="I180" s="28"/>
    </row>
    <row r="181" spans="1:13" ht="15.75" x14ac:dyDescent="0.25">
      <c r="A181" s="57"/>
      <c r="B181" s="5" t="s">
        <v>152</v>
      </c>
      <c r="C181" s="5"/>
      <c r="D181" s="6">
        <v>126700</v>
      </c>
      <c r="E181" s="7">
        <f>IF(OR(C181&lt;&gt;0,D181&lt;&gt;0),SUM(C$3:C181)-SUM(D$3:D181),0)</f>
        <v>759985</v>
      </c>
      <c r="F181" s="5"/>
      <c r="G181" s="29">
        <f>665000+8500-E181</f>
        <v>-86485</v>
      </c>
      <c r="H181" s="28"/>
      <c r="I181" s="28"/>
    </row>
    <row r="182" spans="1:13" ht="15.75" x14ac:dyDescent="0.25">
      <c r="A182" s="58"/>
      <c r="B182" s="5" t="s">
        <v>763</v>
      </c>
      <c r="C182" s="5"/>
      <c r="D182" s="6">
        <v>300000</v>
      </c>
      <c r="E182" s="7">
        <f>IF(OR(C182&lt;&gt;0,D182&lt;&gt;0),SUM(C$3:C182)-SUM(D$3:D182),0)</f>
        <v>459985</v>
      </c>
      <c r="F182" s="5"/>
      <c r="G182" s="28"/>
      <c r="H182" s="28"/>
      <c r="I182" s="28"/>
    </row>
    <row r="183" spans="1:13" ht="15.75" x14ac:dyDescent="0.25">
      <c r="A183" s="56">
        <v>45461</v>
      </c>
      <c r="B183" s="5" t="s">
        <v>7</v>
      </c>
      <c r="C183" s="6">
        <v>2100000</v>
      </c>
      <c r="D183" s="6"/>
      <c r="E183" s="7">
        <f>IF(OR(C183&lt;&gt;0,D183&lt;&gt;0),SUM(C$3:C183)-SUM(D$3:D183),0)</f>
        <v>2559985</v>
      </c>
      <c r="F183" s="5"/>
      <c r="G183" s="28"/>
      <c r="H183" s="28"/>
      <c r="I183" s="28"/>
    </row>
    <row r="184" spans="1:13" ht="15.75" x14ac:dyDescent="0.25">
      <c r="A184" s="57"/>
      <c r="B184" s="5" t="s">
        <v>972</v>
      </c>
      <c r="C184" s="5"/>
      <c r="D184" s="6">
        <v>204200</v>
      </c>
      <c r="E184" s="7">
        <f>IF(OR(C184&lt;&gt;0,D184&lt;&gt;0),SUM(C$3:C184)-SUM(D$3:D184),0)</f>
        <v>2355785</v>
      </c>
      <c r="F184" s="5"/>
      <c r="G184" s="28"/>
      <c r="H184" s="28"/>
      <c r="I184" s="28"/>
    </row>
    <row r="185" spans="1:13" ht="15.75" x14ac:dyDescent="0.25">
      <c r="A185" s="57"/>
      <c r="B185" s="5" t="s">
        <v>970</v>
      </c>
      <c r="C185" s="6"/>
      <c r="D185" s="6">
        <v>208000</v>
      </c>
      <c r="E185" s="7">
        <f>IF(OR(C185&lt;&gt;0,D185&lt;&gt;0),SUM(C$3:C185)-SUM(D$3:D185),0)</f>
        <v>2147785</v>
      </c>
      <c r="F185" s="5"/>
      <c r="G185" s="28"/>
      <c r="H185" s="28"/>
      <c r="I185" s="28"/>
    </row>
    <row r="186" spans="1:13" ht="15.75" x14ac:dyDescent="0.25">
      <c r="A186" s="57"/>
      <c r="B186" s="5" t="s">
        <v>971</v>
      </c>
      <c r="C186" s="5"/>
      <c r="D186" s="6">
        <v>13000</v>
      </c>
      <c r="E186" s="7">
        <f>IF(OR(C186&lt;&gt;0,D186&lt;&gt;0),SUM(C$3:C186)-SUM(D$3:D186),0)</f>
        <v>2134785</v>
      </c>
      <c r="F186" s="5"/>
      <c r="G186" s="28"/>
      <c r="H186" s="28"/>
      <c r="I186" s="28"/>
    </row>
    <row r="187" spans="1:13" ht="15.75" x14ac:dyDescent="0.25">
      <c r="A187" s="57"/>
      <c r="B187" s="5" t="s">
        <v>978</v>
      </c>
      <c r="C187" s="5"/>
      <c r="D187" s="6">
        <f>17000*3</f>
        <v>51000</v>
      </c>
      <c r="E187" s="7">
        <f>IF(OR(C187&lt;&gt;0,D187&lt;&gt;0),SUM(C$3:C187)-SUM(D$3:D187),0)</f>
        <v>2083785</v>
      </c>
      <c r="F187" s="5"/>
      <c r="G187" s="28"/>
      <c r="H187" s="28"/>
      <c r="I187" s="28"/>
    </row>
    <row r="188" spans="1:13" ht="15.75" x14ac:dyDescent="0.25">
      <c r="A188" s="58"/>
      <c r="B188" s="5" t="s">
        <v>979</v>
      </c>
      <c r="C188" s="5"/>
      <c r="D188" s="6">
        <v>25000</v>
      </c>
      <c r="E188" s="7">
        <f>IF(OR(C188&lt;&gt;0,D188&lt;&gt;0),SUM(C$3:C188)-SUM(D$3:D188),0)</f>
        <v>2058785</v>
      </c>
      <c r="F188" s="5"/>
      <c r="G188" s="28"/>
      <c r="H188" s="28"/>
      <c r="I188" s="28"/>
    </row>
    <row r="189" spans="1:13" ht="15.75" x14ac:dyDescent="0.25">
      <c r="A189" s="56">
        <v>45462</v>
      </c>
      <c r="B189" s="5" t="s">
        <v>974</v>
      </c>
      <c r="C189" s="6"/>
      <c r="D189" s="6">
        <v>90500</v>
      </c>
      <c r="E189" s="7">
        <f>IF(OR(C189&lt;&gt;0,D189&lt;&gt;0),SUM(C$3:C189)-SUM(D$3:D189),0)</f>
        <v>1968285</v>
      </c>
      <c r="F189" s="5"/>
      <c r="G189" s="28" t="s">
        <v>973</v>
      </c>
      <c r="H189" s="28"/>
      <c r="I189" s="28"/>
    </row>
    <row r="190" spans="1:13" ht="15.75" x14ac:dyDescent="0.25">
      <c r="A190" s="57"/>
      <c r="B190" s="5" t="s">
        <v>974</v>
      </c>
      <c r="C190" s="5"/>
      <c r="D190" s="6">
        <v>65000</v>
      </c>
      <c r="E190" s="7">
        <f>IF(OR(C190&lt;&gt;0,D190&lt;&gt;0),SUM(C$3:C190)-SUM(D$3:D190),0)</f>
        <v>1903285</v>
      </c>
      <c r="F190" s="5"/>
      <c r="G190" s="28"/>
      <c r="H190" s="28"/>
      <c r="I190" s="28"/>
    </row>
    <row r="191" spans="1:13" ht="15.75" x14ac:dyDescent="0.25">
      <c r="A191" s="57"/>
      <c r="B191" s="5" t="s">
        <v>6</v>
      </c>
      <c r="C191" s="5"/>
      <c r="D191" s="6">
        <v>28000</v>
      </c>
      <c r="E191" s="7">
        <f>IF(OR(C191&lt;&gt;0,D191&lt;&gt;0),SUM(C$3:C191)-SUM(D$3:D191),0)</f>
        <v>1875285</v>
      </c>
      <c r="F191" s="5"/>
      <c r="G191" s="28"/>
      <c r="H191" s="28"/>
      <c r="I191" s="28"/>
      <c r="M191" s="8">
        <v>184400000</v>
      </c>
    </row>
    <row r="192" spans="1:13" ht="15.75" x14ac:dyDescent="0.25">
      <c r="A192" s="57"/>
      <c r="B192" s="5" t="s">
        <v>162</v>
      </c>
      <c r="C192" s="5"/>
      <c r="D192" s="6">
        <v>323000</v>
      </c>
      <c r="E192" s="7">
        <f>IF(OR(C192&lt;&gt;0,D192&lt;&gt;0),SUM(C$3:C192)-SUM(D$3:D192),0)</f>
        <v>1552285</v>
      </c>
      <c r="F192" s="5"/>
      <c r="G192" s="29">
        <f>1216000-E192</f>
        <v>-336285</v>
      </c>
      <c r="H192" s="28"/>
      <c r="I192" s="28"/>
      <c r="M192" s="8">
        <f>184400000+30000000</f>
        <v>214400000</v>
      </c>
    </row>
    <row r="193" spans="1:13" ht="15.75" x14ac:dyDescent="0.25">
      <c r="A193" s="57"/>
      <c r="B193" s="5" t="s">
        <v>980</v>
      </c>
      <c r="C193" s="6">
        <v>1225000</v>
      </c>
      <c r="D193" s="6"/>
      <c r="E193" s="7">
        <f>IF(OR(C193&lt;&gt;0,D193&lt;&gt;0),SUM(C$3:C193)-SUM(D$3:D193),0)</f>
        <v>2777285</v>
      </c>
      <c r="F193" s="5"/>
      <c r="G193" s="29"/>
      <c r="H193" s="28"/>
      <c r="I193" s="28"/>
      <c r="M193" s="22"/>
    </row>
    <row r="194" spans="1:13" ht="15.75" x14ac:dyDescent="0.25">
      <c r="A194" s="57"/>
      <c r="B194" s="5" t="s">
        <v>975</v>
      </c>
      <c r="C194" s="5"/>
      <c r="D194" s="6">
        <v>200000</v>
      </c>
      <c r="E194" s="7">
        <f>IF(OR(C194&lt;&gt;0,D194&lt;&gt;0),SUM(C$3:C194)-SUM(D$3:D194),0)</f>
        <v>2577285</v>
      </c>
      <c r="F194" s="5"/>
      <c r="G194" s="28"/>
      <c r="H194" s="28"/>
      <c r="I194" s="28"/>
    </row>
    <row r="195" spans="1:13" ht="15.75" x14ac:dyDescent="0.25">
      <c r="A195" s="57"/>
      <c r="B195" s="5" t="s">
        <v>976</v>
      </c>
      <c r="C195" s="5"/>
      <c r="D195" s="6">
        <v>200000</v>
      </c>
      <c r="E195" s="7">
        <f>IF(OR(C195&lt;&gt;0,D195&lt;&gt;0),SUM(C$3:C195)-SUM(D$3:D195),0)</f>
        <v>2377285</v>
      </c>
      <c r="F195" s="5"/>
      <c r="G195" s="28"/>
      <c r="H195" s="28"/>
      <c r="I195" s="28"/>
    </row>
    <row r="196" spans="1:13" ht="15.75" x14ac:dyDescent="0.25">
      <c r="A196" s="57"/>
      <c r="B196" s="5" t="s">
        <v>977</v>
      </c>
      <c r="C196" s="5"/>
      <c r="D196" s="6">
        <v>200000</v>
      </c>
      <c r="E196" s="7">
        <f>IF(OR(C196&lt;&gt;0,D196&lt;&gt;0),SUM(C$3:C196)-SUM(D$3:D196),0)</f>
        <v>2177285</v>
      </c>
      <c r="F196" s="5"/>
      <c r="G196" s="28"/>
      <c r="H196" s="5" t="s">
        <v>956</v>
      </c>
      <c r="I196" s="6">
        <v>122505738</v>
      </c>
    </row>
    <row r="197" spans="1:13" ht="15.75" x14ac:dyDescent="0.25">
      <c r="A197" s="57"/>
      <c r="B197" s="5" t="s">
        <v>684</v>
      </c>
      <c r="C197" s="5"/>
      <c r="D197" s="6">
        <v>200000</v>
      </c>
      <c r="E197" s="7">
        <f>IF(OR(C197&lt;&gt;0,D197&lt;&gt;0),SUM(C$3:C197)-SUM(D$3:D197),0)</f>
        <v>1977285</v>
      </c>
      <c r="F197" s="5"/>
      <c r="G197" s="28"/>
      <c r="H197" s="5" t="s">
        <v>957</v>
      </c>
      <c r="I197" s="6">
        <v>600000</v>
      </c>
    </row>
    <row r="198" spans="1:13" ht="15.75" x14ac:dyDescent="0.25">
      <c r="A198" s="57"/>
      <c r="B198" s="5" t="s">
        <v>27</v>
      </c>
      <c r="C198" s="5"/>
      <c r="D198" s="6">
        <v>300000</v>
      </c>
      <c r="E198" s="7">
        <f>IF(OR(C198&lt;&gt;0,D198&lt;&gt;0),SUM(C$3:C198)-SUM(D$3:D198),0)</f>
        <v>1677285</v>
      </c>
      <c r="F198" s="5"/>
      <c r="G198" s="28"/>
      <c r="H198" s="5" t="s">
        <v>958</v>
      </c>
      <c r="I198" s="6">
        <v>116494700</v>
      </c>
    </row>
    <row r="199" spans="1:13" ht="15.75" x14ac:dyDescent="0.25">
      <c r="A199" s="57"/>
      <c r="B199" s="5" t="s">
        <v>16</v>
      </c>
      <c r="C199" s="5"/>
      <c r="D199" s="6">
        <v>125000</v>
      </c>
      <c r="E199" s="7">
        <f>IF(OR(C199&lt;&gt;0,D199&lt;&gt;0),SUM(C$3:C199)-SUM(D$3:D199),0)</f>
        <v>1552285</v>
      </c>
      <c r="F199" s="5"/>
      <c r="G199" s="28"/>
      <c r="H199" s="5" t="s">
        <v>959</v>
      </c>
      <c r="I199" s="6">
        <f>SUM(I196:I198)</f>
        <v>239600438</v>
      </c>
    </row>
    <row r="200" spans="1:13" ht="15.75" x14ac:dyDescent="0.25">
      <c r="A200" s="57"/>
      <c r="B200" s="5" t="s">
        <v>11</v>
      </c>
      <c r="C200" s="5"/>
      <c r="D200" s="6">
        <v>26000</v>
      </c>
      <c r="E200" s="7">
        <f>IF(OR(C200&lt;&gt;0,D200&lt;&gt;0),SUM(C$3:C200)-SUM(D$3:D200),0)</f>
        <v>1526285</v>
      </c>
      <c r="F200" s="5"/>
      <c r="G200" s="29">
        <f>1230000-E200</f>
        <v>-296285</v>
      </c>
      <c r="H200" s="28"/>
      <c r="I200" s="28"/>
    </row>
    <row r="201" spans="1:13" ht="15.75" x14ac:dyDescent="0.25">
      <c r="A201" s="57"/>
      <c r="B201" s="5" t="s">
        <v>981</v>
      </c>
      <c r="C201" s="5"/>
      <c r="D201" s="6">
        <v>53000</v>
      </c>
      <c r="E201" s="7">
        <f>IF(OR(C201&lt;&gt;0,D201&lt;&gt;0),SUM(C$3:C201)-SUM(D$3:D201),0)</f>
        <v>1473285</v>
      </c>
      <c r="F201" s="5"/>
      <c r="G201" s="29">
        <f>1230000-E201</f>
        <v>-243285</v>
      </c>
      <c r="H201" s="28"/>
      <c r="I201" s="28"/>
    </row>
    <row r="202" spans="1:13" ht="15.75" x14ac:dyDescent="0.25">
      <c r="A202" s="57"/>
      <c r="B202" s="5" t="s">
        <v>983</v>
      </c>
      <c r="C202" s="5"/>
      <c r="D202" s="6">
        <v>30000</v>
      </c>
      <c r="E202" s="7">
        <f>IF(OR(C202&lt;&gt;0,D202&lt;&gt;0),SUM(C$3:C202)-SUM(D$3:D202),0)</f>
        <v>1443285</v>
      </c>
      <c r="F202" s="5"/>
      <c r="G202" s="29">
        <f>1130000-E202</f>
        <v>-313285</v>
      </c>
      <c r="H202" s="28"/>
      <c r="I202" s="28"/>
    </row>
    <row r="203" spans="1:13" ht="15.75" x14ac:dyDescent="0.25">
      <c r="A203" s="57"/>
      <c r="B203" s="5" t="s">
        <v>984</v>
      </c>
      <c r="C203" s="5"/>
      <c r="D203" s="6">
        <v>30000</v>
      </c>
      <c r="E203" s="7">
        <f>IF(OR(C203&lt;&gt;0,D203&lt;&gt;0),SUM(C$3:C203)-SUM(D$3:D203),0)</f>
        <v>1413285</v>
      </c>
      <c r="F203" s="5"/>
      <c r="G203" s="29"/>
      <c r="H203" s="28"/>
      <c r="I203" s="28"/>
    </row>
    <row r="204" spans="1:13" ht="15.75" x14ac:dyDescent="0.25">
      <c r="A204" s="57"/>
      <c r="B204" s="5" t="s">
        <v>982</v>
      </c>
      <c r="C204" s="5"/>
      <c r="D204" s="6">
        <v>50000</v>
      </c>
      <c r="E204" s="7">
        <f>IF(OR(C204&lt;&gt;0,D204&lt;&gt;0),SUM(C$3:C204)-SUM(D$3:D204),0)</f>
        <v>1363285</v>
      </c>
      <c r="F204" s="5"/>
      <c r="G204" s="29"/>
      <c r="H204" s="28"/>
      <c r="I204" s="28"/>
    </row>
    <row r="205" spans="1:13" ht="15.75" x14ac:dyDescent="0.25">
      <c r="A205" s="58"/>
      <c r="B205" s="5" t="s">
        <v>769</v>
      </c>
      <c r="C205" s="5"/>
      <c r="D205" s="6">
        <v>200000</v>
      </c>
      <c r="E205" s="7">
        <f>IF(OR(C205&lt;&gt;0,D205&lt;&gt;0),SUM(C$3:C205)-SUM(D$3:D205),0)</f>
        <v>1163285</v>
      </c>
      <c r="F205" s="5"/>
      <c r="G205" s="29">
        <f>927800-E205</f>
        <v>-235485</v>
      </c>
      <c r="H205" s="28"/>
      <c r="I205" s="28"/>
    </row>
    <row r="206" spans="1:13" ht="15.75" x14ac:dyDescent="0.25">
      <c r="A206" s="59">
        <v>45463</v>
      </c>
      <c r="B206" s="5" t="s">
        <v>14</v>
      </c>
      <c r="C206" s="6"/>
      <c r="D206" s="6">
        <v>50000</v>
      </c>
      <c r="E206" s="7">
        <f>IF(OR(C206&lt;&gt;0,D206&lt;&gt;0),SUM(C$3:C206)-SUM(D$3:D206),0)</f>
        <v>1113285</v>
      </c>
      <c r="F206" s="5"/>
      <c r="G206" s="28"/>
      <c r="H206" s="28"/>
      <c r="I206" s="28"/>
    </row>
    <row r="207" spans="1:13" ht="15.75" x14ac:dyDescent="0.25">
      <c r="A207" s="59"/>
      <c r="B207" s="5" t="s">
        <v>985</v>
      </c>
      <c r="C207" s="5"/>
      <c r="D207" s="6">
        <v>120000</v>
      </c>
      <c r="E207" s="7">
        <f>IF(OR(C207&lt;&gt;0,D207&lt;&gt;0),SUM(C$3:C207)-SUM(D$3:D207),0)</f>
        <v>993285</v>
      </c>
      <c r="F207" s="5"/>
      <c r="G207" s="28"/>
      <c r="H207" s="28"/>
      <c r="I207" s="28"/>
    </row>
    <row r="208" spans="1:13" ht="15.75" x14ac:dyDescent="0.25">
      <c r="A208" s="59"/>
      <c r="B208" s="5" t="s">
        <v>7</v>
      </c>
      <c r="C208" s="6">
        <v>500000</v>
      </c>
      <c r="D208" s="6"/>
      <c r="E208" s="7">
        <f>IF(OR(C208&lt;&gt;0,D208&lt;&gt;0),SUM(C$3:C208)-SUM(D$3:D208),0)</f>
        <v>1493285</v>
      </c>
      <c r="F208" s="5"/>
      <c r="G208" s="28"/>
      <c r="H208" s="28"/>
      <c r="I208" s="28"/>
    </row>
    <row r="209" spans="1:9" ht="15.75" x14ac:dyDescent="0.25">
      <c r="A209" s="59"/>
      <c r="B209" s="5" t="s">
        <v>7</v>
      </c>
      <c r="C209" s="6">
        <v>500000</v>
      </c>
      <c r="D209" s="6"/>
      <c r="E209" s="7">
        <f>IF(OR(C209&lt;&gt;0,D209&lt;&gt;0),SUM(C$3:C209)-SUM(D$3:D209),0)</f>
        <v>1993285</v>
      </c>
      <c r="F209" s="5"/>
      <c r="G209" s="28"/>
      <c r="H209" s="28"/>
      <c r="I209" s="28"/>
    </row>
    <row r="210" spans="1:9" ht="15.75" x14ac:dyDescent="0.25">
      <c r="A210" s="59"/>
      <c r="B210" s="5" t="s">
        <v>986</v>
      </c>
      <c r="C210" s="6"/>
      <c r="D210" s="6">
        <v>1000000</v>
      </c>
      <c r="E210" s="7">
        <f>IF(OR(C210&lt;&gt;0,D210&lt;&gt;0),SUM(C$3:C210)-SUM(D$3:D210),0)</f>
        <v>993285</v>
      </c>
      <c r="F210" s="5"/>
      <c r="G210" s="28"/>
      <c r="H210" s="28"/>
      <c r="I210" s="28"/>
    </row>
    <row r="211" spans="1:9" ht="15.75" x14ac:dyDescent="0.25">
      <c r="A211" s="59"/>
      <c r="B211" s="5" t="s">
        <v>122</v>
      </c>
      <c r="C211" s="6"/>
      <c r="D211" s="6">
        <v>250000</v>
      </c>
      <c r="E211" s="7">
        <f>IF(OR(C211&lt;&gt;0,D211&lt;&gt;0),SUM(C$3:C211)-SUM(D$3:D211),0)</f>
        <v>743285</v>
      </c>
      <c r="F211" s="5"/>
      <c r="G211" s="28"/>
      <c r="H211" s="28"/>
      <c r="I211" s="28"/>
    </row>
    <row r="212" spans="1:9" ht="15.75" x14ac:dyDescent="0.25">
      <c r="A212" s="59"/>
      <c r="B212" s="5" t="s">
        <v>987</v>
      </c>
      <c r="C212" s="5"/>
      <c r="D212" s="6">
        <v>450000</v>
      </c>
      <c r="E212" s="7">
        <f>IF(OR(C212&lt;&gt;0,D212&lt;&gt;0),SUM(C$3:C212)-SUM(D$3:D212),0)</f>
        <v>293285</v>
      </c>
      <c r="F212" s="5"/>
      <c r="G212" s="28"/>
      <c r="H212" s="28"/>
      <c r="I212" s="28"/>
    </row>
    <row r="213" spans="1:9" ht="15.75" x14ac:dyDescent="0.25">
      <c r="A213" s="59">
        <v>45464</v>
      </c>
      <c r="B213" s="5" t="s">
        <v>67</v>
      </c>
      <c r="C213" s="6"/>
      <c r="D213" s="6">
        <v>105000</v>
      </c>
      <c r="E213" s="7">
        <f>IF(OR(C213&lt;&gt;0,D213&lt;&gt;0),SUM(C$3:C213)-SUM(D$3:D213),0)</f>
        <v>188285</v>
      </c>
      <c r="F213" s="5"/>
      <c r="G213" s="28"/>
      <c r="H213" s="28"/>
      <c r="I213" s="28"/>
    </row>
    <row r="214" spans="1:9" ht="15.75" x14ac:dyDescent="0.25">
      <c r="A214" s="59"/>
      <c r="B214" s="5" t="s">
        <v>988</v>
      </c>
      <c r="C214" s="5"/>
      <c r="D214" s="6">
        <v>45000</v>
      </c>
      <c r="E214" s="7">
        <f>IF(OR(C214&lt;&gt;0,D214&lt;&gt;0),SUM(C$3:C214)-SUM(D$3:D214),0)</f>
        <v>143285</v>
      </c>
      <c r="F214" s="5"/>
      <c r="G214" s="28"/>
      <c r="H214" s="28"/>
      <c r="I214" s="28"/>
    </row>
    <row r="215" spans="1:9" ht="15.75" x14ac:dyDescent="0.25">
      <c r="A215" s="59"/>
      <c r="B215" s="5" t="s">
        <v>989</v>
      </c>
      <c r="C215" s="6"/>
      <c r="D215" s="6">
        <v>20000</v>
      </c>
      <c r="E215" s="7">
        <f>IF(OR(C215&lt;&gt;0,D215&lt;&gt;0),SUM(C$3:C215)-SUM(D$3:D215),0)</f>
        <v>123285</v>
      </c>
      <c r="F215" s="5"/>
      <c r="G215" s="28"/>
      <c r="H215" s="28"/>
      <c r="I215" s="28"/>
    </row>
    <row r="216" spans="1:9" ht="15.75" x14ac:dyDescent="0.25">
      <c r="A216" s="59"/>
      <c r="B216" s="5" t="s">
        <v>46</v>
      </c>
      <c r="C216" s="6"/>
      <c r="D216" s="6">
        <v>30000</v>
      </c>
      <c r="E216" s="7">
        <f>IF(OR(C216&lt;&gt;0,D216&lt;&gt;0),SUM(C$3:C216)-SUM(D$3:D216),0)</f>
        <v>93285</v>
      </c>
      <c r="F216" s="5"/>
      <c r="G216" s="28"/>
      <c r="H216" s="28"/>
      <c r="I216" s="28"/>
    </row>
    <row r="217" spans="1:9" ht="15.75" x14ac:dyDescent="0.25">
      <c r="A217" s="59"/>
      <c r="B217" s="5" t="s">
        <v>7</v>
      </c>
      <c r="C217" s="6">
        <v>1101000</v>
      </c>
      <c r="D217" s="6"/>
      <c r="E217" s="7">
        <f>IF(OR(C217&lt;&gt;0,D217&lt;&gt;0),SUM(C$3:C217)-SUM(D$3:D217),0)</f>
        <v>1194285</v>
      </c>
      <c r="F217" s="5"/>
      <c r="G217" s="28"/>
      <c r="H217" s="28"/>
      <c r="I217" s="28"/>
    </row>
    <row r="218" spans="1:9" ht="15.75" x14ac:dyDescent="0.25">
      <c r="A218" s="59"/>
      <c r="B218" s="5" t="s">
        <v>991</v>
      </c>
      <c r="C218" s="6"/>
      <c r="D218" s="6">
        <v>340000</v>
      </c>
      <c r="E218" s="7">
        <f>IF(OR(C218&lt;&gt;0,D218&lt;&gt;0),SUM(C$3:C218)-SUM(D$3:D218),0)</f>
        <v>854285</v>
      </c>
      <c r="F218" s="5"/>
      <c r="G218" s="28"/>
      <c r="H218" s="28"/>
      <c r="I218" s="28"/>
    </row>
    <row r="219" spans="1:9" ht="15.75" x14ac:dyDescent="0.25">
      <c r="A219" s="59"/>
      <c r="B219" s="5" t="s">
        <v>7</v>
      </c>
      <c r="C219" s="6">
        <v>1750000</v>
      </c>
      <c r="D219" s="6"/>
      <c r="E219" s="7">
        <f>IF(OR(C219&lt;&gt;0,D219&lt;&gt;0),SUM(C$3:C219)-SUM(D$3:D219),0)</f>
        <v>2604285</v>
      </c>
      <c r="F219" s="5"/>
      <c r="G219" s="28"/>
      <c r="H219" s="28"/>
      <c r="I219" s="28"/>
    </row>
    <row r="220" spans="1:9" ht="15.75" x14ac:dyDescent="0.25">
      <c r="A220" s="59"/>
      <c r="B220" s="5" t="s">
        <v>990</v>
      </c>
      <c r="C220" s="5"/>
      <c r="D220" s="6">
        <v>150000</v>
      </c>
      <c r="E220" s="7">
        <f>IF(OR(C220&lt;&gt;0,D220&lt;&gt;0),SUM(C$3:C220)-SUM(D$3:D220),0)</f>
        <v>2454285</v>
      </c>
      <c r="F220" s="5"/>
      <c r="G220" s="29">
        <f>645300+1600000-E220</f>
        <v>-208985</v>
      </c>
      <c r="H220" s="28"/>
      <c r="I220" s="28">
        <f>20*17</f>
        <v>340</v>
      </c>
    </row>
    <row r="221" spans="1:9" ht="15.75" x14ac:dyDescent="0.25">
      <c r="A221" s="59"/>
      <c r="B221" s="5" t="s">
        <v>7</v>
      </c>
      <c r="C221" s="6">
        <v>200000</v>
      </c>
      <c r="D221" s="6"/>
      <c r="E221" s="7">
        <f>IF(OR(C221&lt;&gt;0,D221&lt;&gt;0),SUM(C$3:C221)-SUM(D$3:D221),0)</f>
        <v>2654285</v>
      </c>
      <c r="F221" s="5"/>
      <c r="G221" s="29"/>
      <c r="H221" s="28"/>
      <c r="I221" s="28"/>
    </row>
    <row r="222" spans="1:9" ht="15.75" x14ac:dyDescent="0.25">
      <c r="A222" s="59"/>
      <c r="B222" s="5" t="s">
        <v>977</v>
      </c>
      <c r="C222" s="6"/>
      <c r="D222" s="6">
        <v>200000</v>
      </c>
      <c r="E222" s="7">
        <f>IF(OR(C222&lt;&gt;0,D222&lt;&gt;0),SUM(C$3:C222)-SUM(D$3:D222),0)</f>
        <v>2454285</v>
      </c>
      <c r="F222" s="5"/>
      <c r="G222" s="29"/>
      <c r="H222" s="28"/>
      <c r="I222" s="28"/>
    </row>
    <row r="223" spans="1:9" ht="15.75" x14ac:dyDescent="0.25">
      <c r="A223" s="59"/>
      <c r="B223" s="5" t="s">
        <v>7</v>
      </c>
      <c r="C223" s="6">
        <v>400000</v>
      </c>
      <c r="D223" s="6"/>
      <c r="E223" s="7">
        <f>IF(OR(C223&lt;&gt;0,D223&lt;&gt;0),SUM(C$3:C223)-SUM(D$3:D223),0)</f>
        <v>2854285</v>
      </c>
      <c r="F223" s="5"/>
      <c r="G223" s="29">
        <f>645300+1600000</f>
        <v>2245300</v>
      </c>
      <c r="H223" s="28"/>
      <c r="I223" s="28"/>
    </row>
    <row r="224" spans="1:9" ht="15.75" x14ac:dyDescent="0.25">
      <c r="A224" s="59"/>
      <c r="B224" s="5" t="s">
        <v>287</v>
      </c>
      <c r="C224" s="5"/>
      <c r="D224" s="6">
        <v>400000</v>
      </c>
      <c r="E224" s="7">
        <f>IF(OR(C224&lt;&gt;0,D224&lt;&gt;0),SUM(C$3:C224)-SUM(D$3:D224),0)</f>
        <v>2454285</v>
      </c>
      <c r="F224" s="5"/>
      <c r="G224" s="28"/>
      <c r="H224" s="28"/>
      <c r="I224" s="28"/>
    </row>
    <row r="225" spans="1:9" ht="15.75" x14ac:dyDescent="0.25">
      <c r="A225" s="56">
        <v>45465</v>
      </c>
      <c r="B225" s="5" t="s">
        <v>710</v>
      </c>
      <c r="C225" s="6"/>
      <c r="D225" s="6">
        <v>500000</v>
      </c>
      <c r="E225" s="7">
        <f>IF(OR(C225&lt;&gt;0,D225&lt;&gt;0),SUM(C$3:C225)-SUM(D$3:D225),0)</f>
        <v>1954285</v>
      </c>
      <c r="F225" s="5"/>
      <c r="G225" s="29">
        <f>1740000-E225</f>
        <v>-214285</v>
      </c>
      <c r="H225" s="28"/>
      <c r="I225" s="28"/>
    </row>
    <row r="226" spans="1:9" ht="15.75" x14ac:dyDescent="0.25">
      <c r="A226" s="57"/>
      <c r="B226" s="5" t="s">
        <v>769</v>
      </c>
      <c r="C226" s="5"/>
      <c r="D226" s="6">
        <v>300000</v>
      </c>
      <c r="E226" s="7">
        <f>IF(OR(C226&lt;&gt;0,D226&lt;&gt;0),SUM(C$3:C226)-SUM(D$3:D226),0)</f>
        <v>1654285</v>
      </c>
      <c r="F226" s="5"/>
      <c r="G226" s="28"/>
      <c r="H226" s="28"/>
      <c r="I226" s="28"/>
    </row>
    <row r="227" spans="1:9" ht="15.75" x14ac:dyDescent="0.25">
      <c r="A227" s="57"/>
      <c r="B227" s="5" t="s">
        <v>678</v>
      </c>
      <c r="C227" s="6"/>
      <c r="D227" s="6">
        <v>20000</v>
      </c>
      <c r="E227" s="7">
        <f>IF(OR(C227&lt;&gt;0,D227&lt;&gt;0),SUM(C$3:C227)-SUM(D$3:D227),0)</f>
        <v>1634285</v>
      </c>
      <c r="F227" s="5"/>
      <c r="G227" s="28"/>
      <c r="H227" s="28"/>
      <c r="I227" s="28"/>
    </row>
    <row r="228" spans="1:9" ht="15.75" x14ac:dyDescent="0.25">
      <c r="A228" s="57"/>
      <c r="B228" s="5" t="s">
        <v>338</v>
      </c>
      <c r="C228" s="6"/>
      <c r="D228" s="6">
        <v>2000</v>
      </c>
      <c r="E228" s="7">
        <f>IF(OR(C228&lt;&gt;0,D228&lt;&gt;0),SUM(C$3:C228)-SUM(D$3:D228),0)</f>
        <v>1632285</v>
      </c>
      <c r="F228" s="5"/>
      <c r="G228" s="28"/>
      <c r="H228" s="28"/>
      <c r="I228" s="28"/>
    </row>
    <row r="229" spans="1:9" ht="15.75" x14ac:dyDescent="0.25">
      <c r="A229" s="58"/>
      <c r="B229" s="5" t="s">
        <v>992</v>
      </c>
      <c r="C229" s="6" t="s">
        <v>72</v>
      </c>
      <c r="D229" s="6">
        <v>2000</v>
      </c>
      <c r="E229" s="7">
        <f>IF(OR(C229&lt;&gt;0,D229&lt;&gt;0),SUM(C$3:C229)-SUM(D$3:D229),0)</f>
        <v>1630285</v>
      </c>
      <c r="F229" s="5"/>
      <c r="G229" s="29">
        <f>1340000-E229</f>
        <v>-290285</v>
      </c>
      <c r="H229" s="28"/>
      <c r="I229" s="28"/>
    </row>
    <row r="230" spans="1:9" ht="15.75" x14ac:dyDescent="0.25">
      <c r="A230" s="56">
        <v>45467</v>
      </c>
      <c r="B230" s="5" t="s">
        <v>993</v>
      </c>
      <c r="C230" s="6"/>
      <c r="D230" s="6">
        <v>250000</v>
      </c>
      <c r="E230" s="7">
        <f>IF(OR(C230&lt;&gt;0,D230&lt;&gt;0),SUM(C$3:C230)-SUM(D$3:D230),0)</f>
        <v>1380285</v>
      </c>
      <c r="F230" s="5"/>
      <c r="G230" s="28"/>
      <c r="H230" s="28"/>
      <c r="I230" s="28"/>
    </row>
    <row r="231" spans="1:9" ht="15.75" x14ac:dyDescent="0.25">
      <c r="A231" s="57"/>
      <c r="B231" s="5" t="s">
        <v>994</v>
      </c>
      <c r="C231" s="5"/>
      <c r="D231" s="6">
        <v>200000</v>
      </c>
      <c r="E231" s="7">
        <f>IF(OR(C231&lt;&gt;0,D231&lt;&gt;0),SUM(C$3:C231)-SUM(D$3:D231),0)</f>
        <v>1180285</v>
      </c>
      <c r="F231" s="5"/>
      <c r="G231" s="28"/>
      <c r="H231" s="28"/>
      <c r="I231" s="28"/>
    </row>
    <row r="232" spans="1:9" ht="15.75" x14ac:dyDescent="0.25">
      <c r="A232" s="57"/>
      <c r="B232" s="5" t="s">
        <v>935</v>
      </c>
      <c r="C232" s="6"/>
      <c r="D232" s="6">
        <v>200000</v>
      </c>
      <c r="E232" s="7">
        <f>IF(OR(C232&lt;&gt;0,D232&lt;&gt;0),SUM(C$3:C232)-SUM(D$3:D232),0)</f>
        <v>980285</v>
      </c>
      <c r="F232" s="5"/>
      <c r="G232" s="28"/>
      <c r="H232" s="28"/>
      <c r="I232" s="28"/>
    </row>
    <row r="233" spans="1:9" ht="15.75" x14ac:dyDescent="0.25">
      <c r="A233" s="57"/>
      <c r="B233" s="5" t="s">
        <v>7</v>
      </c>
      <c r="C233" s="6">
        <v>1600000</v>
      </c>
      <c r="D233" s="6"/>
      <c r="E233" s="7">
        <f>IF(OR(C233&lt;&gt;0,D233&lt;&gt;0),SUM(C$3:C233)-SUM(D$3:D233),0)</f>
        <v>2580285</v>
      </c>
      <c r="F233" s="5"/>
      <c r="G233" s="28"/>
      <c r="H233" s="28"/>
      <c r="I233" s="28"/>
    </row>
    <row r="234" spans="1:9" ht="15.75" x14ac:dyDescent="0.25">
      <c r="A234" s="57"/>
      <c r="B234" s="5" t="s">
        <v>995</v>
      </c>
      <c r="C234" s="6"/>
      <c r="D234" s="6">
        <v>307600</v>
      </c>
      <c r="E234" s="7">
        <f>IF(OR(C234&lt;&gt;0,D234&lt;&gt;0),SUM(C$3:C234)-SUM(D$3:D234),0)</f>
        <v>2272685</v>
      </c>
      <c r="F234" s="5"/>
      <c r="G234" s="28"/>
      <c r="H234" s="28"/>
      <c r="I234" s="28"/>
    </row>
    <row r="235" spans="1:9" ht="15.75" x14ac:dyDescent="0.25">
      <c r="A235" s="57"/>
      <c r="B235" s="5" t="s">
        <v>995</v>
      </c>
      <c r="C235" s="6"/>
      <c r="D235" s="6">
        <v>506800</v>
      </c>
      <c r="E235" s="7">
        <f>IF(OR(C235&lt;&gt;0,D235&lt;&gt;0),SUM(C$3:C235)-SUM(D$3:D235),0)</f>
        <v>1765885</v>
      </c>
      <c r="F235" s="5"/>
      <c r="G235" s="29">
        <f>1300000-E235</f>
        <v>-465885</v>
      </c>
      <c r="H235" s="28"/>
      <c r="I235" s="28"/>
    </row>
    <row r="236" spans="1:9" ht="15.75" x14ac:dyDescent="0.25">
      <c r="A236" s="58"/>
      <c r="B236" s="5" t="s">
        <v>996</v>
      </c>
      <c r="C236" s="5"/>
      <c r="D236" s="6">
        <v>190000</v>
      </c>
      <c r="E236" s="7">
        <f>IF(OR(C236&lt;&gt;0,D236&lt;&gt;0),SUM(C$3:C236)-SUM(D$3:D236),0)</f>
        <v>1575885</v>
      </c>
      <c r="F236" s="5"/>
      <c r="G236" s="29">
        <f>1300000-E236</f>
        <v>-275885</v>
      </c>
      <c r="H236" s="28"/>
      <c r="I236" s="28"/>
    </row>
    <row r="237" spans="1:9" ht="15.75" x14ac:dyDescent="0.25">
      <c r="A237" s="56">
        <v>45468</v>
      </c>
      <c r="B237" s="5" t="s">
        <v>345</v>
      </c>
      <c r="C237" s="6"/>
      <c r="D237" s="6">
        <v>20000</v>
      </c>
      <c r="E237" s="7">
        <f>IF(OR(C237&lt;&gt;0,D237&lt;&gt;0),SUM(C$3:C237)-SUM(D$3:D237),0)</f>
        <v>1555885</v>
      </c>
      <c r="F237" s="5"/>
      <c r="G237" s="29">
        <f>1310500-E237</f>
        <v>-245385</v>
      </c>
      <c r="H237" s="28"/>
      <c r="I237" s="28"/>
    </row>
    <row r="238" spans="1:9" ht="15.75" x14ac:dyDescent="0.25">
      <c r="A238" s="57"/>
      <c r="B238" s="5" t="s">
        <v>997</v>
      </c>
      <c r="C238" s="5"/>
      <c r="D238" s="6">
        <v>190000</v>
      </c>
      <c r="E238" s="7">
        <f>IF(OR(C238&lt;&gt;0,D238&lt;&gt;0),SUM(C$3:C238)-SUM(D$3:D238),0)</f>
        <v>1365885</v>
      </c>
      <c r="F238" s="5"/>
      <c r="G238" s="28"/>
      <c r="H238" s="28"/>
      <c r="I238" s="28"/>
    </row>
    <row r="239" spans="1:9" ht="15.75" x14ac:dyDescent="0.25">
      <c r="A239" s="58"/>
      <c r="B239" s="5" t="s">
        <v>675</v>
      </c>
      <c r="C239" s="5"/>
      <c r="D239" s="6">
        <v>100000</v>
      </c>
      <c r="E239" s="7">
        <f>IF(OR(C239&lt;&gt;0,D239&lt;&gt;0),SUM(C$3:C239)-SUM(D$3:D239),0)</f>
        <v>1265885</v>
      </c>
      <c r="F239" s="5"/>
      <c r="G239" s="28"/>
      <c r="H239" s="28"/>
      <c r="I239" s="28"/>
    </row>
    <row r="240" spans="1:9" ht="15.75" x14ac:dyDescent="0.25">
      <c r="A240" s="59">
        <v>45469</v>
      </c>
      <c r="B240" s="5" t="s">
        <v>998</v>
      </c>
      <c r="C240" s="6"/>
      <c r="D240" s="6">
        <v>200000</v>
      </c>
      <c r="E240" s="7">
        <f>IF(OR(C240&lt;&gt;0,D240&lt;&gt;0),SUM(C$3:C240)-SUM(D$3:D240),0)</f>
        <v>1065885</v>
      </c>
      <c r="F240" s="5"/>
      <c r="G240" s="28"/>
      <c r="H240" s="28"/>
      <c r="I240" s="28"/>
    </row>
    <row r="241" spans="1:9" ht="15.75" x14ac:dyDescent="0.25">
      <c r="A241" s="59"/>
      <c r="B241" s="5" t="s">
        <v>684</v>
      </c>
      <c r="C241" s="6"/>
      <c r="D241" s="6">
        <v>500000</v>
      </c>
      <c r="E241" s="7">
        <f>IF(OR(C241&lt;&gt;0,D241&lt;&gt;0),SUM(C$3:C241)-SUM(D$3:D241),0)</f>
        <v>565885</v>
      </c>
      <c r="F241" s="5"/>
      <c r="G241" s="28"/>
      <c r="H241" s="28"/>
      <c r="I241" s="28"/>
    </row>
    <row r="242" spans="1:9" ht="15.75" x14ac:dyDescent="0.25">
      <c r="A242" s="59"/>
      <c r="B242" s="5" t="s">
        <v>678</v>
      </c>
      <c r="C242" s="6"/>
      <c r="D242" s="6">
        <v>20000</v>
      </c>
      <c r="E242" s="7">
        <f>IF(OR(C242&lt;&gt;0,D242&lt;&gt;0),SUM(C$3:C242)-SUM(D$3:D242),0)</f>
        <v>545885</v>
      </c>
      <c r="F242" s="5"/>
      <c r="G242" s="29">
        <f>230600-E242</f>
        <v>-315285</v>
      </c>
      <c r="H242" s="28"/>
      <c r="I242" s="28"/>
    </row>
    <row r="243" spans="1:9" ht="15.75" x14ac:dyDescent="0.25">
      <c r="A243" s="59"/>
      <c r="B243" s="5" t="s">
        <v>999</v>
      </c>
      <c r="C243" s="6"/>
      <c r="D243" s="6">
        <v>315000</v>
      </c>
      <c r="E243" s="7">
        <f>IF(OR(C243&lt;&gt;0,D243&lt;&gt;0),SUM(C$3:C243)-SUM(D$3:D243),0)</f>
        <v>230885</v>
      </c>
      <c r="F243" s="5"/>
      <c r="G243" s="29">
        <f>230600-E243</f>
        <v>-285</v>
      </c>
      <c r="H243" s="28"/>
      <c r="I243" s="28"/>
    </row>
    <row r="244" spans="1:9" ht="15.75" x14ac:dyDescent="0.25">
      <c r="A244" s="56">
        <v>45470</v>
      </c>
      <c r="B244" s="5" t="s">
        <v>1000</v>
      </c>
      <c r="C244" s="6"/>
      <c r="D244" s="6">
        <v>30000</v>
      </c>
      <c r="E244" s="7">
        <f>IF(OR(C244&lt;&gt;0,D244&lt;&gt;0),SUM(C$3:C244)-SUM(D$3:D244),0)</f>
        <v>200885</v>
      </c>
      <c r="F244" s="5"/>
      <c r="G244" s="28"/>
      <c r="H244" s="28"/>
      <c r="I244" s="28"/>
    </row>
    <row r="245" spans="1:9" ht="15.75" x14ac:dyDescent="0.25">
      <c r="A245" s="57"/>
      <c r="B245" s="5" t="s">
        <v>1001</v>
      </c>
      <c r="C245" s="6"/>
      <c r="D245" s="6">
        <v>68000</v>
      </c>
      <c r="E245" s="7">
        <f>IF(OR(C245&lt;&gt;0,D245&lt;&gt;0),SUM(C$3:C245)-SUM(D$3:D245),0)</f>
        <v>132885</v>
      </c>
      <c r="F245" s="5"/>
      <c r="G245" s="29">
        <f>132600-E245</f>
        <v>-285</v>
      </c>
      <c r="H245" s="28"/>
      <c r="I245" s="28"/>
    </row>
    <row r="246" spans="1:9" ht="15.75" x14ac:dyDescent="0.25">
      <c r="A246" s="57"/>
      <c r="B246" s="5" t="s">
        <v>7</v>
      </c>
      <c r="C246" s="6">
        <v>1000000</v>
      </c>
      <c r="D246" s="6"/>
      <c r="E246" s="7">
        <f>IF(OR(C246&lt;&gt;0,D246&lt;&gt;0),SUM(C$3:C246)-SUM(D$3:D246),0)</f>
        <v>1132885</v>
      </c>
      <c r="F246" s="5"/>
      <c r="G246" s="28"/>
      <c r="H246" s="28"/>
      <c r="I246" s="28"/>
    </row>
    <row r="247" spans="1:9" ht="15.75" x14ac:dyDescent="0.25">
      <c r="A247" s="57"/>
      <c r="B247" s="5" t="s">
        <v>1002</v>
      </c>
      <c r="C247" s="6"/>
      <c r="D247" s="6">
        <v>600000</v>
      </c>
      <c r="E247" s="7">
        <f>IF(OR(C247&lt;&gt;0,D247&lt;&gt;0),SUM(C$3:C247)-SUM(D$3:D247),0)</f>
        <v>532885</v>
      </c>
      <c r="F247" s="5"/>
      <c r="G247" s="28"/>
      <c r="H247" s="28"/>
      <c r="I247" s="28"/>
    </row>
    <row r="248" spans="1:9" ht="15.75" x14ac:dyDescent="0.25">
      <c r="A248" s="57"/>
      <c r="B248" s="5" t="s">
        <v>1004</v>
      </c>
      <c r="C248" s="5"/>
      <c r="D248" s="6">
        <v>10000</v>
      </c>
      <c r="E248" s="7">
        <f>IF(OR(C248&lt;&gt;0,D248&lt;&gt;0),SUM(C$3:C248)-SUM(D$3:D248),0)</f>
        <v>522885</v>
      </c>
      <c r="F248" s="5"/>
      <c r="G248" s="28"/>
      <c r="H248" s="28"/>
      <c r="I248" s="28"/>
    </row>
    <row r="249" spans="1:9" ht="15.75" x14ac:dyDescent="0.25">
      <c r="A249" s="57"/>
      <c r="B249" s="5" t="s">
        <v>1003</v>
      </c>
      <c r="C249" s="5"/>
      <c r="D249" s="6">
        <v>100000</v>
      </c>
      <c r="E249" s="7">
        <f>IF(OR(C249&lt;&gt;0,D249&lt;&gt;0),SUM(C$3:C249)-SUM(D$3:D249),0)</f>
        <v>422885</v>
      </c>
      <c r="F249" s="5"/>
      <c r="G249" s="28"/>
      <c r="H249" s="28"/>
      <c r="I249" s="28"/>
    </row>
    <row r="250" spans="1:9" ht="15.75" x14ac:dyDescent="0.25">
      <c r="A250" s="58"/>
      <c r="B250" s="5" t="s">
        <v>46</v>
      </c>
      <c r="C250" s="5"/>
      <c r="D250" s="6">
        <v>30000</v>
      </c>
      <c r="E250" s="7">
        <f>IF(OR(C250&lt;&gt;0,D250&lt;&gt;0),SUM(C$3:C250)-SUM(D$3:D250),0)</f>
        <v>392885</v>
      </c>
      <c r="F250" s="5"/>
      <c r="G250" s="29">
        <f>122600-E250</f>
        <v>-270285</v>
      </c>
      <c r="H250" s="28"/>
      <c r="I250" s="28"/>
    </row>
    <row r="251" spans="1:9" ht="15.75" x14ac:dyDescent="0.25">
      <c r="A251" s="59">
        <v>45471</v>
      </c>
      <c r="B251" s="5" t="s">
        <v>1005</v>
      </c>
      <c r="C251" s="6"/>
      <c r="D251" s="6">
        <v>11000</v>
      </c>
      <c r="E251" s="7">
        <f>IF(OR(C251&lt;&gt;0,D251&lt;&gt;0),SUM(C$3:C251)-SUM(D$3:D251),0)</f>
        <v>381885</v>
      </c>
      <c r="F251" s="5"/>
      <c r="G251" s="28"/>
      <c r="H251" s="28"/>
      <c r="I251" s="28"/>
    </row>
    <row r="252" spans="1:9" ht="15.75" x14ac:dyDescent="0.25">
      <c r="A252" s="59"/>
      <c r="B252" s="5" t="s">
        <v>1006</v>
      </c>
      <c r="C252" s="6"/>
      <c r="D252" s="6">
        <v>20500</v>
      </c>
      <c r="E252" s="7">
        <f>IF(OR(C252&lt;&gt;0,D252&lt;&gt;0),SUM(C$3:C252)-SUM(D$3:D252),0)</f>
        <v>361385</v>
      </c>
      <c r="F252" s="5"/>
      <c r="G252" s="28"/>
      <c r="H252" s="28"/>
      <c r="I252" s="28"/>
    </row>
    <row r="253" spans="1:9" ht="15.75" x14ac:dyDescent="0.25">
      <c r="A253" s="56">
        <v>45472</v>
      </c>
      <c r="B253" s="5" t="s">
        <v>1026</v>
      </c>
      <c r="C253" s="6"/>
      <c r="D253" s="6">
        <v>200000</v>
      </c>
      <c r="E253" s="7">
        <f>IF(OR(C253&lt;&gt;0,D253&lt;&gt;0),SUM(C$3:C253)-SUM(D$3:D253),0)</f>
        <v>161385</v>
      </c>
      <c r="F253" s="5"/>
      <c r="G253" s="28"/>
      <c r="H253" s="28"/>
      <c r="I253" s="28"/>
    </row>
    <row r="254" spans="1:9" ht="15.75" x14ac:dyDescent="0.25">
      <c r="A254" s="57"/>
      <c r="B254" s="5" t="s">
        <v>1027</v>
      </c>
      <c r="C254" s="5"/>
      <c r="D254" s="6">
        <v>11000</v>
      </c>
      <c r="E254" s="7">
        <f>IF(OR(C254&lt;&gt;0,D254&lt;&gt;0),SUM(C$3:C254)-SUM(D$3:D254),0)</f>
        <v>150385</v>
      </c>
      <c r="F254" s="5"/>
      <c r="G254" s="28"/>
      <c r="H254" s="28"/>
      <c r="I254" s="28"/>
    </row>
    <row r="255" spans="1:9" ht="15.75" x14ac:dyDescent="0.25">
      <c r="A255" s="57"/>
      <c r="B255" s="5" t="s">
        <v>7</v>
      </c>
      <c r="C255" s="6">
        <v>1000000</v>
      </c>
      <c r="D255" s="6"/>
      <c r="E255" s="7">
        <f>IF(OR(C255&lt;&gt;0,D255&lt;&gt;0),SUM(C$3:C255)-SUM(D$3:D255),0)</f>
        <v>1150385</v>
      </c>
      <c r="F255" s="5"/>
      <c r="G255" s="28"/>
      <c r="H255" s="28"/>
      <c r="I255" s="28"/>
    </row>
    <row r="256" spans="1:9" ht="15.75" x14ac:dyDescent="0.25">
      <c r="A256" s="57"/>
      <c r="B256" s="5" t="s">
        <v>714</v>
      </c>
      <c r="C256" s="5"/>
      <c r="D256" s="6">
        <v>150000</v>
      </c>
      <c r="E256" s="7">
        <f>IF(OR(C256&lt;&gt;0,D256&lt;&gt;0),SUM(C$3:C256)-SUM(D$3:D256),0)</f>
        <v>1000385</v>
      </c>
      <c r="F256" s="5"/>
      <c r="G256" s="28"/>
      <c r="H256" s="28"/>
      <c r="I256" s="28"/>
    </row>
    <row r="257" spans="1:9" ht="15.75" x14ac:dyDescent="0.25">
      <c r="A257" s="57"/>
      <c r="B257" s="5" t="s">
        <v>1028</v>
      </c>
      <c r="C257" s="5"/>
      <c r="D257" s="6">
        <v>76000</v>
      </c>
      <c r="E257" s="7">
        <f>IF(OR(C257&lt;&gt;0,D257&lt;&gt;0),SUM(C$3:C257)-SUM(D$3:D257),0)</f>
        <v>924385</v>
      </c>
      <c r="F257" s="5"/>
      <c r="G257" s="28"/>
      <c r="H257" s="28"/>
      <c r="I257" s="28"/>
    </row>
    <row r="258" spans="1:9" ht="15.75" x14ac:dyDescent="0.25">
      <c r="A258" s="57"/>
      <c r="B258" s="5" t="s">
        <v>999</v>
      </c>
      <c r="C258" s="5"/>
      <c r="D258" s="6">
        <v>737500</v>
      </c>
      <c r="E258" s="7">
        <f>IF(OR(C258&lt;&gt;0,D258&lt;&gt;0),SUM(C$3:C258)-SUM(D$3:D258),0)</f>
        <v>186885</v>
      </c>
      <c r="F258" s="5"/>
      <c r="G258" s="28"/>
      <c r="H258" s="28"/>
      <c r="I258" s="28"/>
    </row>
    <row r="259" spans="1:9" ht="15.75" x14ac:dyDescent="0.25">
      <c r="A259" s="57"/>
      <c r="B259" s="5" t="s">
        <v>7</v>
      </c>
      <c r="C259" s="6">
        <v>1000000</v>
      </c>
      <c r="D259" s="5"/>
      <c r="E259" s="7">
        <f>IF(OR(C259&lt;&gt;0,D259&lt;&gt;0),SUM(C$3:C259)-SUM(D$3:D259),0)</f>
        <v>1186885</v>
      </c>
      <c r="F259" s="5"/>
      <c r="G259" s="28"/>
      <c r="H259" s="28"/>
      <c r="I259" s="28"/>
    </row>
    <row r="260" spans="1:9" ht="15.75" x14ac:dyDescent="0.25">
      <c r="A260" s="57"/>
      <c r="B260" s="5" t="s">
        <v>1029</v>
      </c>
      <c r="C260" s="5"/>
      <c r="D260" s="6">
        <v>210000</v>
      </c>
      <c r="E260" s="7">
        <f>IF(OR(C260&lt;&gt;0,D260&lt;&gt;0),SUM(C$3:C260)-SUM(D$3:D260),0)</f>
        <v>976885</v>
      </c>
      <c r="F260" s="5"/>
      <c r="G260" s="28"/>
      <c r="H260" s="28"/>
      <c r="I260" s="28"/>
    </row>
    <row r="261" spans="1:9" ht="15.75" x14ac:dyDescent="0.25">
      <c r="A261" s="58"/>
      <c r="B261" s="5" t="s">
        <v>1030</v>
      </c>
      <c r="C261" s="5"/>
      <c r="D261" s="6">
        <v>250000</v>
      </c>
      <c r="E261" s="7">
        <f>IF(OR(C261&lt;&gt;0,D261&lt;&gt;0),SUM(C$3:C261)-SUM(D$3:D261),0)</f>
        <v>726885</v>
      </c>
      <c r="F261" s="5"/>
      <c r="G261" s="28"/>
      <c r="H261" s="28"/>
      <c r="I261" s="28"/>
    </row>
  </sheetData>
  <mergeCells count="32">
    <mergeCell ref="A94:A107"/>
    <mergeCell ref="A108:A114"/>
    <mergeCell ref="A115:A125"/>
    <mergeCell ref="A75:A93"/>
    <mergeCell ref="A169:A175"/>
    <mergeCell ref="A134:A162"/>
    <mergeCell ref="A163:A168"/>
    <mergeCell ref="A126:A133"/>
    <mergeCell ref="A3:A7"/>
    <mergeCell ref="A8:A15"/>
    <mergeCell ref="A67:A74"/>
    <mergeCell ref="A52:A66"/>
    <mergeCell ref="A36:A51"/>
    <mergeCell ref="A16:A35"/>
    <mergeCell ref="F1:F2"/>
    <mergeCell ref="A1:A2"/>
    <mergeCell ref="B1:B2"/>
    <mergeCell ref="C1:C2"/>
    <mergeCell ref="D1:D2"/>
    <mergeCell ref="E1:E2"/>
    <mergeCell ref="A176:A182"/>
    <mergeCell ref="A183:A188"/>
    <mergeCell ref="A189:A205"/>
    <mergeCell ref="A206:A212"/>
    <mergeCell ref="A213:A224"/>
    <mergeCell ref="A251:A252"/>
    <mergeCell ref="A253:A261"/>
    <mergeCell ref="A237:A239"/>
    <mergeCell ref="A240:A243"/>
    <mergeCell ref="A225:A229"/>
    <mergeCell ref="A230:A236"/>
    <mergeCell ref="A244:A250"/>
  </mergeCells>
  <phoneticPr fontId="4" type="noConversion"/>
  <pageMargins left="0.7" right="0.7" top="0.75" bottom="0.75" header="0.3" footer="0.3"/>
  <pageSetup scale="3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5D2F8-2C51-484D-8B90-04124A224BC4}">
  <sheetPr codeName="Sheet6">
    <pageSetUpPr fitToPage="1"/>
  </sheetPr>
  <dimension ref="A1:I263"/>
  <sheetViews>
    <sheetView topLeftCell="A239" zoomScaleNormal="100" workbookViewId="0">
      <selection activeCell="B240" sqref="B240"/>
    </sheetView>
  </sheetViews>
  <sheetFormatPr defaultRowHeight="15" x14ac:dyDescent="0.25"/>
  <cols>
    <col min="1" max="1" width="27.42578125" customWidth="1"/>
    <col min="2" max="2" width="27.85546875" customWidth="1"/>
    <col min="3" max="3" width="18.28515625" customWidth="1"/>
    <col min="4" max="4" width="18.42578125" customWidth="1"/>
    <col min="5" max="5" width="28.7109375" customWidth="1"/>
    <col min="6" max="6" width="18.140625" customWidth="1"/>
    <col min="7" max="7" width="17.140625" customWidth="1"/>
    <col min="8" max="8" width="15.5703125" bestFit="1" customWidth="1"/>
    <col min="9" max="9" width="12.85546875" bestFit="1" customWidth="1"/>
  </cols>
  <sheetData>
    <row r="1" spans="1:6" x14ac:dyDescent="0.25">
      <c r="A1" s="73" t="s">
        <v>0</v>
      </c>
      <c r="B1" s="85" t="s">
        <v>5</v>
      </c>
      <c r="C1" s="75" t="s">
        <v>1</v>
      </c>
      <c r="D1" s="75" t="s">
        <v>2</v>
      </c>
      <c r="E1" s="75" t="s">
        <v>3</v>
      </c>
      <c r="F1" s="83" t="s">
        <v>4</v>
      </c>
    </row>
    <row r="2" spans="1:6" x14ac:dyDescent="0.25">
      <c r="A2" s="74"/>
      <c r="B2" s="86"/>
      <c r="C2" s="76"/>
      <c r="D2" s="76"/>
      <c r="E2" s="76"/>
      <c r="F2" s="84"/>
    </row>
    <row r="3" spans="1:6" ht="15.75" x14ac:dyDescent="0.25">
      <c r="A3" s="56">
        <v>45474</v>
      </c>
      <c r="B3" s="18" t="s">
        <v>503</v>
      </c>
      <c r="C3" s="25">
        <v>726885</v>
      </c>
      <c r="D3" s="25"/>
      <c r="E3" s="26">
        <f>IF(OR(C3&lt;&gt;0,D3&lt;&gt;0),SUM(C$3:C3)-SUM(D$3:D3),0)</f>
        <v>726885</v>
      </c>
      <c r="F3" s="19"/>
    </row>
    <row r="4" spans="1:6" ht="15.75" x14ac:dyDescent="0.25">
      <c r="A4" s="57"/>
      <c r="B4" s="5" t="s">
        <v>1007</v>
      </c>
      <c r="C4" s="6"/>
      <c r="D4" s="6">
        <v>370000</v>
      </c>
      <c r="E4" s="26">
        <f>IF(OR(C4&lt;&gt;0,D4&lt;&gt;0),SUM(C$3:C4)-SUM(D$3:D4),0)</f>
        <v>356885</v>
      </c>
      <c r="F4" s="5"/>
    </row>
    <row r="5" spans="1:6" ht="15.75" x14ac:dyDescent="0.25">
      <c r="A5" s="57"/>
      <c r="B5" s="5" t="s">
        <v>300</v>
      </c>
      <c r="C5" s="6"/>
      <c r="D5" s="6">
        <v>68500</v>
      </c>
      <c r="E5" s="26">
        <f>IF(OR(C5&lt;&gt;0,D5&lt;&gt;0),SUM(C$3:C5)-SUM(D$3:D5),0)</f>
        <v>288385</v>
      </c>
      <c r="F5" s="5"/>
    </row>
    <row r="6" spans="1:6" ht="15.75" x14ac:dyDescent="0.25">
      <c r="A6" s="57"/>
      <c r="B6" s="5" t="s">
        <v>43</v>
      </c>
      <c r="C6" s="6"/>
      <c r="D6" s="6">
        <v>150000</v>
      </c>
      <c r="E6" s="26">
        <f>IF(OR(C6&lt;&gt;0,D6&lt;&gt;0),SUM(C$3:C6)-SUM(D$3:D6),0)</f>
        <v>138385</v>
      </c>
      <c r="F6" s="5"/>
    </row>
    <row r="7" spans="1:6" ht="15.75" x14ac:dyDescent="0.25">
      <c r="A7" s="57"/>
      <c r="B7" s="5" t="s">
        <v>1008</v>
      </c>
      <c r="C7" s="6"/>
      <c r="D7" s="6">
        <v>30000</v>
      </c>
      <c r="E7" s="26">
        <f>IF(OR(C7&lt;&gt;0,D7&lt;&gt;0),SUM(C$3:C7)-SUM(D$3:D7),0)</f>
        <v>108385</v>
      </c>
      <c r="F7" s="5"/>
    </row>
    <row r="8" spans="1:6" ht="15.75" x14ac:dyDescent="0.25">
      <c r="A8" s="57"/>
      <c r="B8" s="5" t="s">
        <v>834</v>
      </c>
      <c r="C8" s="5"/>
      <c r="D8" s="6">
        <v>100000</v>
      </c>
      <c r="E8" s="26">
        <f>IF(OR(C8&lt;&gt;0,D8&lt;&gt;0),SUM(C$3:C8)-SUM(D$3:D8),0)</f>
        <v>8385</v>
      </c>
      <c r="F8" s="5"/>
    </row>
    <row r="9" spans="1:6" ht="15.75" x14ac:dyDescent="0.25">
      <c r="A9" s="57"/>
      <c r="B9" s="5" t="s">
        <v>1009</v>
      </c>
      <c r="C9" s="5"/>
      <c r="D9" s="6">
        <v>2500</v>
      </c>
      <c r="E9" s="26">
        <f>IF(OR(C9&lt;&gt;0,D9&lt;&gt;0),SUM(C$3:C9)-SUM(D$3:D9),0)</f>
        <v>5885</v>
      </c>
      <c r="F9" s="5"/>
    </row>
    <row r="10" spans="1:6" ht="15.75" x14ac:dyDescent="0.25">
      <c r="A10" s="57"/>
      <c r="B10" s="5" t="s">
        <v>1010</v>
      </c>
      <c r="C10" s="5"/>
      <c r="D10" s="6">
        <v>30000</v>
      </c>
      <c r="E10" s="26">
        <f>IF(OR(C10&lt;&gt;0,D10&lt;&gt;0),SUM(C$3:C10)-SUM(D$3:D10),0)</f>
        <v>-24115</v>
      </c>
      <c r="F10" s="5"/>
    </row>
    <row r="11" spans="1:6" ht="15.75" x14ac:dyDescent="0.25">
      <c r="A11" s="57"/>
      <c r="B11" s="5" t="s">
        <v>1011</v>
      </c>
      <c r="C11" s="5"/>
      <c r="D11" s="6">
        <v>105000</v>
      </c>
      <c r="E11" s="26">
        <f>IF(OR(C11&lt;&gt;0,D11&lt;&gt;0),SUM(C$3:C11)-SUM(D$3:D11),0)</f>
        <v>-129115</v>
      </c>
      <c r="F11" s="5"/>
    </row>
    <row r="12" spans="1:6" ht="15.75" x14ac:dyDescent="0.25">
      <c r="A12" s="57"/>
      <c r="B12" s="5" t="s">
        <v>75</v>
      </c>
      <c r="C12" s="5"/>
      <c r="D12" s="6">
        <v>30000</v>
      </c>
      <c r="E12" s="26">
        <f>IF(OR(C12&lt;&gt;0,D12&lt;&gt;0),SUM(C$3:C12)-SUM(D$3:D12),0)</f>
        <v>-159115</v>
      </c>
      <c r="F12" s="5"/>
    </row>
    <row r="13" spans="1:6" ht="15.75" x14ac:dyDescent="0.25">
      <c r="A13" s="57"/>
      <c r="B13" s="5" t="s">
        <v>1012</v>
      </c>
      <c r="C13" s="5"/>
      <c r="D13" s="6">
        <v>100000</v>
      </c>
      <c r="E13" s="26">
        <f>IF(OR(C13&lt;&gt;0,D13&lt;&gt;0),SUM(C$3:C13)-SUM(D$3:D13),0)</f>
        <v>-259115</v>
      </c>
      <c r="F13" s="5"/>
    </row>
    <row r="14" spans="1:6" ht="15.75" x14ac:dyDescent="0.25">
      <c r="A14" s="57"/>
      <c r="B14" s="5" t="s">
        <v>1013</v>
      </c>
      <c r="C14" s="5"/>
      <c r="D14" s="6">
        <v>56000</v>
      </c>
      <c r="E14" s="26">
        <f>IF(OR(C14&lt;&gt;0,D14&lt;&gt;0),SUM(C$3:C14)-SUM(D$3:D14),0)</f>
        <v>-315115</v>
      </c>
      <c r="F14" s="5"/>
    </row>
    <row r="15" spans="1:6" ht="15.75" x14ac:dyDescent="0.25">
      <c r="A15" s="57"/>
      <c r="B15" s="5" t="s">
        <v>12</v>
      </c>
      <c r="C15" s="5"/>
      <c r="D15" s="6">
        <v>20000</v>
      </c>
      <c r="E15" s="26">
        <f>IF(OR(C15&lt;&gt;0,D15&lt;&gt;0),SUM(C$3:C15)-SUM(D$3:D15),0)</f>
        <v>-335115</v>
      </c>
      <c r="F15" s="5"/>
    </row>
    <row r="16" spans="1:6" ht="15.75" x14ac:dyDescent="0.25">
      <c r="A16" s="57"/>
      <c r="B16" s="5" t="s">
        <v>1014</v>
      </c>
      <c r="C16" s="5"/>
      <c r="D16" s="6">
        <v>100000</v>
      </c>
      <c r="E16" s="26">
        <f>IF(OR(C16&lt;&gt;0,D16&lt;&gt;0),SUM(C$3:C16)-SUM(D$3:D16),0)</f>
        <v>-435115</v>
      </c>
      <c r="F16" s="5"/>
    </row>
    <row r="17" spans="1:6" ht="15.75" x14ac:dyDescent="0.25">
      <c r="A17" s="58"/>
      <c r="B17" s="5" t="s">
        <v>1059</v>
      </c>
      <c r="C17" s="5"/>
      <c r="D17" s="6">
        <v>56000</v>
      </c>
      <c r="E17" s="26">
        <f>IF(OR(C17&lt;&gt;0,D17&lt;&gt;0),SUM(C$3:C17)-SUM(D$3:D17),0)</f>
        <v>-491115</v>
      </c>
      <c r="F17" s="5"/>
    </row>
    <row r="18" spans="1:6" ht="15.75" x14ac:dyDescent="0.25">
      <c r="A18" s="56">
        <v>45477</v>
      </c>
      <c r="B18" s="27" t="s">
        <v>1015</v>
      </c>
      <c r="C18" s="6"/>
      <c r="D18" s="6">
        <v>100000</v>
      </c>
      <c r="E18" s="26">
        <f>IF(OR(C18&lt;&gt;0,D18&lt;&gt;0),SUM(C$3:C18)-SUM(D$3:D18),0)</f>
        <v>-591115</v>
      </c>
      <c r="F18" s="19"/>
    </row>
    <row r="19" spans="1:6" ht="15.75" x14ac:dyDescent="0.25">
      <c r="A19" s="57"/>
      <c r="B19" s="5" t="s">
        <v>1061</v>
      </c>
      <c r="C19" s="6"/>
      <c r="D19" s="6">
        <v>100000</v>
      </c>
      <c r="E19" s="26">
        <f>IF(OR(C19&lt;&gt;0,D19&lt;&gt;0),SUM(C$3:C19)-SUM(D$3:D19),0)</f>
        <v>-691115</v>
      </c>
      <c r="F19" s="5"/>
    </row>
    <row r="20" spans="1:6" ht="15.75" x14ac:dyDescent="0.25">
      <c r="A20" s="57"/>
      <c r="B20" s="5" t="s">
        <v>1060</v>
      </c>
      <c r="C20" s="6"/>
      <c r="D20" s="6">
        <v>200000</v>
      </c>
      <c r="E20" s="26">
        <f>IF(OR(C20&lt;&gt;0,D20&lt;&gt;0),SUM(C$3:C20)-SUM(D$3:D20),0)</f>
        <v>-891115</v>
      </c>
      <c r="F20" s="5"/>
    </row>
    <row r="21" spans="1:6" ht="15.75" x14ac:dyDescent="0.25">
      <c r="A21" s="57"/>
      <c r="B21" s="5" t="s">
        <v>1016</v>
      </c>
      <c r="C21" s="6"/>
      <c r="D21" s="6">
        <v>1372100</v>
      </c>
      <c r="E21" s="26">
        <f>IF(OR(C21&lt;&gt;0,D21&lt;&gt;0),SUM(C$3:C21)-SUM(D$3:D21),0)</f>
        <v>-2263215</v>
      </c>
      <c r="F21" s="5"/>
    </row>
    <row r="22" spans="1:6" ht="15.75" x14ac:dyDescent="0.25">
      <c r="A22" s="57"/>
      <c r="B22" s="5" t="s">
        <v>1017</v>
      </c>
      <c r="C22" s="6"/>
      <c r="D22" s="6">
        <v>200000</v>
      </c>
      <c r="E22" s="26">
        <f>IF(OR(C22&lt;&gt;0,D22&lt;&gt;0),SUM(C$3:C22)-SUM(D$3:D22),0)</f>
        <v>-2463215</v>
      </c>
      <c r="F22" s="5"/>
    </row>
    <row r="23" spans="1:6" ht="15.75" x14ac:dyDescent="0.25">
      <c r="A23" s="57"/>
      <c r="B23" s="5" t="s">
        <v>1018</v>
      </c>
      <c r="C23" s="5"/>
      <c r="D23" s="6">
        <v>200000</v>
      </c>
      <c r="E23" s="26">
        <f>IF(OR(C23&lt;&gt;0,D23&lt;&gt;0),SUM(C$3:C23)-SUM(D$3:D23),0)</f>
        <v>-2663215</v>
      </c>
      <c r="F23" s="5"/>
    </row>
    <row r="24" spans="1:6" ht="15.75" x14ac:dyDescent="0.25">
      <c r="A24" s="57"/>
      <c r="B24" s="5" t="s">
        <v>1019</v>
      </c>
      <c r="C24" s="5"/>
      <c r="D24" s="6">
        <v>140000</v>
      </c>
      <c r="E24" s="26">
        <f>IF(OR(C24&lt;&gt;0,D24&lt;&gt;0),SUM(C$3:C24)-SUM(D$3:D24),0)</f>
        <v>-2803215</v>
      </c>
      <c r="F24" s="5"/>
    </row>
    <row r="25" spans="1:6" ht="15.75" x14ac:dyDescent="0.25">
      <c r="A25" s="57"/>
      <c r="B25" s="5" t="s">
        <v>1020</v>
      </c>
      <c r="C25" s="5"/>
      <c r="D25" s="6">
        <v>250000</v>
      </c>
      <c r="E25" s="26">
        <f>IF(OR(C25&lt;&gt;0,D25&lt;&gt;0),SUM(C$3:C25)-SUM(D$3:D25),0)</f>
        <v>-3053215</v>
      </c>
      <c r="F25" s="5"/>
    </row>
    <row r="26" spans="1:6" ht="15.75" x14ac:dyDescent="0.25">
      <c r="A26" s="57"/>
      <c r="B26" s="5" t="s">
        <v>58</v>
      </c>
      <c r="C26" s="5"/>
      <c r="D26" s="6">
        <v>2000</v>
      </c>
      <c r="E26" s="26">
        <f>IF(OR(C26&lt;&gt;0,D26&lt;&gt;0),SUM(C$3:C26)-SUM(D$3:D26),0)</f>
        <v>-3055215</v>
      </c>
      <c r="F26" s="5"/>
    </row>
    <row r="27" spans="1:6" ht="15.75" x14ac:dyDescent="0.25">
      <c r="A27" s="57"/>
      <c r="B27" s="5" t="s">
        <v>58</v>
      </c>
      <c r="C27" s="5"/>
      <c r="D27" s="6">
        <v>2000</v>
      </c>
      <c r="E27" s="26">
        <f>IF(OR(C27&lt;&gt;0,D27&lt;&gt;0),SUM(C$3:C27)-SUM(D$3:D27),0)</f>
        <v>-3057215</v>
      </c>
      <c r="F27" s="5"/>
    </row>
    <row r="28" spans="1:6" ht="15.75" x14ac:dyDescent="0.25">
      <c r="A28" s="57"/>
      <c r="B28" s="5" t="s">
        <v>1021</v>
      </c>
      <c r="C28" s="5"/>
      <c r="D28" s="6">
        <v>270000</v>
      </c>
      <c r="E28" s="26">
        <f>IF(OR(C28&lt;&gt;0,D28&lt;&gt;0),SUM(C$3:C28)-SUM(D$3:D28),0)</f>
        <v>-3327215</v>
      </c>
      <c r="F28" s="5"/>
    </row>
    <row r="29" spans="1:6" ht="15.75" x14ac:dyDescent="0.25">
      <c r="A29" s="57"/>
      <c r="B29" s="5" t="s">
        <v>1022</v>
      </c>
      <c r="C29" s="5"/>
      <c r="D29" s="6">
        <v>30000</v>
      </c>
      <c r="E29" s="26">
        <f>IF(OR(C29&lt;&gt;0,D29&lt;&gt;0),SUM(C$3:C29)-SUM(D$3:D29),0)</f>
        <v>-3357215</v>
      </c>
      <c r="F29" s="5"/>
    </row>
    <row r="30" spans="1:6" ht="15.75" x14ac:dyDescent="0.25">
      <c r="A30" s="57"/>
      <c r="B30" s="5" t="s">
        <v>152</v>
      </c>
      <c r="C30" s="5"/>
      <c r="D30" s="6">
        <v>161700</v>
      </c>
      <c r="E30" s="26">
        <f>IF(OR(C30&lt;&gt;0,D30&lt;&gt;0),SUM(C$3:C30)-SUM(D$3:D30),0)</f>
        <v>-3518915</v>
      </c>
      <c r="F30" s="5"/>
    </row>
    <row r="31" spans="1:6" ht="15.75" x14ac:dyDescent="0.25">
      <c r="A31" s="57"/>
      <c r="B31" s="5" t="s">
        <v>748</v>
      </c>
      <c r="C31" s="5"/>
      <c r="D31" s="6">
        <v>300000</v>
      </c>
      <c r="E31" s="26">
        <f>IF(OR(C31&lt;&gt;0,D31&lt;&gt;0),SUM(C$3:C31)-SUM(D$3:D31),0)</f>
        <v>-3818915</v>
      </c>
      <c r="F31" s="5"/>
    </row>
    <row r="32" spans="1:6" ht="15.75" x14ac:dyDescent="0.25">
      <c r="A32" s="57"/>
      <c r="B32" s="5" t="s">
        <v>467</v>
      </c>
      <c r="C32" s="5"/>
      <c r="D32" s="6">
        <v>100000</v>
      </c>
      <c r="E32" s="26">
        <f>IF(OR(C32&lt;&gt;0,D32&lt;&gt;0),SUM(C$3:C32)-SUM(D$3:D32),0)</f>
        <v>-3918915</v>
      </c>
      <c r="F32" s="5"/>
    </row>
    <row r="33" spans="1:9" ht="15.75" x14ac:dyDescent="0.25">
      <c r="A33" s="57"/>
      <c r="B33" s="5" t="s">
        <v>707</v>
      </c>
      <c r="C33" s="5"/>
      <c r="D33" s="6">
        <v>200000</v>
      </c>
      <c r="E33" s="26">
        <f>IF(OR(C33&lt;&gt;0,D33&lt;&gt;0),SUM(C$3:C33)-SUM(D$3:D33),0)</f>
        <v>-4118915</v>
      </c>
      <c r="F33" s="5"/>
    </row>
    <row r="34" spans="1:9" ht="15.75" x14ac:dyDescent="0.25">
      <c r="A34" s="57"/>
      <c r="B34" s="5" t="s">
        <v>763</v>
      </c>
      <c r="C34" s="5"/>
      <c r="D34" s="6">
        <v>100000</v>
      </c>
      <c r="E34" s="26">
        <f>IF(OR(C34&lt;&gt;0,D34&lt;&gt;0),SUM(C$3:C34)-SUM(D$3:D34),0)</f>
        <v>-4218915</v>
      </c>
      <c r="F34" s="5"/>
    </row>
    <row r="35" spans="1:9" ht="15.75" x14ac:dyDescent="0.25">
      <c r="A35" s="57"/>
      <c r="B35" s="5" t="s">
        <v>1023</v>
      </c>
      <c r="C35" s="5"/>
      <c r="D35" s="6">
        <v>3000</v>
      </c>
      <c r="E35" s="26">
        <f>IF(OR(C35&lt;&gt;0,D35&lt;&gt;0),SUM(C$3:C35)-SUM(D$3:D35),0)</f>
        <v>-4221915</v>
      </c>
      <c r="F35" s="5"/>
    </row>
    <row r="36" spans="1:9" ht="15.75" x14ac:dyDescent="0.25">
      <c r="A36" s="57"/>
      <c r="B36" s="5" t="s">
        <v>1024</v>
      </c>
      <c r="C36" s="5"/>
      <c r="D36" s="6">
        <v>100000</v>
      </c>
      <c r="E36" s="26">
        <f>IF(OR(C36&lt;&gt;0,D36&lt;&gt;0),SUM(C$3:C36)-SUM(D$3:D36),0)</f>
        <v>-4321915</v>
      </c>
      <c r="F36" s="5"/>
    </row>
    <row r="37" spans="1:9" ht="15.75" x14ac:dyDescent="0.25">
      <c r="A37" s="57"/>
      <c r="B37" s="5" t="s">
        <v>255</v>
      </c>
      <c r="C37" s="5"/>
      <c r="D37" s="6">
        <v>20000</v>
      </c>
      <c r="E37" s="26">
        <f>IF(OR(C37&lt;&gt;0,D37&lt;&gt;0),SUM(C$3:C37)-SUM(D$3:D37),0)</f>
        <v>-4341915</v>
      </c>
      <c r="F37" s="5"/>
    </row>
    <row r="38" spans="1:9" ht="15.75" x14ac:dyDescent="0.25">
      <c r="A38" s="57"/>
      <c r="B38" s="5" t="s">
        <v>255</v>
      </c>
      <c r="C38" s="5"/>
      <c r="D38" s="6">
        <v>81000</v>
      </c>
      <c r="E38" s="26">
        <f>IF(OR(C38&lt;&gt;0,D38&lt;&gt;0),SUM(C$3:C38)-SUM(D$3:D38),0)</f>
        <v>-4422915</v>
      </c>
      <c r="F38" s="5"/>
    </row>
    <row r="39" spans="1:9" ht="15.75" x14ac:dyDescent="0.25">
      <c r="A39" s="57"/>
      <c r="B39" s="5" t="s">
        <v>7</v>
      </c>
      <c r="C39" s="6">
        <v>1500000</v>
      </c>
      <c r="D39" s="5"/>
      <c r="E39" s="26">
        <f>IF(OR(C39&lt;&gt;0,D39&lt;&gt;0),SUM(C$3:C39)-SUM(D$3:D39),0)</f>
        <v>-2922915</v>
      </c>
      <c r="F39" s="5"/>
    </row>
    <row r="40" spans="1:9" ht="15.75" x14ac:dyDescent="0.25">
      <c r="A40" s="57"/>
      <c r="B40" s="5" t="s">
        <v>7</v>
      </c>
      <c r="C40" s="6">
        <v>1000000</v>
      </c>
      <c r="D40" s="5"/>
      <c r="E40" s="26">
        <f>IF(OR(C40&lt;&gt;0,D40&lt;&gt;0),SUM(C$3:C40)-SUM(D$3:D40),0)</f>
        <v>-1922915</v>
      </c>
      <c r="F40" s="5"/>
    </row>
    <row r="41" spans="1:9" ht="15.75" x14ac:dyDescent="0.25">
      <c r="A41" s="57"/>
      <c r="B41" s="5" t="s">
        <v>7</v>
      </c>
      <c r="C41" s="6">
        <v>1000000</v>
      </c>
      <c r="D41" s="5"/>
      <c r="E41" s="26">
        <f>IF(OR(C41&lt;&gt;0,D41&lt;&gt;0),SUM(C$3:C41)-SUM(D$3:D41),0)</f>
        <v>-922915</v>
      </c>
      <c r="F41" s="5"/>
    </row>
    <row r="42" spans="1:9" ht="15.75" x14ac:dyDescent="0.25">
      <c r="A42" s="57"/>
      <c r="B42" s="5" t="s">
        <v>7</v>
      </c>
      <c r="C42" s="6">
        <v>1826000</v>
      </c>
      <c r="D42" s="5"/>
      <c r="E42" s="26">
        <f>IF(OR(C42&lt;&gt;0,D42&lt;&gt;0),SUM(C$3:C42)-SUM(D$3:D42),0)</f>
        <v>903085</v>
      </c>
      <c r="F42" s="5"/>
    </row>
    <row r="43" spans="1:9" ht="15.75" x14ac:dyDescent="0.25">
      <c r="A43" s="57"/>
      <c r="B43" s="5" t="s">
        <v>1025</v>
      </c>
      <c r="C43" s="5"/>
      <c r="D43" s="6">
        <v>9801</v>
      </c>
      <c r="E43" s="26">
        <f>IF(OR(C43&lt;&gt;0,D43&lt;&gt;0),SUM(C$3:C43)-SUM(D$3:D43),0)</f>
        <v>893284</v>
      </c>
      <c r="F43" s="5"/>
      <c r="G43" s="3">
        <f>779600-E43</f>
        <v>-113684</v>
      </c>
    </row>
    <row r="44" spans="1:9" ht="15.75" x14ac:dyDescent="0.25">
      <c r="A44" s="58"/>
      <c r="B44" s="5" t="s">
        <v>723</v>
      </c>
      <c r="C44" s="5"/>
      <c r="D44" s="6">
        <v>200000</v>
      </c>
      <c r="E44" s="26">
        <f>IF(OR(C44&lt;&gt;0,D44&lt;&gt;0),SUM(C$3:C44)-SUM(D$3:D44),0)</f>
        <v>693284</v>
      </c>
      <c r="F44" s="5"/>
    </row>
    <row r="45" spans="1:9" ht="15.75" x14ac:dyDescent="0.25">
      <c r="A45" s="59">
        <v>45478</v>
      </c>
      <c r="B45" s="5" t="s">
        <v>1031</v>
      </c>
      <c r="C45" s="6"/>
      <c r="D45" s="6">
        <v>50000</v>
      </c>
      <c r="E45" s="26">
        <f>IF(OR(C45&lt;&gt;0,D45&lt;&gt;0),SUM(C$3:C45)-SUM(D$3:D45),0)</f>
        <v>643284</v>
      </c>
      <c r="F45" s="5"/>
    </row>
    <row r="46" spans="1:9" ht="15.75" x14ac:dyDescent="0.25">
      <c r="A46" s="59"/>
      <c r="B46" s="5" t="s">
        <v>1032</v>
      </c>
      <c r="C46" s="6"/>
      <c r="D46" s="6">
        <v>50000</v>
      </c>
      <c r="E46" s="26">
        <f>IF(OR(C46&lt;&gt;0,D46&lt;&gt;0),SUM(C$3:C46)-SUM(D$3:D46),0)</f>
        <v>593284</v>
      </c>
      <c r="F46" s="5"/>
    </row>
    <row r="47" spans="1:9" ht="15.75" x14ac:dyDescent="0.25">
      <c r="A47" s="59"/>
      <c r="B47" s="5" t="s">
        <v>1033</v>
      </c>
      <c r="C47" s="6"/>
      <c r="D47" s="6">
        <v>50000</v>
      </c>
      <c r="E47" s="26">
        <f>IF(OR(C47&lt;&gt;0,D47&lt;&gt;0),SUM(C$3:C47)-SUM(D$3:D47),0)</f>
        <v>543284</v>
      </c>
      <c r="F47" s="5"/>
    </row>
    <row r="48" spans="1:9" ht="15.75" x14ac:dyDescent="0.25">
      <c r="A48" s="59"/>
      <c r="B48" s="5" t="s">
        <v>46</v>
      </c>
      <c r="C48" s="5"/>
      <c r="D48" s="6">
        <v>30000</v>
      </c>
      <c r="E48" s="26">
        <f>IF(OR(C48&lt;&gt;0,D48&lt;&gt;0),SUM(C$3:C48)-SUM(D$3:D48),0)</f>
        <v>513284</v>
      </c>
      <c r="F48" s="5"/>
      <c r="G48" s="3">
        <f>339800-E48</f>
        <v>-173484</v>
      </c>
      <c r="H48" s="3" t="e">
        <f>180000-#REF!</f>
        <v>#REF!</v>
      </c>
      <c r="I48" s="3" t="e">
        <f>260000+H48</f>
        <v>#REF!</v>
      </c>
    </row>
    <row r="49" spans="1:7" ht="15.75" x14ac:dyDescent="0.25">
      <c r="A49" s="59"/>
      <c r="B49" s="5" t="s">
        <v>1034</v>
      </c>
      <c r="C49" s="5"/>
      <c r="D49" s="6">
        <v>113600</v>
      </c>
      <c r="E49" s="26">
        <f>IF(OR(C49&lt;&gt;0,D49&lt;&gt;0),SUM(C$3:C49)-SUM(D$3:D49),0)</f>
        <v>399684</v>
      </c>
      <c r="F49" s="5"/>
      <c r="G49" s="3">
        <f>339800-E49</f>
        <v>-59884</v>
      </c>
    </row>
    <row r="50" spans="1:7" ht="15.75" x14ac:dyDescent="0.25">
      <c r="A50" s="59"/>
      <c r="B50" s="5" t="s">
        <v>740</v>
      </c>
      <c r="C50" s="5"/>
      <c r="D50" s="6">
        <v>400000</v>
      </c>
      <c r="E50" s="26">
        <f>IF(OR(C50&lt;&gt;0,D50&lt;&gt;0),SUM(C$3:C50)-SUM(D$3:D50),0)</f>
        <v>-316</v>
      </c>
      <c r="F50" s="5"/>
    </row>
    <row r="51" spans="1:7" ht="15.75" x14ac:dyDescent="0.25">
      <c r="A51" s="59"/>
      <c r="B51" s="5" t="s">
        <v>7</v>
      </c>
      <c r="C51" s="6">
        <v>1000000</v>
      </c>
      <c r="D51" s="6"/>
      <c r="E51" s="26">
        <f>IF(OR(C51&lt;&gt;0,D51&lt;&gt;0),SUM(C$3:C51)-SUM(D$3:D51),0)</f>
        <v>999684</v>
      </c>
      <c r="F51" s="5"/>
    </row>
    <row r="52" spans="1:7" ht="15.75" x14ac:dyDescent="0.25">
      <c r="A52" s="59"/>
      <c r="B52" s="5" t="s">
        <v>1052</v>
      </c>
      <c r="C52" s="5"/>
      <c r="D52" s="6">
        <v>500000</v>
      </c>
      <c r="E52" s="26">
        <f>IF(OR(C52&lt;&gt;0,D52&lt;&gt;0),SUM(C$3:C52)-SUM(D$3:D52),0)</f>
        <v>499684</v>
      </c>
      <c r="F52" s="5"/>
      <c r="G52" s="3">
        <f>739800-E52</f>
        <v>240116</v>
      </c>
    </row>
    <row r="53" spans="1:7" ht="15.75" x14ac:dyDescent="0.25">
      <c r="A53" s="59"/>
      <c r="B53" s="5" t="s">
        <v>1022</v>
      </c>
      <c r="C53" s="5"/>
      <c r="D53" s="6">
        <v>50000</v>
      </c>
      <c r="E53" s="26">
        <f>IF(OR(C53&lt;&gt;0,D53&lt;&gt;0),SUM(C$3:C53)-SUM(D$3:D53),0)</f>
        <v>449684</v>
      </c>
      <c r="F53" s="5"/>
    </row>
    <row r="54" spans="1:7" ht="15.75" x14ac:dyDescent="0.25">
      <c r="A54" s="59">
        <v>45479</v>
      </c>
      <c r="B54" s="5" t="s">
        <v>7</v>
      </c>
      <c r="C54" s="6">
        <v>500000</v>
      </c>
      <c r="D54" s="6"/>
      <c r="E54" s="26">
        <f>IF(OR(C54&lt;&gt;0,D54&lt;&gt;0),SUM(C$3:C54)-SUM(D$3:D54),0)</f>
        <v>949684</v>
      </c>
      <c r="F54" s="5"/>
      <c r="G54" s="3">
        <f>1189800-E54</f>
        <v>240116</v>
      </c>
    </row>
    <row r="55" spans="1:7" ht="15.75" x14ac:dyDescent="0.25">
      <c r="A55" s="59"/>
      <c r="B55" s="5" t="s">
        <v>7</v>
      </c>
      <c r="C55" s="6">
        <v>300000</v>
      </c>
      <c r="D55" s="6"/>
      <c r="E55" s="26">
        <f>IF(OR(C55&lt;&gt;0,D55&lt;&gt;0),SUM(C$3:C55)-SUM(D$3:D55),0)</f>
        <v>1249684</v>
      </c>
      <c r="F55" s="5"/>
    </row>
    <row r="56" spans="1:7" ht="15.75" x14ac:dyDescent="0.25">
      <c r="A56" s="59"/>
      <c r="B56" s="5" t="s">
        <v>67</v>
      </c>
      <c r="C56" s="5"/>
      <c r="D56" s="6">
        <v>42000</v>
      </c>
      <c r="E56" s="26">
        <f>IF(OR(C56&lt;&gt;0,D56&lt;&gt;0),SUM(C$3:C56)-SUM(D$3:D56),0)</f>
        <v>1207684</v>
      </c>
      <c r="F56" s="5"/>
    </row>
    <row r="57" spans="1:7" ht="15.75" x14ac:dyDescent="0.25">
      <c r="A57" s="59"/>
      <c r="B57" s="5" t="s">
        <v>1012</v>
      </c>
      <c r="C57" s="5"/>
      <c r="D57" s="6">
        <v>60000</v>
      </c>
      <c r="E57" s="26">
        <f>IF(OR(C57&lt;&gt;0,D57&lt;&gt;0),SUM(C$3:C57)-SUM(D$3:D57),0)</f>
        <v>1147684</v>
      </c>
      <c r="F57" s="5"/>
    </row>
    <row r="58" spans="1:7" ht="15.75" x14ac:dyDescent="0.25">
      <c r="A58" s="59"/>
      <c r="B58" s="5" t="s">
        <v>564</v>
      </c>
      <c r="C58" s="5"/>
      <c r="D58" s="6">
        <v>155800</v>
      </c>
      <c r="E58" s="26">
        <f>IF(OR(C58&lt;&gt;0,D58&lt;&gt;0),SUM(C$3:C58)-SUM(D$3:D58),0)</f>
        <v>991884</v>
      </c>
      <c r="F58" s="5"/>
    </row>
    <row r="59" spans="1:7" ht="15.75" x14ac:dyDescent="0.25">
      <c r="A59" s="59"/>
      <c r="B59" s="5" t="s">
        <v>1053</v>
      </c>
      <c r="C59" s="5"/>
      <c r="D59" s="6">
        <v>340000</v>
      </c>
      <c r="E59" s="26">
        <f>IF(OR(C59&lt;&gt;0,D59&lt;&gt;0),SUM(C$3:C59)-SUM(D$3:D59),0)</f>
        <v>651884</v>
      </c>
      <c r="F59" s="5"/>
    </row>
    <row r="60" spans="1:7" ht="15.75" x14ac:dyDescent="0.25">
      <c r="A60" s="59"/>
      <c r="B60" s="5" t="s">
        <v>815</v>
      </c>
      <c r="C60" s="5"/>
      <c r="D60" s="6">
        <v>90000</v>
      </c>
      <c r="E60" s="26">
        <f>IF(OR(C60&lt;&gt;0,D60&lt;&gt;0),SUM(C$3:C60)-SUM(D$3:D60),0)</f>
        <v>561884</v>
      </c>
      <c r="F60" s="5"/>
    </row>
    <row r="61" spans="1:7" ht="15.75" x14ac:dyDescent="0.25">
      <c r="A61" s="59"/>
      <c r="B61" s="5" t="s">
        <v>1054</v>
      </c>
      <c r="C61" s="5"/>
      <c r="D61" s="6">
        <v>2000</v>
      </c>
      <c r="E61" s="26">
        <f>IF(OR(C61&lt;&gt;0,D61&lt;&gt;0),SUM(C$3:C61)-SUM(D$3:D61),0)</f>
        <v>559884</v>
      </c>
      <c r="F61" s="5"/>
    </row>
    <row r="62" spans="1:7" ht="15.75" x14ac:dyDescent="0.25">
      <c r="A62" s="59"/>
      <c r="B62" s="5" t="s">
        <v>350</v>
      </c>
      <c r="C62" s="6"/>
      <c r="D62" s="6">
        <v>10000</v>
      </c>
      <c r="E62" s="26">
        <f>IF(OR(C62&lt;&gt;0,D62&lt;&gt;0),SUM(C$3:C62)-SUM(D$3:D62),0)</f>
        <v>549884</v>
      </c>
      <c r="F62" s="5"/>
    </row>
    <row r="63" spans="1:7" ht="15.75" x14ac:dyDescent="0.25">
      <c r="A63" s="59"/>
      <c r="B63" s="5" t="s">
        <v>923</v>
      </c>
      <c r="C63" s="6"/>
      <c r="D63" s="6">
        <v>68000</v>
      </c>
      <c r="E63" s="26">
        <f>IF(OR(C63&lt;&gt;0,D63&lt;&gt;0),SUM(C$3:C63)-SUM(D$3:D63),0)</f>
        <v>481884</v>
      </c>
      <c r="F63" s="5"/>
    </row>
    <row r="64" spans="1:7" ht="15.75" x14ac:dyDescent="0.25">
      <c r="A64" s="59"/>
      <c r="B64" s="5" t="s">
        <v>1055</v>
      </c>
      <c r="C64" s="6"/>
      <c r="D64" s="6">
        <v>55000</v>
      </c>
      <c r="E64" s="26">
        <f>IF(OR(C64&lt;&gt;0,D64&lt;&gt;0),SUM(C$3:C64)-SUM(D$3:D64),0)</f>
        <v>426884</v>
      </c>
      <c r="F64" s="5"/>
    </row>
    <row r="65" spans="1:7" ht="15.75" x14ac:dyDescent="0.25">
      <c r="A65" s="59"/>
      <c r="B65" s="5" t="s">
        <v>1056</v>
      </c>
      <c r="C65" s="5"/>
      <c r="D65" s="6">
        <v>12000</v>
      </c>
      <c r="E65" s="26">
        <f>IF(OR(C65&lt;&gt;0,D65&lt;&gt;0),SUM(C$3:C65)-SUM(D$3:D65),0)</f>
        <v>414884</v>
      </c>
      <c r="F65" s="5"/>
    </row>
    <row r="66" spans="1:7" ht="15.75" x14ac:dyDescent="0.25">
      <c r="A66" s="59"/>
      <c r="B66" s="5" t="s">
        <v>680</v>
      </c>
      <c r="C66" s="5"/>
      <c r="D66" s="6">
        <v>957000</v>
      </c>
      <c r="E66" s="26">
        <f>IF(OR(C66&lt;&gt;0,D66&lt;&gt;0),SUM(C$3:C66)-SUM(D$3:D66),0)</f>
        <v>-542116</v>
      </c>
      <c r="F66" s="5"/>
    </row>
    <row r="67" spans="1:7" ht="15.75" x14ac:dyDescent="0.25">
      <c r="A67" s="59"/>
      <c r="B67" s="5" t="s">
        <v>1057</v>
      </c>
      <c r="C67" s="5"/>
      <c r="D67" s="6">
        <v>300000</v>
      </c>
      <c r="E67" s="26">
        <f>IF(OR(C67&lt;&gt;0,D67&lt;&gt;0),SUM(C$3:C67)-SUM(D$3:D67),0)</f>
        <v>-842116</v>
      </c>
      <c r="F67" s="5"/>
    </row>
    <row r="68" spans="1:7" ht="15.75" x14ac:dyDescent="0.25">
      <c r="A68" s="56">
        <v>45480</v>
      </c>
      <c r="B68" s="5" t="s">
        <v>7</v>
      </c>
      <c r="C68" s="6">
        <v>1257000</v>
      </c>
      <c r="D68" s="6"/>
      <c r="E68" s="26">
        <f>IF(OR(C68&lt;&gt;0,D68&lt;&gt;0),SUM(C$3:C68)-SUM(D$3:D68),0)</f>
        <v>414884</v>
      </c>
      <c r="F68" s="5"/>
    </row>
    <row r="69" spans="1:7" ht="15.75" x14ac:dyDescent="0.25">
      <c r="A69" s="57"/>
      <c r="B69" s="5" t="s">
        <v>1058</v>
      </c>
      <c r="C69" s="5"/>
      <c r="D69" s="6">
        <v>111400</v>
      </c>
      <c r="E69" s="26">
        <f>IF(OR(C69&lt;&gt;0,D69&lt;&gt;0),SUM(C$3:C69)-SUM(D$3:D69),0)</f>
        <v>303484</v>
      </c>
      <c r="F69" s="5"/>
      <c r="G69" s="3">
        <f>249900-E69</f>
        <v>-53584</v>
      </c>
    </row>
    <row r="70" spans="1:7" ht="15.75" x14ac:dyDescent="0.25">
      <c r="A70" s="57"/>
      <c r="B70" s="5" t="s">
        <v>1062</v>
      </c>
      <c r="C70" s="5"/>
      <c r="D70" s="6">
        <v>370000</v>
      </c>
      <c r="E70" s="26">
        <f>IF(OR(C70&lt;&gt;0,D70&lt;&gt;0),SUM(C$3:C70)-SUM(D$3:D70),0)</f>
        <v>-66516</v>
      </c>
      <c r="F70" s="5"/>
    </row>
    <row r="71" spans="1:7" ht="15.75" x14ac:dyDescent="0.25">
      <c r="A71" s="57"/>
      <c r="B71" s="5" t="s">
        <v>7</v>
      </c>
      <c r="C71" s="6">
        <v>1000000</v>
      </c>
      <c r="D71" s="5"/>
      <c r="E71" s="26">
        <f>IF(OR(C71&lt;&gt;0,D71&lt;&gt;0),SUM(C$3:C71)-SUM(D$3:D71),0)</f>
        <v>933484</v>
      </c>
      <c r="F71" s="5"/>
    </row>
    <row r="72" spans="1:7" ht="15.75" x14ac:dyDescent="0.25">
      <c r="A72" s="57"/>
      <c r="B72" s="5" t="s">
        <v>699</v>
      </c>
      <c r="C72" s="5"/>
      <c r="D72" s="6">
        <v>53000</v>
      </c>
      <c r="E72" s="26">
        <f>IF(OR(C72&lt;&gt;0,D72&lt;&gt;0),SUM(C$3:C72)-SUM(D$3:D72),0)</f>
        <v>880484</v>
      </c>
      <c r="F72" s="5"/>
    </row>
    <row r="73" spans="1:7" ht="15.75" x14ac:dyDescent="0.25">
      <c r="A73" s="57"/>
      <c r="B73" s="5" t="s">
        <v>1064</v>
      </c>
      <c r="C73" s="5"/>
      <c r="D73" s="6">
        <v>82000</v>
      </c>
      <c r="E73" s="26">
        <f>IF(OR(C73&lt;&gt;0,D73&lt;&gt;0),SUM(C$3:C73)-SUM(D$3:D73),0)</f>
        <v>798484</v>
      </c>
      <c r="F73" s="5"/>
    </row>
    <row r="74" spans="1:7" ht="15.75" x14ac:dyDescent="0.25">
      <c r="A74" s="58"/>
      <c r="B74" s="5" t="s">
        <v>1065</v>
      </c>
      <c r="C74" s="5"/>
      <c r="D74" s="6">
        <v>2000</v>
      </c>
      <c r="E74" s="26">
        <f>IF(OR(C74&lt;&gt;0,D74&lt;&gt;0),SUM(C$3:C74)-SUM(D$3:D74),0)</f>
        <v>796484</v>
      </c>
      <c r="F74" s="5"/>
    </row>
    <row r="75" spans="1:7" ht="15.75" x14ac:dyDescent="0.25">
      <c r="A75" s="59">
        <v>45481</v>
      </c>
      <c r="B75" s="5" t="s">
        <v>1063</v>
      </c>
      <c r="C75" s="6"/>
      <c r="D75" s="6">
        <v>9600</v>
      </c>
      <c r="E75" s="26">
        <f>IF(OR(C75&lt;&gt;0,D75&lt;&gt;0),SUM(C$3:C75)-SUM(D$3:D75),0)</f>
        <v>786884</v>
      </c>
      <c r="F75" s="5"/>
    </row>
    <row r="76" spans="1:7" ht="15.75" x14ac:dyDescent="0.25">
      <c r="A76" s="59"/>
      <c r="B76" s="5" t="s">
        <v>46</v>
      </c>
      <c r="C76" s="5"/>
      <c r="D76" s="6">
        <v>30000</v>
      </c>
      <c r="E76" s="26">
        <f>IF(OR(C76&lt;&gt;0,D76&lt;&gt;0),SUM(C$3:C76)-SUM(D$3:D76),0)</f>
        <v>756884</v>
      </c>
      <c r="F76" s="5"/>
      <c r="G76" s="3">
        <f>670900-E76</f>
        <v>-85984</v>
      </c>
    </row>
    <row r="77" spans="1:7" ht="15.75" x14ac:dyDescent="0.25">
      <c r="A77" s="59"/>
      <c r="B77" s="5" t="s">
        <v>680</v>
      </c>
      <c r="C77" s="5"/>
      <c r="D77" s="6">
        <v>88000</v>
      </c>
      <c r="E77" s="26">
        <f>IF(OR(C77&lt;&gt;0,D77&lt;&gt;0),SUM(C$3:C77)-SUM(D$3:D77),0)</f>
        <v>668884</v>
      </c>
      <c r="F77" s="5"/>
      <c r="G77" s="3">
        <f>577900-E77</f>
        <v>-90984</v>
      </c>
    </row>
    <row r="78" spans="1:7" ht="15.75" x14ac:dyDescent="0.25">
      <c r="A78" s="59"/>
      <c r="B78" s="5" t="s">
        <v>329</v>
      </c>
      <c r="C78" s="6"/>
      <c r="D78" s="6">
        <v>500000</v>
      </c>
      <c r="E78" s="26">
        <f>IF(OR(C78&lt;&gt;0,D78&lt;&gt;0),SUM(C$3:C78)-SUM(D$3:D78),0)</f>
        <v>168884</v>
      </c>
      <c r="F78" s="5"/>
    </row>
    <row r="79" spans="1:7" ht="15.75" x14ac:dyDescent="0.25">
      <c r="A79" s="59">
        <v>45482</v>
      </c>
      <c r="B79" s="5" t="s">
        <v>1066</v>
      </c>
      <c r="C79" s="6"/>
      <c r="D79" s="6">
        <v>50000</v>
      </c>
      <c r="E79" s="26">
        <f>IF(OR(C79&lt;&gt;0,D79&lt;&gt;0),SUM(C$3:C79)-SUM(D$3:D79),0)</f>
        <v>118884</v>
      </c>
      <c r="F79" s="5"/>
    </row>
    <row r="80" spans="1:7" ht="15.75" x14ac:dyDescent="0.25">
      <c r="A80" s="59"/>
      <c r="B80" s="5" t="s">
        <v>1022</v>
      </c>
      <c r="C80" s="5"/>
      <c r="D80" s="6">
        <v>50000</v>
      </c>
      <c r="E80" s="26">
        <f>IF(OR(C80&lt;&gt;0,D80&lt;&gt;0),SUM(C$3:C80)-SUM(D$3:D80),0)</f>
        <v>68884</v>
      </c>
      <c r="F80" s="5"/>
    </row>
    <row r="81" spans="1:7" ht="15.75" x14ac:dyDescent="0.25">
      <c r="A81" s="59"/>
      <c r="B81" s="5" t="s">
        <v>1067</v>
      </c>
      <c r="C81" s="5"/>
      <c r="D81" s="6">
        <v>70000</v>
      </c>
      <c r="E81" s="26">
        <f>IF(OR(C81&lt;&gt;0,D81&lt;&gt;0),SUM(C$3:C81)-SUM(D$3:D81),0)</f>
        <v>-1116</v>
      </c>
      <c r="F81" s="5"/>
    </row>
    <row r="82" spans="1:7" ht="15.75" x14ac:dyDescent="0.25">
      <c r="A82" s="56">
        <v>45483</v>
      </c>
      <c r="B82" s="5" t="s">
        <v>7</v>
      </c>
      <c r="C82" s="6">
        <v>1000000</v>
      </c>
      <c r="D82" s="6"/>
      <c r="E82" s="26">
        <f>IF(OR(C82&lt;&gt;0,D82&lt;&gt;0),SUM(C$3:C82)-SUM(D$3:D82),0)</f>
        <v>998884</v>
      </c>
      <c r="F82" s="5"/>
    </row>
    <row r="83" spans="1:7" ht="15.75" x14ac:dyDescent="0.25">
      <c r="A83" s="57"/>
      <c r="B83" s="5" t="s">
        <v>43</v>
      </c>
      <c r="C83" s="5"/>
      <c r="D83" s="6">
        <v>150000</v>
      </c>
      <c r="E83" s="26">
        <f>IF(OR(C83&lt;&gt;0,D83&lt;&gt;0),SUM(C$3:C83)-SUM(D$3:D83),0)</f>
        <v>848884</v>
      </c>
      <c r="F83" s="5"/>
      <c r="G83" s="3">
        <f>27900-E83</f>
        <v>-820984</v>
      </c>
    </row>
    <row r="84" spans="1:7" ht="15.75" x14ac:dyDescent="0.25">
      <c r="A84" s="57"/>
      <c r="B84" s="5" t="s">
        <v>1071</v>
      </c>
      <c r="C84" s="5"/>
      <c r="D84" s="6">
        <v>200000</v>
      </c>
      <c r="E84" s="26">
        <f>IF(OR(C84&lt;&gt;0,D84&lt;&gt;0),SUM(C$3:C84)-SUM(D$3:D84),0)</f>
        <v>648884</v>
      </c>
      <c r="F84" s="5"/>
    </row>
    <row r="85" spans="1:7" ht="15.75" x14ac:dyDescent="0.25">
      <c r="A85" s="57"/>
      <c r="B85" s="5" t="s">
        <v>1068</v>
      </c>
      <c r="C85" s="6"/>
      <c r="D85" s="6">
        <v>116100</v>
      </c>
      <c r="E85" s="26">
        <f>IF(OR(C85&lt;&gt;0,D85&lt;&gt;0),SUM(C$3:C85)-SUM(D$3:D85),0)</f>
        <v>532784</v>
      </c>
      <c r="F85" s="5"/>
    </row>
    <row r="86" spans="1:7" ht="15.75" x14ac:dyDescent="0.25">
      <c r="A86" s="57"/>
      <c r="B86" s="5" t="s">
        <v>48</v>
      </c>
      <c r="C86" s="5"/>
      <c r="D86" s="6">
        <v>2000</v>
      </c>
      <c r="E86" s="26">
        <f>IF(OR(C86&lt;&gt;0,D86&lt;&gt;0),SUM(C$3:C86)-SUM(D$3:D86),0)</f>
        <v>530784</v>
      </c>
      <c r="F86" s="5"/>
    </row>
    <row r="87" spans="1:7" ht="15.75" x14ac:dyDescent="0.25">
      <c r="A87" s="57"/>
      <c r="B87" s="5" t="s">
        <v>1069</v>
      </c>
      <c r="C87" s="5"/>
      <c r="D87" s="6">
        <v>2000</v>
      </c>
      <c r="E87" s="26">
        <f>IF(OR(C87&lt;&gt;0,D87&lt;&gt;0),SUM(C$3:C87)-SUM(D$3:D87),0)</f>
        <v>528784</v>
      </c>
      <c r="F87" s="5"/>
    </row>
    <row r="88" spans="1:7" ht="15.75" x14ac:dyDescent="0.25">
      <c r="A88" s="57"/>
      <c r="B88" s="5" t="s">
        <v>11</v>
      </c>
      <c r="C88" s="5"/>
      <c r="D88" s="6">
        <v>20000</v>
      </c>
      <c r="E88" s="26">
        <f>IF(OR(C88&lt;&gt;0,D88&lt;&gt;0),SUM(C$3:C88)-SUM(D$3:D88),0)</f>
        <v>508784</v>
      </c>
      <c r="F88" s="5"/>
    </row>
    <row r="89" spans="1:7" ht="15.75" x14ac:dyDescent="0.25">
      <c r="A89" s="57"/>
      <c r="B89" s="5" t="s">
        <v>622</v>
      </c>
      <c r="C89" s="5"/>
      <c r="D89" s="6">
        <v>200000</v>
      </c>
      <c r="E89" s="26">
        <f>IF(OR(C89&lt;&gt;0,D89&lt;&gt;0),SUM(C$3:C89)-SUM(D$3:D89),0)</f>
        <v>308784</v>
      </c>
      <c r="F89" s="5"/>
    </row>
    <row r="90" spans="1:7" ht="15.75" x14ac:dyDescent="0.25">
      <c r="A90" s="58"/>
      <c r="B90" s="5" t="s">
        <v>786</v>
      </c>
      <c r="C90" s="5"/>
      <c r="D90" s="6">
        <v>25000</v>
      </c>
      <c r="E90" s="26">
        <f>IF(OR(C90&lt;&gt;0,D90&lt;&gt;0),SUM(C$3:C90)-SUM(D$3:D90),0)</f>
        <v>283784</v>
      </c>
      <c r="F90" s="5"/>
      <c r="G90" s="3">
        <f>113900-E90</f>
        <v>-169884</v>
      </c>
    </row>
    <row r="91" spans="1:7" ht="15.75" x14ac:dyDescent="0.25">
      <c r="A91" s="56">
        <v>45484</v>
      </c>
      <c r="B91" s="5" t="s">
        <v>1073</v>
      </c>
      <c r="C91" s="5"/>
      <c r="D91" s="6">
        <v>200000</v>
      </c>
      <c r="E91" s="26">
        <f>IF(OR(C91&lt;&gt;0,D91&lt;&gt;0),SUM(C$3:C91)-SUM(D$3:D91),0)</f>
        <v>83784</v>
      </c>
      <c r="F91" s="5"/>
    </row>
    <row r="92" spans="1:7" ht="15.75" x14ac:dyDescent="0.25">
      <c r="A92" s="57"/>
      <c r="B92" s="5" t="s">
        <v>7</v>
      </c>
      <c r="C92" s="6">
        <v>200000</v>
      </c>
      <c r="D92" s="6"/>
      <c r="E92" s="26">
        <f>IF(OR(C92&lt;&gt;0,D92&lt;&gt;0),SUM(C$3:C92)-SUM(D$3:D92),0)</f>
        <v>283784</v>
      </c>
      <c r="F92" s="5"/>
    </row>
    <row r="93" spans="1:7" ht="15.75" x14ac:dyDescent="0.25">
      <c r="A93" s="57"/>
      <c r="B93" s="5" t="s">
        <v>7</v>
      </c>
      <c r="C93" s="6">
        <v>240000</v>
      </c>
      <c r="D93" s="6"/>
      <c r="E93" s="26">
        <f>IF(OR(C93&lt;&gt;0,D93&lt;&gt;0),SUM(C$3:C93)-SUM(D$3:D93),0)</f>
        <v>523784</v>
      </c>
      <c r="F93" s="5"/>
    </row>
    <row r="94" spans="1:7" ht="15.75" x14ac:dyDescent="0.25">
      <c r="A94" s="57"/>
      <c r="B94" s="5" t="s">
        <v>1070</v>
      </c>
      <c r="C94" s="5"/>
      <c r="D94" s="6">
        <v>240000</v>
      </c>
      <c r="E94" s="26">
        <f>IF(OR(C94&lt;&gt;0,D94&lt;&gt;0),SUM(C$3:C94)-SUM(D$3:D94),0)</f>
        <v>283784</v>
      </c>
      <c r="F94" s="5"/>
      <c r="G94" s="3">
        <f>E95</f>
        <v>-1443571</v>
      </c>
    </row>
    <row r="95" spans="1:7" ht="15.75" x14ac:dyDescent="0.25">
      <c r="A95" s="57"/>
      <c r="B95" s="5" t="s">
        <v>1072</v>
      </c>
      <c r="C95" s="5"/>
      <c r="D95" s="6">
        <v>1727355</v>
      </c>
      <c r="E95" s="26">
        <f>IF(OR(C95&lt;&gt;0,D95&lt;&gt;0),SUM(C$3:C95)-SUM(D$3:D95),0)</f>
        <v>-1443571</v>
      </c>
      <c r="F95" s="5"/>
    </row>
    <row r="96" spans="1:7" ht="15.75" x14ac:dyDescent="0.25">
      <c r="A96" s="57"/>
      <c r="B96" s="5" t="s">
        <v>349</v>
      </c>
      <c r="C96" s="5"/>
      <c r="D96" s="6">
        <v>8500</v>
      </c>
      <c r="E96" s="26">
        <f>IF(OR(C96&lt;&gt;0,D96&lt;&gt;0),SUM(C$3:C96)-SUM(D$3:D96),0)</f>
        <v>-1452071</v>
      </c>
      <c r="F96" s="5"/>
    </row>
    <row r="97" spans="1:6" ht="15.75" x14ac:dyDescent="0.25">
      <c r="A97" s="58"/>
      <c r="B97" s="5" t="s">
        <v>7</v>
      </c>
      <c r="C97" s="6">
        <v>1735855</v>
      </c>
      <c r="D97" s="6"/>
      <c r="E97" s="26">
        <f>IF(OR(C97&lt;&gt;0,D97&lt;&gt;0),SUM(C$3:C97)-SUM(D$3:D97),0)</f>
        <v>283784</v>
      </c>
      <c r="F97" s="5"/>
    </row>
    <row r="98" spans="1:6" ht="15.75" x14ac:dyDescent="0.25">
      <c r="A98" s="56">
        <v>45485</v>
      </c>
      <c r="B98" s="5" t="s">
        <v>7</v>
      </c>
      <c r="C98" s="6">
        <v>425000</v>
      </c>
      <c r="D98" s="6"/>
      <c r="E98" s="26">
        <f>IF(OR(C98&lt;&gt;0,D98&lt;&gt;0),SUM(C$3:C98)-SUM(D$3:D98),0)</f>
        <v>708784</v>
      </c>
      <c r="F98" s="5"/>
    </row>
    <row r="99" spans="1:6" ht="15.75" x14ac:dyDescent="0.25">
      <c r="A99" s="57"/>
      <c r="B99" s="5" t="s">
        <v>1074</v>
      </c>
      <c r="C99" s="5"/>
      <c r="D99" s="6">
        <v>425000</v>
      </c>
      <c r="E99" s="26">
        <f>IF(OR(C99&lt;&gt;0,D99&lt;&gt;0),SUM(C$3:C99)-SUM(D$3:D99),0)</f>
        <v>283784</v>
      </c>
      <c r="F99" s="5"/>
    </row>
    <row r="100" spans="1:6" ht="15.75" x14ac:dyDescent="0.25">
      <c r="A100" s="57"/>
      <c r="B100" s="5" t="s">
        <v>7</v>
      </c>
      <c r="C100" s="6">
        <v>2000000</v>
      </c>
      <c r="D100" s="6"/>
      <c r="E100" s="26">
        <f>IF(OR(C100&lt;&gt;0,D100&lt;&gt;0),SUM(C$3:C100)-SUM(D$3:D100),0)</f>
        <v>2283784</v>
      </c>
      <c r="F100" s="5"/>
    </row>
    <row r="101" spans="1:6" ht="15.75" x14ac:dyDescent="0.25">
      <c r="A101" s="57"/>
      <c r="B101" s="5" t="s">
        <v>235</v>
      </c>
      <c r="C101" s="6"/>
      <c r="D101" s="6">
        <v>25000</v>
      </c>
      <c r="E101" s="26">
        <f>IF(OR(C101&lt;&gt;0,D101&lt;&gt;0),SUM(C$3:C101)-SUM(D$3:D101),0)</f>
        <v>2258784</v>
      </c>
      <c r="F101" s="5"/>
    </row>
    <row r="102" spans="1:6" ht="15.75" x14ac:dyDescent="0.25">
      <c r="A102" s="57"/>
      <c r="B102" s="5" t="s">
        <v>409</v>
      </c>
      <c r="C102" s="6"/>
      <c r="D102" s="6">
        <v>95000</v>
      </c>
      <c r="E102" s="26">
        <f>IF(OR(C102&lt;&gt;0,D102&lt;&gt;0),SUM(C$3:C102)-SUM(D$3:D102),0)</f>
        <v>2163784</v>
      </c>
      <c r="F102" s="5"/>
    </row>
    <row r="103" spans="1:6" ht="15.75" x14ac:dyDescent="0.25">
      <c r="A103" s="57"/>
      <c r="B103" s="5" t="s">
        <v>1090</v>
      </c>
      <c r="C103" s="6"/>
      <c r="D103" s="6">
        <v>200000</v>
      </c>
      <c r="E103" s="26">
        <f>IF(OR(C103&lt;&gt;0,D103&lt;&gt;0),SUM(C$3:C103)-SUM(D$3:D103),0)</f>
        <v>1963784</v>
      </c>
      <c r="F103" s="5"/>
    </row>
    <row r="104" spans="1:6" ht="15.75" x14ac:dyDescent="0.25">
      <c r="A104" s="57"/>
      <c r="B104" s="5" t="s">
        <v>763</v>
      </c>
      <c r="C104" s="6"/>
      <c r="D104" s="6">
        <v>300000</v>
      </c>
      <c r="E104" s="26">
        <f>IF(OR(C104&lt;&gt;0,D104&lt;&gt;0),SUM(C$3:C104)-SUM(D$3:D104),0)</f>
        <v>1663784</v>
      </c>
      <c r="F104" s="5"/>
    </row>
    <row r="105" spans="1:6" ht="15.75" x14ac:dyDescent="0.25">
      <c r="A105" s="57"/>
      <c r="B105" s="5" t="s">
        <v>1091</v>
      </c>
      <c r="C105" s="6"/>
      <c r="D105" s="6">
        <v>125000</v>
      </c>
      <c r="E105" s="26">
        <f>IF(OR(C105&lt;&gt;0,D105&lt;&gt;0),SUM(C$3:C105)-SUM(D$3:D105),0)</f>
        <v>1538784</v>
      </c>
      <c r="F105" s="5"/>
    </row>
    <row r="106" spans="1:6" ht="15.75" x14ac:dyDescent="0.25">
      <c r="A106" s="57"/>
      <c r="B106" s="5" t="s">
        <v>1089</v>
      </c>
      <c r="C106" s="5"/>
      <c r="D106" s="6">
        <v>200000</v>
      </c>
      <c r="E106" s="26">
        <f>IF(OR(C106&lt;&gt;0,D106&lt;&gt;0),SUM(C$3:C106)-SUM(D$3:D106),0)</f>
        <v>1338784</v>
      </c>
      <c r="F106" s="5"/>
    </row>
    <row r="107" spans="1:6" ht="15.75" x14ac:dyDescent="0.25">
      <c r="A107" s="57"/>
      <c r="B107" s="5" t="s">
        <v>1087</v>
      </c>
      <c r="C107" s="5"/>
      <c r="D107" s="6">
        <v>53000</v>
      </c>
      <c r="E107" s="26">
        <f>IF(OR(C107&lt;&gt;0,D107&lt;&gt;0),SUM(C$3:C107)-SUM(D$3:D107),0)</f>
        <v>1285784</v>
      </c>
      <c r="F107" s="5"/>
    </row>
    <row r="108" spans="1:6" ht="15.75" x14ac:dyDescent="0.25">
      <c r="A108" s="58"/>
      <c r="B108" s="5" t="s">
        <v>734</v>
      </c>
      <c r="C108" s="5"/>
      <c r="D108" s="6">
        <v>2000</v>
      </c>
      <c r="E108" s="26">
        <f>IF(OR(C108&lt;&gt;0,D108&lt;&gt;0),SUM(C$3:C108)-SUM(D$3:D108),0)</f>
        <v>1283784</v>
      </c>
      <c r="F108" s="5"/>
    </row>
    <row r="109" spans="1:6" ht="15.75" x14ac:dyDescent="0.25">
      <c r="A109" s="56">
        <v>45486</v>
      </c>
      <c r="B109" s="5" t="s">
        <v>1094</v>
      </c>
      <c r="C109" s="5"/>
      <c r="D109" s="6">
        <v>118000</v>
      </c>
      <c r="E109" s="26">
        <f>IF(OR(C109&lt;&gt;0,D109&lt;&gt;0),SUM(C$3:C109)-SUM(D$3:D109),0)</f>
        <v>1165784</v>
      </c>
      <c r="F109" s="5"/>
    </row>
    <row r="110" spans="1:6" ht="15.75" x14ac:dyDescent="0.25">
      <c r="A110" s="57"/>
      <c r="B110" s="5" t="s">
        <v>587</v>
      </c>
      <c r="C110" s="5"/>
      <c r="D110" s="6">
        <v>20000</v>
      </c>
      <c r="E110" s="26">
        <f>IF(OR(C110&lt;&gt;0,D110&lt;&gt;0),SUM(C$3:C110)-SUM(D$3:D110),0)</f>
        <v>1145784</v>
      </c>
      <c r="F110" s="5"/>
    </row>
    <row r="111" spans="1:6" ht="15.75" x14ac:dyDescent="0.25">
      <c r="A111" s="57"/>
      <c r="B111" s="5" t="s">
        <v>513</v>
      </c>
      <c r="C111" s="6"/>
      <c r="D111" s="6">
        <v>63360</v>
      </c>
      <c r="E111" s="26">
        <f>IF(OR(C111&lt;&gt;0,D111&lt;&gt;0),SUM(C$3:C111)-SUM(D$3:D111),0)</f>
        <v>1082424</v>
      </c>
      <c r="F111" s="5"/>
    </row>
    <row r="112" spans="1:6" ht="15.75" x14ac:dyDescent="0.25">
      <c r="A112" s="57"/>
      <c r="B112" s="5" t="s">
        <v>338</v>
      </c>
      <c r="C112" s="6"/>
      <c r="D112" s="6">
        <v>2000</v>
      </c>
      <c r="E112" s="26">
        <f>IF(OR(C112&lt;&gt;0,D112&lt;&gt;0),SUM(C$3:C112)-SUM(D$3:D112),0)</f>
        <v>1080424</v>
      </c>
      <c r="F112" s="5"/>
    </row>
    <row r="113" spans="1:6" ht="15.75" x14ac:dyDescent="0.25">
      <c r="A113" s="57"/>
      <c r="B113" s="5" t="s">
        <v>994</v>
      </c>
      <c r="C113" s="5"/>
      <c r="D113" s="6">
        <v>200000</v>
      </c>
      <c r="E113" s="26">
        <f>IF(OR(C113&lt;&gt;0,D113&lt;&gt;0),SUM(C$3:C113)-SUM(D$3:D113),0)</f>
        <v>880424</v>
      </c>
      <c r="F113" s="5"/>
    </row>
    <row r="114" spans="1:6" ht="15.75" x14ac:dyDescent="0.25">
      <c r="A114" s="57"/>
      <c r="B114" s="5" t="s">
        <v>1088</v>
      </c>
      <c r="C114" s="5"/>
      <c r="D114" s="6">
        <v>50000</v>
      </c>
      <c r="E114" s="26">
        <f>IF(OR(C114&lt;&gt;0,D114&lt;&gt;0),SUM(C$3:C114)-SUM(D$3:D114),0)</f>
        <v>830424</v>
      </c>
      <c r="F114" s="5"/>
    </row>
    <row r="115" spans="1:6" ht="15.75" x14ac:dyDescent="0.25">
      <c r="A115" s="57"/>
      <c r="B115" s="5" t="s">
        <v>43</v>
      </c>
      <c r="C115" s="5"/>
      <c r="D115" s="6">
        <v>200000</v>
      </c>
      <c r="E115" s="26">
        <f>IF(OR(C115&lt;&gt;0,D115&lt;&gt;0),SUM(C$3:C115)-SUM(D$3:D115),0)</f>
        <v>630424</v>
      </c>
      <c r="F115" s="5"/>
    </row>
    <row r="116" spans="1:6" ht="15.75" x14ac:dyDescent="0.25">
      <c r="A116" s="57"/>
      <c r="B116" s="5" t="s">
        <v>136</v>
      </c>
      <c r="C116" s="5"/>
      <c r="D116" s="6">
        <v>200000</v>
      </c>
      <c r="E116" s="26">
        <f>IF(OR(C116&lt;&gt;0,D116&lt;&gt;0),SUM(C$3:C116)-SUM(D$3:D116),0)</f>
        <v>430424</v>
      </c>
      <c r="F116" s="5"/>
    </row>
    <row r="117" spans="1:6" ht="15.75" x14ac:dyDescent="0.25">
      <c r="A117" s="57"/>
      <c r="B117" s="5" t="s">
        <v>7</v>
      </c>
      <c r="C117" s="6">
        <v>665760</v>
      </c>
      <c r="D117" s="5"/>
      <c r="E117" s="26">
        <f>IF(OR(C117&lt;&gt;0,D117&lt;&gt;0),SUM(C$3:C117)-SUM(D$3:D117),0)</f>
        <v>1096184</v>
      </c>
      <c r="F117" s="5"/>
    </row>
    <row r="118" spans="1:6" ht="15.75" x14ac:dyDescent="0.25">
      <c r="A118" s="58"/>
      <c r="B118" s="5" t="s">
        <v>513</v>
      </c>
      <c r="C118" s="5"/>
      <c r="D118" s="6">
        <v>665760</v>
      </c>
      <c r="E118" s="26">
        <f>IF(OR(C118&lt;&gt;0,D118&lt;&gt;0),SUM(C$3:C118)-SUM(D$3:D118),0)</f>
        <v>430424</v>
      </c>
      <c r="F118" s="5"/>
    </row>
    <row r="119" spans="1:6" ht="15.75" x14ac:dyDescent="0.25">
      <c r="A119" s="56">
        <v>45488</v>
      </c>
      <c r="B119" s="5" t="s">
        <v>748</v>
      </c>
      <c r="C119" s="6"/>
      <c r="D119" s="6">
        <v>150000</v>
      </c>
      <c r="E119" s="26">
        <f>IF(OR(C119&lt;&gt;0,D119&lt;&gt;0),SUM(C$3:C119)-SUM(D$3:D119),0)</f>
        <v>280424</v>
      </c>
      <c r="F119" s="5"/>
    </row>
    <row r="120" spans="1:6" ht="15.75" x14ac:dyDescent="0.25">
      <c r="A120" s="57"/>
      <c r="B120" s="5" t="s">
        <v>1092</v>
      </c>
      <c r="C120" s="6"/>
      <c r="D120" s="6">
        <v>20000</v>
      </c>
      <c r="E120" s="26">
        <f>IF(OR(C120&lt;&gt;0,D120&lt;&gt;0),SUM(C$3:C120)-SUM(D$3:D120),0)</f>
        <v>260424</v>
      </c>
      <c r="F120" s="5"/>
    </row>
    <row r="121" spans="1:6" ht="15.75" x14ac:dyDescent="0.25">
      <c r="A121" s="57"/>
      <c r="B121" s="5" t="s">
        <v>1093</v>
      </c>
      <c r="C121" s="6"/>
      <c r="D121" s="6">
        <v>200000</v>
      </c>
      <c r="E121" s="26">
        <f>IF(OR(C121&lt;&gt;0,D121&lt;&gt;0),SUM(C$3:C121)-SUM(D$3:D121),0)</f>
        <v>60424</v>
      </c>
      <c r="F121" s="5"/>
    </row>
    <row r="122" spans="1:6" ht="15.75" x14ac:dyDescent="0.25">
      <c r="A122" s="57"/>
      <c r="B122" s="5" t="s">
        <v>7</v>
      </c>
      <c r="C122" s="6">
        <v>1000000</v>
      </c>
      <c r="D122" s="6"/>
      <c r="E122" s="26">
        <f>IF(OR(C122&lt;&gt;0,D122&lt;&gt;0),SUM(C$3:C122)-SUM(D$3:D122),0)</f>
        <v>1060424</v>
      </c>
      <c r="F122" s="5"/>
    </row>
    <row r="123" spans="1:6" ht="15.75" x14ac:dyDescent="0.25">
      <c r="A123" s="57"/>
      <c r="B123" s="5" t="s">
        <v>1095</v>
      </c>
      <c r="C123" s="5"/>
      <c r="D123" s="6">
        <v>102000</v>
      </c>
      <c r="E123" s="26">
        <f>IF(OR(C123&lt;&gt;0,D123&lt;&gt;0),SUM(C$3:C123)-SUM(D$3:D123),0)</f>
        <v>958424</v>
      </c>
      <c r="F123" s="5"/>
    </row>
    <row r="124" spans="1:6" ht="15.75" x14ac:dyDescent="0.25">
      <c r="A124" s="57"/>
      <c r="B124" s="5" t="s">
        <v>338</v>
      </c>
      <c r="C124" s="5"/>
      <c r="D124" s="6">
        <v>2000</v>
      </c>
      <c r="E124" s="26">
        <f>IF(OR(C124&lt;&gt;0,D124&lt;&gt;0),SUM(C$3:C124)-SUM(D$3:D124),0)</f>
        <v>956424</v>
      </c>
      <c r="F124" s="5"/>
    </row>
    <row r="125" spans="1:6" ht="15.75" x14ac:dyDescent="0.25">
      <c r="A125" s="57"/>
      <c r="B125" s="5" t="s">
        <v>1096</v>
      </c>
      <c r="C125" s="6"/>
      <c r="D125" s="6">
        <v>2000</v>
      </c>
      <c r="E125" s="26">
        <f>IF(OR(C125&lt;&gt;0,D125&lt;&gt;0),SUM(C$3:C125)-SUM(D$3:D125),0)</f>
        <v>954424</v>
      </c>
      <c r="F125" s="5"/>
    </row>
    <row r="126" spans="1:6" ht="15.75" x14ac:dyDescent="0.25">
      <c r="A126" s="57"/>
      <c r="B126" s="5" t="s">
        <v>7</v>
      </c>
      <c r="C126" s="6">
        <v>478263</v>
      </c>
      <c r="D126" s="6"/>
      <c r="E126" s="26">
        <f>IF(OR(C126&lt;&gt;0,D126&lt;&gt;0),SUM(C$3:C126)-SUM(D$3:D126),0)</f>
        <v>1432687</v>
      </c>
      <c r="F126" s="5"/>
    </row>
    <row r="127" spans="1:6" ht="15.75" x14ac:dyDescent="0.25">
      <c r="A127" s="57"/>
      <c r="B127" s="5" t="s">
        <v>1097</v>
      </c>
      <c r="C127" s="5"/>
      <c r="D127" s="6">
        <v>378263</v>
      </c>
      <c r="E127" s="26">
        <f>IF(OR(C127&lt;&gt;0,D127&lt;&gt;0),SUM(C$3:C127)-SUM(D$3:D127),0)</f>
        <v>1054424</v>
      </c>
      <c r="F127" s="5"/>
    </row>
    <row r="128" spans="1:6" ht="15.75" x14ac:dyDescent="0.25">
      <c r="A128" s="57"/>
      <c r="B128" s="5" t="s">
        <v>1101</v>
      </c>
      <c r="C128" s="5"/>
      <c r="D128" s="6">
        <v>30000</v>
      </c>
      <c r="E128" s="26">
        <f>IF(OR(C128&lt;&gt;0,D128&lt;&gt;0),SUM(C$3:C128)-SUM(D$3:D128),0)</f>
        <v>1024424</v>
      </c>
      <c r="F128" s="5"/>
    </row>
    <row r="129" spans="1:7" ht="15.75" x14ac:dyDescent="0.25">
      <c r="A129" s="57"/>
      <c r="B129" s="5" t="s">
        <v>587</v>
      </c>
      <c r="C129" s="5"/>
      <c r="D129" s="6">
        <v>20000</v>
      </c>
      <c r="E129" s="26">
        <f>IF(OR(C129&lt;&gt;0,D129&lt;&gt;0),SUM(C$3:C129)-SUM(D$3:D129),0)</f>
        <v>1004424</v>
      </c>
      <c r="F129" s="5"/>
    </row>
    <row r="130" spans="1:7" ht="15.75" x14ac:dyDescent="0.25">
      <c r="A130" s="58"/>
      <c r="B130" s="5" t="s">
        <v>27</v>
      </c>
      <c r="C130" s="5"/>
      <c r="D130" s="6">
        <v>200000</v>
      </c>
      <c r="E130" s="26">
        <f>IF(OR(C130&lt;&gt;0,D130&lt;&gt;0),SUM(C$3:C130)-SUM(D$3:D130),0)</f>
        <v>804424</v>
      </c>
      <c r="F130" s="5"/>
    </row>
    <row r="131" spans="1:7" ht="15.75" x14ac:dyDescent="0.25">
      <c r="A131" s="59">
        <v>45489</v>
      </c>
      <c r="B131" s="5" t="s">
        <v>7</v>
      </c>
      <c r="C131" s="6">
        <v>1000000</v>
      </c>
      <c r="D131" s="6"/>
      <c r="E131" s="26">
        <f>IF(OR(C131&lt;&gt;0,D131&lt;&gt;0),SUM(C$3:C131)-SUM(D$3:D131),0)</f>
        <v>1804424</v>
      </c>
      <c r="F131" s="5"/>
    </row>
    <row r="132" spans="1:7" ht="15.75" x14ac:dyDescent="0.25">
      <c r="A132" s="59"/>
      <c r="B132" s="5" t="s">
        <v>1099</v>
      </c>
      <c r="C132" s="6"/>
      <c r="D132" s="6">
        <v>1000000</v>
      </c>
      <c r="E132" s="26">
        <f>IF(OR(C132&lt;&gt;0,D132&lt;&gt;0),SUM(C$3:C132)-SUM(D$3:D132),0)</f>
        <v>804424</v>
      </c>
      <c r="F132" s="5"/>
    </row>
    <row r="133" spans="1:7" ht="15.75" x14ac:dyDescent="0.25">
      <c r="A133" s="59"/>
      <c r="B133" s="5" t="s">
        <v>1100</v>
      </c>
      <c r="C133" s="6"/>
      <c r="D133" s="6">
        <v>200000</v>
      </c>
      <c r="E133" s="26">
        <f>IF(OR(C133&lt;&gt;0,D133&lt;&gt;0),SUM(C$3:C133)-SUM(D$3:D133),0)</f>
        <v>604424</v>
      </c>
      <c r="F133" s="5"/>
    </row>
    <row r="134" spans="1:7" ht="15.75" x14ac:dyDescent="0.25">
      <c r="A134" s="59"/>
      <c r="B134" s="5" t="s">
        <v>67</v>
      </c>
      <c r="C134" s="6"/>
      <c r="D134" s="6">
        <v>45000</v>
      </c>
      <c r="E134" s="26">
        <f>IF(OR(C134&lt;&gt;0,D134&lt;&gt;0),SUM(C$3:C134)-SUM(D$3:D134),0)</f>
        <v>559424</v>
      </c>
      <c r="F134" s="5"/>
    </row>
    <row r="135" spans="1:7" ht="15.75" x14ac:dyDescent="0.25">
      <c r="A135" s="59"/>
      <c r="B135" s="5" t="s">
        <v>227</v>
      </c>
      <c r="C135" s="5"/>
      <c r="D135" s="6">
        <f>86100+10000+42000</f>
        <v>138100</v>
      </c>
      <c r="E135" s="26">
        <f>IF(OR(C135&lt;&gt;0,D135&lt;&gt;0),SUM(C$3:C135)-SUM(D$3:D135),0)</f>
        <v>421324</v>
      </c>
      <c r="F135" s="5"/>
      <c r="G135" s="3">
        <f>418200-E135</f>
        <v>-3124</v>
      </c>
    </row>
    <row r="136" spans="1:7" ht="15.75" x14ac:dyDescent="0.25">
      <c r="A136" s="59"/>
      <c r="B136" s="5" t="s">
        <v>1103</v>
      </c>
      <c r="C136" s="5"/>
      <c r="D136" s="6">
        <v>32000</v>
      </c>
      <c r="E136" s="26">
        <f>IF(OR(C136&lt;&gt;0,D136&lt;&gt;0),SUM(C$3:C136)-SUM(D$3:D136),0)</f>
        <v>389324</v>
      </c>
      <c r="F136" s="5"/>
    </row>
    <row r="137" spans="1:7" ht="15.75" x14ac:dyDescent="0.25">
      <c r="A137" s="59"/>
      <c r="B137" s="5" t="s">
        <v>1102</v>
      </c>
      <c r="C137" s="6"/>
      <c r="D137" s="6">
        <v>26500</v>
      </c>
      <c r="E137" s="26">
        <f>IF(OR(C137&lt;&gt;0,D137&lt;&gt;0),SUM(C$3:C137)-SUM(D$3:D137),0)</f>
        <v>362824</v>
      </c>
      <c r="F137" s="5"/>
    </row>
    <row r="138" spans="1:7" ht="15.75" x14ac:dyDescent="0.25">
      <c r="A138" s="59"/>
      <c r="B138" s="5" t="s">
        <v>1104</v>
      </c>
      <c r="C138" s="6"/>
      <c r="D138" s="6">
        <v>35000</v>
      </c>
      <c r="E138" s="26">
        <f>IF(OR(C138&lt;&gt;0,D138&lt;&gt;0),SUM(C$3:C138)-SUM(D$3:D138),0)</f>
        <v>327824</v>
      </c>
      <c r="F138" s="5"/>
    </row>
    <row r="139" spans="1:7" ht="15.75" x14ac:dyDescent="0.25">
      <c r="A139" s="59"/>
      <c r="B139" s="5" t="s">
        <v>1105</v>
      </c>
      <c r="C139" s="5"/>
      <c r="D139" s="6">
        <v>20000</v>
      </c>
      <c r="E139" s="26">
        <f>IF(OR(C139&lt;&gt;0,D139&lt;&gt;0),SUM(C$3:C139)-SUM(D$3:D139),0)</f>
        <v>307824</v>
      </c>
      <c r="F139" s="5"/>
    </row>
    <row r="140" spans="1:7" ht="15.75" x14ac:dyDescent="0.25">
      <c r="A140" s="56">
        <v>45490</v>
      </c>
      <c r="B140" s="5" t="s">
        <v>326</v>
      </c>
      <c r="C140" s="6"/>
      <c r="D140" s="6">
        <v>45000</v>
      </c>
      <c r="E140" s="26">
        <f>IF(OR(C140&lt;&gt;0,D140&lt;&gt;0),SUM(C$3:C140)-SUM(D$3:D140),0)</f>
        <v>262824</v>
      </c>
      <c r="F140" s="5"/>
      <c r="G140" s="3">
        <f>204700-E140</f>
        <v>-58124</v>
      </c>
    </row>
    <row r="141" spans="1:7" ht="15.75" x14ac:dyDescent="0.25">
      <c r="A141" s="58"/>
      <c r="B141" s="5" t="s">
        <v>545</v>
      </c>
      <c r="C141" s="6"/>
      <c r="D141" s="6">
        <v>150000</v>
      </c>
      <c r="E141" s="26">
        <f>IF(OR(C141&lt;&gt;0,D141&lt;&gt;0),SUM(C$3:C141)-SUM(D$3:D141),0)</f>
        <v>112824</v>
      </c>
      <c r="F141" s="5"/>
    </row>
    <row r="142" spans="1:7" ht="15.75" x14ac:dyDescent="0.25">
      <c r="A142" s="56">
        <v>45491</v>
      </c>
      <c r="B142" s="5" t="s">
        <v>1111</v>
      </c>
      <c r="C142" s="6"/>
      <c r="D142" s="6">
        <v>100000</v>
      </c>
      <c r="E142" s="26">
        <f>IF(OR(C142&lt;&gt;0,D142&lt;&gt;0),SUM(C$3:C142)-SUM(D$3:D142),0)</f>
        <v>12824</v>
      </c>
      <c r="F142" s="5"/>
    </row>
    <row r="143" spans="1:7" ht="15.75" x14ac:dyDescent="0.25">
      <c r="A143" s="57"/>
      <c r="B143" s="5" t="s">
        <v>1112</v>
      </c>
      <c r="C143" s="6"/>
      <c r="D143" s="6">
        <v>56938</v>
      </c>
      <c r="E143" s="26">
        <f>IF(OR(C143&lt;&gt;0,D143&lt;&gt;0),SUM(C$3:C143)-SUM(D$3:D143),0)</f>
        <v>-44114</v>
      </c>
      <c r="F143" s="5"/>
    </row>
    <row r="144" spans="1:7" ht="15.75" x14ac:dyDescent="0.25">
      <c r="A144" s="57"/>
      <c r="B144" s="5" t="s">
        <v>1112</v>
      </c>
      <c r="C144" s="5"/>
      <c r="D144" s="6">
        <v>49354</v>
      </c>
      <c r="E144" s="26">
        <f>IF(OR(C143&lt;&gt;0,D144&lt;&gt;0),SUM(C$3:C143)-SUM(D$3:D144),0)</f>
        <v>-93468</v>
      </c>
      <c r="F144" s="5"/>
    </row>
    <row r="145" spans="1:8" ht="15.75" x14ac:dyDescent="0.25">
      <c r="A145" s="57"/>
      <c r="B145" s="5" t="s">
        <v>1113</v>
      </c>
      <c r="C145" s="5"/>
      <c r="D145" s="6">
        <v>20000</v>
      </c>
      <c r="E145" s="26">
        <f>IF(OR(C145&lt;&gt;0,D145&lt;&gt;0),SUM(C$3:C145)-SUM(D$3:D145),0)</f>
        <v>-113468</v>
      </c>
      <c r="F145" s="5"/>
    </row>
    <row r="146" spans="1:8" ht="15.75" x14ac:dyDescent="0.25">
      <c r="A146" s="57"/>
      <c r="B146" s="5" t="s">
        <v>7</v>
      </c>
      <c r="C146" s="6">
        <v>206292</v>
      </c>
      <c r="D146" s="6"/>
      <c r="E146" s="26">
        <f>IF(OR(C146&lt;&gt;0,D146&lt;&gt;0),SUM(C$3:C146)-SUM(D$3:D146),0)</f>
        <v>92824</v>
      </c>
      <c r="F146" s="5"/>
      <c r="G146" s="3">
        <f>92700-E146</f>
        <v>-124</v>
      </c>
    </row>
    <row r="147" spans="1:8" ht="15.75" x14ac:dyDescent="0.25">
      <c r="A147" s="57"/>
      <c r="B147" s="5" t="s">
        <v>338</v>
      </c>
      <c r="C147" s="6"/>
      <c r="D147" s="6">
        <v>2000</v>
      </c>
      <c r="E147" s="26">
        <f>IF(OR(C147&lt;&gt;0,D147&lt;&gt;0),SUM(C$3:C147)-SUM(D$3:D147),0)</f>
        <v>90824</v>
      </c>
      <c r="F147" s="5"/>
    </row>
    <row r="148" spans="1:8" ht="15.75" x14ac:dyDescent="0.25">
      <c r="A148" s="57"/>
      <c r="B148" s="5" t="s">
        <v>643</v>
      </c>
      <c r="C148" s="5"/>
      <c r="D148" s="6">
        <v>68350</v>
      </c>
      <c r="E148" s="26">
        <f>IF(OR(C148&lt;&gt;0,D148&lt;&gt;0),SUM(C$3:C148)-SUM(D$3:D148),0)</f>
        <v>22474</v>
      </c>
      <c r="F148" s="5"/>
    </row>
    <row r="149" spans="1:8" ht="15.75" x14ac:dyDescent="0.25">
      <c r="A149" s="57"/>
      <c r="B149" s="5" t="s">
        <v>513</v>
      </c>
      <c r="C149" s="5"/>
      <c r="D149" s="6">
        <v>170000</v>
      </c>
      <c r="E149" s="26">
        <f>IF(OR(C149&lt;&gt;0,D149&lt;&gt;0),SUM(C$3:C149)-SUM(D$3:D149),0)</f>
        <v>-147526</v>
      </c>
      <c r="F149" s="5"/>
    </row>
    <row r="150" spans="1:8" ht="15.75" x14ac:dyDescent="0.25">
      <c r="A150" s="57"/>
      <c r="B150" s="5" t="s">
        <v>7</v>
      </c>
      <c r="C150" s="6">
        <v>1500000</v>
      </c>
      <c r="D150" s="5"/>
      <c r="E150" s="26">
        <f>IF(OR(C150&lt;&gt;0,D150&lt;&gt;0),SUM(C$3:C150)-SUM(D$3:D150),0)</f>
        <v>1352474</v>
      </c>
      <c r="F150" s="5"/>
      <c r="G150" s="3">
        <f>SUM(D147:D149)</f>
        <v>240350</v>
      </c>
      <c r="H150" s="3">
        <f>G150-C150</f>
        <v>-1259650</v>
      </c>
    </row>
    <row r="151" spans="1:8" ht="15.75" x14ac:dyDescent="0.25">
      <c r="A151" s="57"/>
      <c r="B151" s="5" t="s">
        <v>1114</v>
      </c>
      <c r="C151" s="5"/>
      <c r="D151" s="6">
        <v>20000</v>
      </c>
      <c r="E151" s="26">
        <f>IF(OR(C151&lt;&gt;0,D151&lt;&gt;0),SUM(C$3:C151)-SUM(D$3:D151),0)</f>
        <v>1332474</v>
      </c>
      <c r="F151" s="5"/>
    </row>
    <row r="152" spans="1:8" ht="15.75" x14ac:dyDescent="0.25">
      <c r="A152" s="57"/>
      <c r="B152" s="5" t="s">
        <v>513</v>
      </c>
      <c r="C152" s="5"/>
      <c r="D152" s="6">
        <v>57500</v>
      </c>
      <c r="E152" s="26">
        <f>IF(OR(C152&lt;&gt;0,D152&lt;&gt;0),SUM(C$3:C152)-SUM(D$3:D152),0)</f>
        <v>1274974</v>
      </c>
      <c r="F152" s="5"/>
    </row>
    <row r="153" spans="1:8" ht="16.5" customHeight="1" x14ac:dyDescent="0.25">
      <c r="A153" s="57"/>
      <c r="B153" s="5" t="s">
        <v>338</v>
      </c>
      <c r="C153" s="5"/>
      <c r="D153" s="6">
        <v>2000</v>
      </c>
      <c r="E153" s="26">
        <f>IF(OR(C153&lt;&gt;0,D153&lt;&gt;0),SUM(C$3:C153)-SUM(D$3:D153),0)</f>
        <v>1272974</v>
      </c>
      <c r="F153" s="5"/>
    </row>
    <row r="154" spans="1:8" ht="15.75" x14ac:dyDescent="0.25">
      <c r="A154" s="57"/>
      <c r="B154" s="5" t="s">
        <v>338</v>
      </c>
      <c r="C154" s="5"/>
      <c r="D154" s="6">
        <v>2000</v>
      </c>
      <c r="E154" s="26">
        <f>IF(OR(C154&lt;&gt;0,D154&lt;&gt;0),SUM(C$3:C154)-SUM(D$3:D154),0)</f>
        <v>1270974</v>
      </c>
      <c r="F154" s="5"/>
      <c r="G154" s="3">
        <f>D152-28000</f>
        <v>29500</v>
      </c>
    </row>
    <row r="155" spans="1:8" ht="15.75" x14ac:dyDescent="0.25">
      <c r="A155" s="57"/>
      <c r="B155" s="5" t="s">
        <v>1115</v>
      </c>
      <c r="C155" s="5"/>
      <c r="D155" s="6">
        <v>8000</v>
      </c>
      <c r="E155" s="26">
        <f>IF(OR(C155&lt;&gt;0,D155&lt;&gt;0),SUM(C$3:C155)-SUM(D$3:D155),0)</f>
        <v>1262974</v>
      </c>
      <c r="F155" s="5"/>
    </row>
    <row r="156" spans="1:8" ht="15.75" x14ac:dyDescent="0.25">
      <c r="A156" s="57"/>
      <c r="B156" s="5" t="s">
        <v>674</v>
      </c>
      <c r="C156" s="5"/>
      <c r="D156" s="6">
        <v>200000</v>
      </c>
      <c r="E156" s="26">
        <f>IF(OR(C156&lt;&gt;0,D156&lt;&gt;0),SUM(C$3:C156)-SUM(D$3:D156),0)</f>
        <v>1062974</v>
      </c>
      <c r="F156" s="5"/>
    </row>
    <row r="157" spans="1:8" ht="15.75" x14ac:dyDescent="0.25">
      <c r="A157" s="57"/>
      <c r="B157" s="5" t="s">
        <v>1116</v>
      </c>
      <c r="C157" s="5"/>
      <c r="D157" s="6">
        <v>500000</v>
      </c>
      <c r="E157" s="26">
        <f>IF(OR(C157&lt;&gt;0,D157&lt;&gt;0),SUM(C$3:C157)-SUM(D$3:D157),0)</f>
        <v>562974</v>
      </c>
      <c r="F157" s="5"/>
    </row>
    <row r="158" spans="1:8" ht="15.75" x14ac:dyDescent="0.25">
      <c r="A158" s="58"/>
      <c r="B158" s="5" t="s">
        <v>1085</v>
      </c>
      <c r="C158" s="5"/>
      <c r="D158" s="6">
        <v>350000</v>
      </c>
      <c r="E158" s="26">
        <f>IF(OR(C158&lt;&gt;0,D158&lt;&gt;0),SUM(C$3:C158)-SUM(D$3:D158),0)</f>
        <v>212974</v>
      </c>
      <c r="F158" s="5"/>
    </row>
    <row r="159" spans="1:8" ht="15.75" x14ac:dyDescent="0.25">
      <c r="A159" s="56">
        <v>45492</v>
      </c>
      <c r="B159" s="5" t="s">
        <v>1022</v>
      </c>
      <c r="C159" s="6"/>
      <c r="D159" s="6">
        <v>30000</v>
      </c>
      <c r="E159" s="26">
        <f>IF(OR(C159&lt;&gt;0,D159&lt;&gt;0),SUM(C$3:C159)-SUM(D$3:D159),0)</f>
        <v>182974</v>
      </c>
      <c r="F159" s="5"/>
    </row>
    <row r="160" spans="1:8" ht="15.75" x14ac:dyDescent="0.25">
      <c r="A160" s="57"/>
      <c r="B160" s="5" t="s">
        <v>7</v>
      </c>
      <c r="C160" s="6">
        <v>1100000</v>
      </c>
      <c r="D160" s="6"/>
      <c r="E160" s="26">
        <f>IF(OR(C160&lt;&gt;0,D160&lt;&gt;0),SUM(C$3:C160)-SUM(D$3:D160),0)</f>
        <v>1282974</v>
      </c>
      <c r="F160" s="5"/>
    </row>
    <row r="161" spans="1:7" ht="15.75" x14ac:dyDescent="0.25">
      <c r="A161" s="57"/>
      <c r="B161" s="5" t="s">
        <v>7</v>
      </c>
      <c r="C161" s="6">
        <v>379400</v>
      </c>
      <c r="D161" s="6"/>
      <c r="E161" s="26">
        <f>IF(OR(C161&lt;&gt;0,D161&lt;&gt;0),SUM(C$3:C161)-SUM(D$3:D161),0)</f>
        <v>1662374</v>
      </c>
      <c r="F161" s="5"/>
    </row>
    <row r="162" spans="1:7" ht="15.75" x14ac:dyDescent="0.25">
      <c r="A162" s="57"/>
      <c r="B162" s="5" t="s">
        <v>1117</v>
      </c>
      <c r="C162" s="5"/>
      <c r="D162" s="6">
        <v>14000</v>
      </c>
      <c r="E162" s="26">
        <f>IF(OR(C160&lt;&gt;0,D162&lt;&gt;0),SUM(C$3:C160)-SUM(D$3:D162),0)</f>
        <v>1268974</v>
      </c>
      <c r="F162" s="5"/>
    </row>
    <row r="163" spans="1:7" ht="15.75" x14ac:dyDescent="0.25">
      <c r="A163" s="57"/>
      <c r="B163" s="5" t="s">
        <v>1118</v>
      </c>
      <c r="C163" s="5"/>
      <c r="D163" s="6">
        <v>20000</v>
      </c>
      <c r="E163" s="26">
        <f>IF(OR(C163&lt;&gt;0,D163&lt;&gt;0),SUM(C$3:C163)-SUM(D$3:D163),0)</f>
        <v>1628374</v>
      </c>
      <c r="F163" s="5"/>
    </row>
    <row r="164" spans="1:7" ht="15.75" x14ac:dyDescent="0.25">
      <c r="A164" s="57"/>
      <c r="B164" s="5" t="s">
        <v>1119</v>
      </c>
      <c r="C164" s="6"/>
      <c r="D164" s="6">
        <v>345400</v>
      </c>
      <c r="E164" s="26">
        <f>IF(OR(C164&lt;&gt;0,D164&lt;&gt;0),SUM(C$3:C164)-SUM(D$3:D164),0)</f>
        <v>1282974</v>
      </c>
      <c r="F164" s="5"/>
      <c r="G164" s="3">
        <f>1263200-E164</f>
        <v>-19774</v>
      </c>
    </row>
    <row r="165" spans="1:7" ht="15.75" x14ac:dyDescent="0.25">
      <c r="A165" s="57"/>
      <c r="B165" s="5" t="s">
        <v>1120</v>
      </c>
      <c r="C165" s="6">
        <v>25000</v>
      </c>
      <c r="D165" s="6"/>
      <c r="E165" s="26">
        <f>IF(OR(C165&lt;&gt;0,D165&lt;&gt;0),SUM(C$3:C165)-SUM(D$3:D165),0)</f>
        <v>1307974</v>
      </c>
      <c r="F165" s="5"/>
    </row>
    <row r="166" spans="1:7" ht="15.75" x14ac:dyDescent="0.25">
      <c r="A166" s="58"/>
      <c r="B166" s="5" t="s">
        <v>1091</v>
      </c>
      <c r="C166" s="6"/>
      <c r="D166" s="6">
        <v>75000</v>
      </c>
      <c r="E166" s="26">
        <f>IF(OR(C166&lt;&gt;0,D166&lt;&gt;0),SUM(C$3:C166)-SUM(D$3:D166),0)</f>
        <v>1232974</v>
      </c>
      <c r="F166" s="5"/>
    </row>
    <row r="167" spans="1:7" ht="15.75" x14ac:dyDescent="0.25">
      <c r="A167" s="56">
        <v>45493</v>
      </c>
      <c r="B167" s="5" t="s">
        <v>1121</v>
      </c>
      <c r="C167" s="6"/>
      <c r="D167" s="6">
        <v>270000</v>
      </c>
      <c r="E167" s="26">
        <f>IF(OR(C167&lt;&gt;0,D167&lt;&gt;0),SUM(C$3:C167)-SUM(D$3:D167),0)</f>
        <v>962974</v>
      </c>
      <c r="F167" s="5"/>
    </row>
    <row r="168" spans="1:7" ht="15.75" x14ac:dyDescent="0.25">
      <c r="A168" s="57"/>
      <c r="B168" s="5" t="s">
        <v>707</v>
      </c>
      <c r="C168" s="6"/>
      <c r="D168" s="6">
        <v>200000</v>
      </c>
      <c r="E168" s="26">
        <f>IF(OR(C168&lt;&gt;0,D168&lt;&gt;0),SUM(C$3:C168)-SUM(D$3:D168),0)</f>
        <v>762974</v>
      </c>
      <c r="F168" s="5"/>
      <c r="G168" s="3">
        <f>541200-E168</f>
        <v>-221774</v>
      </c>
    </row>
    <row r="169" spans="1:7" ht="15.75" x14ac:dyDescent="0.25">
      <c r="A169" s="57"/>
      <c r="B169" s="5" t="s">
        <v>43</v>
      </c>
      <c r="C169" s="5"/>
      <c r="D169" s="6">
        <v>150000</v>
      </c>
      <c r="E169" s="26">
        <f>IF(OR(C169&lt;&gt;0,D169&lt;&gt;0),SUM(C$3:C169)-SUM(D$3:D169),0)</f>
        <v>612974</v>
      </c>
      <c r="F169" s="5"/>
      <c r="G169" s="3">
        <f>541200-E169</f>
        <v>-71774</v>
      </c>
    </row>
    <row r="170" spans="1:7" ht="15.75" x14ac:dyDescent="0.25">
      <c r="A170" s="58"/>
      <c r="B170" s="5" t="s">
        <v>1131</v>
      </c>
      <c r="C170" s="5"/>
      <c r="D170" s="6">
        <v>200000</v>
      </c>
      <c r="E170" s="26">
        <f>IF(OR(C170&lt;&gt;0,D170&lt;&gt;0),SUM(C$3:C170)-SUM(D$3:D170),0)</f>
        <v>412974</v>
      </c>
      <c r="F170" s="5"/>
      <c r="G170" s="3">
        <f>106200-E170</f>
        <v>-306774</v>
      </c>
    </row>
    <row r="171" spans="1:7" ht="15.75" x14ac:dyDescent="0.25">
      <c r="A171" s="56">
        <v>45495</v>
      </c>
      <c r="B171" s="5" t="s">
        <v>1132</v>
      </c>
      <c r="C171" s="6"/>
      <c r="D171" s="6">
        <v>150000</v>
      </c>
      <c r="E171" s="26">
        <f>IF(OR(C171&lt;&gt;0,D171&lt;&gt;0),SUM(C$3:C171)-SUM(D$3:D171),0)</f>
        <v>262974</v>
      </c>
      <c r="F171" s="5"/>
      <c r="G171" s="3">
        <f>106200-E171</f>
        <v>-156774</v>
      </c>
    </row>
    <row r="172" spans="1:7" ht="15.75" x14ac:dyDescent="0.25">
      <c r="A172" s="57"/>
      <c r="B172" s="5" t="s">
        <v>763</v>
      </c>
      <c r="C172" s="6"/>
      <c r="D172" s="6">
        <v>300000</v>
      </c>
      <c r="E172" s="26">
        <f>IF(OR(C172&lt;&gt;0,D172&lt;&gt;0),SUM(C$3:C172)-SUM(D$3:D172),0)</f>
        <v>-37026</v>
      </c>
      <c r="F172" s="5"/>
    </row>
    <row r="173" spans="1:7" ht="15.75" x14ac:dyDescent="0.25">
      <c r="A173" s="57"/>
      <c r="B173" s="5" t="s">
        <v>7</v>
      </c>
      <c r="C173" s="6">
        <v>1000000</v>
      </c>
      <c r="D173" s="6"/>
      <c r="E173" s="26">
        <f>IF(OR(C173&lt;&gt;0,D173&lt;&gt;0),SUM(C$3:C173)-SUM(D$3:D173),0)</f>
        <v>962974</v>
      </c>
      <c r="F173" s="5"/>
      <c r="G173" s="3">
        <f>963200-E173</f>
        <v>226</v>
      </c>
    </row>
    <row r="174" spans="1:7" ht="15.75" x14ac:dyDescent="0.25">
      <c r="A174" s="57"/>
      <c r="B174" s="5" t="s">
        <v>1133</v>
      </c>
      <c r="C174" s="5"/>
      <c r="D174" s="6">
        <v>21000</v>
      </c>
      <c r="E174" s="26">
        <f>IF(OR(C174&lt;&gt;0,D174&lt;&gt;0),SUM(C$3:C174)-SUM(D$3:D174),0)</f>
        <v>941974</v>
      </c>
      <c r="F174" s="5"/>
    </row>
    <row r="175" spans="1:7" ht="15.75" x14ac:dyDescent="0.25">
      <c r="A175" s="57"/>
      <c r="B175" s="5" t="s">
        <v>104</v>
      </c>
      <c r="C175" s="5"/>
      <c r="D175" s="6">
        <v>68000</v>
      </c>
      <c r="E175" s="26">
        <f>IF(OR(C175&lt;&gt;0,D175&lt;&gt;0),SUM(C$3:C175)-SUM(D$3:D175),0)</f>
        <v>873974</v>
      </c>
      <c r="F175" s="5"/>
    </row>
    <row r="176" spans="1:7" ht="15.75" x14ac:dyDescent="0.25">
      <c r="A176" s="57"/>
      <c r="B176" s="5" t="s">
        <v>43</v>
      </c>
      <c r="C176" s="5"/>
      <c r="D176" s="6">
        <v>100000</v>
      </c>
      <c r="E176" s="26">
        <f>IF(OR(C176&lt;&gt;0,D176&lt;&gt;0),SUM(C$3:C176)-SUM(D$3:D176),0)</f>
        <v>773974</v>
      </c>
      <c r="F176" s="5"/>
    </row>
    <row r="177" spans="1:7" ht="15.75" x14ac:dyDescent="0.25">
      <c r="A177" s="57"/>
      <c r="B177" s="5" t="s">
        <v>1146</v>
      </c>
      <c r="C177" s="5"/>
      <c r="D177" s="6">
        <v>11000</v>
      </c>
      <c r="E177" s="26">
        <f>IF(OR(C177&lt;&gt;0,D177&lt;&gt;0),SUM(C$3:C177)-SUM(D$3:D177),0)</f>
        <v>762974</v>
      </c>
      <c r="F177" s="5"/>
    </row>
    <row r="178" spans="1:7" ht="15.75" x14ac:dyDescent="0.25">
      <c r="A178" s="57"/>
      <c r="B178" s="5" t="s">
        <v>618</v>
      </c>
      <c r="C178" s="5"/>
      <c r="D178" s="6">
        <v>31000</v>
      </c>
      <c r="E178" s="26">
        <f>IF(OR(C178&lt;&gt;0,D178&lt;&gt;0),SUM(C$3:C178)-SUM(D$3:D178),0)</f>
        <v>731974</v>
      </c>
      <c r="F178" s="5"/>
    </row>
    <row r="179" spans="1:7" ht="15.75" x14ac:dyDescent="0.25">
      <c r="A179" s="57"/>
      <c r="B179" s="5" t="s">
        <v>1147</v>
      </c>
      <c r="C179" s="5"/>
      <c r="D179" s="6">
        <v>50000</v>
      </c>
      <c r="E179" s="26">
        <f>IF(OR(C179&lt;&gt;0,D179&lt;&gt;0),SUM(C$3:C179)-SUM(D$3:D179),0)</f>
        <v>681974</v>
      </c>
      <c r="F179" s="5"/>
    </row>
    <row r="180" spans="1:7" ht="15.75" x14ac:dyDescent="0.25">
      <c r="A180" s="57"/>
      <c r="B180" s="5" t="s">
        <v>1148</v>
      </c>
      <c r="C180" s="5"/>
      <c r="D180" s="6">
        <v>20500</v>
      </c>
      <c r="E180" s="26">
        <f>IF(OR(C180&lt;&gt;0,D180&lt;&gt;0),SUM(C$3:C180)-SUM(D$3:D180),0)</f>
        <v>661474</v>
      </c>
      <c r="F180" s="5"/>
    </row>
    <row r="181" spans="1:7" ht="15.75" x14ac:dyDescent="0.25">
      <c r="A181" s="57"/>
      <c r="B181" s="5" t="s">
        <v>1149</v>
      </c>
      <c r="C181" s="5"/>
      <c r="D181" s="6">
        <v>19000</v>
      </c>
      <c r="E181" s="26">
        <f>IF(OR(C181&lt;&gt;0,D181&lt;&gt;0),SUM(C$3:C181)-SUM(D$3:D181),0)</f>
        <v>642474</v>
      </c>
      <c r="F181" s="5"/>
    </row>
    <row r="182" spans="1:7" ht="15.75" x14ac:dyDescent="0.25">
      <c r="A182" s="57"/>
      <c r="B182" s="5" t="s">
        <v>1150</v>
      </c>
      <c r="C182" s="5"/>
      <c r="D182" s="6">
        <v>97000</v>
      </c>
      <c r="E182" s="26">
        <f>IF(OR(C182&lt;&gt;0,D182&lt;&gt;0),SUM(C$3:C182)-SUM(D$3:D182),0)</f>
        <v>545474</v>
      </c>
      <c r="F182" s="5"/>
    </row>
    <row r="183" spans="1:7" ht="15.75" x14ac:dyDescent="0.25">
      <c r="A183" s="57"/>
      <c r="B183" s="5" t="s">
        <v>1148</v>
      </c>
      <c r="C183" s="5"/>
      <c r="D183" s="6">
        <v>15500</v>
      </c>
      <c r="E183" s="26">
        <f>IF(OR(C183&lt;&gt;0,D183&lt;&gt;0),SUM(C$3:C183)-SUM(D$3:D183),0)</f>
        <v>529974</v>
      </c>
      <c r="F183" s="5"/>
    </row>
    <row r="184" spans="1:7" ht="15.75" x14ac:dyDescent="0.25">
      <c r="A184" s="57"/>
      <c r="B184" s="5" t="s">
        <v>1151</v>
      </c>
      <c r="C184" s="5"/>
      <c r="D184" s="6">
        <v>27000</v>
      </c>
      <c r="E184" s="26">
        <f>IF(OR(C184&lt;&gt;0,D184&lt;&gt;0),SUM(C$3:C184)-SUM(D$3:D184),0)</f>
        <v>502974</v>
      </c>
      <c r="F184" s="5"/>
    </row>
    <row r="185" spans="1:7" ht="15.75" x14ac:dyDescent="0.25">
      <c r="A185" s="57"/>
      <c r="B185" s="5" t="s">
        <v>1152</v>
      </c>
      <c r="C185" s="5"/>
      <c r="D185" s="6">
        <v>11000</v>
      </c>
      <c r="E185" s="26">
        <f>IF(OR(C185&lt;&gt;0,D185&lt;&gt;0),SUM(C$3:C185)-SUM(D$3:D185),0)</f>
        <v>491974</v>
      </c>
      <c r="F185" s="5"/>
      <c r="G185" s="3">
        <f>414200-E185</f>
        <v>-77774</v>
      </c>
    </row>
    <row r="186" spans="1:7" ht="15.75" x14ac:dyDescent="0.25">
      <c r="A186" s="57"/>
      <c r="B186" s="5" t="s">
        <v>1155</v>
      </c>
      <c r="C186" s="5"/>
      <c r="D186" s="6">
        <v>68000</v>
      </c>
      <c r="E186" s="26">
        <f>IF(OR(C186&lt;&gt;0,D186&lt;&gt;0),SUM(C$3:C186)-SUM(D$3:D186),0)</f>
        <v>423974</v>
      </c>
      <c r="F186" s="5"/>
    </row>
    <row r="187" spans="1:7" ht="15.75" x14ac:dyDescent="0.25">
      <c r="A187" s="57"/>
      <c r="B187" s="5" t="s">
        <v>1022</v>
      </c>
      <c r="C187" s="5"/>
      <c r="D187" s="6">
        <v>20000</v>
      </c>
      <c r="E187" s="26">
        <f>IF(OR(C187&lt;&gt;0,D187&lt;&gt;0),SUM(C$3:C187)-SUM(D$3:D187),0)</f>
        <v>403974</v>
      </c>
      <c r="F187" s="5"/>
    </row>
    <row r="188" spans="1:7" ht="15.75" x14ac:dyDescent="0.25">
      <c r="A188" s="57"/>
      <c r="B188" s="5" t="s">
        <v>1153</v>
      </c>
      <c r="C188" s="5"/>
      <c r="D188" s="6">
        <v>50000</v>
      </c>
      <c r="E188" s="26">
        <f>IF(OR(C188&lt;&gt;0,D188&lt;&gt;0),SUM(C$3:C188)-SUM(D$3:D188),0)</f>
        <v>353974</v>
      </c>
      <c r="F188" s="5"/>
    </row>
    <row r="189" spans="1:7" ht="15.75" x14ac:dyDescent="0.25">
      <c r="A189" s="57"/>
      <c r="B189" s="5" t="s">
        <v>1154</v>
      </c>
      <c r="C189" s="5"/>
      <c r="D189" s="6">
        <v>25000</v>
      </c>
      <c r="E189" s="26">
        <f>IF(OR(C189&lt;&gt;0,D189&lt;&gt;0),SUM(C$3:C189)-SUM(D$3:D189),0)</f>
        <v>328974</v>
      </c>
      <c r="F189" s="5"/>
    </row>
    <row r="190" spans="1:7" ht="15.75" x14ac:dyDescent="0.25">
      <c r="A190" s="57"/>
      <c r="B190" s="5" t="s">
        <v>1156</v>
      </c>
      <c r="C190" s="5"/>
      <c r="D190" s="6">
        <v>35000</v>
      </c>
      <c r="E190" s="26">
        <f>IF(OR(C190&lt;&gt;0,D190&lt;&gt;0),SUM(C$3:C190)-SUM(D$3:D190),0)</f>
        <v>293974</v>
      </c>
      <c r="F190" s="5"/>
    </row>
    <row r="191" spans="1:7" ht="15.75" x14ac:dyDescent="0.25">
      <c r="A191" s="56">
        <v>45496</v>
      </c>
      <c r="B191" s="5" t="s">
        <v>583</v>
      </c>
      <c r="C191" s="6"/>
      <c r="D191" s="6">
        <v>100000</v>
      </c>
      <c r="E191" s="26">
        <f>IF(OR(C191&lt;&gt;0,D191&lt;&gt;0),SUM(C$3:C191)-SUM(D$3:D191),0)</f>
        <v>193974</v>
      </c>
      <c r="F191" s="5"/>
      <c r="G191" s="3">
        <f>145200-E191</f>
        <v>-48774</v>
      </c>
    </row>
    <row r="192" spans="1:7" ht="15.75" x14ac:dyDescent="0.25">
      <c r="A192" s="57"/>
      <c r="B192" s="5" t="s">
        <v>7</v>
      </c>
      <c r="C192" s="6">
        <v>250000</v>
      </c>
      <c r="D192" s="6"/>
      <c r="E192" s="26">
        <f>IF(OR(C192&lt;&gt;0,D192&lt;&gt;0),SUM(C$3:C192)-SUM(D$3:D192),0)</f>
        <v>443974</v>
      </c>
      <c r="F192" s="5"/>
      <c r="G192" s="3">
        <f>395200-E192</f>
        <v>-48774</v>
      </c>
    </row>
    <row r="193" spans="1:7" ht="15.75" x14ac:dyDescent="0.25">
      <c r="A193" s="57"/>
      <c r="B193" s="5" t="s">
        <v>1157</v>
      </c>
      <c r="C193" s="6"/>
      <c r="D193" s="6">
        <v>60000</v>
      </c>
      <c r="E193" s="26">
        <f>IF(OR(C193&lt;&gt;0,D193&lt;&gt;0),SUM(C$3:C193)-SUM(D$3:D193),0)</f>
        <v>383974</v>
      </c>
      <c r="F193" s="5"/>
    </row>
    <row r="194" spans="1:7" ht="15.75" x14ac:dyDescent="0.25">
      <c r="A194" s="57"/>
      <c r="B194" s="5" t="s">
        <v>1022</v>
      </c>
      <c r="C194" s="5"/>
      <c r="D194" s="6">
        <v>50000</v>
      </c>
      <c r="E194" s="26">
        <f>IF(OR(C194&lt;&gt;0,D194&lt;&gt;0),SUM(C$3:C194)-SUM(D$3:D194),0)</f>
        <v>333974</v>
      </c>
      <c r="F194" s="5"/>
    </row>
    <row r="195" spans="1:7" ht="15.75" x14ac:dyDescent="0.25">
      <c r="A195" s="57"/>
      <c r="B195" s="5" t="s">
        <v>7</v>
      </c>
      <c r="C195" s="6">
        <v>729000</v>
      </c>
      <c r="D195" s="6"/>
      <c r="E195" s="26">
        <f>IF(OR(C195&lt;&gt;0,D195&lt;&gt;0),SUM(C$3:C195)-SUM(D$3:D195),0)</f>
        <v>1062974</v>
      </c>
      <c r="F195" s="5"/>
    </row>
    <row r="196" spans="1:7" ht="15.75" x14ac:dyDescent="0.25">
      <c r="A196" s="57"/>
      <c r="B196" s="5" t="s">
        <v>1158</v>
      </c>
      <c r="C196" s="5"/>
      <c r="D196" s="6">
        <v>779000</v>
      </c>
      <c r="E196" s="26">
        <f>IF(OR(C196&lt;&gt;0,D196&lt;&gt;0),SUM(C$3:C196)-SUM(D$3:D196),0)</f>
        <v>283974</v>
      </c>
      <c r="F196" s="5"/>
    </row>
    <row r="197" spans="1:7" ht="15.75" x14ac:dyDescent="0.25">
      <c r="A197" s="57"/>
      <c r="B197" s="5" t="s">
        <v>122</v>
      </c>
      <c r="C197" s="5"/>
      <c r="D197" s="6">
        <v>200000</v>
      </c>
      <c r="E197" s="26">
        <f>IF(OR(C197&lt;&gt;0,D197&lt;&gt;0),SUM(C$3:C197)-SUM(D$3:D197),0)</f>
        <v>83974</v>
      </c>
      <c r="F197" s="5"/>
    </row>
    <row r="198" spans="1:7" ht="15.75" x14ac:dyDescent="0.25">
      <c r="A198" s="57"/>
      <c r="B198" s="5" t="s">
        <v>27</v>
      </c>
      <c r="C198" s="5"/>
      <c r="D198" s="6">
        <v>300000</v>
      </c>
      <c r="E198" s="26">
        <f>IF(OR(C198&lt;&gt;0,D198&lt;&gt;0),SUM(C$3:C198)-SUM(D$3:D198),0)</f>
        <v>-216026</v>
      </c>
      <c r="F198" s="5"/>
    </row>
    <row r="199" spans="1:7" ht="15.75" x14ac:dyDescent="0.25">
      <c r="A199" s="57"/>
      <c r="B199" s="5" t="s">
        <v>7</v>
      </c>
      <c r="C199" s="6">
        <v>590000</v>
      </c>
      <c r="D199" s="6"/>
      <c r="E199" s="26">
        <f>IF(OR(C199&lt;&gt;0,D199&lt;&gt;0),SUM(C$3:C199)-SUM(D$3:D199),0)</f>
        <v>373974</v>
      </c>
      <c r="F199" s="5"/>
    </row>
    <row r="200" spans="1:7" ht="15.75" x14ac:dyDescent="0.25">
      <c r="A200" s="57"/>
      <c r="B200" s="5" t="s">
        <v>515</v>
      </c>
      <c r="C200" s="5"/>
      <c r="D200" s="6">
        <v>590000</v>
      </c>
      <c r="E200" s="26">
        <f>IF(OR(C200&lt;&gt;0,D200&lt;&gt;0),SUM(C$3:C200)-SUM(D$3:D200),0)</f>
        <v>-216026</v>
      </c>
      <c r="F200" s="5"/>
      <c r="G200" s="3">
        <f>55200-E200</f>
        <v>271226</v>
      </c>
    </row>
    <row r="201" spans="1:7" ht="15.75" x14ac:dyDescent="0.25">
      <c r="A201" s="58"/>
      <c r="B201" s="5" t="s">
        <v>1069</v>
      </c>
      <c r="C201" s="5"/>
      <c r="D201" s="6">
        <v>3000</v>
      </c>
      <c r="E201" s="26">
        <f>IF(OR(C201&lt;&gt;0,D201&lt;&gt;0),SUM(C$3:C201)-SUM(D$3:D201),0)</f>
        <v>-219026</v>
      </c>
      <c r="F201" s="5"/>
      <c r="G201" s="3">
        <f>54200-E201</f>
        <v>273226</v>
      </c>
    </row>
    <row r="202" spans="1:7" ht="15.75" x14ac:dyDescent="0.25">
      <c r="A202" s="59">
        <v>45497</v>
      </c>
      <c r="B202" s="5" t="s">
        <v>1159</v>
      </c>
      <c r="C202" s="6">
        <v>500000</v>
      </c>
      <c r="D202" s="6"/>
      <c r="E202" s="26">
        <f>IF(OR(C202&lt;&gt;0,D202&lt;&gt;0),SUM(C$3:C202)-SUM(D$3:D202),0)</f>
        <v>280974</v>
      </c>
      <c r="F202" s="5"/>
    </row>
    <row r="203" spans="1:7" ht="15.75" x14ac:dyDescent="0.25">
      <c r="A203" s="59"/>
      <c r="B203" s="5" t="s">
        <v>67</v>
      </c>
      <c r="C203" s="6"/>
      <c r="D203" s="6">
        <v>30000</v>
      </c>
      <c r="E203" s="26">
        <f>IF(OR(C203&lt;&gt;0,D203&lt;&gt;0),SUM(C$3:C203)-SUM(D$3:D203),0)</f>
        <v>250974</v>
      </c>
      <c r="F203" s="5"/>
      <c r="G203" s="3">
        <f>529200-E203</f>
        <v>278226</v>
      </c>
    </row>
    <row r="204" spans="1:7" ht="15.75" x14ac:dyDescent="0.25">
      <c r="A204" s="59"/>
      <c r="B204" s="5" t="s">
        <v>7</v>
      </c>
      <c r="C204" s="6">
        <v>1000000</v>
      </c>
      <c r="D204" s="6"/>
      <c r="E204" s="26">
        <f>IF(OR(C204&lt;&gt;0,D204&lt;&gt;0),SUM(C$3:C204)-SUM(D$3:D204),0)</f>
        <v>1250974</v>
      </c>
      <c r="F204" s="5"/>
    </row>
    <row r="205" spans="1:7" ht="15.75" x14ac:dyDescent="0.25">
      <c r="A205" s="59">
        <v>45498</v>
      </c>
      <c r="B205" s="5" t="s">
        <v>740</v>
      </c>
      <c r="C205" s="6"/>
      <c r="D205" s="6">
        <v>200000</v>
      </c>
      <c r="E205" s="26">
        <f>IF(OR(C205&lt;&gt;0,D205&lt;&gt;0),SUM(C$3:C205)-SUM(D$3:D205),0)</f>
        <v>1050974</v>
      </c>
      <c r="F205" s="5"/>
    </row>
    <row r="206" spans="1:7" ht="15.75" x14ac:dyDescent="0.25">
      <c r="A206" s="59"/>
      <c r="B206" s="5" t="s">
        <v>1209</v>
      </c>
      <c r="C206" s="6"/>
      <c r="D206" s="6">
        <v>150000</v>
      </c>
      <c r="E206" s="26">
        <f>IF(OR(C206&lt;&gt;0,D206&lt;&gt;0),SUM(C$3:C206)-SUM(D$3:D206),0)</f>
        <v>900974</v>
      </c>
      <c r="F206" s="5"/>
    </row>
    <row r="207" spans="1:7" ht="15.75" x14ac:dyDescent="0.25">
      <c r="A207" s="59"/>
      <c r="B207" s="5" t="s">
        <v>1160</v>
      </c>
      <c r="C207" s="6"/>
      <c r="D207" s="6">
        <v>24500</v>
      </c>
      <c r="E207" s="26">
        <f>IF(OR(C207&lt;&gt;0,D207&lt;&gt;0),SUM(C$3:C207)-SUM(D$3:D207),0)</f>
        <v>876474</v>
      </c>
      <c r="F207" s="5"/>
    </row>
    <row r="208" spans="1:7" ht="15.75" x14ac:dyDescent="0.25">
      <c r="A208" s="59"/>
      <c r="B208" s="5" t="s">
        <v>1161</v>
      </c>
      <c r="C208" s="6"/>
      <c r="D208" s="6">
        <v>100000</v>
      </c>
      <c r="E208" s="26">
        <f>IF(OR(C208&lt;&gt;0,D208&lt;&gt;0),SUM(C$3:C208)-SUM(D$3:D208),0)</f>
        <v>776474</v>
      </c>
      <c r="F208" s="5"/>
      <c r="G208" s="3">
        <f>291200-E208</f>
        <v>-485274</v>
      </c>
    </row>
    <row r="209" spans="1:8" ht="15.75" x14ac:dyDescent="0.25">
      <c r="A209" s="59">
        <v>45499</v>
      </c>
      <c r="B209" s="5" t="s">
        <v>1162</v>
      </c>
      <c r="C209" s="6"/>
      <c r="D209" s="6">
        <v>300000</v>
      </c>
      <c r="E209" s="26">
        <f>IF(OR(C209&lt;&gt;0,D209&lt;&gt;0),SUM(C$3:C209)-SUM(D$3:D209),0)</f>
        <v>476474</v>
      </c>
      <c r="F209" s="5"/>
    </row>
    <row r="210" spans="1:8" ht="15.75" x14ac:dyDescent="0.25">
      <c r="A210" s="59"/>
      <c r="B210" s="5" t="s">
        <v>287</v>
      </c>
      <c r="C210" s="6"/>
      <c r="D210" s="6">
        <v>100000</v>
      </c>
      <c r="E210" s="26">
        <f>IF(OR(C210&lt;&gt;0,D210&lt;&gt;0),SUM(C$3:C210)-SUM(D$3:D210),0)</f>
        <v>376474</v>
      </c>
      <c r="F210" s="5"/>
    </row>
    <row r="211" spans="1:8" ht="15.75" x14ac:dyDescent="0.25">
      <c r="A211" s="59"/>
      <c r="B211" s="5" t="s">
        <v>1022</v>
      </c>
      <c r="C211" s="6"/>
      <c r="D211" s="6">
        <v>20000</v>
      </c>
      <c r="E211" s="26">
        <f>IF(OR(C211&lt;&gt;0,D211&lt;&gt;0),SUM(C$3:C211)-SUM(D$3:D211),0)</f>
        <v>356474</v>
      </c>
      <c r="F211" s="5"/>
    </row>
    <row r="212" spans="1:8" ht="15.75" x14ac:dyDescent="0.25">
      <c r="A212" s="59"/>
      <c r="B212" s="5" t="s">
        <v>7</v>
      </c>
      <c r="C212" s="6">
        <v>1000000</v>
      </c>
      <c r="D212" s="6"/>
      <c r="E212" s="26">
        <f>IF(OR(C212&lt;&gt;0,D212&lt;&gt;0),SUM(C$3:C212)-SUM(D$3:D212),0)</f>
        <v>1356474</v>
      </c>
      <c r="F212" s="5"/>
    </row>
    <row r="213" spans="1:8" ht="15.75" x14ac:dyDescent="0.25">
      <c r="A213" s="56">
        <v>45500</v>
      </c>
      <c r="B213" s="5" t="s">
        <v>137</v>
      </c>
      <c r="C213" s="6"/>
      <c r="D213" s="6">
        <v>25000</v>
      </c>
      <c r="E213" s="26">
        <f>IF(OR(C213&lt;&gt;0,D213&lt;&gt;0),SUM(C$3:C213)-SUM(D$3:D213),0)</f>
        <v>1331474</v>
      </c>
      <c r="F213" s="5"/>
    </row>
    <row r="214" spans="1:8" ht="15.75" x14ac:dyDescent="0.25">
      <c r="A214" s="57"/>
      <c r="B214" s="5" t="s">
        <v>43</v>
      </c>
      <c r="C214" s="6"/>
      <c r="D214" s="6">
        <v>300000</v>
      </c>
      <c r="E214" s="26">
        <f>IF(OR(C214&lt;&gt;0,D214&lt;&gt;0),SUM(C$3:C214)-SUM(D$3:D214),0)</f>
        <v>1031474</v>
      </c>
      <c r="F214" s="5"/>
    </row>
    <row r="215" spans="1:8" ht="15.75" x14ac:dyDescent="0.25">
      <c r="A215" s="57"/>
      <c r="B215" s="5" t="s">
        <v>1163</v>
      </c>
      <c r="C215" s="6"/>
      <c r="D215" s="6">
        <v>60000</v>
      </c>
      <c r="E215" s="26">
        <f>IF(OR(C215&lt;&gt;0,D215&lt;&gt;0),SUM(C$3:C215)-SUM(D$3:D215),0)</f>
        <v>971474</v>
      </c>
      <c r="F215" s="5"/>
    </row>
    <row r="216" spans="1:8" ht="15.75" x14ac:dyDescent="0.25">
      <c r="A216" s="57"/>
      <c r="B216" s="5" t="s">
        <v>1164</v>
      </c>
      <c r="C216" s="5"/>
      <c r="D216" s="6">
        <v>625000</v>
      </c>
      <c r="E216" s="26">
        <f>IF(OR(C216&lt;&gt;0,D216&lt;&gt;0),SUM(C$3:C216)-SUM(D$3:D216),0)</f>
        <v>346474</v>
      </c>
      <c r="F216" s="5"/>
    </row>
    <row r="217" spans="1:8" ht="15.75" x14ac:dyDescent="0.25">
      <c r="A217" s="57"/>
      <c r="B217" s="5" t="s">
        <v>152</v>
      </c>
      <c r="C217" s="5"/>
      <c r="D217" s="6">
        <v>180450</v>
      </c>
      <c r="E217" s="26">
        <f>IF(OR(C217&lt;&gt;0,D217&lt;&gt;0),SUM(C$3:C217)-SUM(D$3:D217),0)</f>
        <v>166024</v>
      </c>
      <c r="F217" s="5"/>
    </row>
    <row r="218" spans="1:8" ht="15.75" x14ac:dyDescent="0.25">
      <c r="A218" s="57"/>
      <c r="B218" s="5" t="s">
        <v>1165</v>
      </c>
      <c r="C218" s="5"/>
      <c r="D218" s="6">
        <v>250000</v>
      </c>
      <c r="E218" s="26">
        <f>IF(OR(C218&lt;&gt;0,D218&lt;&gt;0),SUM(C$3:C218)-SUM(D$3:D218),0)</f>
        <v>-83976</v>
      </c>
      <c r="F218" s="5"/>
    </row>
    <row r="219" spans="1:8" ht="15.75" x14ac:dyDescent="0.25">
      <c r="A219" s="57"/>
      <c r="B219" s="5" t="s">
        <v>76</v>
      </c>
      <c r="C219" s="5"/>
      <c r="D219" s="6">
        <v>30000</v>
      </c>
      <c r="E219" s="26">
        <f>IF(OR(C219&lt;&gt;0,D219&lt;&gt;0),SUM(C$3:C219)-SUM(D$3:D219),0)</f>
        <v>-113976</v>
      </c>
      <c r="F219" s="5"/>
    </row>
    <row r="220" spans="1:8" ht="15.75" x14ac:dyDescent="0.25">
      <c r="A220" s="57"/>
      <c r="B220" s="5" t="s">
        <v>1166</v>
      </c>
      <c r="C220" s="5"/>
      <c r="D220" s="6">
        <v>350000</v>
      </c>
      <c r="E220" s="26">
        <f>IF(OR(C220&lt;&gt;0,D220&lt;&gt;0),SUM(C$3:C220)-SUM(D$3:D220),0)</f>
        <v>-463976</v>
      </c>
      <c r="F220" s="5"/>
    </row>
    <row r="221" spans="1:8" ht="15.75" x14ac:dyDescent="0.25">
      <c r="A221" s="57"/>
      <c r="B221" s="5" t="s">
        <v>1167</v>
      </c>
      <c r="C221" s="5"/>
      <c r="D221" s="6">
        <v>30000</v>
      </c>
      <c r="E221" s="26">
        <f>IF(OR(C221&lt;&gt;0,D221&lt;&gt;0),SUM(C$3:C221)-SUM(D$3:D221),0)</f>
        <v>-493976</v>
      </c>
      <c r="F221" s="5"/>
    </row>
    <row r="222" spans="1:8" ht="15.75" x14ac:dyDescent="0.25">
      <c r="A222" s="57"/>
      <c r="B222" s="5" t="s">
        <v>177</v>
      </c>
      <c r="C222" s="5"/>
      <c r="D222" s="6">
        <v>200000</v>
      </c>
      <c r="E222" s="26">
        <f>IF(OR(C222&lt;&gt;0,D222&lt;&gt;0),SUM(C$3:C222)-SUM(D$3:D222),0)</f>
        <v>-693976</v>
      </c>
      <c r="F222" s="5"/>
    </row>
    <row r="223" spans="1:8" ht="15.75" x14ac:dyDescent="0.25">
      <c r="A223" s="57"/>
      <c r="B223" s="5" t="s">
        <v>7</v>
      </c>
      <c r="C223" s="6">
        <v>1000000</v>
      </c>
      <c r="D223" s="5"/>
      <c r="E223" s="26">
        <f>IF(OR(C223&lt;&gt;0,D223&lt;&gt;0),SUM(C$3:C223)-SUM(D$3:D223),0)</f>
        <v>306024</v>
      </c>
      <c r="F223" s="5"/>
      <c r="H223" s="3"/>
    </row>
    <row r="224" spans="1:8" ht="15.75" x14ac:dyDescent="0.25">
      <c r="A224" s="57"/>
      <c r="B224" s="5" t="s">
        <v>1168</v>
      </c>
      <c r="C224" s="5"/>
      <c r="D224" s="6">
        <v>2000</v>
      </c>
      <c r="E224" s="26">
        <f>IF(OR(C224&lt;&gt;0,D224&lt;&gt;0),SUM(C$3:C224)-SUM(D$3:D224),0)</f>
        <v>304024</v>
      </c>
      <c r="F224" s="5"/>
      <c r="G224" s="3">
        <f>335100-E224</f>
        <v>31076</v>
      </c>
    </row>
    <row r="225" spans="1:7" ht="15.75" x14ac:dyDescent="0.25">
      <c r="A225" s="57"/>
      <c r="B225" s="5" t="s">
        <v>905</v>
      </c>
      <c r="C225" s="5"/>
      <c r="D225" s="6">
        <v>200000</v>
      </c>
      <c r="E225" s="26">
        <f>IF(OR(C225&lt;&gt;0,D225&lt;&gt;0),SUM(C$3:C225)-SUM(D$3:D225),0)</f>
        <v>104024</v>
      </c>
      <c r="F225" s="5"/>
      <c r="G225" s="3">
        <f>335100-E225</f>
        <v>231076</v>
      </c>
    </row>
    <row r="226" spans="1:7" ht="15.75" x14ac:dyDescent="0.25">
      <c r="A226" s="57"/>
      <c r="B226" s="5" t="s">
        <v>1181</v>
      </c>
      <c r="C226" s="5"/>
      <c r="D226" s="6">
        <v>13200</v>
      </c>
      <c r="E226" s="26">
        <f>IF(OR(C226&lt;&gt;0,D226&lt;&gt;0),SUM(C$3:C226)-SUM(D$3:D226),0)</f>
        <v>90824</v>
      </c>
      <c r="F226" s="5"/>
    </row>
    <row r="227" spans="1:7" ht="15.75" x14ac:dyDescent="0.25">
      <c r="A227" s="58"/>
      <c r="B227" s="5" t="s">
        <v>46</v>
      </c>
      <c r="C227" s="5"/>
      <c r="D227" s="6">
        <v>30000</v>
      </c>
      <c r="E227" s="26">
        <f>IF(OR(C227&lt;&gt;0,D227&lt;&gt;0),SUM(C$3:C227)-SUM(D$3:D227),0)</f>
        <v>60824</v>
      </c>
      <c r="F227" s="5"/>
      <c r="G227" s="3">
        <f>5500-E227</f>
        <v>-55324</v>
      </c>
    </row>
    <row r="228" spans="1:7" ht="15.75" x14ac:dyDescent="0.25">
      <c r="A228" s="59">
        <v>45502</v>
      </c>
      <c r="B228" s="5" t="s">
        <v>7</v>
      </c>
      <c r="C228" s="6">
        <v>2000000</v>
      </c>
      <c r="D228" s="6"/>
      <c r="E228" s="26">
        <f>IF(OR(C228&lt;&gt;0,D228&lt;&gt;0),SUM(C$3:C228)-SUM(D$3:D228),0)</f>
        <v>2060824</v>
      </c>
      <c r="F228" s="5"/>
    </row>
    <row r="229" spans="1:7" ht="15.75" x14ac:dyDescent="0.25">
      <c r="A229" s="59"/>
      <c r="B229" s="5" t="s">
        <v>1180</v>
      </c>
      <c r="C229" s="6"/>
      <c r="D229" s="6">
        <v>1500000</v>
      </c>
      <c r="E229" s="26">
        <f>IF(OR(C229&lt;&gt;0,D229&lt;&gt;0),SUM(C$3:C229)-SUM(D$3:D229),0)</f>
        <v>560824</v>
      </c>
      <c r="F229" s="5"/>
    </row>
    <row r="230" spans="1:7" ht="15.75" x14ac:dyDescent="0.25">
      <c r="A230" s="59"/>
      <c r="B230" s="5" t="s">
        <v>1182</v>
      </c>
      <c r="C230" s="6"/>
      <c r="D230" s="6">
        <v>45000</v>
      </c>
      <c r="E230" s="26">
        <f>IF(OR(C230&lt;&gt;0,D230&lt;&gt;0),SUM(C$3:C230)-SUM(D$3:D230),0)</f>
        <v>515824</v>
      </c>
      <c r="F230" s="5"/>
    </row>
    <row r="231" spans="1:7" ht="15.75" x14ac:dyDescent="0.25">
      <c r="A231" s="59"/>
      <c r="B231" s="5" t="s">
        <v>1183</v>
      </c>
      <c r="C231" s="5"/>
      <c r="D231" s="6">
        <v>100000</v>
      </c>
      <c r="E231" s="26">
        <f>IF(OR(C231&lt;&gt;0,D231&lt;&gt;0),SUM(C$3:C231)-SUM(D$3:D231),0)</f>
        <v>415824</v>
      </c>
      <c r="F231" s="5"/>
    </row>
    <row r="232" spans="1:7" ht="15.75" x14ac:dyDescent="0.25">
      <c r="A232" s="59">
        <v>45503</v>
      </c>
      <c r="B232" s="5" t="s">
        <v>1022</v>
      </c>
      <c r="C232" s="6"/>
      <c r="D232" s="6">
        <v>50000</v>
      </c>
      <c r="E232" s="26">
        <f>IF(OR(C232&lt;&gt;0,D232&lt;&gt;0),SUM(C$3:C232)-SUM(D$3:D232),0)</f>
        <v>365824</v>
      </c>
      <c r="F232" s="5"/>
    </row>
    <row r="233" spans="1:7" ht="15.75" x14ac:dyDescent="0.25">
      <c r="A233" s="59"/>
      <c r="B233" s="5" t="s">
        <v>1184</v>
      </c>
      <c r="C233" s="6"/>
      <c r="D233" s="6">
        <v>24500</v>
      </c>
      <c r="E233" s="26">
        <f>IF(OR(C233&lt;&gt;0,D233&lt;&gt;0),SUM(C$3:C233)-SUM(D$3:D233),0)</f>
        <v>341324</v>
      </c>
      <c r="F233" s="5"/>
    </row>
    <row r="234" spans="1:7" ht="15.75" x14ac:dyDescent="0.25">
      <c r="A234" s="59"/>
      <c r="B234" s="5" t="s">
        <v>1185</v>
      </c>
      <c r="C234" s="6"/>
      <c r="D234" s="6">
        <v>10000</v>
      </c>
      <c r="E234" s="26">
        <f>IF(OR(C234&lt;&gt;0,D234&lt;&gt;0),SUM(C$3:C234)-SUM(D$3:D234),0)</f>
        <v>331324</v>
      </c>
      <c r="F234" s="5"/>
    </row>
    <row r="235" spans="1:7" ht="15.75" x14ac:dyDescent="0.25">
      <c r="A235" s="59"/>
      <c r="B235" s="5" t="s">
        <v>1186</v>
      </c>
      <c r="C235" s="6"/>
      <c r="D235" s="6">
        <v>24000</v>
      </c>
      <c r="E235" s="26">
        <f>IF(OR(C235&lt;&gt;0,D235&lt;&gt;0),SUM(C$3:C235)-SUM(D$3:D235),0)</f>
        <v>307324</v>
      </c>
      <c r="F235" s="5"/>
      <c r="G235" s="3">
        <f>307100-E235</f>
        <v>-224</v>
      </c>
    </row>
    <row r="236" spans="1:7" ht="15.75" x14ac:dyDescent="0.25">
      <c r="A236" s="56">
        <v>45504</v>
      </c>
      <c r="B236" s="5" t="s">
        <v>1187</v>
      </c>
      <c r="C236" s="6"/>
      <c r="D236" s="6">
        <v>120000</v>
      </c>
      <c r="E236" s="26">
        <f>IF(OR(C236&lt;&gt;0,D236&lt;&gt;0),SUM(C$3:C236)-SUM(D$3:D236),0)</f>
        <v>187324</v>
      </c>
      <c r="F236" s="5"/>
    </row>
    <row r="237" spans="1:7" ht="15.75" x14ac:dyDescent="0.25">
      <c r="A237" s="57"/>
      <c r="B237" s="5" t="s">
        <v>325</v>
      </c>
      <c r="C237" s="6"/>
      <c r="D237" s="6">
        <v>11200</v>
      </c>
      <c r="E237" s="26">
        <f>IF(OR(C237&lt;&gt;0,D237&lt;&gt;0),SUM(C$3:C237)-SUM(D$3:D237),0)</f>
        <v>176124</v>
      </c>
      <c r="F237" s="5"/>
      <c r="G237" s="3">
        <f>175900-E237</f>
        <v>-224</v>
      </c>
    </row>
    <row r="238" spans="1:7" ht="15.75" x14ac:dyDescent="0.25">
      <c r="A238" s="57"/>
      <c r="B238" s="5" t="s">
        <v>7</v>
      </c>
      <c r="C238" s="6">
        <v>1000000</v>
      </c>
      <c r="D238" s="6"/>
      <c r="E238" s="26">
        <f>IF(OR(C238&lt;&gt;0,D238&lt;&gt;0),SUM(C$3:C238)-SUM(D$3:D238),0)</f>
        <v>1176124</v>
      </c>
      <c r="F238" s="5"/>
    </row>
    <row r="239" spans="1:7" ht="15.75" x14ac:dyDescent="0.25">
      <c r="A239" s="57"/>
      <c r="B239" s="5" t="s">
        <v>1210</v>
      </c>
      <c r="C239" s="5"/>
      <c r="D239" s="6">
        <v>100000</v>
      </c>
      <c r="E239" s="26">
        <f>IF(OR(C239&lt;&gt;0,D239&lt;&gt;0),SUM(C$3:C239)-SUM(D$3:D239),0)</f>
        <v>1076124</v>
      </c>
      <c r="F239" s="5"/>
    </row>
    <row r="240" spans="1:7" ht="15.75" x14ac:dyDescent="0.25">
      <c r="A240" s="57"/>
      <c r="B240" s="5" t="s">
        <v>1211</v>
      </c>
      <c r="C240" s="5"/>
      <c r="D240" s="6">
        <v>74500</v>
      </c>
      <c r="E240" s="26">
        <f>IF(OR(C240&lt;&gt;0,D240&lt;&gt;0),SUM(C$3:C240)-SUM(D$3:D240),0)</f>
        <v>1001624</v>
      </c>
      <c r="F240" s="5"/>
    </row>
    <row r="241" spans="1:6" ht="15.75" x14ac:dyDescent="0.25">
      <c r="A241" s="57"/>
      <c r="B241" s="5" t="s">
        <v>1188</v>
      </c>
      <c r="C241" s="5"/>
      <c r="D241" s="6">
        <v>39000</v>
      </c>
      <c r="E241" s="26">
        <f>IF(OR(C241&lt;&gt;0,D241&lt;&gt;0),SUM(C$3:C241)-SUM(D$3:D241),0)</f>
        <v>962624</v>
      </c>
      <c r="F241" s="5"/>
    </row>
    <row r="242" spans="1:6" ht="15.75" x14ac:dyDescent="0.25">
      <c r="A242" s="57"/>
      <c r="B242" s="5" t="s">
        <v>1189</v>
      </c>
      <c r="C242" s="5"/>
      <c r="D242" s="6">
        <v>149909</v>
      </c>
      <c r="E242" s="26">
        <f>IF(OR(C242&lt;&gt;0,D242&lt;&gt;0),SUM(C$3:C242)-SUM(D$3:D242),0)</f>
        <v>812715</v>
      </c>
      <c r="F242" s="5"/>
    </row>
    <row r="243" spans="1:6" ht="15.75" x14ac:dyDescent="0.25">
      <c r="A243" s="57"/>
      <c r="B243" s="5" t="s">
        <v>1190</v>
      </c>
      <c r="C243" s="5"/>
      <c r="D243" s="6">
        <v>13500</v>
      </c>
      <c r="E243" s="26">
        <f>IF(OR(C243&lt;&gt;0,D243&lt;&gt;0),SUM(C$3:C243)-SUM(D$3:D243),0)</f>
        <v>799215</v>
      </c>
      <c r="F243" s="5"/>
    </row>
    <row r="244" spans="1:6" ht="15.75" x14ac:dyDescent="0.25">
      <c r="A244" s="57"/>
      <c r="B244" s="5" t="s">
        <v>7</v>
      </c>
      <c r="C244" s="6">
        <v>2674788</v>
      </c>
      <c r="D244" s="6"/>
      <c r="E244" s="26">
        <f>IF(OR(C244&lt;&gt;0,D244&lt;&gt;0),SUM(C$3:C244)-SUM(D$3:D244),0)</f>
        <v>3474003</v>
      </c>
      <c r="F244" s="5"/>
    </row>
    <row r="245" spans="1:6" ht="15.75" x14ac:dyDescent="0.25">
      <c r="A245" s="57"/>
      <c r="B245" s="5" t="s">
        <v>941</v>
      </c>
      <c r="C245" s="5"/>
      <c r="D245" s="6">
        <v>273087</v>
      </c>
      <c r="E245" s="26">
        <f>IF(OR(C245&lt;&gt;0,D245&lt;&gt;0),SUM(C$3:C245)-SUM(D$3:D245),0)</f>
        <v>3200916</v>
      </c>
      <c r="F245" s="5"/>
    </row>
    <row r="246" spans="1:6" ht="15.75" x14ac:dyDescent="0.25">
      <c r="A246" s="57"/>
      <c r="B246" s="5" t="s">
        <v>1191</v>
      </c>
      <c r="C246" s="5"/>
      <c r="D246" s="6">
        <v>1198201</v>
      </c>
      <c r="E246" s="26">
        <f>IF(OR(C246&lt;&gt;0,D246&lt;&gt;0),SUM(C$3:C246)-SUM(D$3:D246),0)</f>
        <v>2002715</v>
      </c>
      <c r="F246" s="5"/>
    </row>
    <row r="247" spans="1:6" ht="15.75" x14ac:dyDescent="0.25">
      <c r="A247" s="57"/>
      <c r="B247" s="5" t="s">
        <v>1192</v>
      </c>
      <c r="C247" s="5"/>
      <c r="D247" s="6">
        <v>228500</v>
      </c>
      <c r="E247" s="26">
        <f>IF(OR(C247&lt;&gt;0,D247&lt;&gt;0),SUM(C$3:C247)-SUM(D$3:D247),0)</f>
        <v>1774215</v>
      </c>
      <c r="F247" s="5"/>
    </row>
    <row r="248" spans="1:6" ht="15.75" x14ac:dyDescent="0.25">
      <c r="A248" s="57"/>
      <c r="B248" s="5" t="s">
        <v>1193</v>
      </c>
      <c r="C248" s="5"/>
      <c r="D248" s="6">
        <v>12000</v>
      </c>
      <c r="E248" s="26">
        <f>IF(OR(C248&lt;&gt;0,D248&lt;&gt;0),SUM(C$3:C248)-SUM(D$3:D248),0)</f>
        <v>1762215</v>
      </c>
      <c r="F248" s="5"/>
    </row>
    <row r="249" spans="1:6" ht="15.75" x14ac:dyDescent="0.25">
      <c r="A249" s="57"/>
      <c r="B249" s="5" t="s">
        <v>1194</v>
      </c>
      <c r="C249" s="5"/>
      <c r="D249" s="6">
        <v>11500</v>
      </c>
      <c r="E249" s="26">
        <f>IF(OR(C249&lt;&gt;0,D249&lt;&gt;0),SUM(C$3:C249)-SUM(D$3:D249),0)</f>
        <v>1750715</v>
      </c>
      <c r="F249" s="5"/>
    </row>
    <row r="250" spans="1:6" ht="15.75" x14ac:dyDescent="0.25">
      <c r="A250" s="57"/>
      <c r="B250" s="5" t="s">
        <v>1195</v>
      </c>
      <c r="C250" s="5"/>
      <c r="D250" s="6">
        <v>50000</v>
      </c>
      <c r="E250" s="26">
        <f>IF(OR(C250&lt;&gt;0,D250&lt;&gt;0),SUM(C$3:C250)-SUM(D$3:D250),0)</f>
        <v>1700715</v>
      </c>
      <c r="F250" s="5"/>
    </row>
    <row r="251" spans="1:6" ht="15.75" x14ac:dyDescent="0.25">
      <c r="A251" s="57"/>
      <c r="B251" s="5" t="s">
        <v>1196</v>
      </c>
      <c r="C251" s="5"/>
      <c r="D251" s="6">
        <v>120000</v>
      </c>
      <c r="E251" s="26">
        <f>IF(OR(C251&lt;&gt;0,D251&lt;&gt;0),SUM(C$3:C251)-SUM(D$3:D251),0)</f>
        <v>1580715</v>
      </c>
      <c r="F251" s="5"/>
    </row>
    <row r="252" spans="1:6" ht="15.75" x14ac:dyDescent="0.25">
      <c r="A252" s="57"/>
      <c r="B252" s="5" t="s">
        <v>1197</v>
      </c>
      <c r="C252" s="5"/>
      <c r="D252" s="6">
        <v>85000</v>
      </c>
      <c r="E252" s="26">
        <f>IF(OR(C252&lt;&gt;0,D252&lt;&gt;0),SUM(C$3:C252)-SUM(D$3:D252),0)</f>
        <v>1495715</v>
      </c>
      <c r="F252" s="5"/>
    </row>
    <row r="253" spans="1:6" ht="15.75" x14ac:dyDescent="0.25">
      <c r="A253" s="57"/>
      <c r="B253" s="5" t="s">
        <v>1198</v>
      </c>
      <c r="C253" s="5"/>
      <c r="D253" s="6">
        <v>120000</v>
      </c>
      <c r="E253" s="26">
        <f>IF(OR(C253&lt;&gt;0,D253&lt;&gt;0),SUM(C$3:C253)-SUM(D$3:D253),0)</f>
        <v>1375715</v>
      </c>
      <c r="F253" s="5"/>
    </row>
    <row r="254" spans="1:6" ht="15.75" x14ac:dyDescent="0.25">
      <c r="A254" s="57"/>
      <c r="B254" s="5" t="s">
        <v>1199</v>
      </c>
      <c r="C254" s="5"/>
      <c r="D254" s="6">
        <v>5000</v>
      </c>
      <c r="E254" s="26">
        <f>IF(OR(C254&lt;&gt;0,D254&lt;&gt;0),SUM(C$3:C254)-SUM(D$3:D254),0)</f>
        <v>1370715</v>
      </c>
      <c r="F254" s="5"/>
    </row>
    <row r="255" spans="1:6" ht="15.75" x14ac:dyDescent="0.25">
      <c r="A255" s="57"/>
      <c r="B255" s="5" t="s">
        <v>1200</v>
      </c>
      <c r="C255" s="5"/>
      <c r="D255" s="6">
        <f>11000+10500+14000</f>
        <v>35500</v>
      </c>
      <c r="E255" s="26">
        <f>IF(OR(C255&lt;&gt;0,D255&lt;&gt;0),SUM(C$3:C255)-SUM(D$3:D255),0)</f>
        <v>1335215</v>
      </c>
      <c r="F255" s="5"/>
    </row>
    <row r="256" spans="1:6" ht="15.75" x14ac:dyDescent="0.25">
      <c r="A256" s="57"/>
      <c r="B256" s="5" t="s">
        <v>1201</v>
      </c>
      <c r="C256" s="5"/>
      <c r="D256" s="6">
        <v>20000</v>
      </c>
      <c r="E256" s="26">
        <f>IF(OR(C256&lt;&gt;0,D256&lt;&gt;0),SUM(C$3:C256)-SUM(D$3:D256),0)</f>
        <v>1315215</v>
      </c>
      <c r="F256" s="5"/>
    </row>
    <row r="257" spans="1:6" ht="15.75" x14ac:dyDescent="0.25">
      <c r="A257" s="57"/>
      <c r="B257" s="5" t="s">
        <v>1202</v>
      </c>
      <c r="C257" s="5"/>
      <c r="D257" s="6">
        <v>14000</v>
      </c>
      <c r="E257" s="26">
        <f>IF(OR(C257&lt;&gt;0,D257&lt;&gt;0),SUM(C$3:C257)-SUM(D$3:D257),0)</f>
        <v>1301215</v>
      </c>
      <c r="F257" s="5"/>
    </row>
    <row r="258" spans="1:6" ht="15.75" x14ac:dyDescent="0.25">
      <c r="A258" s="57"/>
      <c r="B258" s="5" t="s">
        <v>1203</v>
      </c>
      <c r="C258" s="5"/>
      <c r="D258" s="6">
        <v>144000</v>
      </c>
      <c r="E258" s="26">
        <f>IF(OR(C258&lt;&gt;0,D258&lt;&gt;0),SUM(C$3:C258)-SUM(D$3:D258),0)</f>
        <v>1157215</v>
      </c>
      <c r="F258" s="5"/>
    </row>
    <row r="259" spans="1:6" ht="15.75" x14ac:dyDescent="0.25">
      <c r="A259" s="57"/>
      <c r="B259" s="5" t="s">
        <v>1204</v>
      </c>
      <c r="C259" s="5"/>
      <c r="D259" s="6">
        <v>88000</v>
      </c>
      <c r="E259" s="26">
        <f>IF(OR(C259&lt;&gt;0,D259&lt;&gt;0),SUM(C$3:C259)-SUM(D$3:D259),0)</f>
        <v>1069215</v>
      </c>
      <c r="F259" s="5"/>
    </row>
    <row r="260" spans="1:6" ht="15.75" x14ac:dyDescent="0.25">
      <c r="A260" s="57"/>
      <c r="B260" s="5" t="s">
        <v>1205</v>
      </c>
      <c r="C260" s="5"/>
      <c r="D260" s="6">
        <v>205000</v>
      </c>
      <c r="E260" s="26">
        <f>IF(OR(C260&lt;&gt;0,D260&lt;&gt;0),SUM(C$3:C260)-SUM(D$3:D260),0)</f>
        <v>864215</v>
      </c>
      <c r="F260" s="5"/>
    </row>
    <row r="261" spans="1:6" ht="15.75" x14ac:dyDescent="0.25">
      <c r="A261" s="57"/>
      <c r="B261" s="5" t="s">
        <v>1206</v>
      </c>
      <c r="C261" s="5"/>
      <c r="D261" s="6">
        <v>65000</v>
      </c>
      <c r="E261" s="26">
        <f>IF(OR(C261&lt;&gt;0,D261&lt;&gt;0),SUM(C$3:C261)-SUM(D$3:D261),0)</f>
        <v>799215</v>
      </c>
      <c r="F261" s="5"/>
    </row>
    <row r="262" spans="1:6" ht="15.75" x14ac:dyDescent="0.25">
      <c r="A262" s="57"/>
      <c r="B262" s="5" t="s">
        <v>1207</v>
      </c>
      <c r="C262" s="5"/>
      <c r="D262" s="6">
        <v>75000</v>
      </c>
      <c r="E262" s="26">
        <f>IF(OR(C262&lt;&gt;0,D262&lt;&gt;0),SUM(C$3:C262)-SUM(D$3:D262),0)</f>
        <v>724215</v>
      </c>
      <c r="F262" s="5"/>
    </row>
    <row r="263" spans="1:6" ht="15.75" x14ac:dyDescent="0.25">
      <c r="A263" s="58"/>
      <c r="B263" s="5" t="s">
        <v>1208</v>
      </c>
      <c r="C263" s="5"/>
      <c r="D263" s="6">
        <v>25000</v>
      </c>
      <c r="E263" s="26">
        <f>IF(OR(C263&lt;&gt;0,D263&lt;&gt;0),SUM(C$3:C263)-SUM(D$3:D263),0)</f>
        <v>699215</v>
      </c>
      <c r="F263" s="5"/>
    </row>
  </sheetData>
  <mergeCells count="32">
    <mergeCell ref="A236:A263"/>
    <mergeCell ref="A159:A166"/>
    <mergeCell ref="A167:A170"/>
    <mergeCell ref="A171:A190"/>
    <mergeCell ref="A205:A208"/>
    <mergeCell ref="A191:A201"/>
    <mergeCell ref="A213:A227"/>
    <mergeCell ref="A228:A231"/>
    <mergeCell ref="A209:A212"/>
    <mergeCell ref="A202:A204"/>
    <mergeCell ref="A232:A235"/>
    <mergeCell ref="A142:A158"/>
    <mergeCell ref="A131:A139"/>
    <mergeCell ref="A82:A90"/>
    <mergeCell ref="A98:A108"/>
    <mergeCell ref="A91:A97"/>
    <mergeCell ref="A140:A141"/>
    <mergeCell ref="A119:A130"/>
    <mergeCell ref="A109:A118"/>
    <mergeCell ref="F1:F2"/>
    <mergeCell ref="A3:A17"/>
    <mergeCell ref="A1:A2"/>
    <mergeCell ref="B1:B2"/>
    <mergeCell ref="C1:C2"/>
    <mergeCell ref="D1:D2"/>
    <mergeCell ref="A18:A44"/>
    <mergeCell ref="E1:E2"/>
    <mergeCell ref="A68:A74"/>
    <mergeCell ref="A45:A53"/>
    <mergeCell ref="A79:A81"/>
    <mergeCell ref="A54:A67"/>
    <mergeCell ref="A75:A78"/>
  </mergeCells>
  <phoneticPr fontId="4" type="noConversion"/>
  <pageMargins left="0.5" right="0.5" top="0.5" bottom="0.5" header="0.5" footer="0.5"/>
  <pageSetup paperSize="14" scale="5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C244-A376-48F8-B48A-9565439EFEFE}">
  <sheetPr codeName="Sheet7">
    <pageSetUpPr fitToPage="1"/>
  </sheetPr>
  <dimension ref="A1:I254"/>
  <sheetViews>
    <sheetView topLeftCell="A244" zoomScaleNormal="100" workbookViewId="0">
      <selection activeCell="F248" sqref="F248"/>
    </sheetView>
  </sheetViews>
  <sheetFormatPr defaultRowHeight="15" x14ac:dyDescent="0.25"/>
  <cols>
    <col min="1" max="1" width="27.42578125" customWidth="1"/>
    <col min="2" max="2" width="27.85546875" customWidth="1"/>
    <col min="3" max="3" width="18.28515625" customWidth="1"/>
    <col min="4" max="4" width="18.42578125" customWidth="1"/>
    <col min="5" max="5" width="28.7109375" customWidth="1"/>
    <col min="6" max="6" width="18.140625" customWidth="1"/>
    <col min="7" max="7" width="17.140625" customWidth="1"/>
    <col min="8" max="8" width="15.5703125" bestFit="1" customWidth="1"/>
    <col min="9" max="9" width="12.85546875" bestFit="1" customWidth="1"/>
  </cols>
  <sheetData>
    <row r="1" spans="1:9" x14ac:dyDescent="0.25">
      <c r="A1" s="62" t="s">
        <v>0</v>
      </c>
      <c r="B1" s="80" t="s">
        <v>5</v>
      </c>
      <c r="C1" s="64" t="s">
        <v>1</v>
      </c>
      <c r="D1" s="64" t="s">
        <v>2</v>
      </c>
      <c r="E1" s="64" t="s">
        <v>3</v>
      </c>
      <c r="F1" s="78" t="s">
        <v>4</v>
      </c>
    </row>
    <row r="2" spans="1:9" x14ac:dyDescent="0.25">
      <c r="A2" s="63"/>
      <c r="B2" s="81"/>
      <c r="C2" s="65"/>
      <c r="D2" s="65"/>
      <c r="E2" s="65"/>
      <c r="F2" s="79"/>
    </row>
    <row r="3" spans="1:9" ht="15.75" x14ac:dyDescent="0.25">
      <c r="A3" s="59">
        <v>45505</v>
      </c>
      <c r="B3" s="18" t="s">
        <v>503</v>
      </c>
      <c r="C3" s="25">
        <f>JULI!E263</f>
        <v>699215</v>
      </c>
      <c r="D3" s="25"/>
      <c r="E3" s="26">
        <f>IF(OR(C3&lt;&gt;0,D3&lt;&gt;0),SUM(C$3:C3)-SUM(D$3:D3),0)</f>
        <v>699215</v>
      </c>
      <c r="F3" s="19"/>
    </row>
    <row r="4" spans="1:9" ht="15.75" x14ac:dyDescent="0.25">
      <c r="A4" s="59"/>
      <c r="B4" s="5" t="s">
        <v>1233</v>
      </c>
      <c r="C4" s="6"/>
      <c r="D4" s="6">
        <v>200000</v>
      </c>
      <c r="E4" s="26">
        <f>IF(OR(C4&lt;&gt;0,D4&lt;&gt;0),SUM(C$3:C4)-SUM(D$3:D4),0)</f>
        <v>499215</v>
      </c>
      <c r="F4" s="5"/>
    </row>
    <row r="5" spans="1:9" ht="15.75" x14ac:dyDescent="0.25">
      <c r="A5" s="59"/>
      <c r="B5" s="5" t="s">
        <v>43</v>
      </c>
      <c r="C5" s="6"/>
      <c r="D5" s="6">
        <v>100000</v>
      </c>
      <c r="E5" s="26">
        <f>IF(OR(C5&lt;&gt;0,D5&lt;&gt;0),SUM(C$3:C5)-SUM(D$3:D5),0)</f>
        <v>399215</v>
      </c>
      <c r="F5" s="5"/>
    </row>
    <row r="6" spans="1:9" ht="15.75" x14ac:dyDescent="0.25">
      <c r="A6" s="59"/>
      <c r="B6" s="5" t="s">
        <v>287</v>
      </c>
      <c r="C6" s="6"/>
      <c r="D6" s="6">
        <v>100000</v>
      </c>
      <c r="E6" s="26">
        <f>IF(OR(C6&lt;&gt;0,D6&lt;&gt;0),SUM(C$3:C6)-SUM(D$3:D6),0)</f>
        <v>299215</v>
      </c>
      <c r="F6" s="5"/>
      <c r="G6" s="3">
        <f>255900-E6</f>
        <v>-43315</v>
      </c>
    </row>
    <row r="7" spans="1:9" ht="15.75" x14ac:dyDescent="0.25">
      <c r="A7" s="59"/>
      <c r="B7" s="5" t="s">
        <v>1212</v>
      </c>
      <c r="C7" s="6"/>
      <c r="D7" s="6">
        <v>24500</v>
      </c>
      <c r="E7" s="26">
        <f>IF(OR(C7&lt;&gt;0,D7&lt;&gt;0),SUM(C$3:C7)-SUM(D$3:D7),0)</f>
        <v>274715</v>
      </c>
      <c r="F7" s="5"/>
    </row>
    <row r="8" spans="1:9" ht="15.75" x14ac:dyDescent="0.25">
      <c r="A8" s="59"/>
      <c r="B8" s="5" t="s">
        <v>1213</v>
      </c>
      <c r="C8" s="6"/>
      <c r="D8" s="6">
        <v>68000</v>
      </c>
      <c r="E8" s="26">
        <f>IF(OR(C8&lt;&gt;0,D8&lt;&gt;0),SUM(C$3:C8)-SUM(D$3:D8),0)</f>
        <v>206715</v>
      </c>
      <c r="F8" s="5"/>
    </row>
    <row r="9" spans="1:9" ht="15.75" x14ac:dyDescent="0.25">
      <c r="A9" s="59"/>
      <c r="B9" s="5" t="s">
        <v>75</v>
      </c>
      <c r="C9" s="5"/>
      <c r="D9" s="6">
        <v>30000</v>
      </c>
      <c r="E9" s="26">
        <f>IF(OR(C9&lt;&gt;0,D9&lt;&gt;0),SUM(C$3:C9)-SUM(D$3:D9),0)</f>
        <v>176715</v>
      </c>
      <c r="F9" s="5"/>
    </row>
    <row r="10" spans="1:9" ht="15.75" x14ac:dyDescent="0.25">
      <c r="A10" s="59"/>
      <c r="B10" s="5" t="s">
        <v>1214</v>
      </c>
      <c r="C10" s="5"/>
      <c r="D10" s="6">
        <v>333000</v>
      </c>
      <c r="E10" s="26">
        <f>IF(OR(C10&lt;&gt;0,D10&lt;&gt;0),SUM(C$3:C10)-SUM(D$3:D10),0)</f>
        <v>-156285</v>
      </c>
      <c r="F10" s="5"/>
    </row>
    <row r="11" spans="1:9" ht="15.75" x14ac:dyDescent="0.25">
      <c r="A11" s="59"/>
      <c r="B11" s="5" t="s">
        <v>1215</v>
      </c>
      <c r="C11" s="5"/>
      <c r="D11" s="6">
        <v>70000</v>
      </c>
      <c r="E11" s="26">
        <f>IF(OR(C11&lt;&gt;0,D11&lt;&gt;0),SUM(C$3:C11)-SUM(D$3:D11),0)</f>
        <v>-226285</v>
      </c>
      <c r="F11" s="5"/>
    </row>
    <row r="12" spans="1:9" ht="15.75" x14ac:dyDescent="0.25">
      <c r="A12" s="59"/>
      <c r="B12" s="5" t="s">
        <v>122</v>
      </c>
      <c r="C12" s="5"/>
      <c r="D12" s="6">
        <v>150000</v>
      </c>
      <c r="E12" s="26">
        <f>IF(OR(C12&lt;&gt;0,D12&lt;&gt;0),SUM(C$3:C12)-SUM(D$3:D12),0)</f>
        <v>-376285</v>
      </c>
      <c r="F12" s="5"/>
    </row>
    <row r="13" spans="1:9" ht="15.75" x14ac:dyDescent="0.25">
      <c r="A13" s="59"/>
      <c r="B13" s="5" t="s">
        <v>291</v>
      </c>
      <c r="C13" s="6">
        <v>1000000</v>
      </c>
      <c r="D13" s="6"/>
      <c r="E13" s="26">
        <f>IF(OR(C13&lt;&gt;0,D13&lt;&gt;0),SUM(C$3:C13)-SUM(D$3:D13),0)</f>
        <v>623715</v>
      </c>
      <c r="F13" s="5"/>
    </row>
    <row r="14" spans="1:9" ht="15.75" x14ac:dyDescent="0.25">
      <c r="A14" s="56">
        <v>45506</v>
      </c>
      <c r="B14" s="27" t="s">
        <v>67</v>
      </c>
      <c r="C14" s="6"/>
      <c r="D14" s="6">
        <v>33000</v>
      </c>
      <c r="E14" s="26">
        <f>IF(OR(C14&lt;&gt;0,D14&lt;&gt;0),SUM(C$3:C14)-SUM(D$3:D14),0)</f>
        <v>590715</v>
      </c>
      <c r="F14" s="19"/>
    </row>
    <row r="15" spans="1:9" ht="15.75" x14ac:dyDescent="0.25">
      <c r="A15" s="57"/>
      <c r="B15" s="5" t="s">
        <v>14</v>
      </c>
      <c r="C15" s="6"/>
      <c r="D15" s="6">
        <v>50000</v>
      </c>
      <c r="E15" s="26">
        <f>IF(OR(C15&lt;&gt;0,D15&lt;&gt;0),SUM(C$3:C15)-SUM(D$3:D15),0)</f>
        <v>540715</v>
      </c>
      <c r="F15" s="5"/>
      <c r="G15" s="3">
        <f>75900+474500-E15</f>
        <v>9685</v>
      </c>
      <c r="I15">
        <f>474500+75900</f>
        <v>550400</v>
      </c>
    </row>
    <row r="16" spans="1:9" ht="15.75" x14ac:dyDescent="0.25">
      <c r="A16" s="57"/>
      <c r="B16" s="5" t="s">
        <v>291</v>
      </c>
      <c r="C16" s="6">
        <v>925500</v>
      </c>
      <c r="D16" s="6"/>
      <c r="E16" s="26">
        <f>IF(OR(C16&lt;&gt;0,D16&lt;&gt;0),SUM(C$3:C16)-SUM(D$3:D16),0)</f>
        <v>1466215</v>
      </c>
      <c r="F16" s="5"/>
      <c r="G16" s="3">
        <f>1375900-E16</f>
        <v>-90315</v>
      </c>
    </row>
    <row r="17" spans="1:7" ht="15.75" x14ac:dyDescent="0.25">
      <c r="A17" s="57"/>
      <c r="B17" s="5" t="s">
        <v>1012</v>
      </c>
      <c r="C17" s="6"/>
      <c r="D17" s="6">
        <v>60000</v>
      </c>
      <c r="E17" s="26">
        <f>IF(OR(C17&lt;&gt;0,D17&lt;&gt;0),SUM(C$3:C17)-SUM(D$3:D17),0)</f>
        <v>1406215</v>
      </c>
      <c r="F17" s="5"/>
    </row>
    <row r="18" spans="1:7" ht="15.75" x14ac:dyDescent="0.25">
      <c r="A18" s="57"/>
      <c r="B18" s="5" t="s">
        <v>1225</v>
      </c>
      <c r="C18" s="6"/>
      <c r="D18" s="6">
        <v>10000</v>
      </c>
      <c r="E18" s="26">
        <f>IF(OR(C18&lt;&gt;0,D18&lt;&gt;0),SUM(C$3:C18)-SUM(D$3:D18),0)</f>
        <v>1396215</v>
      </c>
      <c r="F18" s="5"/>
    </row>
    <row r="19" spans="1:7" ht="15.75" x14ac:dyDescent="0.25">
      <c r="A19" s="57"/>
      <c r="B19" s="5" t="s">
        <v>1226</v>
      </c>
      <c r="C19" s="5"/>
      <c r="D19" s="6">
        <v>23000</v>
      </c>
      <c r="E19" s="26">
        <f>IF(OR(C19&lt;&gt;0,D19&lt;&gt;0),SUM(C$3:C19)-SUM(D$3:D19),0)</f>
        <v>1373215</v>
      </c>
      <c r="F19" s="5"/>
    </row>
    <row r="20" spans="1:7" ht="15.75" x14ac:dyDescent="0.25">
      <c r="A20" s="57"/>
      <c r="B20" s="5" t="s">
        <v>43</v>
      </c>
      <c r="C20" s="5"/>
      <c r="D20" s="6">
        <v>100000</v>
      </c>
      <c r="E20" s="26">
        <f>IF(OR(C20&lt;&gt;0,D20&lt;&gt;0),SUM(C$3:C20)-SUM(D$3:D20),0)</f>
        <v>1273215</v>
      </c>
      <c r="F20" s="5"/>
    </row>
    <row r="21" spans="1:7" ht="15.75" x14ac:dyDescent="0.25">
      <c r="A21" s="58"/>
      <c r="B21" s="5" t="s">
        <v>1228</v>
      </c>
      <c r="C21" s="5"/>
      <c r="D21" s="6">
        <v>300000</v>
      </c>
      <c r="E21" s="26">
        <f>IF(OR(C21&lt;&gt;0,D21&lt;&gt;0),SUM(C$3:C21)-SUM(D$3:D21),0)</f>
        <v>973215</v>
      </c>
      <c r="F21" s="5"/>
    </row>
    <row r="22" spans="1:7" ht="15.75" x14ac:dyDescent="0.25">
      <c r="A22" s="56">
        <v>45507</v>
      </c>
      <c r="B22" s="27" t="s">
        <v>1229</v>
      </c>
      <c r="C22" s="6"/>
      <c r="D22" s="6">
        <v>300000</v>
      </c>
      <c r="E22" s="26">
        <f>IF(OR(C22&lt;&gt;0,D22&lt;&gt;0),SUM(C$3:C22)-SUM(D$3:D22),0)</f>
        <v>673215</v>
      </c>
      <c r="F22" s="19"/>
    </row>
    <row r="23" spans="1:7" ht="15.75" x14ac:dyDescent="0.25">
      <c r="A23" s="57"/>
      <c r="B23" s="5" t="s">
        <v>1230</v>
      </c>
      <c r="C23" s="6"/>
      <c r="D23" s="6">
        <v>50000</v>
      </c>
      <c r="E23" s="26">
        <f>IF(OR(C23&lt;&gt;0,D23&lt;&gt;0),SUM(C$3:C23)-SUM(D$3:D23),0)</f>
        <v>623215</v>
      </c>
      <c r="F23" s="5"/>
    </row>
    <row r="24" spans="1:7" ht="15.75" x14ac:dyDescent="0.25">
      <c r="A24" s="57"/>
      <c r="B24" s="5" t="s">
        <v>1231</v>
      </c>
      <c r="C24" s="6"/>
      <c r="D24" s="6">
        <v>15000</v>
      </c>
      <c r="E24" s="26">
        <f>IF(OR(C24&lt;&gt;0,D24&lt;&gt;0),SUM(C$3:C24)-SUM(D$3:D24),0)</f>
        <v>608215</v>
      </c>
      <c r="F24" s="5"/>
      <c r="G24" s="3"/>
    </row>
    <row r="25" spans="1:7" ht="15.75" x14ac:dyDescent="0.25">
      <c r="A25" s="57"/>
      <c r="B25" s="5" t="s">
        <v>721</v>
      </c>
      <c r="C25" s="6">
        <v>100000</v>
      </c>
      <c r="D25" s="6"/>
      <c r="E25" s="26">
        <f>IF(OR(C25&lt;&gt;0,D25&lt;&gt;0),SUM(C$3:C25)-SUM(D$3:D25),0)</f>
        <v>708215</v>
      </c>
      <c r="F25" s="5"/>
      <c r="G25" s="3"/>
    </row>
    <row r="26" spans="1:7" ht="15.75" x14ac:dyDescent="0.25">
      <c r="A26" s="57"/>
      <c r="B26" s="5" t="s">
        <v>1232</v>
      </c>
      <c r="C26" s="6"/>
      <c r="D26" s="6">
        <v>100000</v>
      </c>
      <c r="E26" s="26">
        <f>IF(OR(C26&lt;&gt;0,D26&lt;&gt;0),SUM(C$3:C26)-SUM(D$3:D26),0)</f>
        <v>608215</v>
      </c>
      <c r="F26" s="5"/>
    </row>
    <row r="27" spans="1:7" ht="15.75" x14ac:dyDescent="0.25">
      <c r="A27" s="57"/>
      <c r="B27" s="5" t="s">
        <v>1234</v>
      </c>
      <c r="C27" s="6"/>
      <c r="D27" s="6">
        <v>50000</v>
      </c>
      <c r="E27" s="26">
        <f>IF(OR(C27&lt;&gt;0,D27&lt;&gt;0),SUM(C$3:C27)-SUM(D$3:D27),0)</f>
        <v>558215</v>
      </c>
      <c r="F27" s="5"/>
      <c r="G27" s="3">
        <f>482900-E27</f>
        <v>-75315</v>
      </c>
    </row>
    <row r="28" spans="1:7" ht="15.75" x14ac:dyDescent="0.25">
      <c r="A28" s="56">
        <v>45513</v>
      </c>
      <c r="B28" s="27" t="s">
        <v>291</v>
      </c>
      <c r="C28" s="6">
        <v>2400000</v>
      </c>
      <c r="D28" s="6"/>
      <c r="E28" s="26">
        <f>IF(OR(C28&lt;&gt;0,D28&lt;&gt;0),SUM(C$3:C28)-SUM(D$3:D28),0)</f>
        <v>2958215</v>
      </c>
      <c r="F28" s="19"/>
    </row>
    <row r="29" spans="1:7" ht="15.75" x14ac:dyDescent="0.25">
      <c r="A29" s="57"/>
      <c r="B29" s="5" t="s">
        <v>1073</v>
      </c>
      <c r="C29" s="6"/>
      <c r="D29" s="6">
        <v>200000</v>
      </c>
      <c r="E29" s="26">
        <f>IF(OR(C29&lt;&gt;0,D29&lt;&gt;0),SUM(C$3:C29)-SUM(D$3:D29),0)</f>
        <v>2758215</v>
      </c>
      <c r="F29" s="5"/>
    </row>
    <row r="30" spans="1:7" ht="15.75" x14ac:dyDescent="0.25">
      <c r="A30" s="57"/>
      <c r="B30" s="5" t="s">
        <v>622</v>
      </c>
      <c r="C30" s="6"/>
      <c r="D30" s="6">
        <v>250000</v>
      </c>
      <c r="E30" s="26">
        <f>IF(OR(C30&lt;&gt;0,D30&lt;&gt;0),SUM(C$3:C30)-SUM(D$3:D30),0)</f>
        <v>2508215</v>
      </c>
      <c r="F30" s="5"/>
    </row>
    <row r="31" spans="1:7" ht="15.75" x14ac:dyDescent="0.25">
      <c r="A31" s="57"/>
      <c r="B31" s="5" t="s">
        <v>1235</v>
      </c>
      <c r="C31" s="6"/>
      <c r="D31" s="6">
        <v>200000</v>
      </c>
      <c r="E31" s="26">
        <f>IF(OR(C31&lt;&gt;0,D31&lt;&gt;0),SUM(C$3:C31)-SUM(D$3:D31),0)</f>
        <v>2308215</v>
      </c>
      <c r="F31" s="5"/>
    </row>
    <row r="32" spans="1:7" ht="15.75" x14ac:dyDescent="0.25">
      <c r="A32" s="57"/>
      <c r="B32" s="5" t="s">
        <v>1236</v>
      </c>
      <c r="C32" s="6"/>
      <c r="D32" s="6">
        <v>200000</v>
      </c>
      <c r="E32" s="26">
        <f>IF(OR(C32&lt;&gt;0,D32&lt;&gt;0),SUM(C$3:C32)-SUM(D$3:D32),0)</f>
        <v>2108215</v>
      </c>
      <c r="F32" s="5"/>
    </row>
    <row r="33" spans="1:7" ht="15.75" x14ac:dyDescent="0.25">
      <c r="A33" s="57"/>
      <c r="B33" s="5" t="s">
        <v>1237</v>
      </c>
      <c r="C33" s="5"/>
      <c r="D33" s="6">
        <v>200000</v>
      </c>
      <c r="E33" s="26">
        <f>IF(OR(C33&lt;&gt;0,D33&lt;&gt;0),SUM(C$3:C33)-SUM(D$3:D33),0)</f>
        <v>1908215</v>
      </c>
      <c r="F33" s="5"/>
    </row>
    <row r="34" spans="1:7" ht="15.75" x14ac:dyDescent="0.25">
      <c r="A34" s="57"/>
      <c r="B34" s="5" t="s">
        <v>29</v>
      </c>
      <c r="C34" s="5"/>
      <c r="D34" s="6">
        <v>300000</v>
      </c>
      <c r="E34" s="26">
        <f>IF(OR(C34&lt;&gt;0,D34&lt;&gt;0),SUM(C$3:C34)-SUM(D$3:D34),0)</f>
        <v>1608215</v>
      </c>
      <c r="F34" s="5"/>
    </row>
    <row r="35" spans="1:7" ht="15.75" x14ac:dyDescent="0.25">
      <c r="A35" s="57"/>
      <c r="B35" s="5" t="s">
        <v>1238</v>
      </c>
      <c r="C35" s="5"/>
      <c r="D35" s="6">
        <v>50000</v>
      </c>
      <c r="E35" s="26">
        <f>IF(OR(C35&lt;&gt;0,D35&lt;&gt;0),SUM(C$3:C35)-SUM(D$3:D35),0)</f>
        <v>1558215</v>
      </c>
      <c r="F35" s="5"/>
    </row>
    <row r="36" spans="1:7" ht="15.75" x14ac:dyDescent="0.25">
      <c r="A36" s="57"/>
      <c r="B36" s="5" t="s">
        <v>505</v>
      </c>
      <c r="C36" s="5"/>
      <c r="D36" s="6">
        <v>400000</v>
      </c>
      <c r="E36" s="26">
        <f>IF(OR(C36&lt;&gt;0,D36&lt;&gt;0),SUM(C$3:C36)-SUM(D$3:D36),0)</f>
        <v>1158215</v>
      </c>
      <c r="F36" s="5"/>
    </row>
    <row r="37" spans="1:7" ht="15.75" x14ac:dyDescent="0.25">
      <c r="A37" s="57"/>
      <c r="B37" s="5" t="s">
        <v>1239</v>
      </c>
      <c r="C37" s="5"/>
      <c r="D37" s="6">
        <v>100000</v>
      </c>
      <c r="E37" s="26">
        <f>IF(OR(C37&lt;&gt;0,D37&lt;&gt;0),SUM(C$3:C37)-SUM(D$3:D37),0)</f>
        <v>1058215</v>
      </c>
      <c r="F37" s="5"/>
    </row>
    <row r="38" spans="1:7" ht="15.75" x14ac:dyDescent="0.25">
      <c r="A38" s="57"/>
      <c r="B38" s="5" t="s">
        <v>786</v>
      </c>
      <c r="C38" s="5"/>
      <c r="D38" s="6">
        <v>20000</v>
      </c>
      <c r="E38" s="26">
        <f>IF(OR(C38&lt;&gt;0,D38&lt;&gt;0),SUM(C$3:C38)-SUM(D$3:D38),0)</f>
        <v>1038215</v>
      </c>
      <c r="F38" s="5"/>
    </row>
    <row r="39" spans="1:7" ht="15.75" x14ac:dyDescent="0.25">
      <c r="A39" s="57"/>
      <c r="B39" s="5" t="s">
        <v>1240</v>
      </c>
      <c r="C39" s="5"/>
      <c r="D39" s="6">
        <v>21000</v>
      </c>
      <c r="E39" s="26">
        <f>IF(OR(C39&lt;&gt;0,D39&lt;&gt;0),SUM(C$3:C39)-SUM(D$3:D39),0)</f>
        <v>1017215</v>
      </c>
      <c r="F39" s="5"/>
    </row>
    <row r="40" spans="1:7" ht="15.75" x14ac:dyDescent="0.25">
      <c r="A40" s="58"/>
      <c r="B40" s="5" t="s">
        <v>1251</v>
      </c>
      <c r="C40" s="5"/>
      <c r="D40" s="6">
        <v>200000</v>
      </c>
      <c r="E40" s="26">
        <f>IF(OR(C40&lt;&gt;0,D40&lt;&gt;0),SUM(C$3:C40)-SUM(D$3:D40),0)</f>
        <v>817215</v>
      </c>
      <c r="F40" s="5"/>
    </row>
    <row r="41" spans="1:7" ht="15.75" x14ac:dyDescent="0.25">
      <c r="A41" s="56">
        <v>45515</v>
      </c>
      <c r="B41" s="27" t="s">
        <v>1252</v>
      </c>
      <c r="C41" s="6"/>
      <c r="D41" s="6">
        <v>100000</v>
      </c>
      <c r="E41" s="26">
        <f>IF(OR(C41&lt;&gt;0,D41&lt;&gt;0),SUM(C$3:C41)-SUM(D$3:D41),0)</f>
        <v>717215</v>
      </c>
      <c r="F41" s="19"/>
    </row>
    <row r="42" spans="1:7" ht="15.75" x14ac:dyDescent="0.25">
      <c r="A42" s="57"/>
      <c r="B42" s="5" t="s">
        <v>1253</v>
      </c>
      <c r="C42" s="6"/>
      <c r="D42" s="6">
        <v>2000</v>
      </c>
      <c r="E42" s="26">
        <f>IF(OR(C42&lt;&gt;0,D42&lt;&gt;0),SUM(C$3:C42)-SUM(D$3:D42),0)</f>
        <v>715215</v>
      </c>
      <c r="F42" s="5"/>
    </row>
    <row r="43" spans="1:7" ht="15.75" x14ac:dyDescent="0.25">
      <c r="A43" s="57"/>
      <c r="B43" s="5" t="s">
        <v>1254</v>
      </c>
      <c r="C43" s="6"/>
      <c r="D43" s="6">
        <v>35980</v>
      </c>
      <c r="E43" s="26">
        <f>IF(OR(C43&lt;&gt;0,D43&lt;&gt;0),SUM(C$3:C43)-SUM(D$3:D43),0)</f>
        <v>679235</v>
      </c>
      <c r="F43" s="5"/>
    </row>
    <row r="44" spans="1:7" ht="15.75" x14ac:dyDescent="0.25">
      <c r="A44" s="57"/>
      <c r="B44" s="5" t="s">
        <v>14</v>
      </c>
      <c r="C44" s="6"/>
      <c r="D44" s="6">
        <v>50000</v>
      </c>
      <c r="E44" s="26">
        <f>IF(OR(C44&lt;&gt;0,D44&lt;&gt;0),SUM(C$3:C44)-SUM(D$3:D44),0)</f>
        <v>629235</v>
      </c>
      <c r="F44" s="5"/>
    </row>
    <row r="45" spans="1:7" ht="15.75" x14ac:dyDescent="0.25">
      <c r="A45" s="57"/>
      <c r="B45" s="5" t="s">
        <v>1255</v>
      </c>
      <c r="C45" s="6"/>
      <c r="D45" s="6">
        <v>30000</v>
      </c>
      <c r="E45" s="26">
        <f>IF(OR(C45&lt;&gt;0,D45&lt;&gt;0),SUM(C$3:C45)-SUM(D$3:D45),0)</f>
        <v>599235</v>
      </c>
      <c r="F45" s="5"/>
    </row>
    <row r="46" spans="1:7" ht="15.75" x14ac:dyDescent="0.25">
      <c r="A46" s="57"/>
      <c r="B46" s="5" t="s">
        <v>326</v>
      </c>
      <c r="C46" s="5"/>
      <c r="D46" s="6">
        <v>180000</v>
      </c>
      <c r="E46" s="26">
        <f>IF(OR(C46&lt;&gt;0,D46&lt;&gt;0),SUM(C$3:C46)-SUM(D$3:D46),0)</f>
        <v>419235</v>
      </c>
      <c r="F46" s="5"/>
    </row>
    <row r="47" spans="1:7" ht="15.75" x14ac:dyDescent="0.25">
      <c r="A47" s="57"/>
      <c r="B47" s="5" t="s">
        <v>291</v>
      </c>
      <c r="C47" s="6">
        <v>100000</v>
      </c>
      <c r="D47" s="6"/>
      <c r="E47" s="26">
        <f>IF(OR(C47&lt;&gt;0,D47&lt;&gt;0),SUM(C$3:C47)-SUM(D$3:D47),0)</f>
        <v>519235</v>
      </c>
      <c r="F47" s="5"/>
    </row>
    <row r="48" spans="1:7" ht="15.75" x14ac:dyDescent="0.25">
      <c r="A48" s="57"/>
      <c r="B48" s="5" t="s">
        <v>1256</v>
      </c>
      <c r="C48" s="5"/>
      <c r="D48" s="6">
        <v>67000</v>
      </c>
      <c r="E48" s="26">
        <f>IF(OR(C48&lt;&gt;0,D48&lt;&gt;0),SUM(C$3:C48)-SUM(D$3:D48),0)</f>
        <v>452235</v>
      </c>
      <c r="F48" s="5"/>
      <c r="G48" s="3">
        <f>417900-E48</f>
        <v>-34335</v>
      </c>
    </row>
    <row r="49" spans="1:6" ht="15.75" x14ac:dyDescent="0.25">
      <c r="A49" s="57"/>
      <c r="B49" s="5" t="s">
        <v>535</v>
      </c>
      <c r="C49" s="5"/>
      <c r="D49" s="6">
        <v>25000</v>
      </c>
      <c r="E49" s="26">
        <f>IF(OR(C49&lt;&gt;0,D49&lt;&gt;0),SUM(C$3:C49)-SUM(D$3:D49),0)</f>
        <v>427235</v>
      </c>
      <c r="F49" s="5"/>
    </row>
    <row r="50" spans="1:6" ht="15.75" x14ac:dyDescent="0.25">
      <c r="A50" s="57"/>
      <c r="B50" s="5" t="s">
        <v>1257</v>
      </c>
      <c r="C50" s="5"/>
      <c r="D50" s="6">
        <v>3000</v>
      </c>
      <c r="E50" s="26">
        <f>IF(OR(C50&lt;&gt;0,D50&lt;&gt;0),SUM(C$3:C50)-SUM(D$3:D50),0)</f>
        <v>424235</v>
      </c>
      <c r="F50" s="5"/>
    </row>
    <row r="51" spans="1:6" ht="15.75" x14ac:dyDescent="0.25">
      <c r="A51" s="57"/>
      <c r="B51" s="5" t="s">
        <v>1258</v>
      </c>
      <c r="C51" s="5"/>
      <c r="D51" s="6">
        <v>18000</v>
      </c>
      <c r="E51" s="26">
        <f>IF(OR(C51&lt;&gt;0,D51&lt;&gt;0),SUM(C$3:C51)-SUM(D$3:D51),0)</f>
        <v>406235</v>
      </c>
      <c r="F51" s="5"/>
    </row>
    <row r="52" spans="1:6" ht="15.75" x14ac:dyDescent="0.25">
      <c r="A52" s="57"/>
      <c r="B52" s="5" t="s">
        <v>1259</v>
      </c>
      <c r="C52" s="5"/>
      <c r="D52" s="6">
        <v>63600</v>
      </c>
      <c r="E52" s="26">
        <f>IF(OR(C52&lt;&gt;0,D52&lt;&gt;0),SUM(C$3:C52)-SUM(D$3:D52),0)</f>
        <v>342635</v>
      </c>
      <c r="F52" s="5"/>
    </row>
    <row r="53" spans="1:6" ht="15.75" x14ac:dyDescent="0.25">
      <c r="A53" s="58"/>
      <c r="B53" s="5" t="s">
        <v>1260</v>
      </c>
      <c r="C53" s="5"/>
      <c r="D53" s="6">
        <v>170000</v>
      </c>
      <c r="E53" s="26">
        <f>IF(OR(C53&lt;&gt;0,D53&lt;&gt;0),SUM(C$3:C53)-SUM(D$3:D53),0)</f>
        <v>172635</v>
      </c>
      <c r="F53" s="5"/>
    </row>
    <row r="54" spans="1:6" ht="15.75" x14ac:dyDescent="0.25">
      <c r="A54" s="56">
        <v>45516</v>
      </c>
      <c r="B54" s="27" t="s">
        <v>1022</v>
      </c>
      <c r="C54" s="6"/>
      <c r="D54" s="6">
        <v>30000</v>
      </c>
      <c r="E54" s="26">
        <f>IF(OR(C54&lt;&gt;0,D54&lt;&gt;0),SUM(C$3:C54)-SUM(D$3:D54),0)</f>
        <v>142635</v>
      </c>
      <c r="F54" s="19"/>
    </row>
    <row r="55" spans="1:6" ht="15.75" x14ac:dyDescent="0.25">
      <c r="A55" s="57"/>
      <c r="B55" s="5" t="s">
        <v>1261</v>
      </c>
      <c r="C55" s="6"/>
      <c r="D55" s="6">
        <v>30000</v>
      </c>
      <c r="E55" s="26">
        <f>IF(OR(C55&lt;&gt;0,D55&lt;&gt;0),SUM(C$3:C55)-SUM(D$3:D55),0)</f>
        <v>112635</v>
      </c>
      <c r="F55" s="5"/>
    </row>
    <row r="56" spans="1:6" ht="15.75" x14ac:dyDescent="0.25">
      <c r="A56" s="57"/>
      <c r="B56" s="5" t="s">
        <v>291</v>
      </c>
      <c r="C56" s="6">
        <v>6000000</v>
      </c>
      <c r="D56" s="6"/>
      <c r="E56" s="26">
        <f>IF(OR(C56&lt;&gt;0,D56&lt;&gt;0),SUM(C$3:C56)-SUM(D$3:D56),0)</f>
        <v>6112635</v>
      </c>
      <c r="F56" s="5"/>
    </row>
    <row r="57" spans="1:6" ht="15.75" x14ac:dyDescent="0.25">
      <c r="A57" s="57"/>
      <c r="B57" s="5" t="s">
        <v>1262</v>
      </c>
      <c r="C57" s="6"/>
      <c r="D57" s="6">
        <v>50000</v>
      </c>
      <c r="E57" s="26">
        <f>IF(OR(C57&lt;&gt;0,D57&lt;&gt;0),SUM(C$3:C57)-SUM(D$3:D57),0)</f>
        <v>6062635</v>
      </c>
      <c r="F57" s="5"/>
    </row>
    <row r="58" spans="1:6" ht="15.75" x14ac:dyDescent="0.25">
      <c r="A58" s="57"/>
      <c r="B58" s="5" t="s">
        <v>643</v>
      </c>
      <c r="C58" s="6"/>
      <c r="D58" s="6">
        <v>52700</v>
      </c>
      <c r="E58" s="26">
        <f>IF(OR(C58&lt;&gt;0,D58&lt;&gt;0),SUM(C$3:C58)-SUM(D$3:D58),0)</f>
        <v>6009935</v>
      </c>
      <c r="F58" s="5"/>
    </row>
    <row r="59" spans="1:6" ht="15.75" x14ac:dyDescent="0.25">
      <c r="A59" s="57"/>
      <c r="B59" s="5" t="s">
        <v>643</v>
      </c>
      <c r="C59" s="5"/>
      <c r="D59" s="6">
        <v>14500</v>
      </c>
      <c r="E59" s="26">
        <f>IF(OR(C59&lt;&gt;0,D59&lt;&gt;0),SUM(C$3:C59)-SUM(D$3:D59),0)</f>
        <v>5995435</v>
      </c>
      <c r="F59" s="5"/>
    </row>
    <row r="60" spans="1:6" ht="15.75" x14ac:dyDescent="0.25">
      <c r="A60" s="57"/>
      <c r="B60" s="5" t="s">
        <v>1263</v>
      </c>
      <c r="C60" s="6"/>
      <c r="D60" s="6">
        <v>400000</v>
      </c>
      <c r="E60" s="26">
        <f>IF(OR(C60&lt;&gt;0,D60&lt;&gt;0),SUM(C$3:C60)-SUM(D$3:D60),0)</f>
        <v>5595435</v>
      </c>
      <c r="F60" s="5"/>
    </row>
    <row r="61" spans="1:6" ht="15.75" x14ac:dyDescent="0.25">
      <c r="A61" s="57"/>
      <c r="B61" s="5" t="s">
        <v>287</v>
      </c>
      <c r="C61" s="5"/>
      <c r="D61" s="6">
        <v>500000</v>
      </c>
      <c r="E61" s="26">
        <f>IF(OR(C61&lt;&gt;0,D61&lt;&gt;0),SUM(C$3:C61)-SUM(D$3:D61),0)</f>
        <v>5095435</v>
      </c>
      <c r="F61" s="5"/>
    </row>
    <row r="62" spans="1:6" ht="15.75" x14ac:dyDescent="0.25">
      <c r="A62" s="57"/>
      <c r="B62" s="5" t="s">
        <v>1264</v>
      </c>
      <c r="C62" s="5"/>
      <c r="D62" s="6">
        <v>48000</v>
      </c>
      <c r="E62" s="26">
        <f>IF(OR(C62&lt;&gt;0,D62&lt;&gt;0),SUM(C$3:C62)-SUM(D$3:D62),0)</f>
        <v>5047435</v>
      </c>
      <c r="F62" s="5"/>
    </row>
    <row r="63" spans="1:6" ht="15.75" x14ac:dyDescent="0.25">
      <c r="A63" s="57"/>
      <c r="B63" s="5" t="s">
        <v>1265</v>
      </c>
      <c r="C63" s="5"/>
      <c r="D63" s="6">
        <v>444615</v>
      </c>
      <c r="E63" s="26">
        <f>IF(OR(C63&lt;&gt;0,D63&lt;&gt;0),SUM(C$3:C63)-SUM(D$3:D63),0)</f>
        <v>4602820</v>
      </c>
      <c r="F63" s="5"/>
    </row>
    <row r="64" spans="1:6" ht="15.75" x14ac:dyDescent="0.25">
      <c r="A64" s="57"/>
      <c r="B64" s="5" t="s">
        <v>1266</v>
      </c>
      <c r="C64" s="5"/>
      <c r="D64" s="6">
        <v>14500</v>
      </c>
      <c r="E64" s="26">
        <f>IF(OR(C64&lt;&gt;0,D64&lt;&gt;0),SUM(C$3:C64)-SUM(D$3:D64),0)</f>
        <v>4588320</v>
      </c>
      <c r="F64" s="5"/>
    </row>
    <row r="65" spans="1:6" ht="15.75" x14ac:dyDescent="0.25">
      <c r="A65" s="57"/>
      <c r="B65" s="5" t="s">
        <v>1267</v>
      </c>
      <c r="C65" s="5"/>
      <c r="D65" s="6">
        <v>200000</v>
      </c>
      <c r="E65" s="26">
        <f>IF(OR(C65&lt;&gt;0,D65&lt;&gt;0),SUM(C$3:C65)-SUM(D$3:D65),0)</f>
        <v>4388320</v>
      </c>
      <c r="F65" s="5"/>
    </row>
    <row r="66" spans="1:6" ht="15.75" x14ac:dyDescent="0.25">
      <c r="A66" s="57"/>
      <c r="B66" s="5" t="s">
        <v>622</v>
      </c>
      <c r="C66" s="5"/>
      <c r="D66" s="6">
        <v>200000</v>
      </c>
      <c r="E66" s="26">
        <f>IF(OR(C66&lt;&gt;0,D66&lt;&gt;0),SUM(C$3:C66)-SUM(D$3:D66),0)</f>
        <v>4188320</v>
      </c>
      <c r="F66" s="5"/>
    </row>
    <row r="67" spans="1:6" ht="15.75" x14ac:dyDescent="0.25">
      <c r="A67" s="57"/>
      <c r="B67" s="5" t="s">
        <v>129</v>
      </c>
      <c r="C67" s="5"/>
      <c r="D67" s="6">
        <v>532000</v>
      </c>
      <c r="E67" s="26">
        <f>IF(OR(C67&lt;&gt;0,D67&lt;&gt;0),SUM(C$3:C67)-SUM(D$3:D67),0)</f>
        <v>3656320</v>
      </c>
      <c r="F67" s="5"/>
    </row>
    <row r="68" spans="1:6" ht="15.75" x14ac:dyDescent="0.25">
      <c r="A68" s="57"/>
      <c r="B68" s="5" t="s">
        <v>1268</v>
      </c>
      <c r="C68" s="5"/>
      <c r="D68" s="6">
        <v>100000</v>
      </c>
      <c r="E68" s="26">
        <f>IF(OR(C68&lt;&gt;0,D68&lt;&gt;0),SUM(C$3:C68)-SUM(D$3:D68),0)</f>
        <v>3556320</v>
      </c>
      <c r="F68" s="5"/>
    </row>
    <row r="69" spans="1:6" ht="15.75" x14ac:dyDescent="0.25">
      <c r="A69" s="57"/>
      <c r="B69" s="5" t="s">
        <v>1269</v>
      </c>
      <c r="C69" s="5"/>
      <c r="D69" s="6">
        <v>85325</v>
      </c>
      <c r="E69" s="26">
        <f>IF(OR(C69&lt;&gt;0,D69&lt;&gt;0),SUM(C$3:C69)-SUM(D$3:D69),0)</f>
        <v>3470995</v>
      </c>
      <c r="F69" s="5"/>
    </row>
    <row r="70" spans="1:6" ht="15.75" x14ac:dyDescent="0.25">
      <c r="A70" s="57"/>
      <c r="B70" s="5" t="s">
        <v>1270</v>
      </c>
      <c r="C70" s="5"/>
      <c r="D70" s="6">
        <v>450000</v>
      </c>
      <c r="E70" s="26">
        <f>IF(OR(C70&lt;&gt;0,D70&lt;&gt;0),SUM(C$3:C70)-SUM(D$3:D70),0)</f>
        <v>3020995</v>
      </c>
      <c r="F70" s="5"/>
    </row>
    <row r="71" spans="1:6" ht="15.75" x14ac:dyDescent="0.25">
      <c r="A71" s="57"/>
      <c r="B71" s="5" t="s">
        <v>1271</v>
      </c>
      <c r="C71" s="5"/>
      <c r="D71" s="6">
        <v>24000</v>
      </c>
      <c r="E71" s="26">
        <f>IF(OR(C71&lt;&gt;0,D71&lt;&gt;0),SUM(C$3:C71)-SUM(D$3:D71),0)</f>
        <v>2996995</v>
      </c>
      <c r="F71" s="5"/>
    </row>
    <row r="72" spans="1:6" ht="15.75" x14ac:dyDescent="0.25">
      <c r="A72" s="57"/>
      <c r="B72" s="5" t="s">
        <v>1272</v>
      </c>
      <c r="C72" s="5"/>
      <c r="D72" s="6">
        <v>450000</v>
      </c>
      <c r="E72" s="26">
        <f>IF(OR(C72&lt;&gt;0,D72&lt;&gt;0),SUM(C$3:C72)-SUM(D$3:D72),0)</f>
        <v>2546995</v>
      </c>
      <c r="F72" s="5"/>
    </row>
    <row r="73" spans="1:6" ht="15.75" x14ac:dyDescent="0.25">
      <c r="A73" s="57"/>
      <c r="B73" s="5" t="s">
        <v>1273</v>
      </c>
      <c r="C73" s="5"/>
      <c r="D73" s="6">
        <v>200000</v>
      </c>
      <c r="E73" s="26">
        <f>IF(OR(C73&lt;&gt;0,D73&lt;&gt;0),SUM(C$3:C73)-SUM(D$3:D73),0)</f>
        <v>2346995</v>
      </c>
      <c r="F73" s="5"/>
    </row>
    <row r="74" spans="1:6" ht="15.75" x14ac:dyDescent="0.25">
      <c r="A74" s="57"/>
      <c r="B74" s="5" t="s">
        <v>1274</v>
      </c>
      <c r="C74" s="5"/>
      <c r="D74" s="6">
        <v>30000</v>
      </c>
      <c r="E74" s="26">
        <f>IF(OR(C74&lt;&gt;0,D74&lt;&gt;0),SUM(C$3:C74)-SUM(D$3:D74),0)</f>
        <v>2316995</v>
      </c>
      <c r="F74" s="5"/>
    </row>
    <row r="75" spans="1:6" ht="15.75" x14ac:dyDescent="0.25">
      <c r="A75" s="57"/>
      <c r="B75" s="5" t="s">
        <v>1275</v>
      </c>
      <c r="C75" s="5"/>
      <c r="D75" s="6">
        <v>60000</v>
      </c>
      <c r="E75" s="26">
        <f>IF(OR(C75&lt;&gt;0,D75&lt;&gt;0),SUM(C$3:C75)-SUM(D$3:D75),0)</f>
        <v>2256995</v>
      </c>
      <c r="F75" s="5"/>
    </row>
    <row r="76" spans="1:6" ht="15.75" x14ac:dyDescent="0.25">
      <c r="A76" s="57"/>
      <c r="B76" s="5" t="s">
        <v>689</v>
      </c>
      <c r="C76" s="5"/>
      <c r="D76" s="6">
        <v>17000</v>
      </c>
      <c r="E76" s="26">
        <f>IF(OR(C76&lt;&gt;0,D76&lt;&gt;0),SUM(C$3:C76)-SUM(D$3:D76),0)</f>
        <v>2239995</v>
      </c>
      <c r="F76" s="5"/>
    </row>
    <row r="77" spans="1:6" ht="15.75" x14ac:dyDescent="0.25">
      <c r="A77" s="57"/>
      <c r="B77" s="5" t="s">
        <v>14</v>
      </c>
      <c r="C77" s="5"/>
      <c r="D77" s="6">
        <v>50000</v>
      </c>
      <c r="E77" s="26">
        <f>IF(OR(C77&lt;&gt;0,D77&lt;&gt;0),SUM(C$3:C77)-SUM(D$3:D77),0)</f>
        <v>2189995</v>
      </c>
      <c r="F77" s="5"/>
    </row>
    <row r="78" spans="1:6" ht="15.75" x14ac:dyDescent="0.25">
      <c r="A78" s="57"/>
      <c r="B78" s="5" t="s">
        <v>1276</v>
      </c>
      <c r="C78" s="5"/>
      <c r="D78" s="6">
        <v>300000</v>
      </c>
      <c r="E78" s="26">
        <f>IF(OR(C78&lt;&gt;0,D78&lt;&gt;0),SUM(C$3:C78)-SUM(D$3:D78),0)</f>
        <v>1889995</v>
      </c>
      <c r="F78" s="5"/>
    </row>
    <row r="79" spans="1:6" ht="15.75" x14ac:dyDescent="0.25">
      <c r="A79" s="57"/>
      <c r="B79" s="5" t="s">
        <v>1277</v>
      </c>
      <c r="C79" s="5"/>
      <c r="D79" s="6">
        <v>110000</v>
      </c>
      <c r="E79" s="26">
        <f>IF(OR(C79&lt;&gt;0,D79&lt;&gt;0),SUM(C$3:C79)-SUM(D$3:D79),0)</f>
        <v>1779995</v>
      </c>
      <c r="F79" s="5"/>
    </row>
    <row r="80" spans="1:6" ht="15.75" x14ac:dyDescent="0.25">
      <c r="A80" s="57"/>
      <c r="B80" s="5" t="s">
        <v>1278</v>
      </c>
      <c r="C80" s="5"/>
      <c r="D80" s="6">
        <v>500000</v>
      </c>
      <c r="E80" s="26">
        <f>IF(OR(C80&lt;&gt;0,D80&lt;&gt;0),SUM(C$3:C80)-SUM(D$3:D80),0)</f>
        <v>1279995</v>
      </c>
      <c r="F80" s="5"/>
    </row>
    <row r="81" spans="1:6" ht="15.75" x14ac:dyDescent="0.25">
      <c r="A81" s="57"/>
      <c r="B81" s="5" t="s">
        <v>1279</v>
      </c>
      <c r="C81" s="5"/>
      <c r="D81" s="6">
        <v>500000</v>
      </c>
      <c r="E81" s="26">
        <f>IF(OR(C81&lt;&gt;0,D81&lt;&gt;0),SUM(C$3:C81)-SUM(D$3:D81),0)</f>
        <v>779995</v>
      </c>
      <c r="F81" s="5"/>
    </row>
    <row r="82" spans="1:6" ht="15.75" x14ac:dyDescent="0.25">
      <c r="A82" s="57"/>
      <c r="B82" s="5" t="s">
        <v>1280</v>
      </c>
      <c r="C82" s="5"/>
      <c r="D82" s="6">
        <v>200000</v>
      </c>
      <c r="E82" s="26">
        <f>IF(OR(C82&lt;&gt;0,D82&lt;&gt;0),SUM(C$3:C82)-SUM(D$3:D82),0)</f>
        <v>579995</v>
      </c>
      <c r="F82" s="5"/>
    </row>
    <row r="83" spans="1:6" ht="15.75" x14ac:dyDescent="0.25">
      <c r="A83" s="57"/>
      <c r="B83" s="5" t="s">
        <v>1281</v>
      </c>
      <c r="C83" s="5"/>
      <c r="D83" s="6">
        <v>270000</v>
      </c>
      <c r="E83" s="26">
        <f>IF(OR(C83&lt;&gt;0,D83&lt;&gt;0),SUM(C$3:C83)-SUM(D$3:D83),0)</f>
        <v>309995</v>
      </c>
      <c r="F83" s="5"/>
    </row>
    <row r="84" spans="1:6" ht="15.75" x14ac:dyDescent="0.25">
      <c r="A84" s="57"/>
      <c r="B84" s="5" t="s">
        <v>1282</v>
      </c>
      <c r="C84" s="5"/>
      <c r="D84" s="6">
        <v>11000</v>
      </c>
      <c r="E84" s="26">
        <f>IF(OR(C84&lt;&gt;0,D84&lt;&gt;0),SUM(C$3:C84)-SUM(D$3:D84),0)</f>
        <v>298995</v>
      </c>
      <c r="F84" s="5"/>
    </row>
    <row r="85" spans="1:6" ht="15.75" x14ac:dyDescent="0.25">
      <c r="A85" s="57"/>
      <c r="B85" s="5" t="s">
        <v>16</v>
      </c>
      <c r="C85" s="5"/>
      <c r="D85" s="6">
        <v>125000</v>
      </c>
      <c r="E85" s="26">
        <f>IF(OR(C85&lt;&gt;0,D85&lt;&gt;0),SUM(C$3:C85)-SUM(D$3:D85),0)</f>
        <v>173995</v>
      </c>
      <c r="F85" s="5"/>
    </row>
    <row r="86" spans="1:6" ht="15.75" x14ac:dyDescent="0.25">
      <c r="A86" s="57"/>
      <c r="B86" s="5" t="s">
        <v>1283</v>
      </c>
      <c r="C86" s="5"/>
      <c r="D86" s="6">
        <v>20500</v>
      </c>
      <c r="E86" s="26">
        <f>IF(OR(C86&lt;&gt;0,D86&lt;&gt;0),SUM(C$3:C86)-SUM(D$3:D86),0)</f>
        <v>153495</v>
      </c>
      <c r="F86" s="5"/>
    </row>
    <row r="87" spans="1:6" ht="15.75" x14ac:dyDescent="0.25">
      <c r="A87" s="57"/>
      <c r="B87" s="5" t="s">
        <v>1012</v>
      </c>
      <c r="C87" s="5"/>
      <c r="D87" s="6">
        <v>100000</v>
      </c>
      <c r="E87" s="26">
        <f>IF(OR(C87&lt;&gt;0,D87&lt;&gt;0),SUM(C$3:C87)-SUM(D$3:D87),0)</f>
        <v>53495</v>
      </c>
      <c r="F87" s="5"/>
    </row>
    <row r="88" spans="1:6" ht="15.75" x14ac:dyDescent="0.25">
      <c r="A88" s="57"/>
      <c r="B88" s="5" t="s">
        <v>1281</v>
      </c>
      <c r="C88" s="5"/>
      <c r="D88" s="6">
        <v>100000</v>
      </c>
      <c r="E88" s="26">
        <f>IF(OR(C88&lt;&gt;0,D88&lt;&gt;0),SUM(C$3:C88)-SUM(D$3:D88),0)</f>
        <v>-46505</v>
      </c>
      <c r="F88" s="5"/>
    </row>
    <row r="89" spans="1:6" ht="15.75" x14ac:dyDescent="0.25">
      <c r="A89" s="57"/>
      <c r="B89" s="5" t="s">
        <v>1284</v>
      </c>
      <c r="C89" s="5"/>
      <c r="D89" s="6">
        <v>500000</v>
      </c>
      <c r="E89" s="26">
        <f>IF(OR(C89&lt;&gt;0,D89&lt;&gt;0),SUM(C$3:C89)-SUM(D$3:D89),0)</f>
        <v>-546505</v>
      </c>
      <c r="F89" s="5"/>
    </row>
    <row r="90" spans="1:6" ht="15.75" x14ac:dyDescent="0.25">
      <c r="A90" s="57"/>
      <c r="B90" s="5" t="s">
        <v>1285</v>
      </c>
      <c r="C90" s="5"/>
      <c r="D90" s="6">
        <v>100000</v>
      </c>
      <c r="E90" s="26">
        <f>IF(OR(C90&lt;&gt;0,D90&lt;&gt;0),SUM(C$3:C90)-SUM(D$3:D90),0)</f>
        <v>-646505</v>
      </c>
      <c r="F90" s="5"/>
    </row>
    <row r="91" spans="1:6" ht="15.75" x14ac:dyDescent="0.25">
      <c r="A91" s="57"/>
      <c r="B91" s="5" t="s">
        <v>291</v>
      </c>
      <c r="C91" s="6">
        <v>10000000</v>
      </c>
      <c r="D91" s="5"/>
      <c r="E91" s="26">
        <f>IF(OR(C91&lt;&gt;0,D91&lt;&gt;0),SUM(C$3:C91)-SUM(D$3:D91),0)</f>
        <v>9353495</v>
      </c>
      <c r="F91" s="5"/>
    </row>
    <row r="92" spans="1:6" ht="15.75" x14ac:dyDescent="0.25">
      <c r="A92" s="57"/>
      <c r="B92" s="5" t="s">
        <v>1295</v>
      </c>
      <c r="C92" s="5"/>
      <c r="D92" s="6">
        <v>215500</v>
      </c>
      <c r="E92" s="26">
        <f>IF(OR(C92&lt;&gt;0,D92&lt;&gt;0),SUM(C$3:C92)-SUM(D$3:D92),0)</f>
        <v>9137995</v>
      </c>
      <c r="F92" s="5"/>
    </row>
    <row r="93" spans="1:6" ht="15.75" x14ac:dyDescent="0.25">
      <c r="A93" s="57"/>
      <c r="B93" s="5" t="s">
        <v>1296</v>
      </c>
      <c r="C93" s="5"/>
      <c r="D93" s="6">
        <f>400000-D92</f>
        <v>184500</v>
      </c>
      <c r="E93" s="26">
        <f>IF(OR(C93&lt;&gt;0,D93&lt;&gt;0),SUM(C$3:C93)-SUM(D$3:D93),0)</f>
        <v>8953495</v>
      </c>
      <c r="F93" s="5"/>
    </row>
    <row r="94" spans="1:6" ht="15.75" x14ac:dyDescent="0.25">
      <c r="A94" s="57"/>
      <c r="B94" s="5" t="s">
        <v>1286</v>
      </c>
      <c r="C94" s="5"/>
      <c r="D94" s="6">
        <v>3000000</v>
      </c>
      <c r="E94" s="26">
        <f>IF(OR(C94&lt;&gt;0,D94&lt;&gt;0),SUM(C$3:C94)-SUM(D$3:D94),0)</f>
        <v>5953495</v>
      </c>
      <c r="F94" s="5"/>
    </row>
    <row r="95" spans="1:6" ht="15.75" x14ac:dyDescent="0.25">
      <c r="A95" s="57"/>
      <c r="B95" s="5" t="s">
        <v>739</v>
      </c>
      <c r="C95" s="5"/>
      <c r="D95" s="6">
        <v>2500</v>
      </c>
      <c r="E95" s="26">
        <f>IF(OR(C95&lt;&gt;0,D95&lt;&gt;0),SUM(C$3:C95)-SUM(D$3:D95),0)</f>
        <v>5950995</v>
      </c>
      <c r="F95" s="5"/>
    </row>
    <row r="96" spans="1:6" ht="15.75" x14ac:dyDescent="0.25">
      <c r="A96" s="57"/>
      <c r="B96" s="5" t="s">
        <v>1287</v>
      </c>
      <c r="C96" s="5"/>
      <c r="D96" s="6">
        <v>400000</v>
      </c>
      <c r="E96" s="26">
        <f>IF(OR(C96&lt;&gt;0,D96&lt;&gt;0),SUM(C$3:C96)-SUM(D$3:D96),0)</f>
        <v>5550995</v>
      </c>
      <c r="F96" s="5"/>
    </row>
    <row r="97" spans="1:7" ht="15.75" x14ac:dyDescent="0.25">
      <c r="A97" s="57"/>
      <c r="B97" s="5" t="s">
        <v>739</v>
      </c>
      <c r="C97" s="5"/>
      <c r="D97" s="6">
        <v>2500</v>
      </c>
      <c r="E97" s="26">
        <f>IF(OR(C97&lt;&gt;0,D97&lt;&gt;0),SUM(C$3:C97)-SUM(D$3:D97),0)</f>
        <v>5548495</v>
      </c>
      <c r="F97" s="5"/>
    </row>
    <row r="98" spans="1:7" ht="15.75" x14ac:dyDescent="0.25">
      <c r="A98" s="57"/>
      <c r="B98" s="5" t="s">
        <v>1288</v>
      </c>
      <c r="C98" s="5"/>
      <c r="D98" s="6">
        <v>3375900</v>
      </c>
      <c r="E98" s="26">
        <f>IF(OR(C98&lt;&gt;0,D98&lt;&gt;0),SUM(C$3:C98)-SUM(D$3:D98),0)</f>
        <v>2172595</v>
      </c>
      <c r="F98" s="5"/>
    </row>
    <row r="99" spans="1:7" ht="15.75" x14ac:dyDescent="0.25">
      <c r="A99" s="57"/>
      <c r="B99" s="5" t="s">
        <v>115</v>
      </c>
      <c r="C99" s="5"/>
      <c r="D99" s="6">
        <v>368000</v>
      </c>
      <c r="E99" s="26">
        <f>IF(OR(C99&lt;&gt;0,D99&lt;&gt;0),SUM(C$3:C99)-SUM(D$3:D99),0)</f>
        <v>1804595</v>
      </c>
      <c r="F99" s="5"/>
    </row>
    <row r="100" spans="1:7" ht="15.75" x14ac:dyDescent="0.25">
      <c r="A100" s="57"/>
      <c r="B100" s="5" t="s">
        <v>739</v>
      </c>
      <c r="C100" s="5"/>
      <c r="D100" s="6">
        <v>2500</v>
      </c>
      <c r="E100" s="26">
        <f>IF(OR(C100&lt;&gt;0,D100&lt;&gt;0),SUM(C$3:C100)-SUM(D$3:D100),0)</f>
        <v>1802095</v>
      </c>
      <c r="F100" s="5"/>
      <c r="G100" s="3">
        <f>2000100-E100</f>
        <v>198005</v>
      </c>
    </row>
    <row r="101" spans="1:7" ht="15.75" x14ac:dyDescent="0.25">
      <c r="A101" s="57"/>
      <c r="B101" s="5" t="s">
        <v>1289</v>
      </c>
      <c r="C101" s="5"/>
      <c r="D101" s="6">
        <v>42500</v>
      </c>
      <c r="E101" s="26">
        <f>IF(OR(C101&lt;&gt;0,D101&lt;&gt;0),SUM(C$3:C101)-SUM(D$3:D101),0)</f>
        <v>1759595</v>
      </c>
      <c r="F101" s="5"/>
    </row>
    <row r="102" spans="1:7" ht="15.75" x14ac:dyDescent="0.25">
      <c r="A102" s="57"/>
      <c r="B102" s="5" t="s">
        <v>208</v>
      </c>
      <c r="C102" s="5"/>
      <c r="D102" s="6">
        <v>150000</v>
      </c>
      <c r="E102" s="26">
        <f>IF(OR(C102&lt;&gt;0,D102&lt;&gt;0),SUM(C$3:C102)-SUM(D$3:D102),0)</f>
        <v>1609595</v>
      </c>
      <c r="F102" s="5"/>
    </row>
    <row r="103" spans="1:7" ht="15.75" x14ac:dyDescent="0.25">
      <c r="A103" s="57"/>
      <c r="B103" s="5" t="s">
        <v>329</v>
      </c>
      <c r="C103" s="5"/>
      <c r="D103" s="6">
        <v>500000</v>
      </c>
      <c r="E103" s="26">
        <f>IF(OR(C103&lt;&gt;0,D103&lt;&gt;0),SUM(C$3:C103)-SUM(D$3:D103),0)</f>
        <v>1109595</v>
      </c>
      <c r="F103" s="5"/>
    </row>
    <row r="104" spans="1:7" ht="15.75" x14ac:dyDescent="0.25">
      <c r="A104" s="57"/>
      <c r="B104" s="5" t="s">
        <v>1290</v>
      </c>
      <c r="C104" s="5"/>
      <c r="D104" s="6">
        <v>2174000</v>
      </c>
      <c r="E104" s="26">
        <f>IF(OR(C104&lt;&gt;0,D104&lt;&gt;0),SUM(C$3:C104)-SUM(D$3:D104),0)</f>
        <v>-1064405</v>
      </c>
      <c r="F104" s="5"/>
    </row>
    <row r="105" spans="1:7" ht="15.75" x14ac:dyDescent="0.25">
      <c r="A105" s="57"/>
      <c r="B105" s="5" t="s">
        <v>1291</v>
      </c>
      <c r="C105" s="5"/>
      <c r="D105" s="6">
        <v>990000</v>
      </c>
      <c r="E105" s="26">
        <f>IF(OR(C105&lt;&gt;0,D105&lt;&gt;0),SUM(C$3:C105)-SUM(D$3:D105),0)</f>
        <v>-2054405</v>
      </c>
      <c r="F105" s="5"/>
    </row>
    <row r="106" spans="1:7" ht="15.75" x14ac:dyDescent="0.25">
      <c r="A106" s="57"/>
      <c r="B106" s="5" t="s">
        <v>1292</v>
      </c>
      <c r="C106" s="5"/>
      <c r="D106" s="6">
        <v>1170000</v>
      </c>
      <c r="E106" s="26">
        <f>IF(OR(C106&lt;&gt;0,D106&lt;&gt;0),SUM(C$3:C106)-SUM(D$3:D106),0)</f>
        <v>-3224405</v>
      </c>
      <c r="F106" s="5"/>
    </row>
    <row r="107" spans="1:7" ht="15.75" x14ac:dyDescent="0.25">
      <c r="A107" s="57"/>
      <c r="B107" s="5" t="s">
        <v>291</v>
      </c>
      <c r="C107" s="6">
        <v>4535400</v>
      </c>
      <c r="D107" s="5"/>
      <c r="E107" s="26">
        <f>IF(OR(C107&lt;&gt;0,D107&lt;&gt;0),SUM(C$3:C107)-SUM(D$3:D107),0)</f>
        <v>1310995</v>
      </c>
      <c r="F107" s="5"/>
    </row>
    <row r="108" spans="1:7" ht="15.75" x14ac:dyDescent="0.25">
      <c r="A108" s="58"/>
      <c r="B108" s="5" t="s">
        <v>1293</v>
      </c>
      <c r="C108" s="5"/>
      <c r="D108" s="6">
        <v>2000</v>
      </c>
      <c r="E108" s="26">
        <f>IF(OR(C108&lt;&gt;0,D108&lt;&gt;0),SUM(C$3:C108)-SUM(D$3:D108),0)</f>
        <v>1308995</v>
      </c>
      <c r="F108" s="5"/>
      <c r="G108" s="3">
        <f>1307600-E108</f>
        <v>-1395</v>
      </c>
    </row>
    <row r="109" spans="1:7" ht="15.75" x14ac:dyDescent="0.25">
      <c r="A109" s="56">
        <v>45517</v>
      </c>
      <c r="B109" s="27" t="s">
        <v>1251</v>
      </c>
      <c r="C109" s="6"/>
      <c r="D109" s="6">
        <v>200000</v>
      </c>
      <c r="E109" s="26">
        <f>IF(OR(C109&lt;&gt;0,D109&lt;&gt;0),SUM(C$3:C109)-SUM(D$3:D109),0)</f>
        <v>1108995</v>
      </c>
      <c r="F109" s="19"/>
    </row>
    <row r="110" spans="1:7" ht="15.75" x14ac:dyDescent="0.25">
      <c r="A110" s="57"/>
      <c r="B110" s="5" t="s">
        <v>11</v>
      </c>
      <c r="C110" s="6"/>
      <c r="D110" s="6">
        <v>20500</v>
      </c>
      <c r="E110" s="26">
        <f>IF(OR(C110&lt;&gt;0,D110&lt;&gt;0),SUM(C$3:C110)-SUM(D$3:D110),0)</f>
        <v>1088495</v>
      </c>
      <c r="F110" s="5"/>
    </row>
    <row r="111" spans="1:7" ht="15.75" x14ac:dyDescent="0.25">
      <c r="A111" s="57"/>
      <c r="B111" s="5" t="s">
        <v>11</v>
      </c>
      <c r="C111" s="6"/>
      <c r="D111" s="6">
        <v>10000</v>
      </c>
      <c r="E111" s="26">
        <f>IF(OR(C111&lt;&gt;0,D111&lt;&gt;0),SUM(C$3:C111)-SUM(D$3:D111),0)</f>
        <v>1078495</v>
      </c>
      <c r="F111" s="5"/>
    </row>
    <row r="112" spans="1:7" ht="15.75" x14ac:dyDescent="0.25">
      <c r="A112" s="57"/>
      <c r="B112" s="5" t="s">
        <v>1294</v>
      </c>
      <c r="C112" s="6"/>
      <c r="D112" s="6">
        <v>45000</v>
      </c>
      <c r="E112" s="26">
        <f>IF(OR(C112&lt;&gt;0,D112&lt;&gt;0),SUM(C$3:C112)-SUM(D$3:D112),0)</f>
        <v>1033495</v>
      </c>
      <c r="F112" s="5"/>
      <c r="G112" s="3">
        <f>1032100-E112</f>
        <v>-1395</v>
      </c>
    </row>
    <row r="113" spans="1:9" ht="15.75" x14ac:dyDescent="0.25">
      <c r="A113" s="57"/>
      <c r="B113" s="5" t="s">
        <v>122</v>
      </c>
      <c r="C113" s="6"/>
      <c r="D113" s="6">
        <v>200000</v>
      </c>
      <c r="E113" s="26">
        <f>IF(OR(C113&lt;&gt;0,D113&lt;&gt;0),SUM(C$3:C113)-SUM(D$3:D113),0)</f>
        <v>833495</v>
      </c>
      <c r="F113" s="5"/>
    </row>
    <row r="114" spans="1:9" ht="15.75" x14ac:dyDescent="0.25">
      <c r="A114" s="58"/>
      <c r="B114" s="5" t="s">
        <v>1297</v>
      </c>
      <c r="C114" s="5"/>
      <c r="D114" s="6">
        <v>56000</v>
      </c>
      <c r="E114" s="26">
        <f>IF(OR(C114&lt;&gt;0,D114&lt;&gt;0),SUM(C$3:C114)-SUM(D$3:D114),0)</f>
        <v>777495</v>
      </c>
      <c r="F114" s="5"/>
    </row>
    <row r="115" spans="1:9" ht="15.75" x14ac:dyDescent="0.25">
      <c r="A115" s="56">
        <v>45518</v>
      </c>
      <c r="B115" s="27" t="s">
        <v>1298</v>
      </c>
      <c r="C115" s="6"/>
      <c r="D115" s="6">
        <v>182000</v>
      </c>
      <c r="E115" s="26">
        <f>IF(OR(C115&lt;&gt;0,D115&lt;&gt;0),SUM(C$3:C115)-SUM(D$3:D115),0)</f>
        <v>595495</v>
      </c>
      <c r="F115" s="19"/>
      <c r="I115">
        <f>16*14</f>
        <v>224</v>
      </c>
    </row>
    <row r="116" spans="1:9" ht="15.75" x14ac:dyDescent="0.25">
      <c r="A116" s="57"/>
      <c r="B116" s="5" t="s">
        <v>1299</v>
      </c>
      <c r="C116" s="6"/>
      <c r="D116" s="6">
        <v>200000</v>
      </c>
      <c r="E116" s="26">
        <f>IF(OR(C116&lt;&gt;0,D116&lt;&gt;0),SUM(C$3:C116)-SUM(D$3:D116),0)</f>
        <v>395495</v>
      </c>
      <c r="F116" s="5"/>
      <c r="I116">
        <f>I123-400</f>
        <v>215100</v>
      </c>
    </row>
    <row r="117" spans="1:9" ht="15.75" x14ac:dyDescent="0.25">
      <c r="A117" s="57"/>
      <c r="B117" s="5" t="s">
        <v>46</v>
      </c>
      <c r="C117" s="6"/>
      <c r="D117" s="6">
        <v>30000</v>
      </c>
      <c r="E117" s="26">
        <f>IF(OR(C117&lt;&gt;0,D117&lt;&gt;0),SUM(C$3:C117)-SUM(D$3:D117),0)</f>
        <v>365495</v>
      </c>
      <c r="F117" s="5"/>
    </row>
    <row r="118" spans="1:9" ht="15.75" x14ac:dyDescent="0.25">
      <c r="A118" s="57"/>
      <c r="B118" s="5" t="s">
        <v>27</v>
      </c>
      <c r="C118" s="6"/>
      <c r="D118" s="6">
        <v>300000</v>
      </c>
      <c r="E118" s="26">
        <f>IF(OR(C118&lt;&gt;0,D118&lt;&gt;0),SUM(C$3:C118)-SUM(D$3:D118),0)</f>
        <v>65495</v>
      </c>
      <c r="F118" s="5"/>
    </row>
    <row r="119" spans="1:9" ht="15.75" x14ac:dyDescent="0.25">
      <c r="A119" s="58"/>
      <c r="B119" s="5" t="s">
        <v>1325</v>
      </c>
      <c r="C119" s="6"/>
      <c r="D119" s="6">
        <v>20000</v>
      </c>
      <c r="E119" s="26">
        <f>IF(OR(C119&lt;&gt;0,D119&lt;&gt;0),SUM(C$3:C119)-SUM(D$3:D119),0)</f>
        <v>45495</v>
      </c>
      <c r="F119" s="5"/>
    </row>
    <row r="120" spans="1:9" ht="15.75" x14ac:dyDescent="0.25">
      <c r="A120" s="59">
        <v>45519</v>
      </c>
      <c r="B120" s="5" t="s">
        <v>1300</v>
      </c>
      <c r="C120" s="6"/>
      <c r="D120" s="6">
        <v>50000</v>
      </c>
      <c r="E120" s="26">
        <f>IF(OR(C120&lt;&gt;0,D120&lt;&gt;0),SUM(C$3:C120)-SUM(D$3:D120),0)</f>
        <v>-4505</v>
      </c>
      <c r="F120" s="5"/>
    </row>
    <row r="121" spans="1:9" ht="15.75" x14ac:dyDescent="0.25">
      <c r="A121" s="59"/>
      <c r="B121" s="5" t="s">
        <v>1301</v>
      </c>
      <c r="C121" s="6"/>
      <c r="D121" s="6">
        <v>10000</v>
      </c>
      <c r="E121" s="26">
        <f>IF(OR(C121&lt;&gt;0,D121&lt;&gt;0),SUM(C$3:C121)-SUM(D$3:D121),0)</f>
        <v>-14505</v>
      </c>
      <c r="F121" s="5"/>
    </row>
    <row r="122" spans="1:9" ht="15.75" x14ac:dyDescent="0.25">
      <c r="A122" s="59"/>
      <c r="B122" s="5" t="s">
        <v>291</v>
      </c>
      <c r="C122" s="6">
        <v>2900000</v>
      </c>
      <c r="D122" s="6"/>
      <c r="E122" s="26">
        <f>IF(OR(C122&lt;&gt;0,D122&lt;&gt;0),SUM(C$3:C122)-SUM(D$3:D122),0)</f>
        <v>2885495</v>
      </c>
      <c r="F122" s="5"/>
      <c r="G122" s="3">
        <f>2856100-E122</f>
        <v>-29395</v>
      </c>
    </row>
    <row r="123" spans="1:9" ht="15.75" x14ac:dyDescent="0.25">
      <c r="A123" s="59"/>
      <c r="B123" s="5" t="s">
        <v>1302</v>
      </c>
      <c r="C123" s="5"/>
      <c r="D123" s="6">
        <v>20000</v>
      </c>
      <c r="E123" s="26">
        <f>IF(OR(C123&lt;&gt;0,D123&lt;&gt;0),SUM(C$3:C123)-SUM(D$3:D123),0)</f>
        <v>2865495</v>
      </c>
      <c r="F123" s="5"/>
      <c r="I123">
        <f>15*14000+5500</f>
        <v>215500</v>
      </c>
    </row>
    <row r="124" spans="1:9" ht="15.75" x14ac:dyDescent="0.25">
      <c r="A124" s="59"/>
      <c r="B124" s="5" t="s">
        <v>235</v>
      </c>
      <c r="C124" s="5"/>
      <c r="D124" s="6">
        <v>30000</v>
      </c>
      <c r="E124" s="26">
        <f>IF(OR(C124&lt;&gt;0,D124&lt;&gt;0),SUM(C$3:C124)-SUM(D$3:D124),0)</f>
        <v>2835495</v>
      </c>
      <c r="F124" s="5"/>
    </row>
    <row r="125" spans="1:9" ht="15.75" x14ac:dyDescent="0.25">
      <c r="A125" s="59"/>
      <c r="B125" s="5" t="s">
        <v>1322</v>
      </c>
      <c r="C125" s="5"/>
      <c r="D125" s="6">
        <v>20000</v>
      </c>
      <c r="E125" s="26">
        <f>IF(OR(C125&lt;&gt;0,D125&lt;&gt;0),SUM(C$3:C125)-SUM(D$3:D125),0)</f>
        <v>2815495</v>
      </c>
      <c r="F125" s="5"/>
    </row>
    <row r="126" spans="1:9" ht="15.75" x14ac:dyDescent="0.25">
      <c r="A126" s="59"/>
      <c r="B126" s="5" t="s">
        <v>1323</v>
      </c>
      <c r="C126" s="5"/>
      <c r="D126" s="6">
        <v>70000</v>
      </c>
      <c r="E126" s="26">
        <f>IF(OR(C126&lt;&gt;0,D126&lt;&gt;0),SUM(C$3:C126)-SUM(D$3:D126),0)</f>
        <v>2745495</v>
      </c>
      <c r="F126" s="5"/>
    </row>
    <row r="127" spans="1:9" ht="15.75" x14ac:dyDescent="0.25">
      <c r="A127" s="59"/>
      <c r="B127" s="5" t="s">
        <v>1324</v>
      </c>
      <c r="C127" s="5"/>
      <c r="D127" s="6">
        <v>225000</v>
      </c>
      <c r="E127" s="26">
        <f>IF(OR(C127&lt;&gt;0,D127&lt;&gt;0),SUM(C$3:C127)-SUM(D$3:D127),0)</f>
        <v>2520495</v>
      </c>
      <c r="F127" s="5"/>
    </row>
    <row r="128" spans="1:9" ht="15.75" x14ac:dyDescent="0.25">
      <c r="A128" s="59"/>
      <c r="B128" s="5" t="s">
        <v>522</v>
      </c>
      <c r="C128" s="5"/>
      <c r="D128" s="6">
        <v>30000</v>
      </c>
      <c r="E128" s="26">
        <f>IF(OR(C128&lt;&gt;0,D128&lt;&gt;0),SUM(C$3:C128)-SUM(D$3:D128),0)</f>
        <v>2490495</v>
      </c>
      <c r="F128" s="5"/>
      <c r="I128">
        <f>400000-I123</f>
        <v>184500</v>
      </c>
    </row>
    <row r="129" spans="1:7" ht="15.75" x14ac:dyDescent="0.25">
      <c r="A129" s="59"/>
      <c r="B129" s="5" t="s">
        <v>699</v>
      </c>
      <c r="C129" s="5"/>
      <c r="D129" s="6">
        <v>53000</v>
      </c>
      <c r="E129" s="26">
        <f>IF(OR(C129&lt;&gt;0,D129&lt;&gt;0),SUM(C$3:C129)-SUM(D$3:D129),0)</f>
        <v>2437495</v>
      </c>
      <c r="F129" s="5"/>
    </row>
    <row r="130" spans="1:7" ht="15.75" x14ac:dyDescent="0.25">
      <c r="A130" s="59"/>
      <c r="B130" s="5" t="s">
        <v>1303</v>
      </c>
      <c r="C130" s="5"/>
      <c r="D130" s="6">
        <v>2000</v>
      </c>
      <c r="E130" s="26">
        <f>IF(OR(C130&lt;&gt;0,D130&lt;&gt;0),SUM(C$3:C130)-SUM(D$3:D130),0)</f>
        <v>2435495</v>
      </c>
      <c r="F130" s="5"/>
    </row>
    <row r="131" spans="1:7" ht="15.75" x14ac:dyDescent="0.25">
      <c r="A131" s="59">
        <v>45520</v>
      </c>
      <c r="B131" s="5" t="s">
        <v>763</v>
      </c>
      <c r="C131" s="6"/>
      <c r="D131" s="6">
        <v>300000</v>
      </c>
      <c r="E131" s="26">
        <f>IF(OR(C131&lt;&gt;0,D131&lt;&gt;0),SUM(C$3:C131)-SUM(D$3:D131),0)</f>
        <v>2135495</v>
      </c>
      <c r="F131" s="5"/>
    </row>
    <row r="132" spans="1:7" ht="15.75" x14ac:dyDescent="0.25">
      <c r="A132" s="59"/>
      <c r="B132" s="5" t="s">
        <v>75</v>
      </c>
      <c r="C132" s="6"/>
      <c r="D132" s="6">
        <v>30000</v>
      </c>
      <c r="E132" s="26">
        <f>IF(OR(C132&lt;&gt;0,D132&lt;&gt;0),SUM(C$3:C132)-SUM(D$3:D132),0)</f>
        <v>2105495</v>
      </c>
      <c r="F132" s="5"/>
    </row>
    <row r="133" spans="1:7" ht="15.75" x14ac:dyDescent="0.25">
      <c r="A133" s="59"/>
      <c r="B133" s="5" t="s">
        <v>1316</v>
      </c>
      <c r="C133" s="6"/>
      <c r="D133" s="6">
        <v>2000</v>
      </c>
      <c r="E133" s="26">
        <f>IF(OR(C133&lt;&gt;0,D133&lt;&gt;0),SUM(C$3:C133)-SUM(D$3:D133),0)</f>
        <v>2103495</v>
      </c>
      <c r="F133" s="5"/>
    </row>
    <row r="134" spans="1:7" ht="15.75" x14ac:dyDescent="0.25">
      <c r="A134" s="59"/>
      <c r="B134" s="5" t="s">
        <v>1317</v>
      </c>
      <c r="C134" s="5"/>
      <c r="D134" s="6">
        <v>75000</v>
      </c>
      <c r="E134" s="26">
        <f>IF(OR(C134&lt;&gt;0,D134&lt;&gt;0),SUM(C$3:C134)-SUM(D$3:D134),0)</f>
        <v>2028495</v>
      </c>
      <c r="F134" s="5"/>
    </row>
    <row r="135" spans="1:7" ht="15.75" x14ac:dyDescent="0.25">
      <c r="A135" s="59"/>
      <c r="B135" s="5" t="s">
        <v>152</v>
      </c>
      <c r="C135" s="5"/>
      <c r="D135" s="6">
        <v>62250</v>
      </c>
      <c r="E135" s="26">
        <f>IF(OR(C135&lt;&gt;0,D135&lt;&gt;0),SUM(C$3:C135)-SUM(D$3:D135),0)</f>
        <v>1966245</v>
      </c>
      <c r="F135" s="5"/>
      <c r="G135" s="3">
        <f>1935600-E135</f>
        <v>-30645</v>
      </c>
    </row>
    <row r="136" spans="1:7" ht="15.75" x14ac:dyDescent="0.25">
      <c r="A136" s="59"/>
      <c r="B136" s="5" t="s">
        <v>1318</v>
      </c>
      <c r="C136" s="5"/>
      <c r="D136" s="6">
        <v>500000</v>
      </c>
      <c r="E136" s="26">
        <f>IF(OR(C136&lt;&gt;0,D136&lt;&gt;0),SUM(C$3:C136)-SUM(D$3:D136),0)</f>
        <v>1466245</v>
      </c>
      <c r="F136" s="5"/>
      <c r="G136" s="3">
        <f>1457500-E136</f>
        <v>-8745</v>
      </c>
    </row>
    <row r="137" spans="1:7" ht="15.75" x14ac:dyDescent="0.25">
      <c r="A137" s="59">
        <v>45521</v>
      </c>
      <c r="B137" s="5" t="s">
        <v>255</v>
      </c>
      <c r="C137" s="6"/>
      <c r="D137" s="6">
        <v>68000</v>
      </c>
      <c r="E137" s="26">
        <f>IF(OR(C137&lt;&gt;0,D137&lt;&gt;0),SUM(C$3:C137)-SUM(D$3:D137),0)</f>
        <v>1398245</v>
      </c>
      <c r="F137" s="5"/>
    </row>
    <row r="138" spans="1:7" ht="15.75" x14ac:dyDescent="0.25">
      <c r="A138" s="59"/>
      <c r="B138" s="5" t="s">
        <v>122</v>
      </c>
      <c r="C138" s="6"/>
      <c r="D138" s="6">
        <v>100000</v>
      </c>
      <c r="E138" s="26">
        <f>IF(OR(C138&lt;&gt;0,D138&lt;&gt;0),SUM(C$3:C138)-SUM(D$3:D138),0)</f>
        <v>1298245</v>
      </c>
      <c r="F138" s="5"/>
    </row>
    <row r="139" spans="1:7" ht="15.75" x14ac:dyDescent="0.25">
      <c r="A139" s="59"/>
      <c r="B139" s="5" t="s">
        <v>291</v>
      </c>
      <c r="C139" s="6">
        <v>515000</v>
      </c>
      <c r="D139" s="6"/>
      <c r="E139" s="26">
        <f>IF(OR(C139&lt;&gt;0,D139&lt;&gt;0),SUM(C$3:C139)-SUM(D$3:D139),0)</f>
        <v>1813245</v>
      </c>
      <c r="F139" s="5"/>
    </row>
    <row r="140" spans="1:7" ht="15.75" x14ac:dyDescent="0.25">
      <c r="A140" s="59"/>
      <c r="B140" s="5" t="s">
        <v>1319</v>
      </c>
      <c r="C140" s="5"/>
      <c r="D140" s="6">
        <v>270000</v>
      </c>
      <c r="E140" s="26">
        <f>IF(OR(C140&lt;&gt;0,D140&lt;&gt;0),SUM(C$3:C140)-SUM(D$3:D140),0)</f>
        <v>1543245</v>
      </c>
      <c r="F140" s="5"/>
    </row>
    <row r="141" spans="1:7" ht="15.75" x14ac:dyDescent="0.25">
      <c r="A141" s="59"/>
      <c r="B141" s="5" t="s">
        <v>62</v>
      </c>
      <c r="C141" s="5"/>
      <c r="D141" s="6">
        <v>156000</v>
      </c>
      <c r="E141" s="26">
        <f>IF(OR(C141&lt;&gt;0,D141&lt;&gt;0),SUM(C$3:C141)-SUM(D$3:D141),0)</f>
        <v>1387245</v>
      </c>
      <c r="F141" s="5"/>
    </row>
    <row r="142" spans="1:7" ht="15.75" x14ac:dyDescent="0.25">
      <c r="A142" s="59"/>
      <c r="B142" s="5" t="s">
        <v>1320</v>
      </c>
      <c r="C142" s="5"/>
      <c r="D142" s="6">
        <v>25000</v>
      </c>
      <c r="E142" s="26">
        <f>IF(OR(C142&lt;&gt;0,D142&lt;&gt;0),SUM(C$3:C142)-SUM(D$3:D142),0)</f>
        <v>1362245</v>
      </c>
      <c r="F142" s="5"/>
    </row>
    <row r="143" spans="1:7" ht="15.75" x14ac:dyDescent="0.25">
      <c r="A143" s="59"/>
      <c r="B143" s="5" t="s">
        <v>1321</v>
      </c>
      <c r="C143" s="5"/>
      <c r="D143" s="6">
        <v>34000</v>
      </c>
      <c r="E143" s="26">
        <f>IF(OR(C143&lt;&gt;0,D143&lt;&gt;0),SUM(C$3:C143)-SUM(D$3:D143),0)</f>
        <v>1328245</v>
      </c>
      <c r="F143" s="5"/>
    </row>
    <row r="144" spans="1:7" ht="15.75" x14ac:dyDescent="0.25">
      <c r="A144" s="59"/>
      <c r="B144" s="5" t="s">
        <v>14</v>
      </c>
      <c r="C144" s="5"/>
      <c r="D144" s="6">
        <v>30000</v>
      </c>
      <c r="E144" s="26">
        <f>IF(OR(C144&lt;&gt;0,D144&lt;&gt;0),SUM(C$3:C144)-SUM(D$3:D144),0)</f>
        <v>1298245</v>
      </c>
      <c r="F144" s="5"/>
    </row>
    <row r="145" spans="1:7" ht="15.75" x14ac:dyDescent="0.25">
      <c r="A145" s="59"/>
      <c r="B145" s="5" t="s">
        <v>675</v>
      </c>
      <c r="C145" s="5"/>
      <c r="D145" s="6">
        <v>500000</v>
      </c>
      <c r="E145" s="26">
        <f>IF(OR(C145&lt;&gt;0,D145&lt;&gt;0),SUM(C$3:C145)-SUM(D$3:D145),0)</f>
        <v>798245</v>
      </c>
      <c r="F145" s="5"/>
      <c r="G145" s="3">
        <f>796500-E145</f>
        <v>-1745</v>
      </c>
    </row>
    <row r="146" spans="1:7" ht="15.75" x14ac:dyDescent="0.25">
      <c r="A146" s="59"/>
      <c r="B146" s="5" t="s">
        <v>291</v>
      </c>
      <c r="C146" s="6">
        <v>1200000</v>
      </c>
      <c r="D146" s="6"/>
      <c r="E146" s="26">
        <f>IF(OR(C146&lt;&gt;0,D146&lt;&gt;0),SUM(C$3:C146)-SUM(D$3:D146),0)</f>
        <v>1998245</v>
      </c>
      <c r="F146" s="5"/>
    </row>
    <row r="147" spans="1:7" ht="15.75" x14ac:dyDescent="0.25">
      <c r="A147" s="59"/>
      <c r="B147" s="5" t="s">
        <v>1326</v>
      </c>
      <c r="C147" s="5"/>
      <c r="D147" s="6">
        <v>21750</v>
      </c>
      <c r="E147" s="26">
        <f>IF(OR(C147&lt;&gt;0,D147&lt;&gt;0),SUM(C$3:C147)-SUM(D$3:D147),0)</f>
        <v>1976495</v>
      </c>
      <c r="F147" s="5"/>
    </row>
    <row r="148" spans="1:7" ht="15.75" x14ac:dyDescent="0.25">
      <c r="A148" s="59"/>
      <c r="B148" s="5" t="s">
        <v>16</v>
      </c>
      <c r="C148" s="5"/>
      <c r="D148" s="6">
        <v>75000</v>
      </c>
      <c r="E148" s="26">
        <f>IF(OR(C148&lt;&gt;0,D148&lt;&gt;0),SUM(C$3:C148)-SUM(D$3:D148),0)</f>
        <v>1901495</v>
      </c>
      <c r="F148" s="5"/>
    </row>
    <row r="149" spans="1:7" ht="15.75" x14ac:dyDescent="0.25">
      <c r="A149" s="59"/>
      <c r="B149" s="5" t="s">
        <v>1279</v>
      </c>
      <c r="C149" s="5"/>
      <c r="D149" s="6">
        <v>700000</v>
      </c>
      <c r="E149" s="26">
        <f>IF(OR(C149&lt;&gt;0,D149&lt;&gt;0),SUM(C$3:C149)-SUM(D$3:D149),0)</f>
        <v>1201495</v>
      </c>
      <c r="F149" s="5"/>
      <c r="G149" s="3">
        <f>1199500-E149</f>
        <v>-1995</v>
      </c>
    </row>
    <row r="150" spans="1:7" ht="15.75" x14ac:dyDescent="0.25">
      <c r="A150" s="59">
        <v>45523</v>
      </c>
      <c r="B150" s="5" t="s">
        <v>67</v>
      </c>
      <c r="C150" s="6"/>
      <c r="D150" s="6">
        <v>61000</v>
      </c>
      <c r="E150" s="26">
        <f>IF(OR(C150&lt;&gt;0,D150&lt;&gt;0),SUM(C$3:C150)-SUM(D$3:D150),0)</f>
        <v>1140495</v>
      </c>
      <c r="F150" s="5"/>
    </row>
    <row r="151" spans="1:7" ht="15.75" x14ac:dyDescent="0.25">
      <c r="A151" s="59"/>
      <c r="B151" s="5" t="s">
        <v>1327</v>
      </c>
      <c r="C151" s="6"/>
      <c r="D151" s="6">
        <v>100000</v>
      </c>
      <c r="E151" s="26">
        <f>IF(OR(C151&lt;&gt;0,D151&lt;&gt;0),SUM(C$3:C151)-SUM(D$3:D151),0)</f>
        <v>1040495</v>
      </c>
      <c r="F151" s="5"/>
    </row>
    <row r="152" spans="1:7" ht="15.75" x14ac:dyDescent="0.25">
      <c r="A152" s="59"/>
      <c r="B152" s="5" t="s">
        <v>1339</v>
      </c>
      <c r="C152" s="6"/>
      <c r="D152" s="6">
        <v>50000</v>
      </c>
      <c r="E152" s="26">
        <f>IF(OR(C152&lt;&gt;0,D152&lt;&gt;0),SUM(C$3:C152)-SUM(D$3:D152),0)</f>
        <v>990495</v>
      </c>
      <c r="F152" s="5"/>
    </row>
    <row r="153" spans="1:7" ht="15.75" x14ac:dyDescent="0.25">
      <c r="A153" s="59"/>
      <c r="B153" s="5" t="s">
        <v>1328</v>
      </c>
      <c r="C153" s="5"/>
      <c r="D153" s="6">
        <v>52000</v>
      </c>
      <c r="E153" s="26">
        <f>IF(OR(C153&lt;&gt;0,D153&lt;&gt;0),SUM(C$3:C153)-SUM(D$3:D153),0)</f>
        <v>938495</v>
      </c>
      <c r="F153" s="5"/>
    </row>
    <row r="154" spans="1:7" ht="15.75" x14ac:dyDescent="0.25">
      <c r="A154" s="59"/>
      <c r="B154" s="5" t="s">
        <v>1329</v>
      </c>
      <c r="C154" s="5"/>
      <c r="D154" s="6">
        <v>100000</v>
      </c>
      <c r="E154" s="26">
        <f>IF(OR(C154&lt;&gt;0,D154&lt;&gt;0),SUM(C$3:C154)-SUM(D$3:D154),0)</f>
        <v>838495</v>
      </c>
      <c r="F154" s="5"/>
    </row>
    <row r="155" spans="1:7" ht="15.75" x14ac:dyDescent="0.25">
      <c r="A155" s="56">
        <v>45524</v>
      </c>
      <c r="B155" s="5" t="s">
        <v>1327</v>
      </c>
      <c r="C155" s="5"/>
      <c r="D155" s="6">
        <v>100000</v>
      </c>
      <c r="E155" s="26">
        <f>IF(OR(C155&lt;&gt;0,D155&lt;&gt;0),SUM(C$3:C155)-SUM(D$3:D155),0)</f>
        <v>738495</v>
      </c>
      <c r="F155" s="5"/>
    </row>
    <row r="156" spans="1:7" ht="15.75" x14ac:dyDescent="0.25">
      <c r="A156" s="57"/>
      <c r="B156" s="5" t="s">
        <v>141</v>
      </c>
      <c r="C156" s="5"/>
      <c r="D156" s="6">
        <v>42000</v>
      </c>
      <c r="E156" s="26">
        <f>IF(OR(C156&lt;&gt;0,D156&lt;&gt;0),SUM(C$3:C156)-SUM(D$3:D156),0)</f>
        <v>696495</v>
      </c>
      <c r="F156" s="5"/>
    </row>
    <row r="157" spans="1:7" ht="15.75" x14ac:dyDescent="0.25">
      <c r="A157" s="57"/>
      <c r="B157" s="5" t="s">
        <v>1330</v>
      </c>
      <c r="C157" s="5"/>
      <c r="D157" s="6">
        <v>36600</v>
      </c>
      <c r="E157" s="26">
        <f>IF(OR(C157&lt;&gt;0,D157&lt;&gt;0),SUM(C$3:C157)-SUM(D$3:D157),0)</f>
        <v>659895</v>
      </c>
      <c r="F157" s="5"/>
    </row>
    <row r="158" spans="1:7" ht="15.75" x14ac:dyDescent="0.25">
      <c r="A158" s="57"/>
      <c r="B158" s="5" t="s">
        <v>360</v>
      </c>
      <c r="C158" s="5"/>
      <c r="D158" s="6">
        <v>40000</v>
      </c>
      <c r="E158" s="26">
        <f>IF(OR(C158&lt;&gt;0,D158&lt;&gt;0),SUM(C$3:C158)-SUM(D$3:D158),0)</f>
        <v>619895</v>
      </c>
      <c r="F158" s="5"/>
    </row>
    <row r="159" spans="1:7" ht="15.75" x14ac:dyDescent="0.25">
      <c r="A159" s="57"/>
      <c r="B159" s="5" t="s">
        <v>1331</v>
      </c>
      <c r="C159" s="6"/>
      <c r="D159" s="6">
        <v>80000</v>
      </c>
      <c r="E159" s="26">
        <f>IF(OR(C159&lt;&gt;0,D159&lt;&gt;0),SUM(C$3:C159)-SUM(D$3:D159),0)</f>
        <v>539895</v>
      </c>
      <c r="F159" s="5"/>
    </row>
    <row r="160" spans="1:7" ht="15.75" x14ac:dyDescent="0.25">
      <c r="A160" s="57"/>
      <c r="B160" s="5" t="s">
        <v>291</v>
      </c>
      <c r="C160" s="6">
        <v>1000000</v>
      </c>
      <c r="D160" s="6"/>
      <c r="E160" s="26">
        <f>IF(OR(C160&lt;&gt;0,D160&lt;&gt;0),SUM(C$3:C160)-SUM(D$3:D160),0)</f>
        <v>1539895</v>
      </c>
      <c r="F160" s="5"/>
    </row>
    <row r="161" spans="1:7" ht="15.75" x14ac:dyDescent="0.25">
      <c r="A161" s="57"/>
      <c r="B161" s="5" t="s">
        <v>1332</v>
      </c>
      <c r="C161" s="5"/>
      <c r="D161" s="6">
        <v>100000</v>
      </c>
      <c r="E161" s="26">
        <f>IF(OR(C161&lt;&gt;0,D161&lt;&gt;0),SUM(C$3:C161)-SUM(D$3:D161),0)</f>
        <v>1439895</v>
      </c>
      <c r="F161" s="5"/>
    </row>
    <row r="162" spans="1:7" ht="15.75" x14ac:dyDescent="0.25">
      <c r="A162" s="57"/>
      <c r="B162" s="5" t="s">
        <v>1333</v>
      </c>
      <c r="C162" s="5"/>
      <c r="D162" s="6">
        <v>52000</v>
      </c>
      <c r="E162" s="26">
        <f>IF(OR(C162&lt;&gt;0,D162&lt;&gt;0),SUM(C$3:C162)-SUM(D$3:D162),0)</f>
        <v>1387895</v>
      </c>
      <c r="F162" s="5"/>
    </row>
    <row r="163" spans="1:7" ht="15.75" x14ac:dyDescent="0.25">
      <c r="A163" s="57"/>
      <c r="B163" s="5" t="s">
        <v>1334</v>
      </c>
      <c r="C163" s="5"/>
      <c r="D163" s="6">
        <v>150000</v>
      </c>
      <c r="E163" s="26">
        <f>IF(OR(C163&lt;&gt;0,D163&lt;&gt;0),SUM(C$3:C163)-SUM(D$3:D163),0)</f>
        <v>1237895</v>
      </c>
      <c r="F163" s="5"/>
    </row>
    <row r="164" spans="1:7" ht="15.75" x14ac:dyDescent="0.25">
      <c r="A164" s="57"/>
      <c r="B164" s="5" t="s">
        <v>1335</v>
      </c>
      <c r="C164" s="6"/>
      <c r="D164" s="6">
        <v>100000</v>
      </c>
      <c r="E164" s="26">
        <f>IF(OR(C164&lt;&gt;0,D164&lt;&gt;0),SUM(C$3:C164)-SUM(D$3:D164),0)</f>
        <v>1137895</v>
      </c>
      <c r="F164" s="5"/>
    </row>
    <row r="165" spans="1:7" ht="15.75" x14ac:dyDescent="0.25">
      <c r="A165" s="57"/>
      <c r="B165" s="5" t="s">
        <v>1336</v>
      </c>
      <c r="C165" s="5"/>
      <c r="D165" s="6">
        <v>300000</v>
      </c>
      <c r="E165" s="26">
        <f>IF(OR(C165&lt;&gt;0,D165&lt;&gt;0),SUM(C$3:C165)-SUM(D$3:D165),0)</f>
        <v>837895</v>
      </c>
      <c r="F165" s="5"/>
    </row>
    <row r="166" spans="1:7" ht="15.75" x14ac:dyDescent="0.25">
      <c r="A166" s="57"/>
      <c r="B166" s="5" t="s">
        <v>235</v>
      </c>
      <c r="C166" s="5"/>
      <c r="D166" s="6">
        <v>30000</v>
      </c>
      <c r="E166" s="26">
        <f>IF(OR(C166&lt;&gt;0,D166&lt;&gt;0),SUM(C$3:C166)-SUM(D$3:D166),0)</f>
        <v>807895</v>
      </c>
      <c r="F166" s="5"/>
    </row>
    <row r="167" spans="1:7" ht="15.75" x14ac:dyDescent="0.25">
      <c r="A167" s="57"/>
      <c r="B167" s="5" t="s">
        <v>255</v>
      </c>
      <c r="C167" s="5"/>
      <c r="D167" s="6">
        <v>20000</v>
      </c>
      <c r="E167" s="26">
        <f>IF(OR(C167&lt;&gt;0,D167&lt;&gt;0),SUM(C$3:C167)-SUM(D$3:D167),0)</f>
        <v>787895</v>
      </c>
      <c r="F167" s="5"/>
    </row>
    <row r="168" spans="1:7" ht="15.75" x14ac:dyDescent="0.25">
      <c r="A168" s="58"/>
      <c r="B168" s="5" t="s">
        <v>522</v>
      </c>
      <c r="C168" s="5"/>
      <c r="D168" s="6">
        <v>20000</v>
      </c>
      <c r="E168" s="26">
        <f>IF(OR(C168&lt;&gt;0,D168&lt;&gt;0),SUM(C$3:C168)-SUM(D$3:D168),0)</f>
        <v>767895</v>
      </c>
      <c r="F168" s="5"/>
    </row>
    <row r="169" spans="1:7" ht="15.75" x14ac:dyDescent="0.25">
      <c r="A169" s="59">
        <v>45525</v>
      </c>
      <c r="B169" s="5" t="s">
        <v>291</v>
      </c>
      <c r="C169" s="6">
        <v>1150000</v>
      </c>
      <c r="D169" s="6"/>
      <c r="E169" s="26">
        <f>IF(OR(C169&lt;&gt;0,D169&lt;&gt;0),SUM(C$3:C169)-SUM(D$3:D169),0)</f>
        <v>1917895</v>
      </c>
      <c r="F169" s="5"/>
    </row>
    <row r="170" spans="1:7" ht="15.75" x14ac:dyDescent="0.25">
      <c r="A170" s="59"/>
      <c r="B170" s="5" t="s">
        <v>287</v>
      </c>
      <c r="C170" s="5"/>
      <c r="D170" s="6">
        <v>1000000</v>
      </c>
      <c r="E170" s="26">
        <f>IF(OR(C170&lt;&gt;0,D170&lt;&gt;0),SUM(C$3:C170)-SUM(D$3:D170),0)</f>
        <v>917895</v>
      </c>
      <c r="F170" s="5"/>
    </row>
    <row r="171" spans="1:7" ht="15.75" x14ac:dyDescent="0.25">
      <c r="A171" s="59"/>
      <c r="B171" s="5" t="s">
        <v>1337</v>
      </c>
      <c r="C171" s="5"/>
      <c r="D171" s="6">
        <v>100000</v>
      </c>
      <c r="E171" s="26">
        <f>IF(OR(C171&lt;&gt;0,D171&lt;&gt;0),SUM(C$3:C171)-SUM(D$3:D171),0)</f>
        <v>817895</v>
      </c>
      <c r="F171" s="5"/>
    </row>
    <row r="172" spans="1:7" ht="15.75" x14ac:dyDescent="0.25">
      <c r="A172" s="59"/>
      <c r="B172" s="5" t="s">
        <v>1334</v>
      </c>
      <c r="C172" s="5"/>
      <c r="D172" s="6">
        <v>150000</v>
      </c>
      <c r="E172" s="26">
        <f>IF(OR(C172&lt;&gt;0,D172&lt;&gt;0),SUM(C$3:C172)-SUM(D$3:D172),0)</f>
        <v>667895</v>
      </c>
      <c r="F172" s="5"/>
    </row>
    <row r="173" spans="1:7" ht="15.75" x14ac:dyDescent="0.25">
      <c r="A173" s="59"/>
      <c r="B173" s="5" t="s">
        <v>1338</v>
      </c>
      <c r="C173" s="6"/>
      <c r="D173" s="6">
        <v>380000</v>
      </c>
      <c r="E173" s="26">
        <f>IF(OR(C173&lt;&gt;0,D173&lt;&gt;0),SUM(C$3:C173)-SUM(D$3:D173),0)</f>
        <v>287895</v>
      </c>
      <c r="F173" s="5"/>
    </row>
    <row r="174" spans="1:7" ht="15.75" x14ac:dyDescent="0.25">
      <c r="A174" s="59"/>
      <c r="B174" s="5" t="s">
        <v>1022</v>
      </c>
      <c r="C174" s="5"/>
      <c r="D174" s="6">
        <v>20000</v>
      </c>
      <c r="E174" s="26">
        <f>IF(OR(C174&lt;&gt;0,D174&lt;&gt;0),SUM(C$3:C174)-SUM(D$3:D174),0)</f>
        <v>267895</v>
      </c>
      <c r="F174" s="5"/>
      <c r="G174" s="3">
        <f>155600-E174</f>
        <v>-112295</v>
      </c>
    </row>
    <row r="175" spans="1:7" ht="15.75" x14ac:dyDescent="0.25">
      <c r="A175" s="59">
        <v>45526</v>
      </c>
      <c r="B175" s="5" t="s">
        <v>291</v>
      </c>
      <c r="C175" s="6">
        <v>1500000</v>
      </c>
      <c r="D175" s="6"/>
      <c r="E175" s="26">
        <f>IF(OR(C175&lt;&gt;0,D175&lt;&gt;0),SUM(C$3:C175)-SUM(D$3:D175),0)</f>
        <v>1767895</v>
      </c>
      <c r="F175" s="5"/>
    </row>
    <row r="176" spans="1:7" ht="15.75" x14ac:dyDescent="0.25">
      <c r="A176" s="59"/>
      <c r="B176" s="5" t="s">
        <v>27</v>
      </c>
      <c r="C176" s="5"/>
      <c r="D176" s="6">
        <v>300000</v>
      </c>
      <c r="E176" s="26">
        <f>IF(OR(C176&lt;&gt;0,D176&lt;&gt;0),SUM(C$3:C176)-SUM(D$3:D176),0)</f>
        <v>1467895</v>
      </c>
      <c r="F176" s="5"/>
      <c r="G176" s="3">
        <f>1455600-E176</f>
        <v>-12295</v>
      </c>
    </row>
    <row r="177" spans="1:7" ht="15.75" x14ac:dyDescent="0.25">
      <c r="A177" s="59"/>
      <c r="B177" s="5" t="s">
        <v>1340</v>
      </c>
      <c r="C177" s="5"/>
      <c r="D177" s="6">
        <v>1300000</v>
      </c>
      <c r="E177" s="26">
        <f>IF(OR(C177&lt;&gt;0,D177&lt;&gt;0),SUM(C$3:C177)-SUM(D$3:D177),0)</f>
        <v>167895</v>
      </c>
      <c r="F177" s="5"/>
    </row>
    <row r="178" spans="1:7" ht="15.75" x14ac:dyDescent="0.25">
      <c r="A178" s="59"/>
      <c r="B178" s="5" t="s">
        <v>1341</v>
      </c>
      <c r="C178" s="5"/>
      <c r="D178" s="6">
        <v>30000</v>
      </c>
      <c r="E178" s="26">
        <f>IF(OR(C178&lt;&gt;0,D178&lt;&gt;0),SUM(C$3:C178)-SUM(D$3:D178),0)</f>
        <v>137895</v>
      </c>
      <c r="F178" s="5"/>
    </row>
    <row r="179" spans="1:7" ht="15.75" x14ac:dyDescent="0.25">
      <c r="A179" s="59">
        <v>45527</v>
      </c>
      <c r="B179" s="5" t="s">
        <v>291</v>
      </c>
      <c r="C179" s="6">
        <v>1000000</v>
      </c>
      <c r="D179" s="6"/>
      <c r="E179" s="26">
        <f>IF(OR(C179&lt;&gt;0,D179&lt;&gt;0),SUM(C$3:C179)-SUM(D$3:D179),0)</f>
        <v>1137895</v>
      </c>
      <c r="F179" s="5"/>
    </row>
    <row r="180" spans="1:7" ht="15.75" x14ac:dyDescent="0.25">
      <c r="A180" s="59"/>
      <c r="B180" s="5" t="s">
        <v>287</v>
      </c>
      <c r="C180" s="5"/>
      <c r="D180" s="6">
        <v>500000</v>
      </c>
      <c r="E180" s="26">
        <f>IF(OR(C180&lt;&gt;0,D180&lt;&gt;0),SUM(C$3:C180)-SUM(D$3:D180),0)</f>
        <v>637895</v>
      </c>
      <c r="F180" s="5"/>
    </row>
    <row r="181" spans="1:7" ht="15.75" x14ac:dyDescent="0.25">
      <c r="A181" s="59"/>
      <c r="B181" s="5" t="s">
        <v>218</v>
      </c>
      <c r="C181" s="5"/>
      <c r="D181" s="6">
        <v>41200</v>
      </c>
      <c r="E181" s="26">
        <f>IF(OR(C181&lt;&gt;0,D181&lt;&gt;0),SUM(C$3:C181)-SUM(D$3:D181),0)</f>
        <v>596695</v>
      </c>
      <c r="F181" s="5"/>
    </row>
    <row r="182" spans="1:7" ht="15.75" x14ac:dyDescent="0.25">
      <c r="A182" s="59"/>
      <c r="B182" s="5" t="s">
        <v>1347</v>
      </c>
      <c r="C182" s="5"/>
      <c r="D182" s="6">
        <v>13500</v>
      </c>
      <c r="E182" s="26">
        <f>IF(OR(C182&lt;&gt;0,D182&lt;&gt;0),SUM(C$3:C182)-SUM(D$3:D182),0)</f>
        <v>583195</v>
      </c>
      <c r="F182" s="5"/>
    </row>
    <row r="183" spans="1:7" ht="15.75" x14ac:dyDescent="0.25">
      <c r="A183" s="59"/>
      <c r="B183" s="5" t="s">
        <v>345</v>
      </c>
      <c r="C183" s="6"/>
      <c r="D183" s="6">
        <v>15000</v>
      </c>
      <c r="E183" s="26">
        <f>IF(OR(C183&lt;&gt;0,D183&lt;&gt;0),SUM(C$3:C183)-SUM(D$3:D183),0)</f>
        <v>568195</v>
      </c>
      <c r="F183" s="5"/>
    </row>
    <row r="184" spans="1:7" ht="15.75" x14ac:dyDescent="0.25">
      <c r="A184" s="59"/>
      <c r="B184" s="5" t="s">
        <v>632</v>
      </c>
      <c r="C184" s="5"/>
      <c r="D184" s="6">
        <v>100000</v>
      </c>
      <c r="E184" s="26">
        <f>IF(OR(C184&lt;&gt;0,D184&lt;&gt;0),SUM(C$3:C184)-SUM(D$3:D184),0)</f>
        <v>468195</v>
      </c>
      <c r="F184" s="5"/>
    </row>
    <row r="185" spans="1:7" ht="15" customHeight="1" x14ac:dyDescent="0.25">
      <c r="A185" s="59"/>
      <c r="B185" s="5" t="s">
        <v>632</v>
      </c>
      <c r="C185" s="5"/>
      <c r="D185" s="6">
        <v>315000</v>
      </c>
      <c r="E185" s="26">
        <f>IF(OR(C185&lt;&gt;0,D185&lt;&gt;0),SUM(C$3:C185)-SUM(D$3:D185),0)</f>
        <v>153195</v>
      </c>
      <c r="F185" s="5"/>
    </row>
    <row r="186" spans="1:7" ht="15.75" x14ac:dyDescent="0.25">
      <c r="A186" s="59"/>
      <c r="B186" s="5" t="s">
        <v>199</v>
      </c>
      <c r="C186" s="5"/>
      <c r="D186" s="6">
        <v>30000</v>
      </c>
      <c r="E186" s="26">
        <f>IF(OR(C186&lt;&gt;0,D186&lt;&gt;0),SUM(C$3:C186)-SUM(D$3:D186),0)</f>
        <v>123195</v>
      </c>
      <c r="F186" s="5"/>
      <c r="G186" s="3">
        <f>12600-E186</f>
        <v>-110595</v>
      </c>
    </row>
    <row r="187" spans="1:7" ht="15.75" x14ac:dyDescent="0.25">
      <c r="A187" s="59"/>
      <c r="B187" s="5" t="s">
        <v>1354</v>
      </c>
      <c r="C187" s="5"/>
      <c r="D187" s="6">
        <v>30000</v>
      </c>
      <c r="E187" s="26">
        <f>IF(OR(C187&lt;&gt;0,D187&lt;&gt;0),SUM(C$3:C187)-SUM(D$3:D187),0)</f>
        <v>93195</v>
      </c>
      <c r="F187" s="5"/>
      <c r="G187" s="3"/>
    </row>
    <row r="188" spans="1:7" ht="15.75" x14ac:dyDescent="0.25">
      <c r="A188" s="40">
        <v>45528</v>
      </c>
      <c r="B188" s="5" t="s">
        <v>1355</v>
      </c>
      <c r="C188" s="6"/>
      <c r="D188" s="6">
        <v>203000</v>
      </c>
      <c r="E188" s="26">
        <f>IF(OR(C188&lt;&gt;0,D188&lt;&gt;0),SUM(C$3:C188)-SUM(D$3:D188),0)</f>
        <v>-109805</v>
      </c>
      <c r="F188" s="5"/>
    </row>
    <row r="189" spans="1:7" ht="15.75" x14ac:dyDescent="0.25">
      <c r="A189" s="56">
        <v>45530</v>
      </c>
      <c r="B189" s="5" t="s">
        <v>291</v>
      </c>
      <c r="C189" s="6">
        <v>2000000</v>
      </c>
      <c r="D189" s="6"/>
      <c r="E189" s="26">
        <f>IF(OR(C189&lt;&gt;0,D189&lt;&gt;0),SUM(C$3:C189)-SUM(D$3:D189),0)</f>
        <v>1890195</v>
      </c>
      <c r="F189" s="5"/>
    </row>
    <row r="190" spans="1:7" ht="15.75" x14ac:dyDescent="0.25">
      <c r="A190" s="57"/>
      <c r="B190" s="5" t="s">
        <v>1356</v>
      </c>
      <c r="C190" s="5"/>
      <c r="D190" s="6">
        <v>500000</v>
      </c>
      <c r="E190" s="26">
        <f>IF(OR(C190&lt;&gt;0,D190&lt;&gt;0),SUM(C$3:C190)-SUM(D$3:D190),0)</f>
        <v>1390195</v>
      </c>
      <c r="F190" s="5"/>
    </row>
    <row r="191" spans="1:7" ht="15.75" x14ac:dyDescent="0.25">
      <c r="A191" s="57"/>
      <c r="B191" s="5" t="s">
        <v>1358</v>
      </c>
      <c r="C191" s="6"/>
      <c r="D191" s="6">
        <v>100000</v>
      </c>
      <c r="E191" s="26">
        <f>IF(OR(C191&lt;&gt;0,D191&lt;&gt;0),SUM(C$3:C191)-SUM(D$3:D191),0)</f>
        <v>1290195</v>
      </c>
      <c r="F191" s="5"/>
    </row>
    <row r="192" spans="1:7" ht="15.75" x14ac:dyDescent="0.25">
      <c r="A192" s="57"/>
      <c r="B192" s="5" t="s">
        <v>1022</v>
      </c>
      <c r="C192" s="5"/>
      <c r="D192" s="6">
        <v>20000</v>
      </c>
      <c r="E192" s="26">
        <f>IF(OR(C192&lt;&gt;0,D192&lt;&gt;0),SUM(C$3:C192)-SUM(D$3:D192),0)</f>
        <v>1270195</v>
      </c>
      <c r="F192" s="5"/>
    </row>
    <row r="193" spans="1:6" ht="15.75" x14ac:dyDescent="0.25">
      <c r="A193" s="57"/>
      <c r="B193" s="5" t="s">
        <v>1357</v>
      </c>
      <c r="C193" s="5"/>
      <c r="D193" s="6">
        <v>10500</v>
      </c>
      <c r="E193" s="26">
        <f>IF(OR(C193&lt;&gt;0,D193&lt;&gt;0),SUM(C$3:C193)-SUM(D$3:D193),0)</f>
        <v>1259695</v>
      </c>
      <c r="F193" s="5"/>
    </row>
    <row r="194" spans="1:6" ht="15.75" x14ac:dyDescent="0.25">
      <c r="A194" s="57"/>
      <c r="B194" s="5" t="s">
        <v>125</v>
      </c>
      <c r="C194" s="5"/>
      <c r="D194" s="6">
        <v>60000</v>
      </c>
      <c r="E194" s="26">
        <f>IF(OR(C194&lt;&gt;0,D194&lt;&gt;0),SUM(C$3:C194)-SUM(D$3:D194),0)</f>
        <v>1199695</v>
      </c>
      <c r="F194" s="5"/>
    </row>
    <row r="195" spans="1:6" ht="15.75" x14ac:dyDescent="0.25">
      <c r="A195" s="57"/>
      <c r="B195" s="5" t="s">
        <v>1359</v>
      </c>
      <c r="C195" s="5"/>
      <c r="D195" s="6">
        <v>68000</v>
      </c>
      <c r="E195" s="26">
        <f>IF(OR(C195&lt;&gt;0,D195&lt;&gt;0),SUM(C$3:C195)-SUM(D$3:D195),0)</f>
        <v>1131695</v>
      </c>
      <c r="F195" s="5"/>
    </row>
    <row r="196" spans="1:6" ht="15.75" x14ac:dyDescent="0.25">
      <c r="A196" s="57"/>
      <c r="B196" s="5" t="s">
        <v>1360</v>
      </c>
      <c r="C196" s="5"/>
      <c r="D196" s="6">
        <v>489250</v>
      </c>
      <c r="E196" s="26">
        <f>IF(OR(C196&lt;&gt;0,D196&lt;&gt;0),SUM(C$3:C196)-SUM(D$3:D196),0)</f>
        <v>642445</v>
      </c>
      <c r="F196" s="5"/>
    </row>
    <row r="197" spans="1:6" ht="15.75" x14ac:dyDescent="0.25">
      <c r="A197" s="57"/>
      <c r="B197" s="5" t="s">
        <v>1361</v>
      </c>
      <c r="C197" s="5"/>
      <c r="D197" s="6">
        <v>81000</v>
      </c>
      <c r="E197" s="26">
        <f>IF(OR(C197&lt;&gt;0,D197&lt;&gt;0),SUM(C$3:C197)-SUM(D$3:D197),0)</f>
        <v>561445</v>
      </c>
      <c r="F197" s="5"/>
    </row>
    <row r="198" spans="1:6" ht="15.75" x14ac:dyDescent="0.25">
      <c r="A198" s="57"/>
      <c r="B198" s="5" t="s">
        <v>1362</v>
      </c>
      <c r="C198" s="5"/>
      <c r="D198" s="6">
        <v>11000</v>
      </c>
      <c r="E198" s="26">
        <f>IF(OR(C198&lt;&gt;0,D198&lt;&gt;0),SUM(C$3:C198)-SUM(D$3:D198),0)</f>
        <v>550445</v>
      </c>
      <c r="F198" s="5"/>
    </row>
    <row r="199" spans="1:6" ht="15.75" x14ac:dyDescent="0.25">
      <c r="A199" s="57"/>
      <c r="B199" s="5" t="s">
        <v>1363</v>
      </c>
      <c r="C199" s="5"/>
      <c r="D199" s="6">
        <v>164000</v>
      </c>
      <c r="E199" s="26">
        <f>IF(OR(C199&lt;&gt;0,D199&lt;&gt;0),SUM(C$3:C199)-SUM(D$3:D199),0)</f>
        <v>386445</v>
      </c>
      <c r="F199" s="5"/>
    </row>
    <row r="200" spans="1:6" ht="15.75" x14ac:dyDescent="0.25">
      <c r="A200" s="57"/>
      <c r="B200" s="5" t="s">
        <v>1364</v>
      </c>
      <c r="C200" s="5"/>
      <c r="D200" s="6">
        <v>120000</v>
      </c>
      <c r="E200" s="26">
        <f>IF(OR(C200&lt;&gt;0,D200&lt;&gt;0),SUM(C$3:C200)-SUM(D$3:D200),0)</f>
        <v>266445</v>
      </c>
      <c r="F200" s="5"/>
    </row>
    <row r="201" spans="1:6" ht="15.75" x14ac:dyDescent="0.25">
      <c r="A201" s="57"/>
      <c r="B201" s="5" t="s">
        <v>1361</v>
      </c>
      <c r="C201" s="5"/>
      <c r="D201" s="6">
        <v>142500</v>
      </c>
      <c r="E201" s="26">
        <f>IF(OR(C201&lt;&gt;0,D201&lt;&gt;0),SUM(C$3:C201)-SUM(D$3:D201),0)</f>
        <v>123945</v>
      </c>
      <c r="F201" s="5"/>
    </row>
    <row r="202" spans="1:6" ht="15.75" x14ac:dyDescent="0.25">
      <c r="A202" s="57"/>
      <c r="B202" s="5" t="s">
        <v>1363</v>
      </c>
      <c r="C202" s="5"/>
      <c r="D202" s="6">
        <v>130000</v>
      </c>
      <c r="E202" s="26">
        <f>IF(OR(C202&lt;&gt;0,D202&lt;&gt;0),SUM(C$3:C202)-SUM(D$3:D202),0)</f>
        <v>-6055</v>
      </c>
      <c r="F202" s="5"/>
    </row>
    <row r="203" spans="1:6" ht="15.75" x14ac:dyDescent="0.25">
      <c r="A203" s="57"/>
      <c r="B203" s="5" t="s">
        <v>1364</v>
      </c>
      <c r="C203" s="5"/>
      <c r="D203" s="6">
        <v>120000</v>
      </c>
      <c r="E203" s="26">
        <f>IF(OR(C203&lt;&gt;0,D203&lt;&gt;0),SUM(C$3:C203)-SUM(D$3:D203),0)</f>
        <v>-126055</v>
      </c>
      <c r="F203" s="5"/>
    </row>
    <row r="204" spans="1:6" ht="15.75" x14ac:dyDescent="0.25">
      <c r="A204" s="57"/>
      <c r="B204" s="5" t="s">
        <v>1365</v>
      </c>
      <c r="C204" s="5"/>
      <c r="D204" s="6">
        <v>106000</v>
      </c>
      <c r="E204" s="26">
        <f>IF(OR(C204&lt;&gt;0,D204&lt;&gt;0),SUM(C$3:C204)-SUM(D$3:D204),0)</f>
        <v>-232055</v>
      </c>
      <c r="F204" s="5"/>
    </row>
    <row r="205" spans="1:6" ht="15.75" x14ac:dyDescent="0.25">
      <c r="A205" s="57"/>
      <c r="B205" s="5" t="s">
        <v>1366</v>
      </c>
      <c r="C205" s="5"/>
      <c r="D205" s="6">
        <v>280000</v>
      </c>
      <c r="E205" s="26">
        <f>IF(OR(C205&lt;&gt;0,D205&lt;&gt;0),SUM(C$3:C205)-SUM(D$3:D205),0)</f>
        <v>-512055</v>
      </c>
      <c r="F205" s="5"/>
    </row>
    <row r="206" spans="1:6" ht="15.75" x14ac:dyDescent="0.25">
      <c r="A206" s="57"/>
      <c r="B206" s="5" t="s">
        <v>1367</v>
      </c>
      <c r="C206" s="5"/>
      <c r="D206" s="6">
        <v>210000</v>
      </c>
      <c r="E206" s="26">
        <f>IF(OR(C206&lt;&gt;0,D206&lt;&gt;0),SUM(C$3:C206)-SUM(D$3:D206),0)</f>
        <v>-722055</v>
      </c>
      <c r="F206" s="5"/>
    </row>
    <row r="207" spans="1:6" ht="15.75" x14ac:dyDescent="0.25">
      <c r="A207" s="57"/>
      <c r="B207" s="5" t="s">
        <v>1368</v>
      </c>
      <c r="C207" s="5"/>
      <c r="D207" s="6">
        <v>200000</v>
      </c>
      <c r="E207" s="26">
        <f>IF(OR(C207&lt;&gt;0,D207&lt;&gt;0),SUM(C$3:C207)-SUM(D$3:D207),0)</f>
        <v>-922055</v>
      </c>
      <c r="F207" s="5"/>
    </row>
    <row r="208" spans="1:6" ht="15.75" x14ac:dyDescent="0.25">
      <c r="A208" s="57"/>
      <c r="B208" s="5" t="s">
        <v>1369</v>
      </c>
      <c r="C208" s="5"/>
      <c r="D208" s="6">
        <v>10000</v>
      </c>
      <c r="E208" s="26">
        <f>IF(OR(C208&lt;&gt;0,D208&lt;&gt;0),SUM(C$3:C208)-SUM(D$3:D208),0)</f>
        <v>-932055</v>
      </c>
      <c r="F208" s="5"/>
    </row>
    <row r="209" spans="1:6" ht="15.75" x14ac:dyDescent="0.25">
      <c r="A209" s="57"/>
      <c r="B209" s="5" t="s">
        <v>1370</v>
      </c>
      <c r="C209" s="5"/>
      <c r="D209" s="6">
        <v>10000</v>
      </c>
      <c r="E209" s="26">
        <f>IF(OR(C209&lt;&gt;0,D209&lt;&gt;0),SUM(C$3:C209)-SUM(D$3:D209),0)</f>
        <v>-942055</v>
      </c>
      <c r="F209" s="5"/>
    </row>
    <row r="210" spans="1:6" ht="15.75" x14ac:dyDescent="0.25">
      <c r="A210" s="57"/>
      <c r="B210" s="5" t="s">
        <v>775</v>
      </c>
      <c r="C210" s="5"/>
      <c r="D210" s="6">
        <v>68000</v>
      </c>
      <c r="E210" s="26">
        <f>IF(OR(C210&lt;&gt;0,D210&lt;&gt;0),SUM(C$3:C210)-SUM(D$3:D210),0)</f>
        <v>-1010055</v>
      </c>
      <c r="F210" s="5"/>
    </row>
    <row r="211" spans="1:6" ht="15.75" x14ac:dyDescent="0.25">
      <c r="A211" s="57"/>
      <c r="B211" s="5" t="s">
        <v>1371</v>
      </c>
      <c r="C211" s="5"/>
      <c r="D211" s="6">
        <v>250000</v>
      </c>
      <c r="E211" s="26">
        <f>IF(OR(C211&lt;&gt;0,D211&lt;&gt;0),SUM(C$3:C211)-SUM(D$3:D211),0)</f>
        <v>-1260055</v>
      </c>
      <c r="F211" s="5"/>
    </row>
    <row r="212" spans="1:6" ht="15.75" x14ac:dyDescent="0.25">
      <c r="A212" s="57"/>
      <c r="B212" s="5" t="s">
        <v>1372</v>
      </c>
      <c r="C212" s="5"/>
      <c r="D212" s="6">
        <v>66000</v>
      </c>
      <c r="E212" s="26">
        <f>IF(OR(C212&lt;&gt;0,D212&lt;&gt;0),SUM(C$3:C212)-SUM(D$3:D212),0)</f>
        <v>-1326055</v>
      </c>
      <c r="F212" s="5"/>
    </row>
    <row r="213" spans="1:6" ht="15.75" x14ac:dyDescent="0.25">
      <c r="A213" s="57"/>
      <c r="B213" s="5" t="s">
        <v>1022</v>
      </c>
      <c r="C213" s="5"/>
      <c r="D213" s="6">
        <v>50000</v>
      </c>
      <c r="E213" s="26">
        <f>IF(OR(C213&lt;&gt;0,D213&lt;&gt;0),SUM(C$3:C213)-SUM(D$3:D213),0)</f>
        <v>-1376055</v>
      </c>
      <c r="F213" s="5"/>
    </row>
    <row r="214" spans="1:6" ht="15.75" x14ac:dyDescent="0.25">
      <c r="A214" s="57"/>
      <c r="B214" s="5" t="s">
        <v>1373</v>
      </c>
      <c r="C214" s="5"/>
      <c r="D214" s="6">
        <v>266400</v>
      </c>
      <c r="E214" s="26">
        <f>IF(OR(C214&lt;&gt;0,D214&lt;&gt;0),SUM(C$3:C214)-SUM(D$3:D214),0)</f>
        <v>-1642455</v>
      </c>
      <c r="F214" s="5"/>
    </row>
    <row r="215" spans="1:6" ht="15.75" x14ac:dyDescent="0.25">
      <c r="A215" s="57"/>
      <c r="B215" s="5" t="s">
        <v>1374</v>
      </c>
      <c r="C215" s="5"/>
      <c r="D215" s="6">
        <v>25000</v>
      </c>
      <c r="E215" s="26">
        <f>IF(OR(C215&lt;&gt;0,D215&lt;&gt;0),SUM(C$3:C215)-SUM(D$3:D215),0)</f>
        <v>-1667455</v>
      </c>
      <c r="F215" s="5"/>
    </row>
    <row r="216" spans="1:6" ht="15.75" x14ac:dyDescent="0.25">
      <c r="A216" s="57"/>
      <c r="B216" s="5" t="s">
        <v>1375</v>
      </c>
      <c r="C216" s="5"/>
      <c r="D216" s="6">
        <v>24000</v>
      </c>
      <c r="E216" s="26">
        <f>IF(OR(C216&lt;&gt;0,D216&lt;&gt;0),SUM(C$3:C216)-SUM(D$3:D216),0)</f>
        <v>-1691455</v>
      </c>
      <c r="F216" s="5"/>
    </row>
    <row r="217" spans="1:6" ht="15.75" x14ac:dyDescent="0.25">
      <c r="A217" s="56">
        <v>45531</v>
      </c>
      <c r="B217" s="5" t="s">
        <v>7</v>
      </c>
      <c r="C217" s="6">
        <v>1372000</v>
      </c>
      <c r="D217" s="6"/>
      <c r="E217" s="26">
        <f>IF(OR(C217&lt;&gt;0,D217&lt;&gt;0),SUM(C$3:C217)-SUM(D$3:D217),0)</f>
        <v>-319455</v>
      </c>
      <c r="F217" s="5"/>
    </row>
    <row r="218" spans="1:6" ht="15.75" x14ac:dyDescent="0.25">
      <c r="A218" s="57"/>
      <c r="B218" s="5" t="s">
        <v>7</v>
      </c>
      <c r="C218" s="6">
        <v>800000</v>
      </c>
      <c r="D218" s="6"/>
      <c r="E218" s="26">
        <f>IF(OR(C218&lt;&gt;0,D218&lt;&gt;0),SUM(C$3:C218)-SUM(D$3:D218),0)</f>
        <v>480545</v>
      </c>
      <c r="F218" s="5"/>
    </row>
    <row r="219" spans="1:6" ht="15.75" x14ac:dyDescent="0.25">
      <c r="A219" s="57"/>
      <c r="B219" s="5" t="s">
        <v>699</v>
      </c>
      <c r="C219" s="6"/>
      <c r="D219" s="6">
        <v>53000</v>
      </c>
      <c r="E219" s="26">
        <f>IF(OR(C219&lt;&gt;0,D219&lt;&gt;0),SUM(C$3:C219)-SUM(D$3:D219),0)</f>
        <v>427545</v>
      </c>
      <c r="F219" s="5"/>
    </row>
    <row r="220" spans="1:6" ht="16.5" customHeight="1" x14ac:dyDescent="0.25">
      <c r="A220" s="57"/>
      <c r="B220" s="5" t="s">
        <v>1303</v>
      </c>
      <c r="C220" s="5"/>
      <c r="D220" s="6">
        <v>2000</v>
      </c>
      <c r="E220" s="26">
        <f>IF(OR(C220&lt;&gt;0,D220&lt;&gt;0),SUM(C$3:C220)-SUM(D$3:D220),0)</f>
        <v>425545</v>
      </c>
      <c r="F220" s="5"/>
    </row>
    <row r="221" spans="1:6" ht="15.75" x14ac:dyDescent="0.25">
      <c r="A221" s="57"/>
      <c r="B221" s="5" t="s">
        <v>1376</v>
      </c>
      <c r="C221" s="6"/>
      <c r="D221" s="6">
        <v>20000</v>
      </c>
      <c r="E221" s="26">
        <f>IF(OR(C221&lt;&gt;0,D221&lt;&gt;0),SUM(C$3:C221)-SUM(D$3:D221),0)</f>
        <v>405545</v>
      </c>
      <c r="F221" s="5"/>
    </row>
    <row r="222" spans="1:6" ht="15.75" x14ac:dyDescent="0.25">
      <c r="A222" s="57"/>
      <c r="B222" s="5" t="s">
        <v>472</v>
      </c>
      <c r="C222" s="5"/>
      <c r="D222" s="6">
        <v>20000</v>
      </c>
      <c r="E222" s="26">
        <f>IF(OR(C222&lt;&gt;0,D222&lt;&gt;0),SUM(C$3:C222)-SUM(D$3:D222),0)</f>
        <v>385545</v>
      </c>
      <c r="F222" s="5"/>
    </row>
    <row r="223" spans="1:6" ht="15.75" x14ac:dyDescent="0.25">
      <c r="A223" s="57"/>
      <c r="B223" s="5" t="s">
        <v>1377</v>
      </c>
      <c r="C223" s="5"/>
      <c r="D223" s="6">
        <v>282000</v>
      </c>
      <c r="E223" s="26">
        <f>IF(OR(C223&lt;&gt;0,D223&lt;&gt;0),SUM(C$3:C223)-SUM(D$3:D223),0)</f>
        <v>103545</v>
      </c>
      <c r="F223" s="5"/>
    </row>
    <row r="224" spans="1:6" ht="15.75" x14ac:dyDescent="0.25">
      <c r="A224" s="57"/>
      <c r="B224" s="5" t="s">
        <v>1378</v>
      </c>
      <c r="C224" s="5"/>
      <c r="D224" s="6">
        <v>18000</v>
      </c>
      <c r="E224" s="26">
        <f>IF(OR(C224&lt;&gt;0,D224&lt;&gt;0),SUM(C$3:C224)-SUM(D$3:D224),0)</f>
        <v>85545</v>
      </c>
      <c r="F224" s="5"/>
    </row>
    <row r="225" spans="1:7" ht="15.75" x14ac:dyDescent="0.25">
      <c r="A225" s="57"/>
      <c r="B225" s="5" t="s">
        <v>1379</v>
      </c>
      <c r="C225" s="5"/>
      <c r="D225" s="6">
        <v>50000</v>
      </c>
      <c r="E225" s="26">
        <f>IF(OR(C225&lt;&gt;0,D225&lt;&gt;0),SUM(C$3:C225)-SUM(D$3:D225),0)</f>
        <v>35545</v>
      </c>
      <c r="F225" s="5"/>
    </row>
    <row r="226" spans="1:7" ht="15.75" x14ac:dyDescent="0.25">
      <c r="A226" s="57"/>
      <c r="B226" s="5" t="s">
        <v>1380</v>
      </c>
      <c r="C226" s="5"/>
      <c r="D226" s="6">
        <v>2000</v>
      </c>
      <c r="E226" s="26">
        <f>IF(OR(C226&lt;&gt;0,D226&lt;&gt;0),SUM(C$3:C226)-SUM(D$3:D226),0)</f>
        <v>33545</v>
      </c>
      <c r="F226" s="5"/>
    </row>
    <row r="227" spans="1:7" ht="15.75" x14ac:dyDescent="0.25">
      <c r="A227" s="57"/>
      <c r="B227" s="5" t="s">
        <v>715</v>
      </c>
      <c r="C227" s="5"/>
      <c r="D227" s="6">
        <v>60000</v>
      </c>
      <c r="E227" s="26">
        <f>IF(OR(C227&lt;&gt;0,D227&lt;&gt;0),SUM(C$3:C227)-SUM(D$3:D227),0)</f>
        <v>-26455</v>
      </c>
      <c r="F227" s="5"/>
    </row>
    <row r="228" spans="1:7" ht="15.75" x14ac:dyDescent="0.25">
      <c r="A228" s="57"/>
      <c r="B228" s="5" t="s">
        <v>152</v>
      </c>
      <c r="C228" s="5"/>
      <c r="D228" s="6">
        <v>94350</v>
      </c>
      <c r="E228" s="26">
        <f>IF(OR(C228&lt;&gt;0,D228&lt;&gt;0),SUM(C$3:C228)-SUM(D$3:D228),0)</f>
        <v>-120805</v>
      </c>
      <c r="F228" s="5"/>
    </row>
    <row r="229" spans="1:7" ht="15.75" x14ac:dyDescent="0.25">
      <c r="A229" s="57"/>
      <c r="B229" s="5" t="s">
        <v>1381</v>
      </c>
      <c r="C229" s="5"/>
      <c r="D229" s="6">
        <v>300000</v>
      </c>
      <c r="E229" s="26">
        <f>IF(OR(C229&lt;&gt;0,D229&lt;&gt;0),SUM(C$3:C229)-SUM(D$3:D229),0)</f>
        <v>-420805</v>
      </c>
      <c r="F229" s="5"/>
    </row>
    <row r="230" spans="1:7" ht="15.75" x14ac:dyDescent="0.25">
      <c r="A230" s="57"/>
      <c r="B230" s="5" t="s">
        <v>1382</v>
      </c>
      <c r="C230" s="5"/>
      <c r="D230" s="6">
        <v>420000</v>
      </c>
      <c r="E230" s="26">
        <f>IF(OR(C230&lt;&gt;0,D230&lt;&gt;0),SUM(C$3:C230)-SUM(D$3:D230),0)</f>
        <v>-840805</v>
      </c>
      <c r="F230" s="5"/>
    </row>
    <row r="231" spans="1:7" ht="15.75" x14ac:dyDescent="0.25">
      <c r="A231" s="57"/>
      <c r="B231" s="5" t="s">
        <v>1383</v>
      </c>
      <c r="C231" s="5"/>
      <c r="D231" s="6">
        <v>80000</v>
      </c>
      <c r="E231" s="26">
        <f>IF(OR(C231&lt;&gt;0,D231&lt;&gt;0),SUM(C$3:C231)-SUM(D$3:D231),0)</f>
        <v>-920805</v>
      </c>
      <c r="F231" s="5"/>
    </row>
    <row r="232" spans="1:7" ht="16.5" customHeight="1" x14ac:dyDescent="0.25">
      <c r="A232" s="57"/>
      <c r="B232" s="5" t="s">
        <v>823</v>
      </c>
      <c r="C232" s="6"/>
      <c r="D232" s="6">
        <v>100000</v>
      </c>
      <c r="E232" s="26">
        <f>IF(OR(C232&lt;&gt;0,D232&lt;&gt;0),SUM(C$3:C232)-SUM(D$3:D232),0)</f>
        <v>-1020805</v>
      </c>
      <c r="F232" s="5"/>
      <c r="G232" s="3">
        <f>909300-E232</f>
        <v>1930105</v>
      </c>
    </row>
    <row r="233" spans="1:7" ht="16.5" customHeight="1" x14ac:dyDescent="0.25">
      <c r="A233" s="58"/>
      <c r="B233" s="5" t="s">
        <v>1384</v>
      </c>
      <c r="C233" s="6"/>
      <c r="D233" s="6">
        <v>10000</v>
      </c>
      <c r="E233" s="26">
        <f>IF(OR(C233&lt;&gt;0,D233&lt;&gt;0),SUM(C$3:C233)-SUM(D$3:D233),0)</f>
        <v>-1030805</v>
      </c>
      <c r="F233" s="5"/>
      <c r="G233" s="3"/>
    </row>
    <row r="234" spans="1:7" ht="16.5" customHeight="1" x14ac:dyDescent="0.25">
      <c r="A234" s="70">
        <v>45533</v>
      </c>
      <c r="B234" s="39" t="s">
        <v>208</v>
      </c>
      <c r="C234" s="8"/>
      <c r="D234" s="8">
        <v>150000</v>
      </c>
      <c r="E234" s="33">
        <f>IF(OR(C234&lt;&gt;0,D234&lt;&gt;0),SUM(C$3:C234)-SUM(D$3:D234),0)</f>
        <v>-1180805</v>
      </c>
      <c r="F234" s="1"/>
      <c r="G234" s="3">
        <f>759300-E234</f>
        <v>1940105</v>
      </c>
    </row>
    <row r="235" spans="1:7" ht="15.75" x14ac:dyDescent="0.25">
      <c r="A235" s="71"/>
      <c r="B235" s="39" t="s">
        <v>32</v>
      </c>
      <c r="C235" s="8"/>
      <c r="D235" s="8">
        <v>100000</v>
      </c>
      <c r="E235" s="33">
        <f>IF(OR(C235&lt;&gt;0,D235&lt;&gt;0),SUM(C$3:C235)-SUM(D$3:D235),0)</f>
        <v>-1280805</v>
      </c>
      <c r="F235" s="1"/>
    </row>
    <row r="236" spans="1:7" ht="15.75" x14ac:dyDescent="0.25">
      <c r="A236" s="71"/>
      <c r="B236" s="39" t="s">
        <v>1385</v>
      </c>
      <c r="C236" s="39"/>
      <c r="D236" s="8">
        <v>100000</v>
      </c>
      <c r="E236" s="33">
        <f>IF(OR(C236&lt;&gt;0,D236&lt;&gt;0),SUM(C$3:C236)-SUM(D$3:D236),0)</f>
        <v>-1380805</v>
      </c>
      <c r="F236" s="1"/>
    </row>
    <row r="237" spans="1:7" ht="15.75" x14ac:dyDescent="0.25">
      <c r="A237" s="72"/>
      <c r="B237" s="39" t="s">
        <v>7</v>
      </c>
      <c r="C237" s="8">
        <v>2059750</v>
      </c>
      <c r="D237" s="8"/>
      <c r="E237" s="33">
        <f>IF(OR(C237&lt;&gt;0,D237&lt;&gt;0),SUM(C$3:C237)-SUM(D$3:D237),0)</f>
        <v>678945</v>
      </c>
      <c r="F237" s="1"/>
    </row>
    <row r="238" spans="1:7" ht="15.75" x14ac:dyDescent="0.25">
      <c r="A238" s="70">
        <v>45534</v>
      </c>
      <c r="B238" s="39" t="s">
        <v>1411</v>
      </c>
      <c r="C238" s="8"/>
      <c r="D238" s="8">
        <v>100000</v>
      </c>
      <c r="E238" s="33">
        <f>IF(OR(C238&lt;&gt;0,D238&lt;&gt;0),SUM(C$3:C238)-SUM(D$3:D238),0)</f>
        <v>578945</v>
      </c>
      <c r="F238" s="1"/>
    </row>
    <row r="239" spans="1:7" ht="15.75" x14ac:dyDescent="0.25">
      <c r="A239" s="71"/>
      <c r="B239" s="39" t="s">
        <v>1386</v>
      </c>
      <c r="C239" s="39"/>
      <c r="D239" s="8">
        <v>27750</v>
      </c>
      <c r="E239" s="33">
        <f>IF(OR(C239&lt;&gt;0,D239&lt;&gt;0),SUM(C$3:C239)-SUM(D$3:D239),0)</f>
        <v>551195</v>
      </c>
      <c r="F239" s="1"/>
    </row>
    <row r="240" spans="1:7" ht="15.75" x14ac:dyDescent="0.25">
      <c r="A240" s="71"/>
      <c r="B240" s="39" t="s">
        <v>1381</v>
      </c>
      <c r="C240" s="39"/>
      <c r="D240" s="8">
        <v>300000</v>
      </c>
      <c r="E240" s="33">
        <f>IF(OR(C240&lt;&gt;0,D240&lt;&gt;0),SUM(C$3:C240)-SUM(D$3:D240),0)</f>
        <v>251195</v>
      </c>
      <c r="F240" s="1"/>
      <c r="G240" s="3">
        <f>231300-E240</f>
        <v>-19895</v>
      </c>
    </row>
    <row r="241" spans="1:7" ht="15.75" x14ac:dyDescent="0.25">
      <c r="A241" s="71"/>
      <c r="B241" s="39" t="s">
        <v>1395</v>
      </c>
      <c r="C241" s="39"/>
      <c r="D241" s="8">
        <v>25500</v>
      </c>
      <c r="E241" s="33">
        <f>IF(OR(C241&lt;&gt;0,D241&lt;&gt;0),SUM(C$3:C241)-SUM(D$3:D241),0)</f>
        <v>225695</v>
      </c>
      <c r="F241" s="1"/>
    </row>
    <row r="242" spans="1:7" ht="15.75" x14ac:dyDescent="0.25">
      <c r="A242" s="71"/>
      <c r="B242" s="39" t="s">
        <v>1396</v>
      </c>
      <c r="C242" s="39"/>
      <c r="D242" s="8">
        <v>200000</v>
      </c>
      <c r="E242" s="33">
        <f>IF(OR(C242&lt;&gt;0,D242&lt;&gt;0),SUM(C$3:C242)-SUM(D$3:D242),0)</f>
        <v>25695</v>
      </c>
      <c r="F242" s="1"/>
    </row>
    <row r="243" spans="1:7" ht="15.75" x14ac:dyDescent="0.25">
      <c r="A243" s="71"/>
      <c r="B243" s="39" t="s">
        <v>1397</v>
      </c>
      <c r="C243" s="39"/>
      <c r="D243" s="8">
        <v>50000</v>
      </c>
      <c r="E243" s="33">
        <f>IF(OR(C243&lt;&gt;0,D243&lt;&gt;0),SUM(C$3:C243)-SUM(D$3:D243),0)</f>
        <v>-24305</v>
      </c>
      <c r="F243" s="1"/>
    </row>
    <row r="244" spans="1:7" ht="15.75" x14ac:dyDescent="0.25">
      <c r="A244" s="71"/>
      <c r="B244" s="39" t="s">
        <v>7</v>
      </c>
      <c r="C244" s="8">
        <v>1000000</v>
      </c>
      <c r="D244" s="8"/>
      <c r="E244" s="33">
        <f>IF(OR(C244&lt;&gt;0,D244&lt;&gt;0),SUM(C$3:C244)-SUM(D$3:D244),0)</f>
        <v>975695</v>
      </c>
      <c r="F244" s="1"/>
      <c r="G244" s="3">
        <f>854300-E244</f>
        <v>-121395</v>
      </c>
    </row>
    <row r="245" spans="1:7" ht="15.75" x14ac:dyDescent="0.25">
      <c r="A245" s="72"/>
      <c r="B245" s="39" t="s">
        <v>1402</v>
      </c>
      <c r="C245" s="39"/>
      <c r="D245" s="8">
        <v>11000</v>
      </c>
      <c r="E245" s="33">
        <f>IF(OR(C245&lt;&gt;0,D245&lt;&gt;0),SUM(C$3:C245)-SUM(D$3:D245),0)</f>
        <v>964695</v>
      </c>
      <c r="F245" s="1"/>
      <c r="G245" s="3">
        <f>854300-E245</f>
        <v>-110395</v>
      </c>
    </row>
    <row r="246" spans="1:7" ht="15.75" x14ac:dyDescent="0.25">
      <c r="A246" s="70">
        <v>45535</v>
      </c>
      <c r="B246" s="39" t="s">
        <v>1409</v>
      </c>
      <c r="C246" s="39"/>
      <c r="D246" s="8">
        <v>68000</v>
      </c>
      <c r="E246" s="33">
        <f>IF(OR(C246&lt;&gt;0,D246&lt;&gt;0),SUM(C$3:C246)-SUM(D$3:D246),0)</f>
        <v>896695</v>
      </c>
      <c r="F246" s="1"/>
      <c r="G246" s="3">
        <f>554300-E246</f>
        <v>-342395</v>
      </c>
    </row>
    <row r="247" spans="1:7" ht="15.75" x14ac:dyDescent="0.25">
      <c r="A247" s="71"/>
      <c r="B247" s="39" t="s">
        <v>46</v>
      </c>
      <c r="C247" s="39"/>
      <c r="D247" s="8">
        <v>30000</v>
      </c>
      <c r="E247" s="33">
        <f>IF(OR(C247&lt;&gt;0,D247&lt;&gt;0),SUM(C$3:C247)-SUM(D$3:D247),0)</f>
        <v>866695</v>
      </c>
      <c r="F247" s="1"/>
      <c r="G247" s="3">
        <f>554300-E247</f>
        <v>-312395</v>
      </c>
    </row>
    <row r="248" spans="1:7" ht="15.75" x14ac:dyDescent="0.25">
      <c r="A248" s="71"/>
      <c r="B248" s="39" t="s">
        <v>1404</v>
      </c>
      <c r="C248" s="39"/>
      <c r="D248" s="8">
        <v>20000</v>
      </c>
      <c r="E248" s="33">
        <f>IF(OR(C248&lt;&gt;0,D248&lt;&gt;0),SUM(C$3:C248)-SUM(D$3:D248),0)</f>
        <v>846695</v>
      </c>
      <c r="F248" s="1"/>
    </row>
    <row r="249" spans="1:7" ht="15.75" x14ac:dyDescent="0.25">
      <c r="A249" s="71"/>
      <c r="B249" s="39" t="s">
        <v>1405</v>
      </c>
      <c r="C249" s="8"/>
      <c r="D249" s="8">
        <v>20000</v>
      </c>
      <c r="E249" s="33">
        <f>IF(OR(C249&lt;&gt;0,D249&lt;&gt;0),SUM(C$3:C249)-SUM(D$3:D249),0)</f>
        <v>826695</v>
      </c>
      <c r="F249" s="1"/>
    </row>
    <row r="250" spans="1:7" ht="15.75" x14ac:dyDescent="0.25">
      <c r="A250" s="71"/>
      <c r="B250" s="39" t="s">
        <v>1406</v>
      </c>
      <c r="C250" s="39"/>
      <c r="D250" s="8">
        <v>20000</v>
      </c>
      <c r="E250" s="33">
        <f>IF(OR(C250&lt;&gt;0,D250&lt;&gt;0),SUM(C$3:C250)-SUM(D$3:D250),0)</f>
        <v>806695</v>
      </c>
      <c r="F250" s="1"/>
    </row>
    <row r="251" spans="1:7" ht="15.75" x14ac:dyDescent="0.25">
      <c r="A251" s="71"/>
      <c r="B251" s="39" t="s">
        <v>1407</v>
      </c>
      <c r="C251" s="1"/>
      <c r="D251" s="8">
        <v>60000</v>
      </c>
      <c r="E251" s="33">
        <f>IF(OR(C251&lt;&gt;0,D251&lt;&gt;0),SUM(C$3:C251)-SUM(D$3:D251),0)</f>
        <v>746695</v>
      </c>
      <c r="F251" s="1"/>
    </row>
    <row r="252" spans="1:7" ht="15.75" x14ac:dyDescent="0.25">
      <c r="A252" s="71"/>
      <c r="B252" s="39" t="s">
        <v>1408</v>
      </c>
      <c r="C252" s="1"/>
      <c r="D252" s="8">
        <v>30000</v>
      </c>
      <c r="E252" s="33">
        <f>IF(OR(C252&lt;&gt;0,D252&lt;&gt;0),SUM(C$3:C252)-SUM(D$3:D252),0)</f>
        <v>716695</v>
      </c>
      <c r="F252" s="1"/>
      <c r="G252" s="3">
        <f>682900-E252</f>
        <v>-33795</v>
      </c>
    </row>
    <row r="253" spans="1:7" ht="15.75" x14ac:dyDescent="0.25">
      <c r="A253" s="71"/>
      <c r="B253" s="39" t="s">
        <v>1410</v>
      </c>
      <c r="C253" s="1"/>
      <c r="D253" s="8">
        <v>544750</v>
      </c>
      <c r="E253" s="33">
        <f>IF(OR(C253&lt;&gt;0,D253&lt;&gt;0),SUM(C$3:C253)-SUM(D$3:D253),0)</f>
        <v>171945</v>
      </c>
      <c r="F253" s="1"/>
    </row>
    <row r="254" spans="1:7" ht="15.75" x14ac:dyDescent="0.25">
      <c r="A254" s="72"/>
      <c r="B254" s="39" t="s">
        <v>1412</v>
      </c>
      <c r="C254" s="1"/>
      <c r="D254" s="8">
        <v>100000</v>
      </c>
      <c r="E254" s="33">
        <f>IF(OR(C254&lt;&gt;0,D254&lt;&gt;0),SUM(C$3:C254)-SUM(D$3:D254),0)</f>
        <v>71945</v>
      </c>
      <c r="F254" s="1"/>
    </row>
  </sheetData>
  <mergeCells count="27">
    <mergeCell ref="A246:A254"/>
    <mergeCell ref="A14:A21"/>
    <mergeCell ref="A22:A27"/>
    <mergeCell ref="A115:A119"/>
    <mergeCell ref="A169:A174"/>
    <mergeCell ref="A109:A114"/>
    <mergeCell ref="A150:A154"/>
    <mergeCell ref="A179:A187"/>
    <mergeCell ref="A189:A216"/>
    <mergeCell ref="A28:A40"/>
    <mergeCell ref="A41:A53"/>
    <mergeCell ref="A175:A178"/>
    <mergeCell ref="A54:A108"/>
    <mergeCell ref="A120:A130"/>
    <mergeCell ref="A155:A168"/>
    <mergeCell ref="A137:A149"/>
    <mergeCell ref="F1:F2"/>
    <mergeCell ref="A3:A13"/>
    <mergeCell ref="A1:A2"/>
    <mergeCell ref="B1:B2"/>
    <mergeCell ref="C1:C2"/>
    <mergeCell ref="D1:D2"/>
    <mergeCell ref="A131:A136"/>
    <mergeCell ref="A238:A245"/>
    <mergeCell ref="A217:A233"/>
    <mergeCell ref="A234:A237"/>
    <mergeCell ref="E1:E2"/>
  </mergeCells>
  <phoneticPr fontId="4" type="noConversion"/>
  <pageMargins left="0.5" right="0.5" top="0.5" bottom="0.5" header="0.5" footer="0.5"/>
  <pageSetup paperSize="14" scale="5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42E5-BB0B-44D7-BA62-2B7D3FE24445}">
  <sheetPr codeName="Sheet8">
    <pageSetUpPr fitToPage="1"/>
  </sheetPr>
  <dimension ref="A1:H131"/>
  <sheetViews>
    <sheetView topLeftCell="A114" zoomScaleNormal="100" workbookViewId="0">
      <selection activeCell="E124" sqref="E124"/>
    </sheetView>
  </sheetViews>
  <sheetFormatPr defaultRowHeight="15" x14ac:dyDescent="0.25"/>
  <cols>
    <col min="1" max="1" width="32.140625" customWidth="1"/>
    <col min="2" max="2" width="27.85546875" customWidth="1"/>
    <col min="3" max="3" width="18.28515625" customWidth="1"/>
    <col min="4" max="4" width="18.42578125" customWidth="1"/>
    <col min="5" max="5" width="28.7109375" customWidth="1"/>
    <col min="6" max="6" width="18.140625" customWidth="1"/>
    <col min="7" max="7" width="17.140625" customWidth="1"/>
    <col min="8" max="8" width="15.5703125" bestFit="1" customWidth="1"/>
    <col min="9" max="9" width="12.85546875" bestFit="1" customWidth="1"/>
  </cols>
  <sheetData>
    <row r="1" spans="1:7" x14ac:dyDescent="0.25">
      <c r="A1" s="62" t="s">
        <v>0</v>
      </c>
      <c r="B1" s="80" t="s">
        <v>5</v>
      </c>
      <c r="C1" s="64" t="s">
        <v>1</v>
      </c>
      <c r="D1" s="64" t="s">
        <v>2</v>
      </c>
      <c r="E1" s="64" t="s">
        <v>3</v>
      </c>
      <c r="F1" s="78" t="s">
        <v>4</v>
      </c>
    </row>
    <row r="2" spans="1:7" x14ac:dyDescent="0.25">
      <c r="A2" s="63"/>
      <c r="B2" s="81"/>
      <c r="C2" s="65"/>
      <c r="D2" s="65"/>
      <c r="E2" s="65"/>
      <c r="F2" s="79"/>
    </row>
    <row r="3" spans="1:7" ht="15.75" x14ac:dyDescent="0.25">
      <c r="A3" s="56">
        <v>45548</v>
      </c>
      <c r="B3" s="27" t="s">
        <v>3</v>
      </c>
      <c r="C3" s="25">
        <f>2899100-C4</f>
        <v>272100</v>
      </c>
      <c r="D3" s="25"/>
      <c r="E3" s="26">
        <f>IF(OR(C3&lt;&gt;0,D3&lt;&gt;0),SUM(C$3:C3)-SUM(D$3:D3),0)</f>
        <v>272100</v>
      </c>
      <c r="F3" s="19"/>
    </row>
    <row r="4" spans="1:7" ht="15.75" x14ac:dyDescent="0.25">
      <c r="A4" s="57"/>
      <c r="B4" s="27" t="s">
        <v>7</v>
      </c>
      <c r="C4" s="25">
        <v>2627000</v>
      </c>
      <c r="D4" s="25"/>
      <c r="E4" s="26">
        <f>IF(OR(C4&lt;&gt;0,D4&lt;&gt;0),SUM(C$3:C4)-SUM(D$3:D4),0)</f>
        <v>2899100</v>
      </c>
      <c r="F4" s="19"/>
    </row>
    <row r="5" spans="1:7" ht="15.75" x14ac:dyDescent="0.25">
      <c r="A5" s="57"/>
      <c r="B5" s="5" t="s">
        <v>431</v>
      </c>
      <c r="C5" s="6"/>
      <c r="D5" s="6">
        <v>1170000</v>
      </c>
      <c r="E5" s="26">
        <f>IF(OR(C5&lt;&gt;0,D5&lt;&gt;0),SUM(C$3:C5)-SUM(D$3:D5),0)</f>
        <v>1729100</v>
      </c>
      <c r="F5" s="5"/>
    </row>
    <row r="6" spans="1:7" ht="15.75" x14ac:dyDescent="0.25">
      <c r="A6" s="57"/>
      <c r="B6" s="5" t="s">
        <v>1413</v>
      </c>
      <c r="C6" s="6"/>
      <c r="D6" s="6">
        <v>529300</v>
      </c>
      <c r="E6" s="26">
        <f>IF(OR(C6&lt;&gt;0,D6&lt;&gt;0),SUM(C$3:C6)-SUM(D$3:D6),0)</f>
        <v>1199800</v>
      </c>
      <c r="F6" s="5"/>
    </row>
    <row r="7" spans="1:7" ht="15.75" x14ac:dyDescent="0.25">
      <c r="A7" s="58"/>
      <c r="B7" s="5" t="s">
        <v>1414</v>
      </c>
      <c r="C7" s="6"/>
      <c r="D7" s="6">
        <v>26000</v>
      </c>
      <c r="E7" s="26">
        <f>IF(OR(C7&lt;&gt;0,D7&lt;&gt;0),SUM(C$3:C7)-SUM(D$3:D7),0)</f>
        <v>1173800</v>
      </c>
      <c r="F7" s="5"/>
      <c r="G7" s="3">
        <f>255900-E7</f>
        <v>-917900</v>
      </c>
    </row>
    <row r="8" spans="1:7" ht="15.75" x14ac:dyDescent="0.25">
      <c r="A8" s="56">
        <v>45549</v>
      </c>
      <c r="B8" s="27" t="s">
        <v>1415</v>
      </c>
      <c r="C8" s="25"/>
      <c r="D8" s="25">
        <v>50000</v>
      </c>
      <c r="E8" s="26">
        <f>IF(OR(C8&lt;&gt;0,D8&lt;&gt;0),SUM(C$3:C8)-SUM(D$3:D8),0)</f>
        <v>1123800</v>
      </c>
      <c r="F8" s="19"/>
    </row>
    <row r="9" spans="1:7" ht="15.75" x14ac:dyDescent="0.25">
      <c r="A9" s="57"/>
      <c r="B9" s="5" t="s">
        <v>1416</v>
      </c>
      <c r="C9" s="6"/>
      <c r="D9" s="25">
        <v>50000</v>
      </c>
      <c r="E9" s="26">
        <f>IF(OR(C9&lt;&gt;0,D9&lt;&gt;0),SUM(C$3:C9)-SUM(D$3:D9),0)</f>
        <v>1073800</v>
      </c>
      <c r="F9" s="5"/>
    </row>
    <row r="10" spans="1:7" ht="15.75" x14ac:dyDescent="0.25">
      <c r="A10" s="57"/>
      <c r="B10" s="5" t="s">
        <v>712</v>
      </c>
      <c r="C10" s="6"/>
      <c r="D10" s="6">
        <v>55000</v>
      </c>
      <c r="E10" s="26">
        <f>IF(OR(C10&lt;&gt;0,D10&lt;&gt;0),SUM(C$3:C10)-SUM(D$3:D10),0)</f>
        <v>1018800</v>
      </c>
      <c r="F10" s="5"/>
    </row>
    <row r="11" spans="1:7" ht="15.75" x14ac:dyDescent="0.25">
      <c r="A11" s="57"/>
      <c r="B11" s="5" t="s">
        <v>1417</v>
      </c>
      <c r="C11" s="6"/>
      <c r="D11" s="6">
        <v>2000</v>
      </c>
      <c r="E11" s="26">
        <f>IF(OR(C11&lt;&gt;0,D11&lt;&gt;0),SUM(C$3:C11)-SUM(D$3:D11),0)</f>
        <v>1016800</v>
      </c>
      <c r="F11" s="5"/>
    </row>
    <row r="12" spans="1:7" ht="15.75" x14ac:dyDescent="0.25">
      <c r="A12" s="57"/>
      <c r="B12" s="5" t="s">
        <v>1418</v>
      </c>
      <c r="C12" s="5"/>
      <c r="D12" s="6">
        <v>2000</v>
      </c>
      <c r="E12" s="26">
        <f>IF(OR(C12&lt;&gt;0,D12&lt;&gt;0),SUM(C$3:C12)-SUM(D$3:D12),0)</f>
        <v>1014800</v>
      </c>
      <c r="F12" s="5"/>
    </row>
    <row r="13" spans="1:7" ht="15.75" x14ac:dyDescent="0.25">
      <c r="A13" s="57"/>
      <c r="B13" s="5" t="s">
        <v>1419</v>
      </c>
      <c r="C13" s="5"/>
      <c r="D13" s="6">
        <v>18500</v>
      </c>
      <c r="E13" s="26">
        <f>IF(OR(C13&lt;&gt;0,D13&lt;&gt;0),SUM(C$3:C13)-SUM(D$3:D13),0)</f>
        <v>996300</v>
      </c>
      <c r="F13" s="5"/>
    </row>
    <row r="14" spans="1:7" ht="15.75" x14ac:dyDescent="0.25">
      <c r="A14" s="58"/>
      <c r="B14" s="5" t="s">
        <v>27</v>
      </c>
      <c r="C14" s="6"/>
      <c r="D14" s="6">
        <v>500000</v>
      </c>
      <c r="E14" s="26">
        <f>IF(OR(C14&lt;&gt;0,D14&lt;&gt;0),SUM(C$3:C14)-SUM(D$3:D14),0)</f>
        <v>496300</v>
      </c>
      <c r="F14" s="5"/>
    </row>
    <row r="15" spans="1:7" ht="15.75" x14ac:dyDescent="0.25">
      <c r="A15" s="56">
        <v>45551</v>
      </c>
      <c r="B15" s="27" t="s">
        <v>326</v>
      </c>
      <c r="C15" s="25"/>
      <c r="D15" s="25">
        <v>50000</v>
      </c>
      <c r="E15" s="26">
        <f>IF(OR(C15&lt;&gt;0,D15&lt;&gt;0),SUM(C$3:C15)-SUM(D$3:D15),0)</f>
        <v>446300</v>
      </c>
      <c r="F15" s="19"/>
    </row>
    <row r="16" spans="1:7" ht="15.75" x14ac:dyDescent="0.25">
      <c r="A16" s="57"/>
      <c r="B16" s="5" t="s">
        <v>1420</v>
      </c>
      <c r="C16" s="6"/>
      <c r="D16" s="25">
        <v>250000</v>
      </c>
      <c r="E16" s="26">
        <f>IF(OR(C16&lt;&gt;0,D16&lt;&gt;0),SUM(C$3:C16)-SUM(D$3:D16),0)</f>
        <v>196300</v>
      </c>
      <c r="F16" s="5"/>
    </row>
    <row r="17" spans="1:6" ht="15.75" x14ac:dyDescent="0.25">
      <c r="A17" s="57"/>
      <c r="B17" s="5" t="s">
        <v>1022</v>
      </c>
      <c r="C17" s="6"/>
      <c r="D17" s="6">
        <v>30000</v>
      </c>
      <c r="E17" s="26">
        <f>IF(OR(C17&lt;&gt;0,D17&lt;&gt;0),SUM(C$3:C17)-SUM(D$3:D17),0)</f>
        <v>166300</v>
      </c>
      <c r="F17" s="5"/>
    </row>
    <row r="18" spans="1:6" ht="15.75" x14ac:dyDescent="0.25">
      <c r="A18" s="57"/>
      <c r="B18" s="5" t="s">
        <v>1421</v>
      </c>
      <c r="C18" s="6"/>
      <c r="D18" s="6">
        <v>2000</v>
      </c>
      <c r="E18" s="26">
        <f>IF(OR(C18&lt;&gt;0,D18&lt;&gt;0),SUM(C$3:C18)-SUM(D$3:D18),0)</f>
        <v>164300</v>
      </c>
      <c r="F18" s="5"/>
    </row>
    <row r="19" spans="1:6" ht="15.75" x14ac:dyDescent="0.25">
      <c r="A19" s="57"/>
      <c r="B19" s="5" t="s">
        <v>7</v>
      </c>
      <c r="C19" s="6">
        <v>1313000</v>
      </c>
      <c r="D19" s="6"/>
      <c r="E19" s="26">
        <f>IF(OR(C19&lt;&gt;0,D19&lt;&gt;0),SUM(C$3:C19)-SUM(D$3:D19),0)</f>
        <v>1477300</v>
      </c>
      <c r="F19" s="5"/>
    </row>
    <row r="20" spans="1:6" ht="15.75" x14ac:dyDescent="0.25">
      <c r="A20" s="57"/>
      <c r="B20" s="5" t="s">
        <v>1422</v>
      </c>
      <c r="C20" s="5"/>
      <c r="D20" s="6">
        <v>20000</v>
      </c>
      <c r="E20" s="26">
        <f>IF(OR(C20&lt;&gt;0,D20&lt;&gt;0),SUM(C$3:C20)-SUM(D$3:D20),0)</f>
        <v>1457300</v>
      </c>
      <c r="F20" s="5"/>
    </row>
    <row r="21" spans="1:6" ht="15.75" x14ac:dyDescent="0.25">
      <c r="A21" s="57"/>
      <c r="B21" s="5" t="s">
        <v>1423</v>
      </c>
      <c r="C21" s="6"/>
      <c r="D21" s="6">
        <v>20000</v>
      </c>
      <c r="E21" s="26">
        <f>IF(OR(C21&lt;&gt;0,D21&lt;&gt;0),SUM(C$3:C21)-SUM(D$3:D21),0)</f>
        <v>1437300</v>
      </c>
      <c r="F21" s="5"/>
    </row>
    <row r="22" spans="1:6" ht="15.75" x14ac:dyDescent="0.25">
      <c r="A22" s="57"/>
      <c r="B22" s="5" t="s">
        <v>1424</v>
      </c>
      <c r="C22" s="5"/>
      <c r="D22" s="6">
        <v>10000</v>
      </c>
      <c r="E22" s="26">
        <f>IF(OR(C22&lt;&gt;0,D22&lt;&gt;0),SUM(C$3:C22)-SUM(D$3:D22),0)</f>
        <v>1427300</v>
      </c>
      <c r="F22" s="5"/>
    </row>
    <row r="23" spans="1:6" ht="15.75" x14ac:dyDescent="0.25">
      <c r="A23" s="57"/>
      <c r="B23" s="5" t="s">
        <v>1425</v>
      </c>
      <c r="C23" s="5"/>
      <c r="D23" s="6">
        <v>224000</v>
      </c>
      <c r="E23" s="26">
        <f>IF(OR(C23&lt;&gt;0,D23&lt;&gt;0),SUM(C$3:C23)-SUM(D$3:D23),0)</f>
        <v>1203300</v>
      </c>
      <c r="F23" s="5"/>
    </row>
    <row r="24" spans="1:6" ht="15.75" x14ac:dyDescent="0.25">
      <c r="A24" s="57"/>
      <c r="B24" s="5" t="s">
        <v>1426</v>
      </c>
      <c r="C24" s="5"/>
      <c r="D24" s="6">
        <v>38600</v>
      </c>
      <c r="E24" s="26">
        <f>IF(OR(C24&lt;&gt;0,D24&lt;&gt;0),SUM(C$3:C24)-SUM(D$3:D24),0)</f>
        <v>1164700</v>
      </c>
      <c r="F24" s="5"/>
    </row>
    <row r="25" spans="1:6" ht="15.75" x14ac:dyDescent="0.25">
      <c r="A25" s="57"/>
      <c r="B25" s="5" t="s">
        <v>1427</v>
      </c>
      <c r="C25" s="5"/>
      <c r="D25" s="6">
        <v>8000</v>
      </c>
      <c r="E25" s="26">
        <f>IF(OR(C25&lt;&gt;0,D25&lt;&gt;0),SUM(C$3:C25)-SUM(D$3:D25),0)</f>
        <v>1156700</v>
      </c>
      <c r="F25" s="5"/>
    </row>
    <row r="26" spans="1:6" ht="15.75" x14ac:dyDescent="0.25">
      <c r="A26" s="57"/>
      <c r="B26" s="5" t="s">
        <v>1428</v>
      </c>
      <c r="C26" s="5"/>
      <c r="D26" s="6">
        <v>12000</v>
      </c>
      <c r="E26" s="26">
        <f>IF(OR(C26&lt;&gt;0,D26&lt;&gt;0),SUM(C$3:C26)-SUM(D$3:D26),0)</f>
        <v>1144700</v>
      </c>
      <c r="F26" s="5"/>
    </row>
    <row r="27" spans="1:6" ht="15.75" x14ac:dyDescent="0.25">
      <c r="A27" s="57"/>
      <c r="B27" s="5" t="s">
        <v>1429</v>
      </c>
      <c r="C27" s="5"/>
      <c r="D27" s="6">
        <v>50000</v>
      </c>
      <c r="E27" s="26">
        <f>IF(OR(C27&lt;&gt;0,D27&lt;&gt;0),SUM(C$3:C27)-SUM(D$3:D27),0)</f>
        <v>1094700</v>
      </c>
      <c r="F27" s="5"/>
    </row>
    <row r="28" spans="1:6" ht="15.75" x14ac:dyDescent="0.25">
      <c r="A28" s="57"/>
      <c r="B28" s="5" t="s">
        <v>1430</v>
      </c>
      <c r="C28" s="5"/>
      <c r="D28" s="6">
        <v>180000</v>
      </c>
      <c r="E28" s="26">
        <f>IF(OR(C28&lt;&gt;0,D28&lt;&gt;0),SUM(C$3:C28)-SUM(D$3:D28),0)</f>
        <v>914700</v>
      </c>
      <c r="F28" s="5"/>
    </row>
    <row r="29" spans="1:6" ht="15.75" x14ac:dyDescent="0.25">
      <c r="A29" s="57"/>
      <c r="B29" s="5" t="s">
        <v>16</v>
      </c>
      <c r="C29" s="5"/>
      <c r="D29" s="6">
        <v>75000</v>
      </c>
      <c r="E29" s="26">
        <f>IF(OR(C29&lt;&gt;0,D29&lt;&gt;0),SUM(C$3:C29)-SUM(D$3:D29),0)</f>
        <v>839700</v>
      </c>
      <c r="F29" s="5"/>
    </row>
    <row r="30" spans="1:6" ht="15.75" x14ac:dyDescent="0.25">
      <c r="A30" s="57"/>
      <c r="B30" s="5" t="s">
        <v>7</v>
      </c>
      <c r="C30" s="6">
        <v>555000</v>
      </c>
      <c r="D30" s="5"/>
      <c r="E30" s="26">
        <f>IF(OR(C30&lt;&gt;0,D30&lt;&gt;0),SUM(C$3:C30)-SUM(D$3:D30),0)</f>
        <v>1394700</v>
      </c>
      <c r="F30" s="5"/>
    </row>
    <row r="31" spans="1:6" ht="15.75" x14ac:dyDescent="0.25">
      <c r="A31" s="57"/>
      <c r="B31" s="5" t="s">
        <v>1431</v>
      </c>
      <c r="C31" s="5"/>
      <c r="D31" s="6">
        <v>294000</v>
      </c>
      <c r="E31" s="26">
        <f>IF(OR(C31&lt;&gt;0,D31&lt;&gt;0),SUM(C$3:C31)-SUM(D$3:D31),0)</f>
        <v>1100700</v>
      </c>
      <c r="F31" s="5"/>
    </row>
    <row r="32" spans="1:6" ht="15.75" x14ac:dyDescent="0.25">
      <c r="A32" s="58"/>
      <c r="B32" s="5" t="s">
        <v>1432</v>
      </c>
      <c r="C32" s="5"/>
      <c r="D32" s="6">
        <v>261000</v>
      </c>
      <c r="E32" s="26">
        <f>IF(OR(C32&lt;&gt;0,D32&lt;&gt;0),SUM(C$3:C32)-SUM(D$3:D32),0)</f>
        <v>839700</v>
      </c>
      <c r="F32" s="5"/>
    </row>
    <row r="33" spans="1:6" ht="15.75" x14ac:dyDescent="0.25">
      <c r="A33" s="44">
        <v>16</v>
      </c>
      <c r="B33" s="5" t="s">
        <v>7</v>
      </c>
      <c r="C33" s="6">
        <v>1795000</v>
      </c>
      <c r="D33" s="6"/>
      <c r="E33" s="26">
        <f>IF(OR(C33&lt;&gt;0,D33&lt;&gt;0),SUM(C$3:C33)-SUM(D$3:D33),0)</f>
        <v>2634700</v>
      </c>
      <c r="F33" s="5"/>
    </row>
    <row r="34" spans="1:6" ht="15.75" x14ac:dyDescent="0.25">
      <c r="A34" s="44">
        <v>17</v>
      </c>
      <c r="B34" s="5" t="s">
        <v>7</v>
      </c>
      <c r="C34" s="6">
        <v>886000</v>
      </c>
      <c r="D34" s="6"/>
      <c r="E34" s="26">
        <f>IF(OR(C34&lt;&gt;0,D34&lt;&gt;0),SUM(C$3:C34)-SUM(D$3:D34),0)</f>
        <v>3520700</v>
      </c>
      <c r="F34" s="5"/>
    </row>
    <row r="35" spans="1:6" ht="15.75" x14ac:dyDescent="0.25">
      <c r="A35" s="44">
        <v>18</v>
      </c>
      <c r="B35" s="5" t="s">
        <v>7</v>
      </c>
      <c r="C35" s="6">
        <v>1500000</v>
      </c>
      <c r="D35" s="6"/>
      <c r="E35" s="26">
        <f>IF(OR(C35&lt;&gt;0,D35&lt;&gt;0),SUM(C$3:C35)-SUM(D$3:D35),0)</f>
        <v>5020700</v>
      </c>
      <c r="F35" s="5"/>
    </row>
    <row r="36" spans="1:6" ht="15.75" x14ac:dyDescent="0.25">
      <c r="A36" s="56">
        <v>45554</v>
      </c>
      <c r="B36" s="27" t="s">
        <v>16</v>
      </c>
      <c r="C36" s="25"/>
      <c r="D36" s="25">
        <v>125000</v>
      </c>
      <c r="E36" s="26">
        <f>IF(OR(C36&lt;&gt;0,D36&lt;&gt;0),SUM(C$3:C36)-SUM(D$3:D36),0)</f>
        <v>4895700</v>
      </c>
      <c r="F36" s="19"/>
    </row>
    <row r="37" spans="1:6" ht="15.75" x14ac:dyDescent="0.25">
      <c r="A37" s="57"/>
      <c r="B37" s="5" t="s">
        <v>632</v>
      </c>
      <c r="C37" s="6"/>
      <c r="D37" s="25">
        <v>100000</v>
      </c>
      <c r="E37" s="26">
        <f>IF(OR(C37&lt;&gt;0,D37&lt;&gt;0),SUM(C$3:C37)-SUM(D$3:D37),0)</f>
        <v>4795700</v>
      </c>
      <c r="F37" s="5"/>
    </row>
    <row r="38" spans="1:6" ht="15.75" x14ac:dyDescent="0.25">
      <c r="A38" s="57"/>
      <c r="B38" s="5" t="s">
        <v>1433</v>
      </c>
      <c r="C38" s="6"/>
      <c r="D38" s="6">
        <v>50000</v>
      </c>
      <c r="E38" s="26">
        <f>IF(OR(C38&lt;&gt;0,D38&lt;&gt;0),SUM(C$3:C38)-SUM(D$3:D38),0)</f>
        <v>4745700</v>
      </c>
      <c r="F38" s="5"/>
    </row>
    <row r="39" spans="1:6" ht="15.75" x14ac:dyDescent="0.25">
      <c r="A39" s="57"/>
      <c r="B39" s="5" t="s">
        <v>857</v>
      </c>
      <c r="C39" s="6"/>
      <c r="D39" s="6">
        <v>100000</v>
      </c>
      <c r="E39" s="26">
        <f>IF(OR(C39&lt;&gt;0,D39&lt;&gt;0),SUM(C$3:C39)-SUM(D$3:D39),0)</f>
        <v>4645700</v>
      </c>
      <c r="F39" s="5"/>
    </row>
    <row r="40" spans="1:6" ht="15.75" x14ac:dyDescent="0.25">
      <c r="A40" s="57"/>
      <c r="B40" s="5" t="s">
        <v>67</v>
      </c>
      <c r="C40" s="6"/>
      <c r="D40" s="6">
        <v>163000</v>
      </c>
      <c r="E40" s="26">
        <f>IF(OR(C40&lt;&gt;0,D40&lt;&gt;0),SUM(C$3:C40)-SUM(D$3:D40),0)</f>
        <v>4482700</v>
      </c>
      <c r="F40" s="5"/>
    </row>
    <row r="41" spans="1:6" ht="15.75" x14ac:dyDescent="0.25">
      <c r="A41" s="57"/>
      <c r="B41" s="5" t="s">
        <v>1434</v>
      </c>
      <c r="C41" s="6"/>
      <c r="D41" s="6">
        <v>100000</v>
      </c>
      <c r="E41" s="26">
        <f>IF(OR(C41&lt;&gt;0,D41&lt;&gt;0),SUM(C$3:C41)-SUM(D$3:D41),0)</f>
        <v>4382700</v>
      </c>
      <c r="F41" s="5"/>
    </row>
    <row r="42" spans="1:6" ht="15.75" x14ac:dyDescent="0.25">
      <c r="A42" s="57"/>
      <c r="B42" s="5" t="s">
        <v>1435</v>
      </c>
      <c r="C42" s="5"/>
      <c r="D42" s="6">
        <v>100000</v>
      </c>
      <c r="E42" s="26">
        <f>IF(OR(C42&lt;&gt;0,D42&lt;&gt;0),SUM(C$3:C42)-SUM(D$3:D42),0)</f>
        <v>4282700</v>
      </c>
      <c r="F42" s="5"/>
    </row>
    <row r="43" spans="1:6" ht="15.75" x14ac:dyDescent="0.25">
      <c r="A43" s="57"/>
      <c r="B43" s="5" t="s">
        <v>1436</v>
      </c>
      <c r="C43" s="5"/>
      <c r="D43" s="6">
        <v>50000</v>
      </c>
      <c r="E43" s="26">
        <f>IF(OR(C43&lt;&gt;0,D43&lt;&gt;0),SUM(C$3:C43)-SUM(D$3:D43),0)</f>
        <v>4232700</v>
      </c>
      <c r="F43" s="5"/>
    </row>
    <row r="44" spans="1:6" ht="15.75" x14ac:dyDescent="0.25">
      <c r="A44" s="57"/>
      <c r="B44" s="5" t="s">
        <v>1437</v>
      </c>
      <c r="C44" s="5"/>
      <c r="D44" s="6">
        <v>45000</v>
      </c>
      <c r="E44" s="26">
        <f>IF(OR(C44&lt;&gt;0,D44&lt;&gt;0),SUM(C$3:C44)-SUM(D$3:D44),0)</f>
        <v>4187700</v>
      </c>
      <c r="F44" s="5"/>
    </row>
    <row r="45" spans="1:6" ht="15.75" x14ac:dyDescent="0.25">
      <c r="A45" s="57"/>
      <c r="B45" s="5" t="s">
        <v>350</v>
      </c>
      <c r="C45" s="5"/>
      <c r="D45" s="6">
        <v>35000</v>
      </c>
      <c r="E45" s="26">
        <f>IF(OR(C45&lt;&gt;0,D45&lt;&gt;0),SUM(C$3:C45)-SUM(D$3:D45),0)</f>
        <v>4152700</v>
      </c>
      <c r="F45" s="5"/>
    </row>
    <row r="46" spans="1:6" ht="15.75" x14ac:dyDescent="0.25">
      <c r="A46" s="57"/>
      <c r="B46" s="5" t="s">
        <v>1318</v>
      </c>
      <c r="C46" s="5"/>
      <c r="D46" s="6">
        <v>1000000</v>
      </c>
      <c r="E46" s="26">
        <f>IF(OR(C46&lt;&gt;0,D46&lt;&gt;0),SUM(C$3:C46)-SUM(D$3:D46),0)</f>
        <v>3152700</v>
      </c>
      <c r="F46" s="5"/>
    </row>
    <row r="47" spans="1:6" ht="15.75" x14ac:dyDescent="0.25">
      <c r="A47" s="57"/>
      <c r="B47" s="5" t="s">
        <v>345</v>
      </c>
      <c r="C47" s="5"/>
      <c r="D47" s="6">
        <v>15000</v>
      </c>
      <c r="E47" s="26">
        <f>IF(OR(C47&lt;&gt;0,D47&lt;&gt;0),SUM(C$3:C47)-SUM(D$3:D47),0)</f>
        <v>3137700</v>
      </c>
      <c r="F47" s="5"/>
    </row>
    <row r="48" spans="1:6" ht="15.75" x14ac:dyDescent="0.25">
      <c r="A48" s="57"/>
      <c r="B48" s="5" t="s">
        <v>1438</v>
      </c>
      <c r="C48" s="6"/>
      <c r="D48" s="6">
        <v>100000</v>
      </c>
      <c r="E48" s="26">
        <f>IF(OR(C48&lt;&gt;0,D48&lt;&gt;0),SUM(C$3:C48)-SUM(D$3:D48),0)</f>
        <v>3037700</v>
      </c>
      <c r="F48" s="5"/>
    </row>
    <row r="49" spans="1:7" ht="15.75" x14ac:dyDescent="0.25">
      <c r="A49" s="57"/>
      <c r="B49" s="5" t="s">
        <v>684</v>
      </c>
      <c r="C49" s="5"/>
      <c r="D49" s="6">
        <v>1000000</v>
      </c>
      <c r="E49" s="26">
        <f>IF(OR(C49&lt;&gt;0,D49&lt;&gt;0),SUM(C$3:C49)-SUM(D$3:D49),0)</f>
        <v>2037700</v>
      </c>
      <c r="F49" s="5"/>
    </row>
    <row r="50" spans="1:7" ht="15.75" x14ac:dyDescent="0.25">
      <c r="A50" s="57"/>
      <c r="B50" s="5" t="s">
        <v>474</v>
      </c>
      <c r="C50" s="5"/>
      <c r="D50" s="6">
        <v>63000</v>
      </c>
      <c r="E50" s="26">
        <f>IF(OR(C50&lt;&gt;0,D50&lt;&gt;0),SUM(C$3:C50)-SUM(D$3:D50),0)</f>
        <v>1974700</v>
      </c>
      <c r="F50" s="5"/>
    </row>
    <row r="51" spans="1:7" ht="15.75" x14ac:dyDescent="0.25">
      <c r="A51" s="57"/>
      <c r="B51" s="5" t="s">
        <v>7</v>
      </c>
      <c r="C51" s="6">
        <v>1808000</v>
      </c>
      <c r="D51" s="5"/>
      <c r="E51" s="26">
        <f>IF(OR(C51&lt;&gt;0,D51&lt;&gt;0),SUM(C$3:C51)-SUM(D$3:D51),0)</f>
        <v>3782700</v>
      </c>
      <c r="F51" s="5"/>
    </row>
    <row r="52" spans="1:7" ht="15.75" x14ac:dyDescent="0.25">
      <c r="A52" s="57"/>
      <c r="B52" s="5" t="s">
        <v>1439</v>
      </c>
      <c r="C52" s="5"/>
      <c r="D52" s="6">
        <v>3000</v>
      </c>
      <c r="E52" s="26">
        <f>IF(OR(C52&lt;&gt;0,D52&lt;&gt;0),SUM(C$3:C52)-SUM(D$3:D52),0)</f>
        <v>3779700</v>
      </c>
      <c r="F52" s="5"/>
    </row>
    <row r="53" spans="1:7" ht="15.75" x14ac:dyDescent="0.25">
      <c r="A53" s="57"/>
      <c r="B53" s="5" t="s">
        <v>1440</v>
      </c>
      <c r="C53" s="5"/>
      <c r="D53" s="6">
        <v>23000</v>
      </c>
      <c r="E53" s="26">
        <f>IF(OR(C53&lt;&gt;0,D53&lt;&gt;0),SUM(C$3:C53)-SUM(D$3:D53),0)</f>
        <v>3756700</v>
      </c>
      <c r="F53" s="5"/>
    </row>
    <row r="54" spans="1:7" ht="15.75" x14ac:dyDescent="0.25">
      <c r="A54" s="57"/>
      <c r="B54" s="5" t="s">
        <v>1441</v>
      </c>
      <c r="C54" s="5"/>
      <c r="D54" s="6">
        <v>8000</v>
      </c>
      <c r="E54" s="26">
        <f>IF(OR(C54&lt;&gt;0,D54&lt;&gt;0),SUM(C$3:C54)-SUM(D$3:D54),0)</f>
        <v>3748700</v>
      </c>
      <c r="F54" s="5"/>
    </row>
    <row r="55" spans="1:7" ht="15.75" x14ac:dyDescent="0.25">
      <c r="A55" s="57"/>
      <c r="B55" s="5" t="s">
        <v>513</v>
      </c>
      <c r="C55" s="5"/>
      <c r="D55" s="6">
        <v>11000</v>
      </c>
      <c r="E55" s="26">
        <f>IF(OR(C55&lt;&gt;0,D55&lt;&gt;0),SUM(C$3:C55)-SUM(D$3:D55),0)</f>
        <v>3737700</v>
      </c>
      <c r="F55" s="5"/>
    </row>
    <row r="56" spans="1:7" ht="15.75" x14ac:dyDescent="0.25">
      <c r="A56" s="57"/>
      <c r="B56" s="5" t="s">
        <v>1442</v>
      </c>
      <c r="C56" s="5"/>
      <c r="D56" s="6">
        <v>100000</v>
      </c>
      <c r="E56" s="26">
        <f>IF(OR(C56&lt;&gt;0,D56&lt;&gt;0),SUM(C$3:C56)-SUM(D$3:D56),0)</f>
        <v>3637700</v>
      </c>
      <c r="F56" s="5"/>
      <c r="G56" s="3">
        <f>1599200-E56</f>
        <v>-2038500</v>
      </c>
    </row>
    <row r="57" spans="1:7" ht="15.75" x14ac:dyDescent="0.25">
      <c r="A57" s="57"/>
      <c r="B57" s="5" t="s">
        <v>1443</v>
      </c>
      <c r="C57" s="5"/>
      <c r="D57" s="6">
        <v>74500</v>
      </c>
      <c r="E57" s="26">
        <f>IF(OR(C57&lt;&gt;0,D57&lt;&gt;0),SUM(C$3:C57)-SUM(D$3:D57),0)</f>
        <v>3563200</v>
      </c>
      <c r="F57" s="5"/>
    </row>
    <row r="58" spans="1:7" ht="15.75" x14ac:dyDescent="0.25">
      <c r="A58" s="57"/>
      <c r="B58" s="5" t="s">
        <v>1444</v>
      </c>
      <c r="C58" s="5"/>
      <c r="D58" s="6">
        <v>250000</v>
      </c>
      <c r="E58" s="26">
        <f>IF(OR(C58&lt;&gt;0,D58&lt;&gt;0),SUM(C$3:C58)-SUM(D$3:D58),0)</f>
        <v>3313200</v>
      </c>
      <c r="F58" s="5"/>
    </row>
    <row r="59" spans="1:7" ht="15.75" x14ac:dyDescent="0.25">
      <c r="A59" s="57"/>
      <c r="B59" s="5" t="s">
        <v>12</v>
      </c>
      <c r="C59" s="5"/>
      <c r="D59" s="6">
        <v>23000</v>
      </c>
      <c r="E59" s="26">
        <f>IF(OR(C59&lt;&gt;0,D59&lt;&gt;0),SUM(C$3:C59)-SUM(D$3:D59),0)</f>
        <v>3290200</v>
      </c>
      <c r="F59" s="5"/>
      <c r="G59" s="3">
        <f>1599200-E59</f>
        <v>-1691000</v>
      </c>
    </row>
    <row r="60" spans="1:7" ht="15.75" x14ac:dyDescent="0.25">
      <c r="A60" s="57"/>
      <c r="B60" s="5" t="s">
        <v>1445</v>
      </c>
      <c r="C60" s="5"/>
      <c r="D60" s="6">
        <v>70000</v>
      </c>
      <c r="E60" s="26">
        <f>IF(OR(C60&lt;&gt;0,D60&lt;&gt;0),SUM(C$3:C60)-SUM(D$3:D60),0)</f>
        <v>3220200</v>
      </c>
      <c r="F60" s="5"/>
    </row>
    <row r="61" spans="1:7" ht="15.75" x14ac:dyDescent="0.25">
      <c r="A61" s="57"/>
      <c r="B61" s="5" t="s">
        <v>1446</v>
      </c>
      <c r="C61" s="5"/>
      <c r="D61" s="6">
        <v>835000</v>
      </c>
      <c r="E61" s="26">
        <f>IF(OR(C61&lt;&gt;0,D61&lt;&gt;0),SUM(C$3:C61)-SUM(D$3:D61),0)</f>
        <v>2385200</v>
      </c>
      <c r="F61" s="5"/>
    </row>
    <row r="62" spans="1:7" ht="15.75" x14ac:dyDescent="0.25">
      <c r="A62" s="57"/>
      <c r="B62" s="46" t="s">
        <v>1447</v>
      </c>
      <c r="C62" s="5"/>
      <c r="D62" s="6">
        <v>500000</v>
      </c>
      <c r="E62" s="26">
        <f>IF(OR(C62&lt;&gt;0,D62&lt;&gt;0),SUM(C$3:C62)-SUM(D$3:D62),0)</f>
        <v>1885200</v>
      </c>
      <c r="F62" s="5"/>
      <c r="G62" s="3">
        <f>1599200-E62</f>
        <v>-286000</v>
      </c>
    </row>
    <row r="63" spans="1:7" ht="15.75" x14ac:dyDescent="0.25">
      <c r="A63" s="57"/>
      <c r="B63" s="5" t="s">
        <v>1484</v>
      </c>
      <c r="C63" s="5"/>
      <c r="D63" s="6">
        <v>350000</v>
      </c>
      <c r="E63" s="26">
        <f>IF(OR(C63&lt;&gt;0,D63&lt;&gt;0),SUM(C$3:C63)-SUM(D$3:D63),0)</f>
        <v>1535200</v>
      </c>
      <c r="F63" s="5"/>
    </row>
    <row r="64" spans="1:7" ht="15.75" x14ac:dyDescent="0.25">
      <c r="A64" s="57"/>
      <c r="B64" s="5" t="s">
        <v>1485</v>
      </c>
      <c r="C64" s="5"/>
      <c r="D64" s="6">
        <v>350000</v>
      </c>
      <c r="E64" s="26">
        <f>IF(OR(C64&lt;&gt;0,D64&lt;&gt;0),SUM(C$3:C64)-SUM(D$3:D64),0)</f>
        <v>1185200</v>
      </c>
      <c r="F64" s="5"/>
    </row>
    <row r="65" spans="1:7" ht="15.75" x14ac:dyDescent="0.25">
      <c r="A65" s="57"/>
      <c r="B65" s="5" t="s">
        <v>1486</v>
      </c>
      <c r="C65" s="5"/>
      <c r="D65" s="6">
        <v>550000</v>
      </c>
      <c r="E65" s="26">
        <f>IF(OR(C65&lt;&gt;0,D65&lt;&gt;0),SUM(C$3:C65)-SUM(D$3:D65),0)</f>
        <v>635200</v>
      </c>
      <c r="F65" s="5"/>
    </row>
    <row r="66" spans="1:7" ht="15.75" x14ac:dyDescent="0.25">
      <c r="A66" s="57"/>
      <c r="B66" s="5" t="s">
        <v>1480</v>
      </c>
      <c r="C66" s="5"/>
      <c r="D66" s="6">
        <v>200000</v>
      </c>
      <c r="E66" s="26">
        <f>IF(OR(C66&lt;&gt;0,D66&lt;&gt;0),SUM(C$3:C66)-SUM(D$3:D66),0)</f>
        <v>435200</v>
      </c>
      <c r="F66" s="5"/>
    </row>
    <row r="67" spans="1:7" ht="15.75" x14ac:dyDescent="0.25">
      <c r="A67" s="57"/>
      <c r="B67" s="5" t="s">
        <v>1481</v>
      </c>
      <c r="C67" s="5"/>
      <c r="D67" s="6">
        <v>175000</v>
      </c>
      <c r="E67" s="26">
        <f>IF(OR(C67&lt;&gt;0,D67&lt;&gt;0),SUM(C$3:C67)-SUM(D$3:D67),0)</f>
        <v>260200</v>
      </c>
      <c r="F67" s="5"/>
    </row>
    <row r="68" spans="1:7" ht="15.75" x14ac:dyDescent="0.25">
      <c r="A68" s="57"/>
      <c r="B68" s="5" t="s">
        <v>1482</v>
      </c>
      <c r="C68" s="5"/>
      <c r="D68" s="6">
        <v>36000</v>
      </c>
      <c r="E68" s="26">
        <f>IF(OR(C68&lt;&gt;0,D68&lt;&gt;0),SUM(C$3:C68)-SUM(D$3:D68),0)</f>
        <v>224200</v>
      </c>
      <c r="F68" s="5"/>
    </row>
    <row r="69" spans="1:7" ht="15.75" x14ac:dyDescent="0.25">
      <c r="A69" s="57"/>
      <c r="B69" s="5" t="s">
        <v>1483</v>
      </c>
      <c r="C69" s="5"/>
      <c r="D69" s="6">
        <v>20000</v>
      </c>
      <c r="E69" s="26">
        <f>IF(OR(C69&lt;&gt;0,D69&lt;&gt;0),SUM(C$3:C69)-SUM(D$3:D69),0)</f>
        <v>204200</v>
      </c>
      <c r="F69" s="5"/>
    </row>
    <row r="70" spans="1:7" ht="15.75" x14ac:dyDescent="0.25">
      <c r="A70" s="59">
        <v>45555</v>
      </c>
      <c r="B70" s="5" t="s">
        <v>1487</v>
      </c>
      <c r="C70" s="6"/>
      <c r="D70" s="25">
        <v>25960</v>
      </c>
      <c r="E70" s="26">
        <f>IF(OR(C70&lt;&gt;0,D70&lt;&gt;0),SUM(C$3:C70)-SUM(D$3:D70),0)</f>
        <v>178240</v>
      </c>
      <c r="F70" s="5"/>
    </row>
    <row r="71" spans="1:7" ht="15.75" x14ac:dyDescent="0.25">
      <c r="A71" s="59"/>
      <c r="B71" s="5" t="s">
        <v>7</v>
      </c>
      <c r="C71" s="25">
        <v>1031000</v>
      </c>
      <c r="D71" s="6"/>
      <c r="E71" s="26">
        <f>IF(OR(C71&lt;&gt;0,D71&lt;&gt;0),SUM(C$3:C71)-SUM(D$3:D71),0)</f>
        <v>1209240</v>
      </c>
      <c r="F71" s="5"/>
    </row>
    <row r="72" spans="1:7" ht="15.75" x14ac:dyDescent="0.25">
      <c r="A72" s="59"/>
      <c r="B72" s="5" t="s">
        <v>67</v>
      </c>
      <c r="C72" s="6"/>
      <c r="D72" s="6">
        <v>53000</v>
      </c>
      <c r="E72" s="26">
        <f>IF(OR(C72&lt;&gt;0,D72&lt;&gt;0),SUM(C$3:C72)-SUM(D$3:D72),0)</f>
        <v>1156240</v>
      </c>
      <c r="F72" s="5"/>
      <c r="G72" s="3">
        <f>996000-E72</f>
        <v>-160240</v>
      </c>
    </row>
    <row r="73" spans="1:7" ht="15.75" x14ac:dyDescent="0.25">
      <c r="A73" s="59"/>
      <c r="B73" s="5" t="s">
        <v>1488</v>
      </c>
      <c r="C73" s="6"/>
      <c r="D73" s="6">
        <v>28875</v>
      </c>
      <c r="E73" s="26">
        <f>IF(OR(C73&lt;&gt;0,D73&lt;&gt;0),SUM(C$3:C73)-SUM(D$3:D73),0)</f>
        <v>1127365</v>
      </c>
      <c r="F73" s="5"/>
      <c r="G73" s="3">
        <f>996000-E73</f>
        <v>-131365</v>
      </c>
    </row>
    <row r="74" spans="1:7" ht="15.75" x14ac:dyDescent="0.25">
      <c r="A74" s="59"/>
      <c r="B74" s="5" t="s">
        <v>654</v>
      </c>
      <c r="C74" s="5"/>
      <c r="D74" s="6">
        <v>500000</v>
      </c>
      <c r="E74" s="26">
        <f>IF(OR(C74&lt;&gt;0,D74&lt;&gt;0),SUM(C$3:C74)-SUM(D$3:D74),0)</f>
        <v>627365</v>
      </c>
      <c r="F74" s="5"/>
    </row>
    <row r="75" spans="1:7" ht="15.75" x14ac:dyDescent="0.25">
      <c r="A75" s="59"/>
      <c r="B75" s="5" t="s">
        <v>643</v>
      </c>
      <c r="C75" s="5"/>
      <c r="D75" s="6">
        <v>105500</v>
      </c>
      <c r="E75" s="26">
        <f>IF(OR(C75&lt;&gt;0,D75&lt;&gt;0),SUM(C$3:C75)-SUM(D$3:D75),0)</f>
        <v>521865</v>
      </c>
      <c r="F75" s="5"/>
    </row>
    <row r="76" spans="1:7" ht="15.75" x14ac:dyDescent="0.25">
      <c r="A76" s="59"/>
      <c r="B76" s="5" t="s">
        <v>1436</v>
      </c>
      <c r="C76" s="5"/>
      <c r="D76" s="6">
        <v>150000</v>
      </c>
      <c r="E76" s="26">
        <f>IF(OR(C76&lt;&gt;0,D76&lt;&gt;0),SUM(C$3:C76)-SUM(D$3:D76),0)</f>
        <v>371865</v>
      </c>
      <c r="F76" s="5"/>
      <c r="G76" s="3">
        <f>841200-E76</f>
        <v>469335</v>
      </c>
    </row>
    <row r="77" spans="1:7" ht="15.75" x14ac:dyDescent="0.25">
      <c r="A77" s="59"/>
      <c r="B77" s="5" t="s">
        <v>7</v>
      </c>
      <c r="C77" s="6">
        <v>1170000</v>
      </c>
      <c r="D77" s="6"/>
      <c r="E77" s="26">
        <f>IF(OR(C77&lt;&gt;0,D77&lt;&gt;0),SUM(C$3:C77)-SUM(D$3:D77),0)</f>
        <v>1541865</v>
      </c>
      <c r="F77" s="5"/>
    </row>
    <row r="78" spans="1:7" ht="15.75" x14ac:dyDescent="0.25">
      <c r="A78" s="59"/>
      <c r="B78" s="5" t="s">
        <v>1489</v>
      </c>
      <c r="C78" s="5"/>
      <c r="D78" s="6">
        <v>100000</v>
      </c>
      <c r="E78" s="26">
        <f>IF(OR(C78&lt;&gt;0,D78&lt;&gt;0),SUM(C$3:C78)-SUM(D$3:D78),0)</f>
        <v>1441865</v>
      </c>
      <c r="F78" s="5"/>
      <c r="G78" s="3">
        <f>1941200-E78</f>
        <v>499335</v>
      </c>
    </row>
    <row r="79" spans="1:7" ht="15.75" x14ac:dyDescent="0.25">
      <c r="A79" s="59">
        <v>45556</v>
      </c>
      <c r="B79" s="5" t="s">
        <v>1490</v>
      </c>
      <c r="C79" s="5"/>
      <c r="D79" s="6">
        <v>100000</v>
      </c>
      <c r="E79" s="26">
        <f>IF(OR(C79&lt;&gt;0,D79&lt;&gt;0),SUM(C$3:C79)-SUM(D$3:D79),0)</f>
        <v>1341865</v>
      </c>
      <c r="F79" s="5"/>
    </row>
    <row r="80" spans="1:7" ht="15.75" x14ac:dyDescent="0.25">
      <c r="A80" s="59"/>
      <c r="B80" s="5" t="s">
        <v>1491</v>
      </c>
      <c r="C80" s="5"/>
      <c r="D80" s="6">
        <v>1000000</v>
      </c>
      <c r="E80" s="26">
        <f>IF(OR(C80&lt;&gt;0,D80&lt;&gt;0),SUM(C$3:C80)-SUM(D$3:D80),0)</f>
        <v>341865</v>
      </c>
      <c r="F80" s="5"/>
    </row>
    <row r="81" spans="1:8" ht="15.75" x14ac:dyDescent="0.25">
      <c r="A81" s="59"/>
      <c r="B81" s="5" t="s">
        <v>1492</v>
      </c>
      <c r="C81" s="5"/>
      <c r="D81" s="6">
        <v>56500</v>
      </c>
      <c r="E81" s="26">
        <f>IF(OR(C81&lt;&gt;0,D81&lt;&gt;0),SUM(C$3:C81)-SUM(D$3:D81),0)</f>
        <v>285365</v>
      </c>
      <c r="F81" s="5"/>
    </row>
    <row r="82" spans="1:8" ht="15.75" x14ac:dyDescent="0.25">
      <c r="A82" s="59"/>
      <c r="B82" s="5" t="s">
        <v>1493</v>
      </c>
      <c r="C82" s="5"/>
      <c r="D82" s="6">
        <v>27000</v>
      </c>
      <c r="E82" s="26">
        <f>IF(OR(C82&lt;&gt;0,D82&lt;&gt;0),SUM(C$3:C82)-SUM(D$3:D82),0)</f>
        <v>258365</v>
      </c>
      <c r="F82" s="5"/>
      <c r="H82" s="3"/>
    </row>
    <row r="83" spans="1:8" ht="15.75" x14ac:dyDescent="0.25">
      <c r="A83" s="59"/>
      <c r="B83" s="5" t="s">
        <v>1502</v>
      </c>
      <c r="C83" s="5"/>
      <c r="D83" s="6">
        <v>30030</v>
      </c>
      <c r="E83" s="26">
        <f>IF(OR(C83&lt;&gt;0,D83&lt;&gt;0),SUM(C$3:C83)-SUM(D$3:D83),0)</f>
        <v>228335</v>
      </c>
      <c r="F83" s="5"/>
    </row>
    <row r="84" spans="1:8" ht="15.75" x14ac:dyDescent="0.25">
      <c r="A84" s="59"/>
      <c r="B84" s="5" t="s">
        <v>1494</v>
      </c>
      <c r="C84" s="5"/>
      <c r="D84" s="6">
        <v>7000</v>
      </c>
      <c r="E84" s="26">
        <f>IF(OR(C84&lt;&gt;0,D84&lt;&gt;0),SUM(C$3:C84)-SUM(D$3:D84),0)</f>
        <v>221335</v>
      </c>
      <c r="F84" s="5"/>
    </row>
    <row r="85" spans="1:8" ht="15.75" x14ac:dyDescent="0.25">
      <c r="A85" s="59"/>
      <c r="B85" s="5" t="s">
        <v>1494</v>
      </c>
      <c r="C85" s="5"/>
      <c r="D85" s="6">
        <v>7000</v>
      </c>
      <c r="E85" s="26">
        <f>IF(OR(C85&lt;&gt;0,D85&lt;&gt;0),SUM(C$3:C85)-SUM(D$3:D85),0)</f>
        <v>214335</v>
      </c>
      <c r="F85" s="5"/>
    </row>
    <row r="86" spans="1:8" ht="15.75" x14ac:dyDescent="0.25">
      <c r="A86" s="59"/>
      <c r="B86" s="5" t="s">
        <v>1494</v>
      </c>
      <c r="C86" s="5"/>
      <c r="D86" s="6">
        <v>12000</v>
      </c>
      <c r="E86" s="26">
        <f>IF(OR(C86&lt;&gt;0,D86&lt;&gt;0),SUM(C$3:C86)-SUM(D$3:D86),0)</f>
        <v>202335</v>
      </c>
      <c r="F86" s="5"/>
    </row>
    <row r="87" spans="1:8" ht="15.75" x14ac:dyDescent="0.25">
      <c r="A87" s="59"/>
      <c r="B87" s="5" t="s">
        <v>1495</v>
      </c>
      <c r="C87" s="5"/>
      <c r="D87" s="6">
        <v>595000</v>
      </c>
      <c r="E87" s="26">
        <f>IF(OR(C87&lt;&gt;0,D87&lt;&gt;0),SUM(C$3:C87)-SUM(D$3:D87),0)</f>
        <v>-392665</v>
      </c>
      <c r="F87" s="5"/>
      <c r="H87" s="3" t="e">
        <f>1463000+#REF!+240000</f>
        <v>#REF!</v>
      </c>
    </row>
    <row r="88" spans="1:8" ht="15.75" x14ac:dyDescent="0.25">
      <c r="A88" s="59"/>
      <c r="B88" s="5" t="s">
        <v>1496</v>
      </c>
      <c r="C88" s="5"/>
      <c r="D88" s="6">
        <v>2000</v>
      </c>
      <c r="E88" s="26">
        <f>IF(OR(C88&lt;&gt;0,D88&lt;&gt;0),SUM(C$3:C88)-SUM(D$3:D88),0)</f>
        <v>-394665</v>
      </c>
      <c r="F88" s="5"/>
    </row>
    <row r="89" spans="1:8" ht="15.75" x14ac:dyDescent="0.25">
      <c r="A89" s="59"/>
      <c r="B89" s="5" t="s">
        <v>1497</v>
      </c>
      <c r="C89" s="5"/>
      <c r="D89" s="6">
        <v>173800</v>
      </c>
      <c r="E89" s="26">
        <f>IF(OR(C89&lt;&gt;0,D89&lt;&gt;0),SUM(C$3:C89)-SUM(D$3:D89),0)</f>
        <v>-568465</v>
      </c>
      <c r="F89" s="5"/>
    </row>
    <row r="90" spans="1:8" ht="15.75" x14ac:dyDescent="0.25">
      <c r="A90" s="59"/>
      <c r="B90" s="5" t="s">
        <v>7</v>
      </c>
      <c r="C90" s="6">
        <v>770800</v>
      </c>
      <c r="D90" s="6"/>
      <c r="E90" s="26">
        <f>IF(OR(C90&lt;&gt;0,D90&lt;&gt;0),SUM(C$3:C90)-SUM(D$3:D90),0)</f>
        <v>202335</v>
      </c>
      <c r="F90" s="5"/>
    </row>
    <row r="91" spans="1:8" ht="15.75" x14ac:dyDescent="0.25">
      <c r="A91" s="59"/>
      <c r="B91" s="5" t="s">
        <v>1414</v>
      </c>
      <c r="C91" s="5"/>
      <c r="D91" s="6">
        <v>20000</v>
      </c>
      <c r="E91" s="26">
        <f>IF(OR(C91&lt;&gt;0,D91&lt;&gt;0),SUM(C$3:C91)-SUM(D$3:D91),0)</f>
        <v>182335</v>
      </c>
      <c r="F91" s="5"/>
    </row>
    <row r="92" spans="1:8" ht="15.75" x14ac:dyDescent="0.25">
      <c r="A92" s="59"/>
      <c r="B92" s="5" t="s">
        <v>27</v>
      </c>
      <c r="C92" s="5"/>
      <c r="D92" s="6">
        <v>200000</v>
      </c>
      <c r="E92" s="26">
        <f>IF(OR(C92&lt;&gt;0,D92&lt;&gt;0),SUM(C$3:C92)-SUM(D$3:D92),0)</f>
        <v>-17665</v>
      </c>
      <c r="F92" s="5"/>
      <c r="G92" s="3">
        <f>480200-E92</f>
        <v>497865</v>
      </c>
      <c r="H92" s="3">
        <f>223800-E92</f>
        <v>241465</v>
      </c>
    </row>
    <row r="93" spans="1:8" ht="15.75" x14ac:dyDescent="0.25">
      <c r="A93" s="59">
        <v>45558</v>
      </c>
      <c r="B93" s="5" t="s">
        <v>1498</v>
      </c>
      <c r="C93" s="5"/>
      <c r="D93" s="6">
        <v>100000</v>
      </c>
      <c r="E93" s="26">
        <f>IF(OR(C93&lt;&gt;0,D93&lt;&gt;0),SUM(C$3:C93)-SUM(D$3:D93),0)</f>
        <v>-117665</v>
      </c>
      <c r="F93" s="5"/>
      <c r="G93" s="3">
        <f>123800-E93</f>
        <v>241465</v>
      </c>
    </row>
    <row r="94" spans="1:8" ht="15.75" x14ac:dyDescent="0.25">
      <c r="A94" s="59"/>
      <c r="B94" s="5" t="s">
        <v>1501</v>
      </c>
      <c r="C94" s="5"/>
      <c r="D94" s="6">
        <v>40000</v>
      </c>
      <c r="E94" s="26">
        <f>IF(OR(C94&lt;&gt;0,D94&lt;&gt;0),SUM(C$3:C94)-SUM(D$3:D94),0)</f>
        <v>-157665</v>
      </c>
      <c r="F94" s="5"/>
    </row>
    <row r="95" spans="1:8" ht="15.75" x14ac:dyDescent="0.25">
      <c r="A95" s="59"/>
      <c r="B95" s="5" t="s">
        <v>1499</v>
      </c>
      <c r="C95" s="5"/>
      <c r="D95" s="6">
        <v>16000</v>
      </c>
      <c r="E95" s="26">
        <f>IF(OR(C95&lt;&gt;0,D95&lt;&gt;0),SUM(C$3:C95)-SUM(D$3:D95),0)</f>
        <v>-173665</v>
      </c>
      <c r="F95" s="5"/>
    </row>
    <row r="96" spans="1:8" ht="15.75" x14ac:dyDescent="0.25">
      <c r="A96" s="59"/>
      <c r="B96" s="5" t="s">
        <v>1022</v>
      </c>
      <c r="C96" s="5"/>
      <c r="D96" s="6">
        <v>60000</v>
      </c>
      <c r="E96" s="26">
        <f>IF(OR(C96&lt;&gt;0,D96&lt;&gt;0),SUM(C$3:C96)-SUM(D$3:D96),0)</f>
        <v>-233665</v>
      </c>
      <c r="F96" s="5"/>
    </row>
    <row r="97" spans="1:7" ht="15.75" x14ac:dyDescent="0.25">
      <c r="A97" s="59"/>
      <c r="B97" s="5" t="s">
        <v>1500</v>
      </c>
      <c r="C97" s="5"/>
      <c r="D97" s="6">
        <v>27500</v>
      </c>
      <c r="E97" s="26">
        <f>IF(OR(C97&lt;&gt;0,D97&lt;&gt;0),SUM(C$3:C97)-SUM(D$3:D97),0)</f>
        <v>-261165</v>
      </c>
      <c r="F97" s="5"/>
      <c r="G97" s="3">
        <f>73800-E97</f>
        <v>334965</v>
      </c>
    </row>
    <row r="98" spans="1:7" ht="15.75" x14ac:dyDescent="0.25">
      <c r="A98" s="59"/>
      <c r="B98" s="5" t="s">
        <v>152</v>
      </c>
      <c r="C98" s="5"/>
      <c r="D98" s="6">
        <v>15000</v>
      </c>
      <c r="E98" s="26">
        <f>IF(OR(C98&lt;&gt;0,D98&lt;&gt;0),SUM(C$3:C98)-SUM(D$3:D98),0)</f>
        <v>-276165</v>
      </c>
      <c r="F98" s="5"/>
      <c r="G98" s="3">
        <f>60100-E98</f>
        <v>336265</v>
      </c>
    </row>
    <row r="99" spans="1:7" ht="15.75" x14ac:dyDescent="0.25">
      <c r="A99" s="59"/>
      <c r="B99" s="5" t="s">
        <v>7</v>
      </c>
      <c r="C99" s="6">
        <v>560000</v>
      </c>
      <c r="D99" s="6"/>
      <c r="E99" s="26">
        <f>IF(OR(C99&lt;&gt;0,D99&lt;&gt;0),SUM(C$3:C99)-SUM(D$3:D99),0)</f>
        <v>283835</v>
      </c>
      <c r="F99" s="5"/>
      <c r="G99" s="3">
        <f>60100-E99</f>
        <v>-223735</v>
      </c>
    </row>
    <row r="100" spans="1:7" ht="15.75" x14ac:dyDescent="0.25">
      <c r="A100" s="59"/>
      <c r="B100" s="5" t="s">
        <v>7</v>
      </c>
      <c r="C100" s="6">
        <v>250000</v>
      </c>
      <c r="D100" s="6"/>
      <c r="E100" s="26">
        <f>IF(OR(C100&lt;&gt;0,D100&lt;&gt;0),SUM(C$3:C100)-SUM(D$3:D100),0)</f>
        <v>533835</v>
      </c>
      <c r="F100" s="5"/>
    </row>
    <row r="101" spans="1:7" ht="15.75" x14ac:dyDescent="0.25">
      <c r="A101" s="56">
        <v>45559</v>
      </c>
      <c r="B101" s="5" t="s">
        <v>7</v>
      </c>
      <c r="C101" s="6">
        <v>1000000</v>
      </c>
      <c r="D101" s="6"/>
      <c r="E101" s="26">
        <f>IF(OR(C101&lt;&gt;0,D101&lt;&gt;0),SUM(C$3:C101)-SUM(D$3:D101),0)</f>
        <v>1533835</v>
      </c>
      <c r="F101" s="5"/>
    </row>
    <row r="102" spans="1:7" ht="15.75" x14ac:dyDescent="0.25">
      <c r="A102" s="57"/>
      <c r="B102" s="5" t="s">
        <v>1503</v>
      </c>
      <c r="C102" s="5"/>
      <c r="D102" s="6">
        <v>45000</v>
      </c>
      <c r="E102" s="26">
        <f>IF(OR(C102&lt;&gt;0,D102&lt;&gt;0),SUM(C$3:C102)-SUM(D$3:D102),0)</f>
        <v>1488835</v>
      </c>
      <c r="F102" s="5"/>
    </row>
    <row r="103" spans="1:7" ht="15.75" x14ac:dyDescent="0.25">
      <c r="A103" s="57"/>
      <c r="B103" s="5" t="s">
        <v>1504</v>
      </c>
      <c r="C103" s="5"/>
      <c r="D103" s="6">
        <v>45000</v>
      </c>
      <c r="E103" s="26">
        <f>IF(OR(C103&lt;&gt;0,D103&lt;&gt;0),SUM(C$3:C103)-SUM(D$3:D103),0)</f>
        <v>1443835</v>
      </c>
      <c r="F103" s="5"/>
    </row>
    <row r="104" spans="1:7" ht="15.75" x14ac:dyDescent="0.25">
      <c r="A104" s="57"/>
      <c r="B104" s="5" t="s">
        <v>1505</v>
      </c>
      <c r="C104" s="5"/>
      <c r="D104" s="6">
        <v>100000</v>
      </c>
      <c r="E104" s="26">
        <f>IF(OR(C104&lt;&gt;0,D104&lt;&gt;0),SUM(C$3:C104)-SUM(D$3:D104),0)</f>
        <v>1343835</v>
      </c>
      <c r="F104" s="5"/>
    </row>
    <row r="105" spans="1:7" ht="15.75" x14ac:dyDescent="0.25">
      <c r="A105" s="57"/>
      <c r="B105" s="5" t="s">
        <v>326</v>
      </c>
      <c r="C105" s="5"/>
      <c r="D105" s="6">
        <v>250000</v>
      </c>
      <c r="E105" s="26">
        <f>IF(OR(C105&lt;&gt;0,D105&lt;&gt;0),SUM(C$3:C105)-SUM(D$3:D105),0)</f>
        <v>1093835</v>
      </c>
      <c r="F105" s="5"/>
    </row>
    <row r="106" spans="1:7" ht="15.75" x14ac:dyDescent="0.25">
      <c r="A106" s="57"/>
      <c r="B106" s="5" t="s">
        <v>1506</v>
      </c>
      <c r="C106" s="5"/>
      <c r="D106" s="6">
        <v>35000</v>
      </c>
      <c r="E106" s="26">
        <f>IF(OR(C106&lt;&gt;0,D106&lt;&gt;0),SUM(C$3:C106)-SUM(D$3:D106),0)</f>
        <v>1058835</v>
      </c>
      <c r="F106" s="5"/>
    </row>
    <row r="107" spans="1:7" ht="15.75" x14ac:dyDescent="0.25">
      <c r="A107" s="58"/>
      <c r="B107" s="5" t="s">
        <v>387</v>
      </c>
      <c r="C107" s="6"/>
      <c r="D107" s="6">
        <v>6000</v>
      </c>
      <c r="E107" s="26">
        <f>IF(OR(C107&lt;&gt;0,D107&lt;&gt;0),SUM(C$3:C107)-SUM(D$3:D107),0)</f>
        <v>1052835</v>
      </c>
      <c r="F107" s="5"/>
      <c r="G107" s="3">
        <f>839200-E107</f>
        <v>-213635</v>
      </c>
    </row>
    <row r="108" spans="1:7" ht="15.75" x14ac:dyDescent="0.25">
      <c r="A108" s="47">
        <v>45562</v>
      </c>
      <c r="B108" s="39" t="s">
        <v>675</v>
      </c>
      <c r="C108" s="39"/>
      <c r="D108" s="8">
        <v>200000</v>
      </c>
      <c r="E108" s="33">
        <f>IF(OR(C108&lt;&gt;0,D108&lt;&gt;0),SUM(C$3:C108)-SUM(D$3:D108),0)</f>
        <v>852835</v>
      </c>
      <c r="F108" s="39"/>
      <c r="G108" s="3">
        <f>739200-E108</f>
        <v>-113635</v>
      </c>
    </row>
    <row r="109" spans="1:7" ht="15.75" x14ac:dyDescent="0.25">
      <c r="A109" s="70">
        <v>45563</v>
      </c>
      <c r="B109" s="39" t="s">
        <v>387</v>
      </c>
      <c r="C109" s="1"/>
      <c r="D109" s="8">
        <v>30000</v>
      </c>
      <c r="E109" s="33">
        <f>IF(OR(C109&lt;&gt;0,D109&lt;&gt;0),SUM(C$3:C109)-SUM(D$3:D109),0)</f>
        <v>822835</v>
      </c>
      <c r="F109" s="1"/>
      <c r="G109" s="3">
        <f>709200-E109</f>
        <v>-113635</v>
      </c>
    </row>
    <row r="110" spans="1:7" ht="15.75" x14ac:dyDescent="0.25">
      <c r="A110" s="71"/>
      <c r="B110" s="39" t="s">
        <v>1516</v>
      </c>
      <c r="C110" s="1"/>
      <c r="D110" s="8">
        <v>105000</v>
      </c>
      <c r="E110" s="33">
        <f>IF(OR(C110&lt;&gt;0,D110&lt;&gt;0),SUM(C$3:C110)-SUM(D$3:D110),0)</f>
        <v>717835</v>
      </c>
      <c r="F110" s="1"/>
    </row>
    <row r="111" spans="1:7" ht="15.75" x14ac:dyDescent="0.25">
      <c r="A111" s="71"/>
      <c r="B111" s="39" t="s">
        <v>1517</v>
      </c>
      <c r="C111" s="1"/>
      <c r="D111" s="8">
        <v>13000</v>
      </c>
      <c r="E111" s="33">
        <f>IF(OR(C111&lt;&gt;0,D111&lt;&gt;0),SUM(C$3:C111)-SUM(D$3:D111),0)</f>
        <v>704835</v>
      </c>
      <c r="F111" s="1"/>
    </row>
    <row r="112" spans="1:7" ht="15.75" x14ac:dyDescent="0.25">
      <c r="A112" s="71"/>
      <c r="B112" s="39" t="s">
        <v>1518</v>
      </c>
      <c r="C112" s="1"/>
      <c r="D112" s="8">
        <v>30000</v>
      </c>
      <c r="E112" s="33">
        <f>IF(OR(C112&lt;&gt;0,D112&lt;&gt;0),SUM(C$3:C112)-SUM(D$3:D112),0)</f>
        <v>674835</v>
      </c>
      <c r="F112" s="1"/>
    </row>
    <row r="113" spans="1:7" ht="15.75" x14ac:dyDescent="0.25">
      <c r="A113" s="71"/>
      <c r="B113" s="39" t="s">
        <v>1530</v>
      </c>
      <c r="C113" s="8"/>
      <c r="D113" s="8">
        <v>9500</v>
      </c>
      <c r="E113" s="33">
        <f>IF(OR(C113&lt;&gt;0,D113&lt;&gt;0),SUM(C$3:C113)-SUM(D$3:D113),0)</f>
        <v>665335</v>
      </c>
      <c r="F113" s="1"/>
    </row>
    <row r="114" spans="1:7" ht="15.75" x14ac:dyDescent="0.25">
      <c r="A114" s="71"/>
      <c r="B114" s="39" t="s">
        <v>1519</v>
      </c>
      <c r="C114" s="1"/>
      <c r="D114" s="8">
        <v>150000</v>
      </c>
      <c r="E114" s="33">
        <f>IF(OR(C114&lt;&gt;0,D114&lt;&gt;0),SUM(C$3:C114)-SUM(D$3:D114),0)</f>
        <v>515335</v>
      </c>
      <c r="F114" s="1"/>
    </row>
    <row r="115" spans="1:7" ht="15.75" x14ac:dyDescent="0.25">
      <c r="A115" s="72"/>
      <c r="B115" s="39" t="s">
        <v>1521</v>
      </c>
      <c r="C115" s="1"/>
      <c r="D115" s="8">
        <v>200000</v>
      </c>
      <c r="E115" s="33">
        <f>IF(OR(C115&lt;&gt;0,D115&lt;&gt;0),SUM(C$3:C115)-SUM(D$3:D115),0)</f>
        <v>315335</v>
      </c>
      <c r="F115" s="1"/>
    </row>
    <row r="116" spans="1:7" ht="15.75" x14ac:dyDescent="0.25">
      <c r="A116" s="70">
        <v>45565</v>
      </c>
      <c r="B116" s="39" t="s">
        <v>1520</v>
      </c>
      <c r="C116" s="1"/>
      <c r="D116" s="8">
        <v>94000</v>
      </c>
      <c r="E116" s="33">
        <f>IF(OR(C116&lt;&gt;0,D116&lt;&gt;0),SUM(C$3:C116)-SUM(D$3:D116),0)</f>
        <v>221335</v>
      </c>
      <c r="F116" s="1"/>
      <c r="G116" s="3">
        <f>116900-E116</f>
        <v>-104435</v>
      </c>
    </row>
    <row r="117" spans="1:7" ht="15.75" x14ac:dyDescent="0.25">
      <c r="A117" s="71"/>
      <c r="B117" s="39" t="s">
        <v>1522</v>
      </c>
      <c r="C117" s="1"/>
      <c r="D117" s="8">
        <v>200000</v>
      </c>
      <c r="E117" s="33">
        <f>IF(OR(C117&lt;&gt;0,D117&lt;&gt;0),SUM(C$3:C117)-SUM(D$3:D117),0)</f>
        <v>21335</v>
      </c>
      <c r="F117" s="1"/>
    </row>
    <row r="118" spans="1:7" ht="15.75" x14ac:dyDescent="0.25">
      <c r="A118" s="71"/>
      <c r="B118" s="39" t="s">
        <v>7</v>
      </c>
      <c r="C118" s="8">
        <v>413000</v>
      </c>
      <c r="D118" s="8"/>
      <c r="E118" s="33">
        <f>IF(OR(C118&lt;&gt;0,D118&lt;&gt;0),SUM(C$3:C118)-SUM(D$3:D118),0)</f>
        <v>434335</v>
      </c>
      <c r="F118" s="1"/>
    </row>
    <row r="119" spans="1:7" ht="15.75" x14ac:dyDescent="0.25">
      <c r="A119" s="71"/>
      <c r="B119" s="39" t="s">
        <v>1523</v>
      </c>
      <c r="C119" s="8"/>
      <c r="D119" s="8">
        <v>350000</v>
      </c>
      <c r="E119" s="33">
        <f>IF(OR(C119&lt;&gt;0,D119&lt;&gt;0),SUM(C$3:C119)-SUM(D$3:D119),0)</f>
        <v>84335</v>
      </c>
      <c r="F119" s="1"/>
    </row>
    <row r="120" spans="1:7" ht="15.75" x14ac:dyDescent="0.25">
      <c r="A120" s="71"/>
      <c r="B120" s="39" t="s">
        <v>1524</v>
      </c>
      <c r="C120" s="1"/>
      <c r="D120" s="8">
        <v>60000</v>
      </c>
      <c r="E120" s="33">
        <f>IF(OR(C120&lt;&gt;0,D120&lt;&gt;0),SUM(C$3:C120)-SUM(D$3:D120),0)</f>
        <v>24335</v>
      </c>
      <c r="F120" s="1"/>
    </row>
    <row r="121" spans="1:7" ht="15.75" x14ac:dyDescent="0.25">
      <c r="A121" s="71"/>
      <c r="B121" s="39" t="s">
        <v>7</v>
      </c>
      <c r="C121" s="8">
        <v>1000000</v>
      </c>
      <c r="D121" s="8"/>
      <c r="E121" s="33">
        <f>IF(OR(C121&lt;&gt;0,D121&lt;&gt;0),SUM(C$3:C121)-SUM(D$3:D121),0)</f>
        <v>1024335</v>
      </c>
      <c r="F121" s="1"/>
    </row>
    <row r="122" spans="1:7" ht="15.75" x14ac:dyDescent="0.25">
      <c r="A122" s="71"/>
      <c r="B122" s="39" t="s">
        <v>1525</v>
      </c>
      <c r="C122" s="1"/>
      <c r="D122" s="8">
        <v>3000</v>
      </c>
      <c r="E122" s="33">
        <f>IF(OR(C122&lt;&gt;0,D122&lt;&gt;0),SUM(C$3:C122)-SUM(D$3:D122),0)</f>
        <v>1021335</v>
      </c>
      <c r="F122" s="1"/>
    </row>
    <row r="123" spans="1:7" ht="15.75" x14ac:dyDescent="0.25">
      <c r="A123" s="71"/>
      <c r="B123" s="39" t="s">
        <v>724</v>
      </c>
      <c r="C123" s="1"/>
      <c r="D123" s="8">
        <v>15000</v>
      </c>
      <c r="E123" s="33">
        <f>IF(OR(C123&lt;&gt;0,D123&lt;&gt;0),SUM(C$3:C123)-SUM(D$3:D123),0)</f>
        <v>1006335</v>
      </c>
      <c r="F123" s="1"/>
    </row>
    <row r="124" spans="1:7" ht="15.75" x14ac:dyDescent="0.25">
      <c r="A124" s="71"/>
      <c r="B124" s="39" t="s">
        <v>1526</v>
      </c>
      <c r="C124" s="1"/>
      <c r="D124" s="8">
        <v>40000</v>
      </c>
      <c r="E124" s="33">
        <f>IF(OR(C124&lt;&gt;0,D124&lt;&gt;0),SUM(C$3:C124)-SUM(D$3:D124),0)</f>
        <v>966335</v>
      </c>
      <c r="F124" s="1"/>
    </row>
    <row r="125" spans="1:7" ht="15.75" x14ac:dyDescent="0.25">
      <c r="A125" s="71"/>
      <c r="B125" s="39" t="s">
        <v>1527</v>
      </c>
      <c r="C125" s="1"/>
      <c r="D125" s="8">
        <v>20000</v>
      </c>
      <c r="E125" s="33">
        <f>IF(OR(C125&lt;&gt;0,D125&lt;&gt;0),SUM(C$3:C125)-SUM(D$3:D125),0)</f>
        <v>946335</v>
      </c>
      <c r="F125" s="1"/>
    </row>
    <row r="126" spans="1:7" ht="15.75" x14ac:dyDescent="0.25">
      <c r="A126" s="71"/>
      <c r="B126" s="39" t="s">
        <v>632</v>
      </c>
      <c r="C126" s="1"/>
      <c r="D126" s="8">
        <v>150000</v>
      </c>
      <c r="E126" s="33">
        <f>IF(OR(C126&lt;&gt;0,D126&lt;&gt;0),SUM(C$3:C126)-SUM(D$3:D126),0)</f>
        <v>796335</v>
      </c>
      <c r="F126" s="1"/>
    </row>
    <row r="127" spans="1:7" ht="15.75" x14ac:dyDescent="0.25">
      <c r="A127" s="71"/>
      <c r="B127" s="39" t="s">
        <v>1528</v>
      </c>
      <c r="C127" s="1"/>
      <c r="D127" s="8">
        <v>120000</v>
      </c>
      <c r="E127" s="33">
        <f>IF(OR(C127&lt;&gt;0,D127&lt;&gt;0),SUM(C$3:C127)-SUM(D$3:D127),0)</f>
        <v>676335</v>
      </c>
      <c r="F127" s="1"/>
    </row>
    <row r="128" spans="1:7" ht="15.75" x14ac:dyDescent="0.25">
      <c r="A128" s="71"/>
      <c r="B128" s="39" t="s">
        <v>1529</v>
      </c>
      <c r="C128" s="1"/>
      <c r="D128" s="8">
        <v>80000</v>
      </c>
      <c r="E128" s="33">
        <f>IF(OR(C128&lt;&gt;0,D128&lt;&gt;0),SUM(C$3:C128)-SUM(D$3:D128),0)</f>
        <v>596335</v>
      </c>
      <c r="F128" s="1"/>
    </row>
    <row r="129" spans="1:7" ht="15.75" x14ac:dyDescent="0.25">
      <c r="A129" s="72"/>
      <c r="B129" s="39" t="s">
        <v>1531</v>
      </c>
      <c r="C129" s="1"/>
      <c r="D129" s="8">
        <v>100000</v>
      </c>
      <c r="E129" s="33">
        <f>IF(OR(C129&lt;&gt;0,D129&lt;&gt;0),SUM(C$3:C129)-SUM(D$3:D129),0)</f>
        <v>496335</v>
      </c>
      <c r="F129" s="1"/>
      <c r="G129" s="3">
        <f>105400+472000-E129</f>
        <v>81065</v>
      </c>
    </row>
    <row r="131" spans="1:7" x14ac:dyDescent="0.25">
      <c r="F131">
        <v>596335</v>
      </c>
    </row>
  </sheetData>
  <mergeCells count="16">
    <mergeCell ref="A15:A32"/>
    <mergeCell ref="A116:A129"/>
    <mergeCell ref="A109:A115"/>
    <mergeCell ref="E1:E2"/>
    <mergeCell ref="F1:F2"/>
    <mergeCell ref="A1:A2"/>
    <mergeCell ref="A93:A100"/>
    <mergeCell ref="A101:A107"/>
    <mergeCell ref="A79:A92"/>
    <mergeCell ref="A70:A78"/>
    <mergeCell ref="A36:A69"/>
    <mergeCell ref="B1:B2"/>
    <mergeCell ref="C1:C2"/>
    <mergeCell ref="D1:D2"/>
    <mergeCell ref="A3:A7"/>
    <mergeCell ref="A8:A14"/>
  </mergeCells>
  <phoneticPr fontId="4" type="noConversion"/>
  <pageMargins left="0.5" right="0.5" top="0.5" bottom="0.5" header="0.5" footer="0.5"/>
  <pageSetup paperSize="14" scale="5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DF13-455A-47ED-B7F0-AA16A0851F4C}">
  <sheetPr codeName="Sheet9">
    <pageSetUpPr fitToPage="1"/>
  </sheetPr>
  <dimension ref="A1:H418"/>
  <sheetViews>
    <sheetView topLeftCell="A244" zoomScaleNormal="100" workbookViewId="0">
      <selection activeCell="E256" sqref="E256"/>
    </sheetView>
  </sheetViews>
  <sheetFormatPr defaultRowHeight="15" x14ac:dyDescent="0.25"/>
  <cols>
    <col min="1" max="1" width="27.7109375" customWidth="1"/>
    <col min="2" max="2" width="27.85546875" customWidth="1"/>
    <col min="3" max="3" width="18.28515625" customWidth="1"/>
    <col min="4" max="4" width="18.42578125" customWidth="1"/>
    <col min="5" max="5" width="28.7109375" customWidth="1"/>
    <col min="6" max="6" width="18.140625" customWidth="1"/>
    <col min="7" max="7" width="17.140625" customWidth="1"/>
    <col min="8" max="8" width="15.5703125" bestFit="1" customWidth="1"/>
    <col min="9" max="9" width="12.85546875" bestFit="1" customWidth="1"/>
  </cols>
  <sheetData>
    <row r="1" spans="1:8" x14ac:dyDescent="0.25">
      <c r="A1" s="62" t="s">
        <v>0</v>
      </c>
      <c r="B1" s="80" t="s">
        <v>5</v>
      </c>
      <c r="C1" s="64" t="s">
        <v>1</v>
      </c>
      <c r="D1" s="64" t="s">
        <v>2</v>
      </c>
      <c r="E1" s="64" t="s">
        <v>3</v>
      </c>
      <c r="F1" s="78" t="s">
        <v>4</v>
      </c>
    </row>
    <row r="2" spans="1:8" x14ac:dyDescent="0.25">
      <c r="A2" s="63"/>
      <c r="B2" s="81"/>
      <c r="C2" s="65"/>
      <c r="D2" s="65"/>
      <c r="E2" s="65"/>
      <c r="F2" s="79"/>
    </row>
    <row r="3" spans="1:8" ht="15.75" x14ac:dyDescent="0.25">
      <c r="A3" s="56">
        <v>45566</v>
      </c>
      <c r="B3" s="27" t="s">
        <v>503</v>
      </c>
      <c r="C3" s="26">
        <v>496335</v>
      </c>
      <c r="D3" s="25"/>
      <c r="E3" s="26">
        <f>IF(OR(C3&lt;&gt;0,D3&lt;&gt;0),SUM(C$3:C3)-SUM(D$3:D3),0)</f>
        <v>496335</v>
      </c>
      <c r="F3" s="19"/>
    </row>
    <row r="4" spans="1:8" ht="15.75" x14ac:dyDescent="0.25">
      <c r="A4" s="57"/>
      <c r="B4" s="27" t="s">
        <v>1532</v>
      </c>
      <c r="C4" s="25"/>
      <c r="D4" s="25">
        <v>600000</v>
      </c>
      <c r="E4" s="26">
        <f>IF(OR(C4&lt;&gt;0,D4&lt;&gt;0),SUM(C$3:C4)-SUM(D$3:D4),0)</f>
        <v>-103665</v>
      </c>
      <c r="F4" s="19"/>
      <c r="H4" s="3"/>
    </row>
    <row r="5" spans="1:8" ht="15.75" x14ac:dyDescent="0.25">
      <c r="A5" s="57"/>
      <c r="B5" s="5" t="s">
        <v>1533</v>
      </c>
      <c r="C5" s="6"/>
      <c r="D5" s="6">
        <v>18000</v>
      </c>
      <c r="E5" s="26">
        <f>IF(OR(C5&lt;&gt;0,D5&lt;&gt;0),SUM(C$3:C5)-SUM(D$3:D5),0)</f>
        <v>-121665</v>
      </c>
      <c r="F5" s="5"/>
      <c r="G5" s="3"/>
    </row>
    <row r="6" spans="1:8" ht="15.75" x14ac:dyDescent="0.25">
      <c r="A6" s="56">
        <v>45567</v>
      </c>
      <c r="B6" s="27" t="s">
        <v>7</v>
      </c>
      <c r="C6" s="6">
        <v>1800000</v>
      </c>
      <c r="D6" s="25"/>
      <c r="E6" s="26">
        <f>IF(OR(C6&lt;&gt;0,D6&lt;&gt;0),SUM(C$3:C6)-SUM(D$3:D6),0)</f>
        <v>1678335</v>
      </c>
      <c r="F6" s="19"/>
    </row>
    <row r="7" spans="1:8" ht="15.75" x14ac:dyDescent="0.25">
      <c r="A7" s="57"/>
      <c r="B7" s="27" t="s">
        <v>1534</v>
      </c>
      <c r="C7" s="6"/>
      <c r="D7" s="6">
        <v>100000</v>
      </c>
      <c r="E7" s="26">
        <f>IF(OR(C7&lt;&gt;0,D7&lt;&gt;0),SUM(C$3:C7)-SUM(D$3:D7),0)</f>
        <v>1578335</v>
      </c>
      <c r="F7" s="19"/>
    </row>
    <row r="8" spans="1:8" ht="15.75" x14ac:dyDescent="0.25">
      <c r="A8" s="57"/>
      <c r="B8" s="5" t="s">
        <v>1536</v>
      </c>
      <c r="C8" s="6"/>
      <c r="D8" s="6">
        <v>200000</v>
      </c>
      <c r="E8" s="26">
        <f>IF(OR(C8&lt;&gt;0,D8&lt;&gt;0),SUM(C$3:C8)-SUM(D$3:D8),0)</f>
        <v>1378335</v>
      </c>
      <c r="F8" s="5"/>
    </row>
    <row r="9" spans="1:8" ht="15.75" x14ac:dyDescent="0.25">
      <c r="A9" s="57"/>
      <c r="B9" s="5" t="s">
        <v>1537</v>
      </c>
      <c r="C9" s="6"/>
      <c r="D9" s="6">
        <v>50000</v>
      </c>
      <c r="E9" s="26">
        <f>IF(OR(C9&lt;&gt;0,D9&lt;&gt;0),SUM(C$3:C9)-SUM(D$3:D9),0)</f>
        <v>1328335</v>
      </c>
      <c r="F9" s="5"/>
    </row>
    <row r="10" spans="1:8" ht="15.75" x14ac:dyDescent="0.25">
      <c r="A10" s="57"/>
      <c r="B10" s="5" t="s">
        <v>1535</v>
      </c>
      <c r="C10" s="5"/>
      <c r="D10" s="6">
        <v>2000</v>
      </c>
      <c r="E10" s="26">
        <f>IF(OR(C10&lt;&gt;0,D10&lt;&gt;0),SUM(C$3:C10)-SUM(D$3:D10),0)</f>
        <v>1326335</v>
      </c>
      <c r="F10" s="5"/>
    </row>
    <row r="11" spans="1:8" ht="15.75" x14ac:dyDescent="0.25">
      <c r="A11" s="58"/>
      <c r="B11" s="5" t="s">
        <v>64</v>
      </c>
      <c r="C11" s="5"/>
      <c r="D11" s="6">
        <v>2000</v>
      </c>
      <c r="E11" s="26">
        <f>IF(OR(C11&lt;&gt;0,D11&lt;&gt;0),SUM(C$3:C11)-SUM(D$3:D11),0)</f>
        <v>1324335</v>
      </c>
      <c r="F11" s="5"/>
    </row>
    <row r="12" spans="1:8" ht="15.75" x14ac:dyDescent="0.25">
      <c r="A12" s="56">
        <v>45568</v>
      </c>
      <c r="B12" s="27" t="s">
        <v>1354</v>
      </c>
      <c r="C12" s="6"/>
      <c r="D12" s="25">
        <v>50000</v>
      </c>
      <c r="E12" s="26">
        <f>IF(OR(C12&lt;&gt;0,D12&lt;&gt;0),SUM(C$3:C12)-SUM(D$3:D12),0)</f>
        <v>1274335</v>
      </c>
      <c r="F12" s="19"/>
      <c r="G12" s="3"/>
    </row>
    <row r="13" spans="1:8" ht="15.75" x14ac:dyDescent="0.25">
      <c r="A13" s="57"/>
      <c r="B13" s="27" t="s">
        <v>1555</v>
      </c>
      <c r="C13" s="6"/>
      <c r="D13" s="25">
        <v>10000</v>
      </c>
      <c r="E13" s="26">
        <f>IF(OR(C13&lt;&gt;0,D13&lt;&gt;0),SUM(C$3:C13)-SUM(D$3:D13),0)</f>
        <v>1264335</v>
      </c>
      <c r="F13" s="19"/>
      <c r="G13" s="3"/>
    </row>
    <row r="14" spans="1:8" ht="15.75" x14ac:dyDescent="0.25">
      <c r="A14" s="57"/>
      <c r="B14" s="27" t="s">
        <v>327</v>
      </c>
      <c r="C14" s="6"/>
      <c r="D14" s="6">
        <v>271000</v>
      </c>
      <c r="E14" s="26">
        <f>IF(OR(C14&lt;&gt;0,D14&lt;&gt;0),SUM(C$3:C14)-SUM(D$3:D14),0)</f>
        <v>993335</v>
      </c>
      <c r="F14" s="19"/>
    </row>
    <row r="15" spans="1:8" ht="15.75" x14ac:dyDescent="0.25">
      <c r="A15" s="57"/>
      <c r="B15" s="5" t="s">
        <v>7</v>
      </c>
      <c r="C15" s="6">
        <v>990000</v>
      </c>
      <c r="D15" s="6"/>
      <c r="E15" s="26">
        <f>IF(OR(C15&lt;&gt;0,D15&lt;&gt;0),SUM(C$3:C15)-SUM(D$3:D15),0)</f>
        <v>1983335</v>
      </c>
      <c r="F15" s="5"/>
    </row>
    <row r="16" spans="1:8" ht="15.75" x14ac:dyDescent="0.25">
      <c r="A16" s="57"/>
      <c r="B16" s="5" t="s">
        <v>1538</v>
      </c>
      <c r="C16" s="6"/>
      <c r="D16" s="6">
        <v>990000</v>
      </c>
      <c r="E16" s="26">
        <f>IF(OR(C16&lt;&gt;0,D16&lt;&gt;0),SUM(C$3:C16)-SUM(D$3:D16),0)</f>
        <v>993335</v>
      </c>
      <c r="F16" s="5"/>
    </row>
    <row r="17" spans="1:6" ht="15.75" x14ac:dyDescent="0.25">
      <c r="A17" s="57"/>
      <c r="B17" s="5" t="s">
        <v>1539</v>
      </c>
      <c r="C17" s="5"/>
      <c r="D17" s="6">
        <v>21000</v>
      </c>
      <c r="E17" s="26">
        <f>IF(OR(C17&lt;&gt;0,D17&lt;&gt;0),SUM(C$3:C17)-SUM(D$3:D17),0)</f>
        <v>972335</v>
      </c>
      <c r="F17" s="5"/>
    </row>
    <row r="18" spans="1:6" ht="15.75" x14ac:dyDescent="0.25">
      <c r="A18" s="57"/>
      <c r="B18" s="5" t="s">
        <v>1540</v>
      </c>
      <c r="C18" s="5"/>
      <c r="D18" s="6">
        <v>20500</v>
      </c>
      <c r="E18" s="26">
        <f>IF(OR(C18&lt;&gt;0,D18&lt;&gt;0),SUM(C$3:C18)-SUM(D$3:D18),0)</f>
        <v>951835</v>
      </c>
      <c r="F18" s="5"/>
    </row>
    <row r="19" spans="1:6" ht="15.75" x14ac:dyDescent="0.25">
      <c r="A19" s="57"/>
      <c r="B19" s="5" t="s">
        <v>1541</v>
      </c>
      <c r="C19" s="5"/>
      <c r="D19" s="6">
        <v>200000</v>
      </c>
      <c r="E19" s="26">
        <f>IF(OR(C19&lt;&gt;0,D19&lt;&gt;0),SUM(C$3:C19)-SUM(D$3:D19),0)</f>
        <v>751835</v>
      </c>
      <c r="F19" s="5"/>
    </row>
    <row r="20" spans="1:6" ht="15.75" x14ac:dyDescent="0.25">
      <c r="A20" s="57"/>
      <c r="B20" s="5" t="s">
        <v>1542</v>
      </c>
      <c r="C20" s="5"/>
      <c r="D20" s="6">
        <v>50000</v>
      </c>
      <c r="E20" s="26">
        <f>IF(OR(C20&lt;&gt;0,D20&lt;&gt;0),SUM(C$3:C20)-SUM(D$3:D20),0)</f>
        <v>701835</v>
      </c>
      <c r="F20" s="5"/>
    </row>
    <row r="21" spans="1:6" ht="15.75" x14ac:dyDescent="0.25">
      <c r="A21" s="57"/>
      <c r="B21" s="5" t="s">
        <v>1564</v>
      </c>
      <c r="C21" s="5"/>
      <c r="D21" s="6">
        <v>200000</v>
      </c>
      <c r="E21" s="26">
        <f>IF(OR(C21&lt;&gt;0,D21&lt;&gt;0),SUM(C$3:C21)-SUM(D$3:D21),0)</f>
        <v>501835</v>
      </c>
      <c r="F21" s="5"/>
    </row>
    <row r="22" spans="1:6" ht="15.75" x14ac:dyDescent="0.25">
      <c r="A22" s="57"/>
      <c r="B22" s="5" t="s">
        <v>1543</v>
      </c>
      <c r="C22" s="5"/>
      <c r="D22" s="6">
        <v>20500</v>
      </c>
      <c r="E22" s="26">
        <f>IF(OR(C22&lt;&gt;0,D22&lt;&gt;0),SUM(C$3:C22)-SUM(D$3:D22),0)</f>
        <v>481335</v>
      </c>
      <c r="F22" s="5"/>
    </row>
    <row r="23" spans="1:6" ht="15.75" x14ac:dyDescent="0.25">
      <c r="A23" s="57"/>
      <c r="B23" s="5" t="s">
        <v>1544</v>
      </c>
      <c r="C23" s="5"/>
      <c r="D23" s="6">
        <v>12000</v>
      </c>
      <c r="E23" s="26">
        <f>IF(OR(C23&lt;&gt;0,D23&lt;&gt;0),SUM(C$3:C23)-SUM(D$3:D23),0)</f>
        <v>469335</v>
      </c>
      <c r="F23" s="5"/>
    </row>
    <row r="24" spans="1:6" ht="15.75" x14ac:dyDescent="0.25">
      <c r="A24" s="57"/>
      <c r="B24" s="5" t="s">
        <v>1548</v>
      </c>
      <c r="C24" s="5"/>
      <c r="D24" s="6">
        <v>200000</v>
      </c>
      <c r="E24" s="26">
        <f>IF(OR(C24&lt;&gt;0,D24&lt;&gt;0),SUM(C$3:C24)-SUM(D$3:D24),0)</f>
        <v>269335</v>
      </c>
      <c r="F24" s="5"/>
    </row>
    <row r="25" spans="1:6" ht="15.75" x14ac:dyDescent="0.25">
      <c r="A25" s="57"/>
      <c r="B25" s="5" t="s">
        <v>1545</v>
      </c>
      <c r="C25" s="5"/>
      <c r="D25" s="6">
        <v>108500</v>
      </c>
      <c r="E25" s="26">
        <f>IF(OR(C25&lt;&gt;0,D25&lt;&gt;0),SUM(C$3:C25)-SUM(D$3:D25),0)</f>
        <v>160835</v>
      </c>
      <c r="F25" s="5"/>
    </row>
    <row r="26" spans="1:6" ht="15.75" x14ac:dyDescent="0.25">
      <c r="A26" s="57"/>
      <c r="B26" s="5" t="s">
        <v>1546</v>
      </c>
      <c r="C26" s="5"/>
      <c r="D26" s="6">
        <v>27000</v>
      </c>
      <c r="E26" s="26">
        <f>IF(OR(C26&lt;&gt;0,D26&lt;&gt;0),SUM(C$3:C26)-SUM(D$3:D26),0)</f>
        <v>133835</v>
      </c>
      <c r="F26" s="5"/>
    </row>
    <row r="27" spans="1:6" ht="15.75" x14ac:dyDescent="0.25">
      <c r="A27" s="57"/>
      <c r="B27" s="5" t="s">
        <v>1547</v>
      </c>
      <c r="C27" s="5"/>
      <c r="D27" s="6">
        <v>160780</v>
      </c>
      <c r="E27" s="26">
        <f>IF(OR(C27&lt;&gt;0,D27&lt;&gt;0),SUM(C$3:C27)-SUM(D$3:D27),0)</f>
        <v>-26945</v>
      </c>
      <c r="F27" s="5"/>
    </row>
    <row r="28" spans="1:6" ht="15.75" x14ac:dyDescent="0.25">
      <c r="A28" s="57"/>
      <c r="B28" s="5" t="s">
        <v>1549</v>
      </c>
      <c r="C28" s="5"/>
      <c r="D28" s="6">
        <v>91200</v>
      </c>
      <c r="E28" s="26">
        <f>IF(OR(C28&lt;&gt;0,D28&lt;&gt;0),SUM(C$3:C28)-SUM(D$3:D28),0)</f>
        <v>-118145</v>
      </c>
      <c r="F28" s="5"/>
    </row>
    <row r="29" spans="1:6" ht="15.75" x14ac:dyDescent="0.25">
      <c r="A29" s="57"/>
      <c r="B29" s="5" t="s">
        <v>1550</v>
      </c>
      <c r="C29" s="5"/>
      <c r="D29" s="6">
        <v>324000</v>
      </c>
      <c r="E29" s="26">
        <f>IF(OR(C29&lt;&gt;0,D29&lt;&gt;0),SUM(C$3:C29)-SUM(D$3:D29),0)</f>
        <v>-442145</v>
      </c>
      <c r="F29" s="5"/>
    </row>
    <row r="30" spans="1:6" ht="15.75" x14ac:dyDescent="0.25">
      <c r="A30" s="57"/>
      <c r="B30" s="5" t="s">
        <v>1551</v>
      </c>
      <c r="C30" s="5"/>
      <c r="D30" s="6">
        <v>866662</v>
      </c>
      <c r="E30" s="26">
        <f>IF(OR(C30&lt;&gt;0,D30&lt;&gt;0),SUM(C$3:C30)-SUM(D$3:D30),0)</f>
        <v>-1308807</v>
      </c>
      <c r="F30" s="5"/>
    </row>
    <row r="31" spans="1:6" ht="15.75" x14ac:dyDescent="0.25">
      <c r="A31" s="57"/>
      <c r="B31" s="5" t="s">
        <v>7</v>
      </c>
      <c r="C31" s="6">
        <v>1578142</v>
      </c>
      <c r="D31" s="6"/>
      <c r="E31" s="26">
        <f>IF(OR(C31&lt;&gt;0,D31&lt;&gt;0),SUM(C$3:C31)-SUM(D$3:D31),0)</f>
        <v>269335</v>
      </c>
      <c r="F31" s="5"/>
    </row>
    <row r="32" spans="1:6" ht="15.75" x14ac:dyDescent="0.25">
      <c r="A32" s="57"/>
      <c r="B32" s="5" t="s">
        <v>7</v>
      </c>
      <c r="C32" s="6">
        <v>1650000</v>
      </c>
      <c r="D32" s="6"/>
      <c r="E32" s="26">
        <f>IF(OR(C32&lt;&gt;0,D32&lt;&gt;0),SUM(C$3:C32)-SUM(D$3:D32),0)</f>
        <v>1919335</v>
      </c>
      <c r="F32" s="5"/>
    </row>
    <row r="33" spans="1:7" ht="15.75" x14ac:dyDescent="0.25">
      <c r="A33" s="58"/>
      <c r="B33" s="5" t="s">
        <v>1563</v>
      </c>
      <c r="C33" s="5"/>
      <c r="D33" s="6">
        <v>300000</v>
      </c>
      <c r="E33" s="26">
        <f>IF(OR(C33&lt;&gt;0,D33&lt;&gt;0),SUM(C$3:C33)-SUM(D$3:D33),0)</f>
        <v>1619335</v>
      </c>
      <c r="F33" s="5"/>
    </row>
    <row r="34" spans="1:7" ht="15.75" x14ac:dyDescent="0.25">
      <c r="A34" s="59">
        <v>45569</v>
      </c>
      <c r="B34" s="27" t="s">
        <v>715</v>
      </c>
      <c r="C34" s="6"/>
      <c r="D34" s="6">
        <v>50000</v>
      </c>
      <c r="E34" s="26">
        <f>IF(OR(C34&lt;&gt;0,D34&lt;&gt;0),SUM(C$3:C34)-SUM(D$3:D34),0)</f>
        <v>1569335</v>
      </c>
      <c r="F34" s="19"/>
    </row>
    <row r="35" spans="1:7" ht="15.75" x14ac:dyDescent="0.25">
      <c r="A35" s="59"/>
      <c r="B35" s="27" t="s">
        <v>1565</v>
      </c>
      <c r="C35" s="6"/>
      <c r="D35" s="25">
        <v>45000</v>
      </c>
      <c r="E35" s="26">
        <f>IF(OR(C35&lt;&gt;0,D35&lt;&gt;0),SUM(C$3:C35)-SUM(D$3:D35),0)</f>
        <v>1524335</v>
      </c>
      <c r="F35" s="19"/>
      <c r="G35" s="3"/>
    </row>
    <row r="36" spans="1:7" ht="15.75" x14ac:dyDescent="0.25">
      <c r="A36" s="59"/>
      <c r="B36" s="27" t="s">
        <v>513</v>
      </c>
      <c r="C36" s="6"/>
      <c r="D36" s="6">
        <v>733000</v>
      </c>
      <c r="E36" s="26">
        <f>IF(OR(C36&lt;&gt;0,D36&lt;&gt;0),SUM(C$3:C36)-SUM(D$3:D36),0)</f>
        <v>791335</v>
      </c>
      <c r="F36" s="19"/>
      <c r="G36" s="3"/>
    </row>
    <row r="37" spans="1:7" ht="15.75" x14ac:dyDescent="0.25">
      <c r="A37" s="59"/>
      <c r="B37" s="5" t="s">
        <v>1566</v>
      </c>
      <c r="C37" s="6"/>
      <c r="D37" s="6">
        <v>200000</v>
      </c>
      <c r="E37" s="26">
        <f>IF(OR(C37&lt;&gt;0,D37&lt;&gt;0),SUM(C$3:C37)-SUM(D$3:D37),0)</f>
        <v>591335</v>
      </c>
      <c r="F37" s="5"/>
    </row>
    <row r="38" spans="1:7" ht="15.75" x14ac:dyDescent="0.25">
      <c r="A38" s="59"/>
      <c r="B38" s="5" t="s">
        <v>545</v>
      </c>
      <c r="C38" s="6"/>
      <c r="D38" s="6">
        <v>300000</v>
      </c>
      <c r="E38" s="26">
        <f>IF(OR(C38&lt;&gt;0,D38&lt;&gt;0),SUM(C$3:C38)-SUM(D$3:D38),0)</f>
        <v>291335</v>
      </c>
      <c r="F38" s="5"/>
    </row>
    <row r="39" spans="1:7" ht="15.75" x14ac:dyDescent="0.25">
      <c r="A39" s="59"/>
      <c r="B39" s="5" t="s">
        <v>1575</v>
      </c>
      <c r="C39" s="6"/>
      <c r="D39" s="6">
        <v>28500</v>
      </c>
      <c r="E39" s="26">
        <f>IF(OR(C39&lt;&gt;0,D39&lt;&gt;0),SUM(C$3:C39)-SUM(D$3:D39),0)</f>
        <v>262835</v>
      </c>
      <c r="F39" s="5"/>
    </row>
    <row r="40" spans="1:7" ht="15.75" x14ac:dyDescent="0.25">
      <c r="A40" s="59"/>
      <c r="B40" s="5" t="s">
        <v>1568</v>
      </c>
      <c r="C40" s="6"/>
      <c r="D40" s="6">
        <v>30000</v>
      </c>
      <c r="E40" s="26">
        <f>IF(OR(C40&lt;&gt;0,D40&lt;&gt;0),SUM(C$3:C40)-SUM(D$3:D40),0)</f>
        <v>232835</v>
      </c>
      <c r="F40" s="5"/>
    </row>
    <row r="41" spans="1:7" ht="15.75" x14ac:dyDescent="0.25">
      <c r="A41" s="59"/>
      <c r="B41" s="5" t="s">
        <v>1569</v>
      </c>
      <c r="C41" s="6"/>
      <c r="D41" s="6">
        <v>60000</v>
      </c>
      <c r="E41" s="26">
        <f>IF(OR(C41&lt;&gt;0,D41&lt;&gt;0),SUM(C$3:C41)-SUM(D$3:D41),0)</f>
        <v>172835</v>
      </c>
      <c r="F41" s="5"/>
    </row>
    <row r="42" spans="1:7" ht="15.75" x14ac:dyDescent="0.25">
      <c r="A42" s="59"/>
      <c r="B42" s="5" t="s">
        <v>1570</v>
      </c>
      <c r="C42" s="5"/>
      <c r="D42" s="6">
        <v>101000</v>
      </c>
      <c r="E42" s="26">
        <f>IF(OR(C42&lt;&gt;0,D42&lt;&gt;0),SUM(C$3:C42)-SUM(D$3:D42),0)</f>
        <v>71835</v>
      </c>
      <c r="F42" s="5"/>
    </row>
    <row r="43" spans="1:7" ht="15.75" x14ac:dyDescent="0.25">
      <c r="A43" s="59"/>
      <c r="B43" s="5" t="s">
        <v>1571</v>
      </c>
      <c r="C43" s="5"/>
      <c r="D43" s="6">
        <v>45000</v>
      </c>
      <c r="E43" s="26">
        <f>IF(OR(C43&lt;&gt;0,D43&lt;&gt;0),SUM(C$3:C43)-SUM(D$3:D43),0)</f>
        <v>26835</v>
      </c>
      <c r="F43" s="5"/>
    </row>
    <row r="44" spans="1:7" ht="15.75" x14ac:dyDescent="0.25">
      <c r="A44" s="59"/>
      <c r="B44" s="5" t="s">
        <v>1572</v>
      </c>
      <c r="C44" s="5"/>
      <c r="D44" s="6">
        <v>200000</v>
      </c>
      <c r="E44" s="26">
        <f>IF(OR(C44&lt;&gt;0,D44&lt;&gt;0),SUM(C$3:C44)-SUM(D$3:D44),0)</f>
        <v>-173165</v>
      </c>
      <c r="F44" s="5"/>
    </row>
    <row r="45" spans="1:7" ht="15.75" x14ac:dyDescent="0.25">
      <c r="A45" s="59"/>
      <c r="B45" s="5" t="s">
        <v>1573</v>
      </c>
      <c r="C45" s="5"/>
      <c r="D45" s="6">
        <v>38000</v>
      </c>
      <c r="E45" s="26">
        <f>IF(OR(C45&lt;&gt;0,D45&lt;&gt;0),SUM(C$3:C45)-SUM(D$3:D45),0)</f>
        <v>-211165</v>
      </c>
      <c r="F45" s="5"/>
    </row>
    <row r="46" spans="1:7" ht="15.75" x14ac:dyDescent="0.25">
      <c r="A46" s="59"/>
      <c r="B46" s="5" t="s">
        <v>1574</v>
      </c>
      <c r="C46" s="5"/>
      <c r="D46" s="6">
        <v>245000</v>
      </c>
      <c r="E46" s="26">
        <f>IF(OR(C46&lt;&gt;0,D46&lt;&gt;0),SUM(C$3:C46)-SUM(D$3:D46),0)</f>
        <v>-456165</v>
      </c>
      <c r="F46" s="5"/>
    </row>
    <row r="47" spans="1:7" ht="15.75" x14ac:dyDescent="0.25">
      <c r="A47" s="59"/>
      <c r="B47" s="5" t="s">
        <v>1551</v>
      </c>
      <c r="C47" s="5"/>
      <c r="D47" s="6">
        <v>865500</v>
      </c>
      <c r="E47" s="26">
        <f>IF(OR(C47&lt;&gt;0,D47&lt;&gt;0),SUM(C$3:C47)-SUM(D$3:D47),0)</f>
        <v>-1321665</v>
      </c>
      <c r="F47" s="5"/>
    </row>
    <row r="48" spans="1:7" ht="15.75" x14ac:dyDescent="0.25">
      <c r="A48" s="59"/>
      <c r="B48" s="5" t="s">
        <v>1576</v>
      </c>
      <c r="C48" s="5"/>
      <c r="D48" s="6">
        <v>725000</v>
      </c>
      <c r="E48" s="26">
        <f>IF(OR(C48&lt;&gt;0,D48&lt;&gt;0),SUM(C$3:C48)-SUM(D$3:D48),0)</f>
        <v>-2046665</v>
      </c>
      <c r="F48" s="5"/>
    </row>
    <row r="49" spans="1:7" ht="15.75" x14ac:dyDescent="0.25">
      <c r="A49" s="59"/>
      <c r="B49" s="5" t="s">
        <v>1577</v>
      </c>
      <c r="C49" s="5"/>
      <c r="D49" s="6">
        <v>511500</v>
      </c>
      <c r="E49" s="26">
        <f>IF(OR(C49&lt;&gt;0,D49&lt;&gt;0),SUM(C$3:C49)-SUM(D$3:D49),0)</f>
        <v>-2558165</v>
      </c>
      <c r="F49" s="5"/>
    </row>
    <row r="50" spans="1:7" ht="15.75" x14ac:dyDescent="0.25">
      <c r="A50" s="59"/>
      <c r="B50" s="5" t="s">
        <v>1578</v>
      </c>
      <c r="C50" s="5"/>
      <c r="D50" s="6">
        <v>118000</v>
      </c>
      <c r="E50" s="26">
        <f>IF(OR(C50&lt;&gt;0,D50&lt;&gt;0),SUM(C$3:C50)-SUM(D$3:D50),0)</f>
        <v>-2676165</v>
      </c>
      <c r="F50" s="5"/>
    </row>
    <row r="51" spans="1:7" ht="15.75" x14ac:dyDescent="0.25">
      <c r="A51" s="59"/>
      <c r="B51" s="5" t="s">
        <v>1579</v>
      </c>
      <c r="C51" s="5"/>
      <c r="D51" s="6">
        <v>20000</v>
      </c>
      <c r="E51" s="26">
        <f>IF(OR(C51&lt;&gt;0,D51&lt;&gt;0),SUM(C$3:C51)-SUM(D$3:D51),0)</f>
        <v>-2696165</v>
      </c>
      <c r="F51" s="5"/>
    </row>
    <row r="52" spans="1:7" ht="15.75" x14ac:dyDescent="0.25">
      <c r="A52" s="59"/>
      <c r="B52" s="5" t="s">
        <v>1580</v>
      </c>
      <c r="C52" s="5"/>
      <c r="D52" s="6">
        <v>102500</v>
      </c>
      <c r="E52" s="26">
        <f>IF(OR(C52&lt;&gt;0,D52&lt;&gt;0),SUM(C$3:C52)-SUM(D$3:D52),0)</f>
        <v>-2798665</v>
      </c>
      <c r="F52" s="5"/>
    </row>
    <row r="53" spans="1:7" ht="15.75" x14ac:dyDescent="0.25">
      <c r="A53" s="59"/>
      <c r="B53" s="5" t="s">
        <v>1581</v>
      </c>
      <c r="C53" s="5"/>
      <c r="D53" s="6">
        <v>185000</v>
      </c>
      <c r="E53" s="26">
        <f>IF(OR(C53&lt;&gt;0,D53&lt;&gt;0),SUM(C$3:C53)-SUM(D$3:D53),0)</f>
        <v>-2983665</v>
      </c>
      <c r="F53" s="5"/>
    </row>
    <row r="54" spans="1:7" ht="15.75" x14ac:dyDescent="0.25">
      <c r="A54" s="59"/>
      <c r="B54" s="5" t="s">
        <v>1582</v>
      </c>
      <c r="C54" s="5"/>
      <c r="D54" s="6">
        <v>105000</v>
      </c>
      <c r="E54" s="26">
        <f>IF(OR(C54&lt;&gt;0,D54&lt;&gt;0),SUM(C$3:C54)-SUM(D$3:D54),0)</f>
        <v>-3088665</v>
      </c>
      <c r="F54" s="5"/>
    </row>
    <row r="55" spans="1:7" ht="15.75" x14ac:dyDescent="0.25">
      <c r="A55" s="59"/>
      <c r="B55" s="5" t="s">
        <v>1583</v>
      </c>
      <c r="C55" s="5"/>
      <c r="D55" s="6">
        <v>110000</v>
      </c>
      <c r="E55" s="26">
        <f>IF(OR(C55&lt;&gt;0,D55&lt;&gt;0),SUM(C$3:C55)-SUM(D$3:D55),0)</f>
        <v>-3198665</v>
      </c>
      <c r="F55" s="5"/>
    </row>
    <row r="56" spans="1:7" ht="15.75" x14ac:dyDescent="0.25">
      <c r="A56" s="59"/>
      <c r="B56" s="5" t="s">
        <v>1198</v>
      </c>
      <c r="C56" s="6"/>
      <c r="D56" s="6">
        <v>122364</v>
      </c>
      <c r="E56" s="26">
        <f>IF(OR(C56&lt;&gt;0,D56&lt;&gt;0),SUM(C$3:C56)-SUM(D$3:D56),0)</f>
        <v>-3321029</v>
      </c>
      <c r="F56" s="5"/>
    </row>
    <row r="57" spans="1:7" ht="15.75" x14ac:dyDescent="0.25">
      <c r="A57" s="59"/>
      <c r="B57" s="5" t="s">
        <v>1580</v>
      </c>
      <c r="C57" s="6"/>
      <c r="D57" s="6">
        <v>150000</v>
      </c>
      <c r="E57" s="26">
        <f>IF(OR(C57&lt;&gt;0,D57&lt;&gt;0),SUM(C$3:C57)-SUM(D$3:D57),0)</f>
        <v>-3471029</v>
      </c>
      <c r="F57" s="5"/>
    </row>
    <row r="58" spans="1:7" ht="15.75" x14ac:dyDescent="0.25">
      <c r="A58" s="59"/>
      <c r="B58" s="5" t="s">
        <v>1197</v>
      </c>
      <c r="C58" s="6"/>
      <c r="D58" s="6">
        <v>105000</v>
      </c>
      <c r="E58" s="26">
        <f>IF(OR(C58&lt;&gt;0,D58&lt;&gt;0),SUM(C$3:C58)-SUM(D$3:D58),0)</f>
        <v>-3576029</v>
      </c>
      <c r="F58" s="5"/>
    </row>
    <row r="59" spans="1:7" ht="15.75" x14ac:dyDescent="0.25">
      <c r="A59" s="59"/>
      <c r="B59" s="5" t="s">
        <v>1584</v>
      </c>
      <c r="C59" s="5"/>
      <c r="D59" s="6">
        <v>105000</v>
      </c>
      <c r="E59" s="26">
        <f>IF(OR(C59&lt;&gt;0,D59&lt;&gt;0),SUM(C$3:C59)-SUM(D$3:D59),0)</f>
        <v>-3681029</v>
      </c>
      <c r="F59" s="5"/>
    </row>
    <row r="60" spans="1:7" ht="15.75" x14ac:dyDescent="0.25">
      <c r="A60" s="59"/>
      <c r="B60" s="5" t="s">
        <v>7</v>
      </c>
      <c r="C60" s="6">
        <v>3943864</v>
      </c>
      <c r="D60" s="5"/>
      <c r="E60" s="26">
        <f>IF(OR(C60&lt;&gt;0,D60&lt;&gt;0),SUM(C$3:C60)-SUM(D$3:D60),0)</f>
        <v>262835</v>
      </c>
      <c r="F60" s="5"/>
      <c r="G60" s="3"/>
    </row>
    <row r="61" spans="1:7" ht="15.75" x14ac:dyDescent="0.25">
      <c r="A61" s="59"/>
      <c r="B61" s="5" t="s">
        <v>7</v>
      </c>
      <c r="C61" s="6">
        <v>1000000</v>
      </c>
      <c r="D61" s="5"/>
      <c r="E61" s="26">
        <f>IF(OR(C61&lt;&gt;0,D61&lt;&gt;0),SUM(C$3:C61)-SUM(D$3:D61),0)</f>
        <v>1262835</v>
      </c>
      <c r="F61" s="5"/>
      <c r="G61" s="3"/>
    </row>
    <row r="62" spans="1:7" ht="15.75" x14ac:dyDescent="0.25">
      <c r="A62" s="59"/>
      <c r="B62" s="5" t="s">
        <v>1589</v>
      </c>
      <c r="C62" s="5"/>
      <c r="D62" s="6">
        <v>1000000</v>
      </c>
      <c r="E62" s="26">
        <f>IF(OR(C62&lt;&gt;0,D62&lt;&gt;0),SUM(C$3:C62)-SUM(D$3:D62),0)</f>
        <v>262835</v>
      </c>
      <c r="F62" s="5"/>
    </row>
    <row r="63" spans="1:7" ht="15.75" x14ac:dyDescent="0.25">
      <c r="A63" s="56">
        <v>45572</v>
      </c>
      <c r="B63" s="27" t="s">
        <v>7</v>
      </c>
      <c r="C63" s="6">
        <v>2200000</v>
      </c>
      <c r="D63" s="25"/>
      <c r="E63" s="26">
        <f>IF(OR(C63&lt;&gt;0,D63&lt;&gt;0),SUM(C$3:C63)-SUM(D$3:D63),0)</f>
        <v>2462835</v>
      </c>
      <c r="F63" s="19"/>
    </row>
    <row r="64" spans="1:7" ht="15.75" x14ac:dyDescent="0.25">
      <c r="A64" s="57"/>
      <c r="B64" s="27" t="s">
        <v>1592</v>
      </c>
      <c r="C64" s="6"/>
      <c r="D64" s="25">
        <v>100000</v>
      </c>
      <c r="E64" s="26">
        <f>IF(OR(C64&lt;&gt;0,D64&lt;&gt;0),SUM(C$3:C64)-SUM(D$3:D64),0)</f>
        <v>2362835</v>
      </c>
      <c r="F64" s="19"/>
    </row>
    <row r="65" spans="1:7" ht="15.75" x14ac:dyDescent="0.25">
      <c r="A65" s="57"/>
      <c r="B65" s="27" t="s">
        <v>1593</v>
      </c>
      <c r="C65" s="6"/>
      <c r="D65" s="6">
        <v>70000</v>
      </c>
      <c r="E65" s="26">
        <f>IF(OR(C65&lt;&gt;0,D65&lt;&gt;0),SUM(C$3:C65)-SUM(D$3:D65),0)</f>
        <v>2292835</v>
      </c>
      <c r="F65" s="19"/>
    </row>
    <row r="66" spans="1:7" ht="15.75" x14ac:dyDescent="0.25">
      <c r="A66" s="57"/>
      <c r="B66" s="5" t="s">
        <v>1594</v>
      </c>
      <c r="C66" s="6"/>
      <c r="D66" s="6">
        <v>30000</v>
      </c>
      <c r="E66" s="26">
        <f>IF(OR(C66&lt;&gt;0,D66&lt;&gt;0),SUM(C$3:C66)-SUM(D$3:D66),0)</f>
        <v>2262835</v>
      </c>
      <c r="F66" s="5"/>
    </row>
    <row r="67" spans="1:7" ht="15.75" x14ac:dyDescent="0.25">
      <c r="A67" s="57"/>
      <c r="B67" s="5" t="s">
        <v>129</v>
      </c>
      <c r="C67" s="6"/>
      <c r="D67" s="6">
        <v>406000</v>
      </c>
      <c r="E67" s="26">
        <f>IF(OR(C67&lt;&gt;0,D67&lt;&gt;0),SUM(C$3:C67)-SUM(D$3:D67),0)</f>
        <v>1856835</v>
      </c>
      <c r="F67" s="5"/>
    </row>
    <row r="68" spans="1:7" ht="15.75" x14ac:dyDescent="0.25">
      <c r="A68" s="57"/>
      <c r="B68" s="5" t="s">
        <v>1595</v>
      </c>
      <c r="C68" s="6"/>
      <c r="D68" s="6">
        <v>60000</v>
      </c>
      <c r="E68" s="26">
        <f>IF(OR(C68&lt;&gt;0,D68&lt;&gt;0),SUM(C$3:C68)-SUM(D$3:D68),0)</f>
        <v>1796835</v>
      </c>
      <c r="F68" s="5"/>
      <c r="G68" s="3"/>
    </row>
    <row r="69" spans="1:7" ht="15.75" x14ac:dyDescent="0.25">
      <c r="A69" s="57"/>
      <c r="B69" s="5" t="s">
        <v>1596</v>
      </c>
      <c r="C69" s="6"/>
      <c r="D69" s="6">
        <v>295000</v>
      </c>
      <c r="E69" s="26">
        <f>IF(OR(C69&lt;&gt;0,D69&lt;&gt;0),SUM(C$3:C69)-SUM(D$3:D69),0)</f>
        <v>1501835</v>
      </c>
      <c r="F69" s="5"/>
    </row>
    <row r="70" spans="1:7" ht="15.75" x14ac:dyDescent="0.25">
      <c r="A70" s="57"/>
      <c r="B70" s="5" t="s">
        <v>75</v>
      </c>
      <c r="C70" s="5"/>
      <c r="D70" s="6">
        <v>30000</v>
      </c>
      <c r="E70" s="26">
        <f>IF(OR(C70&lt;&gt;0,D70&lt;&gt;0),SUM(C$3:C70)-SUM(D$3:D70),0)</f>
        <v>1471835</v>
      </c>
      <c r="F70" s="5"/>
      <c r="G70" s="3"/>
    </row>
    <row r="71" spans="1:7" ht="15.75" x14ac:dyDescent="0.25">
      <c r="A71" s="57"/>
      <c r="B71" s="5" t="s">
        <v>1597</v>
      </c>
      <c r="C71" s="5"/>
      <c r="D71" s="6">
        <v>193000</v>
      </c>
      <c r="E71" s="26">
        <f>IF(OR(C71&lt;&gt;0,D71&lt;&gt;0),SUM(C$3:C71)-SUM(D$3:D71),0)</f>
        <v>1278835</v>
      </c>
      <c r="F71" s="5"/>
    </row>
    <row r="72" spans="1:7" ht="15.75" x14ac:dyDescent="0.25">
      <c r="A72" s="57"/>
      <c r="B72" s="5" t="s">
        <v>1598</v>
      </c>
      <c r="C72" s="5"/>
      <c r="D72" s="6">
        <v>120000</v>
      </c>
      <c r="E72" s="26">
        <f>IF(OR(C72&lt;&gt;0,D72&lt;&gt;0),SUM(C$3:C72)-SUM(D$3:D72),0)</f>
        <v>1158835</v>
      </c>
      <c r="F72" s="5"/>
    </row>
    <row r="73" spans="1:7" ht="15.75" x14ac:dyDescent="0.25">
      <c r="A73" s="57"/>
      <c r="B73" s="5" t="s">
        <v>632</v>
      </c>
      <c r="C73" s="5"/>
      <c r="D73" s="6">
        <v>200000</v>
      </c>
      <c r="E73" s="26">
        <f>IF(OR(C73&lt;&gt;0,D73&lt;&gt;0),SUM(C$3:C73)-SUM(D$3:D73),0)</f>
        <v>958835</v>
      </c>
      <c r="F73" s="5"/>
    </row>
    <row r="74" spans="1:7" ht="15.75" x14ac:dyDescent="0.25">
      <c r="A74" s="57"/>
      <c r="B74" s="5" t="s">
        <v>1599</v>
      </c>
      <c r="C74" s="5"/>
      <c r="D74" s="6">
        <v>120000</v>
      </c>
      <c r="E74" s="26">
        <f>IF(OR(C74&lt;&gt;0,D74&lt;&gt;0),SUM(C$3:C74)-SUM(D$3:D74),0)</f>
        <v>838835</v>
      </c>
      <c r="F74" s="5"/>
    </row>
    <row r="75" spans="1:7" ht="15.75" x14ac:dyDescent="0.25">
      <c r="A75" s="58"/>
      <c r="B75" s="5" t="s">
        <v>1600</v>
      </c>
      <c r="C75" s="5"/>
      <c r="D75" s="6">
        <v>16000</v>
      </c>
      <c r="E75" s="26">
        <f>IF(OR(C75&lt;&gt;0,D75&lt;&gt;0),SUM(C$3:C75)-SUM(D$3:D75),0)</f>
        <v>822835</v>
      </c>
      <c r="F75" s="5"/>
      <c r="G75" s="3"/>
    </row>
    <row r="76" spans="1:7" ht="15.75" x14ac:dyDescent="0.25">
      <c r="A76" s="56">
        <v>45573</v>
      </c>
      <c r="B76" s="5" t="s">
        <v>513</v>
      </c>
      <c r="C76" s="5"/>
      <c r="D76" s="6">
        <v>144000</v>
      </c>
      <c r="E76" s="26">
        <f>IF(OR(C76&lt;&gt;0,D76&lt;&gt;0),SUM(C$3:C76)-SUM(D$3:D76),0)</f>
        <v>678835</v>
      </c>
      <c r="F76" s="5"/>
    </row>
    <row r="77" spans="1:7" ht="15.75" x14ac:dyDescent="0.25">
      <c r="A77" s="57"/>
      <c r="B77" s="5" t="s">
        <v>325</v>
      </c>
      <c r="C77" s="5"/>
      <c r="D77" s="6">
        <v>10700</v>
      </c>
      <c r="E77" s="26">
        <f>IF(OR(C77&lt;&gt;0,D77&lt;&gt;0),SUM(C$3:C77)-SUM(D$3:D77),0)</f>
        <v>668135</v>
      </c>
      <c r="F77" s="5"/>
      <c r="G77" s="3"/>
    </row>
    <row r="78" spans="1:7" ht="15.75" x14ac:dyDescent="0.25">
      <c r="A78" s="57"/>
      <c r="B78" s="5" t="s">
        <v>1601</v>
      </c>
      <c r="C78" s="5"/>
      <c r="D78" s="6">
        <v>103000</v>
      </c>
      <c r="E78" s="26">
        <f>IF(OR(C78&lt;&gt;0,D78&lt;&gt;0),SUM(C$3:C78)-SUM(D$3:D78),0)</f>
        <v>565135</v>
      </c>
      <c r="F78" s="5"/>
      <c r="G78" s="3"/>
    </row>
    <row r="79" spans="1:7" ht="15.75" x14ac:dyDescent="0.25">
      <c r="A79" s="57"/>
      <c r="B79" s="5" t="s">
        <v>1602</v>
      </c>
      <c r="C79" s="6">
        <v>40000</v>
      </c>
      <c r="D79" s="6"/>
      <c r="E79" s="26">
        <f>IF(OR(C79&lt;&gt;0,D79&lt;&gt;0),SUM(C$3:C79)-SUM(D$3:D79),0)</f>
        <v>605135</v>
      </c>
      <c r="F79" s="5"/>
      <c r="G79" s="3"/>
    </row>
    <row r="80" spans="1:7" ht="15.75" x14ac:dyDescent="0.25">
      <c r="A80" s="57"/>
      <c r="B80" s="5" t="s">
        <v>7</v>
      </c>
      <c r="C80" s="6">
        <v>1000000</v>
      </c>
      <c r="D80" s="6"/>
      <c r="E80" s="26">
        <f>IF(OR(C80&lt;&gt;0,D80&lt;&gt;0),SUM(C$3:C80)-SUM(D$3:D80),0)</f>
        <v>1605135</v>
      </c>
      <c r="F80" s="5"/>
    </row>
    <row r="81" spans="1:7" ht="15.75" x14ac:dyDescent="0.25">
      <c r="A81" s="57"/>
      <c r="B81" s="5" t="s">
        <v>1603</v>
      </c>
      <c r="C81" s="6"/>
      <c r="D81" s="6">
        <v>71000</v>
      </c>
      <c r="E81" s="26">
        <f>IF(OR(C81&lt;&gt;0,D81&lt;&gt;0),SUM(C$3:C81)-SUM(D$3:D81),0)</f>
        <v>1534135</v>
      </c>
      <c r="F81" s="5"/>
      <c r="G81" s="3"/>
    </row>
    <row r="82" spans="1:7" ht="15.75" x14ac:dyDescent="0.25">
      <c r="A82" s="57"/>
      <c r="B82" s="5" t="s">
        <v>1433</v>
      </c>
      <c r="C82" s="6"/>
      <c r="D82" s="6">
        <v>50000</v>
      </c>
      <c r="E82" s="26">
        <f>IF(OR(C82&lt;&gt;0,D82&lt;&gt;0),SUM(C$3:C82)-SUM(D$3:D82),0)</f>
        <v>1484135</v>
      </c>
      <c r="F82" s="5"/>
    </row>
    <row r="83" spans="1:7" ht="15.75" x14ac:dyDescent="0.25">
      <c r="A83" s="57"/>
      <c r="B83" s="5" t="s">
        <v>1604</v>
      </c>
      <c r="C83" s="6"/>
      <c r="D83" s="6">
        <v>200000</v>
      </c>
      <c r="E83" s="26">
        <f>IF(OR(C83&lt;&gt;0,D83&lt;&gt;0),SUM(C$3:C83)-SUM(D$3:D83),0)</f>
        <v>1284135</v>
      </c>
      <c r="F83" s="5"/>
    </row>
    <row r="84" spans="1:7" ht="15.75" x14ac:dyDescent="0.25">
      <c r="A84" s="57"/>
      <c r="B84" s="5" t="s">
        <v>1605</v>
      </c>
      <c r="C84" s="5"/>
      <c r="D84" s="6">
        <v>300000</v>
      </c>
      <c r="E84" s="26">
        <f>IF(OR(C84&lt;&gt;0,D84&lt;&gt;0),SUM(C$3:C84)-SUM(D$3:D84),0)</f>
        <v>984135</v>
      </c>
      <c r="F84" s="5"/>
    </row>
    <row r="85" spans="1:7" ht="15.75" x14ac:dyDescent="0.25">
      <c r="A85" s="57"/>
      <c r="B85" s="5" t="s">
        <v>1606</v>
      </c>
      <c r="C85" s="6"/>
      <c r="D85" s="6">
        <v>32500</v>
      </c>
      <c r="E85" s="26">
        <f>IF(OR(C85&lt;&gt;0,D85&lt;&gt;0),SUM(C$3:C85)-SUM(D$3:D85),0)</f>
        <v>951635</v>
      </c>
      <c r="F85" s="5"/>
    </row>
    <row r="86" spans="1:7" ht="15.75" x14ac:dyDescent="0.25">
      <c r="A86" s="57"/>
      <c r="B86" s="5" t="s">
        <v>1607</v>
      </c>
      <c r="C86" s="6"/>
      <c r="D86" s="6">
        <v>150000</v>
      </c>
      <c r="E86" s="26">
        <f>IF(OR(C86&lt;&gt;0,D86&lt;&gt;0),SUM(C$3:C86)-SUM(D$3:D86),0)</f>
        <v>801635</v>
      </c>
      <c r="F86" s="5"/>
      <c r="G86" s="3">
        <f>749000-E86</f>
        <v>-52635</v>
      </c>
    </row>
    <row r="87" spans="1:7" ht="15.75" x14ac:dyDescent="0.25">
      <c r="A87" s="57"/>
      <c r="B87" s="5" t="s">
        <v>1608</v>
      </c>
      <c r="C87" s="5"/>
      <c r="D87" s="6">
        <v>100000</v>
      </c>
      <c r="E87" s="26">
        <f>IF(OR(C87&lt;&gt;0,D87&lt;&gt;0),SUM(C$3:C87)-SUM(D$3:D87),0)</f>
        <v>701635</v>
      </c>
      <c r="F87" s="5"/>
    </row>
    <row r="88" spans="1:7" ht="15.75" x14ac:dyDescent="0.25">
      <c r="A88" s="57"/>
      <c r="B88" s="5" t="s">
        <v>1609</v>
      </c>
      <c r="C88" s="5"/>
      <c r="D88" s="6">
        <v>100000</v>
      </c>
      <c r="E88" s="26">
        <f>IF(OR(C88&lt;&gt;0,D88&lt;&gt;0),SUM(C$3:C88)-SUM(D$3:D88),0)</f>
        <v>601635</v>
      </c>
      <c r="F88" s="5"/>
    </row>
    <row r="89" spans="1:7" ht="15.75" x14ac:dyDescent="0.25">
      <c r="A89" s="57"/>
      <c r="B89" s="5" t="s">
        <v>653</v>
      </c>
      <c r="C89" s="5"/>
      <c r="D89" s="6">
        <v>7000</v>
      </c>
      <c r="E89" s="26">
        <f>IF(OR(C89&lt;&gt;0,D89&lt;&gt;0),SUM(C$3:C89)-SUM(D$3:D89),0)</f>
        <v>594635</v>
      </c>
      <c r="F89" s="5"/>
      <c r="G89" s="3">
        <f>542000-E89</f>
        <v>-52635</v>
      </c>
    </row>
    <row r="90" spans="1:7" ht="15.75" x14ac:dyDescent="0.25">
      <c r="A90" s="58"/>
      <c r="B90" s="5" t="s">
        <v>122</v>
      </c>
      <c r="C90" s="5"/>
      <c r="D90" s="6">
        <v>100000</v>
      </c>
      <c r="E90" s="26">
        <f>IF(OR(C90&lt;&gt;0,D90&lt;&gt;0),SUM(C$3:C90)-SUM(D$3:D90),0)</f>
        <v>494635</v>
      </c>
      <c r="F90" s="5"/>
      <c r="G90" s="3">
        <f>442000-E90</f>
        <v>-52635</v>
      </c>
    </row>
    <row r="91" spans="1:7" ht="15.75" x14ac:dyDescent="0.25">
      <c r="A91" s="56">
        <v>45574</v>
      </c>
      <c r="B91" s="5" t="s">
        <v>122</v>
      </c>
      <c r="C91" s="5"/>
      <c r="D91" s="6">
        <v>200000</v>
      </c>
      <c r="E91" s="26">
        <f>IF(OR(C91&lt;&gt;0,D91&lt;&gt;0),SUM(C$3:C91)-SUM(D$3:D91),0)</f>
        <v>294635</v>
      </c>
      <c r="F91" s="5"/>
    </row>
    <row r="92" spans="1:7" ht="15.75" x14ac:dyDescent="0.25">
      <c r="A92" s="57"/>
      <c r="B92" s="5" t="s">
        <v>1610</v>
      </c>
      <c r="C92" s="5"/>
      <c r="D92" s="6">
        <v>3000</v>
      </c>
      <c r="E92" s="26">
        <f>IF(OR(C92&lt;&gt;0,D92&lt;&gt;0),SUM(C$3:C92)-SUM(D$3:D92),0)</f>
        <v>291635</v>
      </c>
      <c r="F92" s="5"/>
    </row>
    <row r="93" spans="1:7" ht="15.75" x14ac:dyDescent="0.25">
      <c r="A93" s="57"/>
      <c r="B93" s="5" t="s">
        <v>1611</v>
      </c>
      <c r="C93" s="5"/>
      <c r="D93" s="6">
        <v>64000</v>
      </c>
      <c r="E93" s="26">
        <f>IF(OR(C93&lt;&gt;0,D93&lt;&gt;0),SUM(C$3:C93)-SUM(D$3:D93),0)</f>
        <v>227635</v>
      </c>
      <c r="F93" s="5"/>
      <c r="G93" s="1"/>
    </row>
    <row r="94" spans="1:7" ht="15.75" x14ac:dyDescent="0.25">
      <c r="A94" s="57"/>
      <c r="B94" s="5" t="s">
        <v>1612</v>
      </c>
      <c r="C94" s="6"/>
      <c r="D94" s="6">
        <v>125000</v>
      </c>
      <c r="E94" s="26">
        <f>IF(OR(C94&lt;&gt;0,D94&lt;&gt;0),SUM(C$3:C94)-SUM(D$3:D94),0)</f>
        <v>102635</v>
      </c>
      <c r="F94" s="5"/>
      <c r="G94" s="48">
        <f>56000-E94</f>
        <v>-46635</v>
      </c>
    </row>
    <row r="95" spans="1:7" ht="15.75" x14ac:dyDescent="0.25">
      <c r="A95" s="57"/>
      <c r="B95" s="5" t="s">
        <v>1613</v>
      </c>
      <c r="C95" s="6"/>
      <c r="D95" s="6">
        <v>2000</v>
      </c>
      <c r="E95" s="26">
        <f>IF(OR(C95&lt;&gt;0,D95&lt;&gt;0),SUM(C$3:C95)-SUM(D$3:D95),0)</f>
        <v>100635</v>
      </c>
      <c r="F95" s="5"/>
      <c r="G95" s="1"/>
    </row>
    <row r="96" spans="1:7" ht="15.75" x14ac:dyDescent="0.25">
      <c r="A96" s="57"/>
      <c r="B96" s="5" t="s">
        <v>7</v>
      </c>
      <c r="C96" s="6">
        <v>1200000</v>
      </c>
      <c r="D96" s="6"/>
      <c r="E96" s="26">
        <f>IF(OR(C96&lt;&gt;0,D96&lt;&gt;0),SUM(C$3:C96)-SUM(D$3:D96),0)</f>
        <v>1300635</v>
      </c>
      <c r="F96" s="5"/>
      <c r="G96" s="3">
        <f>1236000-E96</f>
        <v>-64635</v>
      </c>
    </row>
    <row r="97" spans="1:7" ht="15.75" x14ac:dyDescent="0.25">
      <c r="A97" s="57"/>
      <c r="B97" s="5" t="s">
        <v>1614</v>
      </c>
      <c r="C97" s="6"/>
      <c r="D97" s="6">
        <v>300000</v>
      </c>
      <c r="E97" s="26">
        <f>IF(OR(C97&lt;&gt;0,D97&lt;&gt;0),SUM(C$3:C97)-SUM(D$3:D97),0)</f>
        <v>1000635</v>
      </c>
      <c r="F97" s="5"/>
    </row>
    <row r="98" spans="1:7" ht="15.75" x14ac:dyDescent="0.25">
      <c r="A98" s="57"/>
      <c r="B98" s="5" t="s">
        <v>1615</v>
      </c>
      <c r="C98" s="5"/>
      <c r="D98" s="6">
        <v>300000</v>
      </c>
      <c r="E98" s="26">
        <f>IF(OR(C98&lt;&gt;0,D98&lt;&gt;0),SUM(C$3:C98)-SUM(D$3:D98),0)</f>
        <v>700635</v>
      </c>
      <c r="F98" s="5"/>
    </row>
    <row r="99" spans="1:7" ht="15.75" x14ac:dyDescent="0.25">
      <c r="A99" s="57"/>
      <c r="B99" s="5" t="s">
        <v>1616</v>
      </c>
      <c r="C99" s="6"/>
      <c r="D99" s="6">
        <v>420000</v>
      </c>
      <c r="E99" s="26">
        <f>IF(OR(C99&lt;&gt;0,D99&lt;&gt;0),SUM(C$3:C99)-SUM(D$3:D99),0)</f>
        <v>280635</v>
      </c>
      <c r="F99" s="5"/>
    </row>
    <row r="100" spans="1:7" ht="15.75" x14ac:dyDescent="0.25">
      <c r="A100" s="57"/>
      <c r="B100" s="5" t="s">
        <v>1617</v>
      </c>
      <c r="C100" s="6"/>
      <c r="D100" s="6">
        <v>250000</v>
      </c>
      <c r="E100" s="26">
        <f>IF(OR(C100&lt;&gt;0,D100&lt;&gt;0),SUM(C$3:C100)-SUM(D$3:D100),0)</f>
        <v>30635</v>
      </c>
      <c r="F100" s="5"/>
    </row>
    <row r="101" spans="1:7" ht="15.75" x14ac:dyDescent="0.25">
      <c r="A101" s="57"/>
      <c r="B101" s="5" t="s">
        <v>1618</v>
      </c>
      <c r="C101" s="5"/>
      <c r="D101" s="6">
        <v>11500</v>
      </c>
      <c r="E101" s="26">
        <f>IF(OR(C101&lt;&gt;0,D101&lt;&gt;0),SUM(C$3:C101)-SUM(D$3:D101),0)</f>
        <v>19135</v>
      </c>
      <c r="F101" s="5"/>
    </row>
    <row r="102" spans="1:7" ht="15.75" x14ac:dyDescent="0.25">
      <c r="A102" s="57"/>
      <c r="B102" s="5" t="s">
        <v>1619</v>
      </c>
      <c r="C102" s="5"/>
      <c r="D102" s="6">
        <v>32500</v>
      </c>
      <c r="E102" s="26">
        <f>IF(OR(C102&lt;&gt;0,D102&lt;&gt;0),SUM(C$3:C102)-SUM(D$3:D102),0)</f>
        <v>-13365</v>
      </c>
      <c r="F102" s="5"/>
    </row>
    <row r="103" spans="1:7" ht="15.75" x14ac:dyDescent="0.25">
      <c r="A103" s="57"/>
      <c r="B103" s="5" t="s">
        <v>1620</v>
      </c>
      <c r="C103" s="5"/>
      <c r="D103" s="6">
        <v>11500</v>
      </c>
      <c r="E103" s="26">
        <f>IF(OR(C103&lt;&gt;0,D103&lt;&gt;0),SUM(C$3:C103)-SUM(D$3:D103),0)</f>
        <v>-24865</v>
      </c>
      <c r="F103" s="5"/>
    </row>
    <row r="104" spans="1:7" ht="15.75" x14ac:dyDescent="0.25">
      <c r="A104" s="58"/>
      <c r="B104" s="5" t="s">
        <v>7</v>
      </c>
      <c r="C104" s="6">
        <v>1325500</v>
      </c>
      <c r="D104" s="6"/>
      <c r="E104" s="26">
        <f>IF(OR(C104&lt;&gt;0,D104&lt;&gt;0),SUM(C$3:C104)-SUM(D$3:D104),0)</f>
        <v>1300635</v>
      </c>
      <c r="F104" s="5"/>
    </row>
    <row r="105" spans="1:7" ht="15.75" x14ac:dyDescent="0.25">
      <c r="A105" s="56">
        <v>45575</v>
      </c>
      <c r="B105" s="5" t="s">
        <v>46</v>
      </c>
      <c r="C105" s="5"/>
      <c r="D105" s="6">
        <v>30000</v>
      </c>
      <c r="E105" s="26">
        <f>IF(OR(C105&lt;&gt;0,D105&lt;&gt;0),SUM(C$3:C105)-SUM(D$3:D105),0)</f>
        <v>1270635</v>
      </c>
      <c r="F105" s="5"/>
    </row>
    <row r="106" spans="1:7" ht="15.75" x14ac:dyDescent="0.25">
      <c r="A106" s="57"/>
      <c r="B106" s="5" t="s">
        <v>62</v>
      </c>
      <c r="C106" s="5"/>
      <c r="D106" s="6">
        <v>389000</v>
      </c>
      <c r="E106" s="26">
        <f>IF(OR(C106&lt;&gt;0,D106&lt;&gt;0),SUM(C$3:C106)-SUM(D$3:D106),0)</f>
        <v>881635</v>
      </c>
      <c r="F106" s="5"/>
    </row>
    <row r="107" spans="1:7" ht="15.75" x14ac:dyDescent="0.25">
      <c r="A107" s="57"/>
      <c r="B107" s="5" t="s">
        <v>1621</v>
      </c>
      <c r="C107" s="6"/>
      <c r="D107" s="6">
        <v>13900</v>
      </c>
      <c r="E107" s="26">
        <f>IF(OR(C107&lt;&gt;0,D107&lt;&gt;0),SUM(C$3:C107)-SUM(D$3:D107),0)</f>
        <v>867735</v>
      </c>
      <c r="F107" s="5"/>
    </row>
    <row r="108" spans="1:7" ht="15.75" x14ac:dyDescent="0.25">
      <c r="A108" s="57"/>
      <c r="B108" s="5" t="s">
        <v>6</v>
      </c>
      <c r="C108" s="6"/>
      <c r="D108" s="6">
        <v>30800</v>
      </c>
      <c r="E108" s="26">
        <f>IF(OR(C108&lt;&gt;0,D108&lt;&gt;0),SUM(C$3:C108)-SUM(D$3:D108),0)</f>
        <v>836935</v>
      </c>
      <c r="F108" s="5"/>
    </row>
    <row r="109" spans="1:7" ht="15.75" x14ac:dyDescent="0.25">
      <c r="A109" s="57"/>
      <c r="B109" s="5" t="s">
        <v>1622</v>
      </c>
      <c r="C109" s="6"/>
      <c r="D109" s="6">
        <v>200000</v>
      </c>
      <c r="E109" s="26">
        <f>IF(OR(C109&lt;&gt;0,D109&lt;&gt;0),SUM(C$3:C109)-SUM(D$3:D109),0)</f>
        <v>636935</v>
      </c>
      <c r="F109" s="5"/>
    </row>
    <row r="110" spans="1:7" ht="15.75" x14ac:dyDescent="0.25">
      <c r="A110" s="58"/>
      <c r="B110" s="5" t="s">
        <v>1623</v>
      </c>
      <c r="C110" s="6"/>
      <c r="D110" s="6">
        <v>13500</v>
      </c>
      <c r="E110" s="26">
        <f>IF(OR(C110&lt;&gt;0,D110&lt;&gt;0),SUM(C$3:C110)-SUM(D$3:D110),0)</f>
        <v>623435</v>
      </c>
      <c r="F110" s="5"/>
      <c r="G110" s="3">
        <f>578500-E110</f>
        <v>-44935</v>
      </c>
    </row>
    <row r="111" spans="1:7" ht="15.75" x14ac:dyDescent="0.25">
      <c r="A111" s="56">
        <v>45576</v>
      </c>
      <c r="B111" s="5" t="s">
        <v>1635</v>
      </c>
      <c r="C111" s="5"/>
      <c r="D111" s="6">
        <v>100000</v>
      </c>
      <c r="E111" s="26">
        <f>IF(OR(C111&lt;&gt;0,D111&lt;&gt;0),SUM(C$3:C111)-SUM(D$3:D111),0)</f>
        <v>523435</v>
      </c>
      <c r="F111" s="5"/>
    </row>
    <row r="112" spans="1:7" ht="15.75" x14ac:dyDescent="0.25">
      <c r="A112" s="57"/>
      <c r="B112" s="5" t="s">
        <v>1636</v>
      </c>
      <c r="C112" s="5"/>
      <c r="D112" s="6">
        <v>105000</v>
      </c>
      <c r="E112" s="26">
        <f>IF(OR(C112&lt;&gt;0,D112&lt;&gt;0),SUM(C$3:C112)-SUM(D$3:D112),0)</f>
        <v>418435</v>
      </c>
      <c r="F112" s="5"/>
    </row>
    <row r="113" spans="1:7" ht="15.75" x14ac:dyDescent="0.25">
      <c r="A113" s="58"/>
      <c r="B113" s="5" t="s">
        <v>260</v>
      </c>
      <c r="C113" s="6"/>
      <c r="D113" s="6">
        <v>10500</v>
      </c>
      <c r="E113" s="26">
        <f>IF(OR(C113&lt;&gt;0,D113&lt;&gt;0),SUM(C$3:C113)-SUM(D$3:D113),0)</f>
        <v>407935</v>
      </c>
      <c r="F113" s="5"/>
    </row>
    <row r="114" spans="1:7" ht="15.75" x14ac:dyDescent="0.25">
      <c r="A114" s="56">
        <v>45577</v>
      </c>
      <c r="B114" s="5" t="s">
        <v>1637</v>
      </c>
      <c r="C114" s="5"/>
      <c r="D114" s="6">
        <v>50000</v>
      </c>
      <c r="E114" s="26">
        <f>IF(OR(C114&lt;&gt;0,D114&lt;&gt;0),SUM(C$3:C114)-SUM(D$3:D114),0)</f>
        <v>357935</v>
      </c>
      <c r="F114" s="5"/>
    </row>
    <row r="115" spans="1:7" ht="15.75" x14ac:dyDescent="0.25">
      <c r="A115" s="57"/>
      <c r="B115" s="5" t="s">
        <v>1638</v>
      </c>
      <c r="C115" s="5"/>
      <c r="D115" s="6">
        <v>50000</v>
      </c>
      <c r="E115" s="26">
        <f>IF(OR(C115&lt;&gt;0,D115&lt;&gt;0),SUM(C$3:C115)-SUM(D$3:D115),0)</f>
        <v>307935</v>
      </c>
      <c r="F115" s="5"/>
    </row>
    <row r="116" spans="1:7" ht="15.75" x14ac:dyDescent="0.25">
      <c r="A116" s="57"/>
      <c r="B116" s="5" t="s">
        <v>1639</v>
      </c>
      <c r="C116" s="6"/>
      <c r="D116" s="6">
        <v>200000</v>
      </c>
      <c r="E116" s="26">
        <f>IF(OR(C116&lt;&gt;0,D116&lt;&gt;0),SUM(C$3:C116)-SUM(D$3:D116),0)</f>
        <v>107935</v>
      </c>
      <c r="F116" s="5"/>
    </row>
    <row r="117" spans="1:7" ht="15.75" x14ac:dyDescent="0.25">
      <c r="A117" s="57"/>
      <c r="B117" s="5" t="s">
        <v>1640</v>
      </c>
      <c r="C117" s="6"/>
      <c r="D117" s="6">
        <v>150000</v>
      </c>
      <c r="E117" s="26">
        <f>IF(OR(C117&lt;&gt;0,D117&lt;&gt;0),SUM(C$3:C117)-SUM(D$3:D117),0)</f>
        <v>-42065</v>
      </c>
      <c r="F117" s="5"/>
    </row>
    <row r="118" spans="1:7" ht="15.75" x14ac:dyDescent="0.25">
      <c r="A118" s="57"/>
      <c r="B118" s="5" t="s">
        <v>838</v>
      </c>
      <c r="C118" s="5"/>
      <c r="D118" s="6">
        <v>200000</v>
      </c>
      <c r="E118" s="26">
        <f>IF(OR(C118&lt;&gt;0,D118&lt;&gt;0),SUM(C$3:C118)-SUM(D$3:D118),0)</f>
        <v>-242065</v>
      </c>
      <c r="F118" s="5"/>
    </row>
    <row r="119" spans="1:7" ht="15.75" x14ac:dyDescent="0.25">
      <c r="A119" s="57"/>
      <c r="B119" s="5" t="s">
        <v>1641</v>
      </c>
      <c r="C119" s="5"/>
      <c r="D119" s="6">
        <v>38000</v>
      </c>
      <c r="E119" s="26">
        <f>IF(OR(C119&lt;&gt;0,D119&lt;&gt;0),SUM(C$3:C119)-SUM(D$3:D119),0)</f>
        <v>-280065</v>
      </c>
      <c r="F119" s="5"/>
    </row>
    <row r="120" spans="1:7" ht="15.75" x14ac:dyDescent="0.25">
      <c r="A120" s="57"/>
      <c r="B120" s="5" t="s">
        <v>1642</v>
      </c>
      <c r="C120" s="5"/>
      <c r="D120" s="6">
        <v>200000</v>
      </c>
      <c r="E120" s="26">
        <f>IF(OR(C120&lt;&gt;0,D120&lt;&gt;0),SUM(C$3:C120)-SUM(D$3:D120),0)</f>
        <v>-480065</v>
      </c>
      <c r="F120" s="5"/>
    </row>
    <row r="121" spans="1:7" ht="15.75" x14ac:dyDescent="0.25">
      <c r="A121" s="57"/>
      <c r="B121" s="5" t="s">
        <v>1643</v>
      </c>
      <c r="C121" s="5"/>
      <c r="D121" s="6">
        <v>250000</v>
      </c>
      <c r="E121" s="26">
        <f>IF(OR(C121&lt;&gt;0,D121&lt;&gt;0),SUM(C$3:C121)-SUM(D$3:D121),0)</f>
        <v>-730065</v>
      </c>
      <c r="F121" s="5"/>
    </row>
    <row r="122" spans="1:7" ht="15.75" x14ac:dyDescent="0.25">
      <c r="A122" s="57"/>
      <c r="B122" s="5" t="s">
        <v>7</v>
      </c>
      <c r="C122" s="6">
        <v>2100000</v>
      </c>
      <c r="D122" s="5"/>
      <c r="E122" s="26">
        <f>IF(OR(C122&lt;&gt;0,D122&lt;&gt;0),SUM(C$3:C122)-SUM(D$3:D122),0)</f>
        <v>1369935</v>
      </c>
      <c r="F122" s="5"/>
    </row>
    <row r="123" spans="1:7" ht="15.75" x14ac:dyDescent="0.25">
      <c r="A123" s="57"/>
      <c r="B123" s="5" t="s">
        <v>1645</v>
      </c>
      <c r="C123" s="5"/>
      <c r="D123" s="6">
        <v>10500</v>
      </c>
      <c r="E123" s="26">
        <f>IF(OR(C123&lt;&gt;0,D123&lt;&gt;0),SUM(C$3:C123)-SUM(D$3:D123),0)</f>
        <v>1359435</v>
      </c>
      <c r="F123" s="5"/>
    </row>
    <row r="124" spans="1:7" ht="15.75" x14ac:dyDescent="0.25">
      <c r="A124" s="57"/>
      <c r="B124" s="5" t="s">
        <v>1644</v>
      </c>
      <c r="C124" s="5"/>
      <c r="D124" s="6">
        <v>20000</v>
      </c>
      <c r="E124" s="26">
        <f>IF(OR(C124&lt;&gt;0,D124&lt;&gt;0),SUM(C$3:C124)-SUM(D$3:D124),0)</f>
        <v>1339435</v>
      </c>
      <c r="F124" s="5"/>
      <c r="G124" s="3">
        <f>1301100-E124</f>
        <v>-38335</v>
      </c>
    </row>
    <row r="125" spans="1:7" ht="15.75" x14ac:dyDescent="0.25">
      <c r="A125" s="58"/>
      <c r="B125" s="5" t="s">
        <v>1646</v>
      </c>
      <c r="C125" s="5"/>
      <c r="D125" s="6">
        <v>30000</v>
      </c>
      <c r="E125" s="26">
        <f>IF(OR(C125&lt;&gt;0,D125&lt;&gt;0),SUM(C$3:C125)-SUM(D$3:D125),0)</f>
        <v>1309435</v>
      </c>
      <c r="F125" s="5"/>
      <c r="G125" s="3">
        <f>571100-E125</f>
        <v>-738335</v>
      </c>
    </row>
    <row r="126" spans="1:7" ht="15.75" x14ac:dyDescent="0.25">
      <c r="A126" s="56">
        <v>45579</v>
      </c>
      <c r="B126" s="5" t="s">
        <v>122</v>
      </c>
      <c r="C126" s="5"/>
      <c r="D126" s="6">
        <v>400000</v>
      </c>
      <c r="E126" s="26">
        <f>IF(OR(C126&lt;&gt;0,D126&lt;&gt;0),SUM(C$3:C126)-SUM(D$3:D126),0)</f>
        <v>909435</v>
      </c>
      <c r="F126" s="5"/>
      <c r="G126" s="3">
        <f>171100-E126</f>
        <v>-738335</v>
      </c>
    </row>
    <row r="127" spans="1:7" ht="15.75" x14ac:dyDescent="0.25">
      <c r="A127" s="57"/>
      <c r="B127" s="5" t="s">
        <v>7</v>
      </c>
      <c r="C127" s="6">
        <v>1000000</v>
      </c>
      <c r="D127" s="6"/>
      <c r="E127" s="26">
        <f>IF(OR(C127&lt;&gt;0,D127&lt;&gt;0),SUM(C$3:C127)-SUM(D$3:D127),0)</f>
        <v>1909435</v>
      </c>
      <c r="F127" s="5"/>
    </row>
    <row r="128" spans="1:7" ht="15.75" x14ac:dyDescent="0.25">
      <c r="A128" s="57"/>
      <c r="B128" s="5" t="s">
        <v>7</v>
      </c>
      <c r="C128" s="6">
        <v>550000</v>
      </c>
      <c r="D128" s="6"/>
      <c r="E128" s="26">
        <f>IF(OR(C128&lt;&gt;0,D128&lt;&gt;0),SUM(C$3:C128)-SUM(D$3:D128),0)</f>
        <v>2459435</v>
      </c>
      <c r="F128" s="5"/>
    </row>
    <row r="129" spans="1:7" ht="15.75" x14ac:dyDescent="0.25">
      <c r="A129" s="57"/>
      <c r="B129" s="5" t="s">
        <v>654</v>
      </c>
      <c r="C129" s="5"/>
      <c r="D129" s="6">
        <v>500000</v>
      </c>
      <c r="E129" s="26">
        <f>IF(OR(C129&lt;&gt;0,D129&lt;&gt;0),SUM(C$3:C129)-SUM(D$3:D129),0)</f>
        <v>1959435</v>
      </c>
      <c r="F129" s="5"/>
    </row>
    <row r="130" spans="1:7" ht="15.75" x14ac:dyDescent="0.25">
      <c r="A130" s="57"/>
      <c r="B130" s="5" t="s">
        <v>1602</v>
      </c>
      <c r="C130" s="6">
        <v>40000</v>
      </c>
      <c r="D130" s="6"/>
      <c r="E130" s="26">
        <f>IF(OR(C130&lt;&gt;0,D130&lt;&gt;0),SUM(C$3:C130)-SUM(D$3:D130),0)</f>
        <v>1999435</v>
      </c>
      <c r="F130" s="5"/>
    </row>
    <row r="131" spans="1:7" ht="15.75" x14ac:dyDescent="0.25">
      <c r="A131" s="57"/>
      <c r="B131" s="5" t="s">
        <v>715</v>
      </c>
      <c r="C131" s="5"/>
      <c r="D131" s="6">
        <v>52000</v>
      </c>
      <c r="E131" s="26">
        <f>IF(OR(C131&lt;&gt;0,D131&lt;&gt;0),SUM(C$3:C131)-SUM(D$3:D131),0)</f>
        <v>1947435</v>
      </c>
      <c r="F131" s="5"/>
    </row>
    <row r="132" spans="1:7" ht="15.75" x14ac:dyDescent="0.25">
      <c r="A132" s="57"/>
      <c r="B132" s="5" t="s">
        <v>483</v>
      </c>
      <c r="C132" s="5"/>
      <c r="D132" s="6">
        <v>2000</v>
      </c>
      <c r="E132" s="26">
        <f>IF(OR(C132&lt;&gt;0,D132&lt;&gt;0),SUM(C$3:C132)-SUM(D$3:D132),0)</f>
        <v>1945435</v>
      </c>
      <c r="F132" s="5"/>
      <c r="G132" s="3">
        <f>1169100-E132</f>
        <v>-776335</v>
      </c>
    </row>
    <row r="133" spans="1:7" ht="15.75" x14ac:dyDescent="0.25">
      <c r="A133" s="57"/>
      <c r="B133" s="5" t="s">
        <v>1433</v>
      </c>
      <c r="C133" s="6"/>
      <c r="D133" s="6">
        <v>50000</v>
      </c>
      <c r="E133" s="26">
        <f>IF(OR(C133&lt;&gt;0,D133&lt;&gt;0),SUM(C$3:C133)-SUM(D$3:D133),0)</f>
        <v>1895435</v>
      </c>
      <c r="F133" s="5"/>
    </row>
    <row r="134" spans="1:7" ht="15.75" x14ac:dyDescent="0.25">
      <c r="A134" s="57"/>
      <c r="B134" s="5" t="s">
        <v>1433</v>
      </c>
      <c r="C134" s="5"/>
      <c r="D134" s="6">
        <v>50000</v>
      </c>
      <c r="E134" s="26">
        <f>IF(OR(C134&lt;&gt;0,D134&lt;&gt;0),SUM(C$3:C134)-SUM(D$3:D134),0)</f>
        <v>1845435</v>
      </c>
      <c r="F134" s="5"/>
    </row>
    <row r="135" spans="1:7" ht="15.75" x14ac:dyDescent="0.25">
      <c r="A135" s="57"/>
      <c r="B135" s="5" t="s">
        <v>16</v>
      </c>
      <c r="C135" s="5"/>
      <c r="D135" s="6">
        <v>125000</v>
      </c>
      <c r="E135" s="26">
        <f>IF(OR(C135&lt;&gt;0,D135&lt;&gt;0),SUM(C$3:C135)-SUM(D$3:D135),0)</f>
        <v>1720435</v>
      </c>
      <c r="F135" s="5"/>
      <c r="G135" s="3">
        <f>954100-E135</f>
        <v>-766335</v>
      </c>
    </row>
    <row r="136" spans="1:7" ht="15.75" x14ac:dyDescent="0.25">
      <c r="A136" s="59">
        <v>45580</v>
      </c>
      <c r="B136" s="5" t="s">
        <v>345</v>
      </c>
      <c r="C136" s="5"/>
      <c r="D136" s="6">
        <v>15000</v>
      </c>
      <c r="E136" s="26">
        <f>IF(OR(C136&lt;&gt;0,D136&lt;&gt;0),SUM(C$3:C136)-SUM(D$3:D136),0)</f>
        <v>1705435</v>
      </c>
      <c r="F136" s="5"/>
    </row>
    <row r="137" spans="1:7" ht="15.75" x14ac:dyDescent="0.25">
      <c r="A137" s="59"/>
      <c r="B137" s="5" t="s">
        <v>7</v>
      </c>
      <c r="C137" s="6">
        <v>1175000</v>
      </c>
      <c r="D137" s="6"/>
      <c r="E137" s="26">
        <f>IF(OR(C137&lt;&gt;0,D137&lt;&gt;0),SUM(C$3:C137)-SUM(D$3:D137),0)</f>
        <v>2880435</v>
      </c>
      <c r="F137" s="5"/>
    </row>
    <row r="138" spans="1:7" ht="15.75" x14ac:dyDescent="0.25">
      <c r="A138" s="59"/>
      <c r="B138" s="5" t="s">
        <v>675</v>
      </c>
      <c r="C138" s="6"/>
      <c r="D138" s="6">
        <v>500000</v>
      </c>
      <c r="E138" s="26">
        <f>IF(OR(C138&lt;&gt;0,D138&lt;&gt;0),SUM(C$3:C138)-SUM(D$3:D138),0)</f>
        <v>2380435</v>
      </c>
      <c r="F138" s="5"/>
      <c r="G138" t="s">
        <v>1647</v>
      </c>
    </row>
    <row r="139" spans="1:7" ht="15.75" x14ac:dyDescent="0.25">
      <c r="A139" s="59"/>
      <c r="B139" s="5" t="s">
        <v>75</v>
      </c>
      <c r="C139" s="5"/>
      <c r="D139" s="6">
        <v>30000</v>
      </c>
      <c r="E139" s="26">
        <f>IF(OR(C139&lt;&gt;0,D139&lt;&gt;0),SUM(C$3:C139)-SUM(D$3:D139),0)</f>
        <v>2350435</v>
      </c>
      <c r="F139" s="5"/>
    </row>
    <row r="140" spans="1:7" ht="15.75" x14ac:dyDescent="0.25">
      <c r="A140" s="59"/>
      <c r="B140" s="5" t="s">
        <v>1279</v>
      </c>
      <c r="C140" s="6"/>
      <c r="D140" s="6">
        <v>1000000</v>
      </c>
      <c r="E140" s="26">
        <f>IF(OR(C140&lt;&gt;0,D140&lt;&gt;0),SUM(C$3:C140)-SUM(D$3:D140),0)</f>
        <v>1350435</v>
      </c>
      <c r="F140" s="5"/>
    </row>
    <row r="141" spans="1:7" ht="15.75" x14ac:dyDescent="0.25">
      <c r="A141" s="59"/>
      <c r="B141" s="5" t="s">
        <v>27</v>
      </c>
      <c r="C141" s="5"/>
      <c r="D141" s="6">
        <v>500000</v>
      </c>
      <c r="E141" s="26">
        <f>IF(OR(C141&lt;&gt;0,D141&lt;&gt;0),SUM(C$3:C141)-SUM(D$3:D141),0)</f>
        <v>850435</v>
      </c>
      <c r="F141" s="5"/>
    </row>
    <row r="142" spans="1:7" ht="15.75" x14ac:dyDescent="0.25">
      <c r="A142" s="59"/>
      <c r="B142" s="5" t="s">
        <v>715</v>
      </c>
      <c r="C142" s="5"/>
      <c r="D142" s="6">
        <v>165000</v>
      </c>
      <c r="E142" s="26">
        <f>IF(OR(C142&lt;&gt;0,D142&lt;&gt;0),SUM(C$3:C142)-SUM(D$3:D142),0)</f>
        <v>685435</v>
      </c>
      <c r="F142" s="5"/>
    </row>
    <row r="143" spans="1:7" ht="15.75" x14ac:dyDescent="0.25">
      <c r="A143" s="59"/>
      <c r="B143" s="5" t="s">
        <v>1648</v>
      </c>
      <c r="C143" s="6"/>
      <c r="D143" s="6">
        <v>35000</v>
      </c>
      <c r="E143" s="26">
        <f>IF(OR(C143&lt;&gt;0,D143&lt;&gt;0),SUM(C$3:C143)-SUM(D$3:D143),0)</f>
        <v>650435</v>
      </c>
      <c r="F143" s="5"/>
    </row>
    <row r="144" spans="1:7" ht="15.75" x14ac:dyDescent="0.25">
      <c r="A144" s="59"/>
      <c r="B144" s="5" t="s">
        <v>1649</v>
      </c>
      <c r="C144" s="5"/>
      <c r="D144" s="6">
        <v>18000</v>
      </c>
      <c r="E144" s="26">
        <f>IF(OR(C144&lt;&gt;0,D144&lt;&gt;0),SUM(C$3:C144)-SUM(D$3:D144),0)</f>
        <v>632435</v>
      </c>
      <c r="F144" s="5"/>
      <c r="G144" s="3">
        <f>580000-E144</f>
        <v>-52435</v>
      </c>
    </row>
    <row r="145" spans="1:7" ht="15.75" x14ac:dyDescent="0.25">
      <c r="A145" s="59"/>
      <c r="B145" s="5" t="s">
        <v>1650</v>
      </c>
      <c r="C145" s="5"/>
      <c r="D145" s="6">
        <v>250000</v>
      </c>
      <c r="E145" s="26">
        <f>IF(OR(C145&lt;&gt;0,D145&lt;&gt;0),SUM(C$3:C145)-SUM(D$3:D145),0)</f>
        <v>382435</v>
      </c>
      <c r="F145" s="5"/>
    </row>
    <row r="146" spans="1:7" ht="15.75" x14ac:dyDescent="0.25">
      <c r="A146" s="59"/>
      <c r="B146" s="5" t="s">
        <v>1651</v>
      </c>
      <c r="C146" s="5"/>
      <c r="D146" s="6">
        <v>200000</v>
      </c>
      <c r="E146" s="26">
        <f>IF(OR(C146&lt;&gt;0,D146&lt;&gt;0),SUM(C$3:C146)-SUM(D$3:D146),0)</f>
        <v>182435</v>
      </c>
      <c r="F146" s="5"/>
    </row>
    <row r="147" spans="1:7" ht="15.75" x14ac:dyDescent="0.25">
      <c r="A147" s="59"/>
      <c r="B147" s="5" t="s">
        <v>1652</v>
      </c>
      <c r="C147" s="5"/>
      <c r="D147" s="6">
        <v>28000</v>
      </c>
      <c r="E147" s="26">
        <f>IF(OR(C147&lt;&gt;0,D147&lt;&gt;0),SUM(C$3:C147)-SUM(D$3:D147),0)</f>
        <v>154435</v>
      </c>
      <c r="F147" s="5"/>
    </row>
    <row r="148" spans="1:7" ht="15.75" x14ac:dyDescent="0.25">
      <c r="A148" s="59"/>
      <c r="B148" s="5" t="s">
        <v>632</v>
      </c>
      <c r="C148" s="5"/>
      <c r="D148" s="6">
        <v>200000</v>
      </c>
      <c r="E148" s="26">
        <f>IF(OR(C148&lt;&gt;0,D148&lt;&gt;0),SUM(C$3:C148)-SUM(D$3:D148),0)</f>
        <v>-45565</v>
      </c>
      <c r="F148" s="5"/>
    </row>
    <row r="149" spans="1:7" ht="15.75" x14ac:dyDescent="0.25">
      <c r="A149" s="56">
        <v>45581</v>
      </c>
      <c r="B149" s="5" t="s">
        <v>7</v>
      </c>
      <c r="C149" s="6">
        <v>228000</v>
      </c>
      <c r="D149" s="6"/>
      <c r="E149" s="26">
        <f>IF(OR(C149&lt;&gt;0,D149&lt;&gt;0),SUM(C$3:C149)-SUM(D$3:D149),0)</f>
        <v>182435</v>
      </c>
      <c r="F149" s="5"/>
    </row>
    <row r="150" spans="1:7" ht="15.75" x14ac:dyDescent="0.25">
      <c r="A150" s="57"/>
      <c r="B150" s="5" t="s">
        <v>1653</v>
      </c>
      <c r="C150" s="6"/>
      <c r="D150" s="6">
        <v>14000</v>
      </c>
      <c r="E150" s="26">
        <f>IF(OR(C150&lt;&gt;0,D150&lt;&gt;0),SUM(C$3:C150)-SUM(D$3:D150),0)</f>
        <v>168435</v>
      </c>
      <c r="F150" s="5"/>
    </row>
    <row r="151" spans="1:7" ht="15.75" x14ac:dyDescent="0.25">
      <c r="A151" s="57"/>
      <c r="B151" s="5" t="s">
        <v>1654</v>
      </c>
      <c r="C151" s="6"/>
      <c r="D151" s="6">
        <v>50000</v>
      </c>
      <c r="E151" s="26">
        <f>IF(OR(C151&lt;&gt;0,D151&lt;&gt;0),SUM(C$3:C151)-SUM(D$3:D151),0)</f>
        <v>118435</v>
      </c>
      <c r="F151" s="5"/>
      <c r="G151" s="3">
        <f>58100-E151</f>
        <v>-60335</v>
      </c>
    </row>
    <row r="152" spans="1:7" ht="15.75" x14ac:dyDescent="0.25">
      <c r="A152" s="56">
        <v>45582</v>
      </c>
      <c r="B152" s="5" t="s">
        <v>7</v>
      </c>
      <c r="C152" s="6">
        <v>1000000</v>
      </c>
      <c r="D152" s="6"/>
      <c r="E152" s="26">
        <f>IF(OR(C152&lt;&gt;0,D152&lt;&gt;0),SUM(C$3:C152)-SUM(D$3:D152),0)</f>
        <v>1118435</v>
      </c>
      <c r="F152" s="5"/>
    </row>
    <row r="153" spans="1:7" ht="15.75" x14ac:dyDescent="0.25">
      <c r="A153" s="57"/>
      <c r="B153" s="5" t="s">
        <v>1604</v>
      </c>
      <c r="C153" s="6"/>
      <c r="D153" s="6">
        <v>200000</v>
      </c>
      <c r="E153" s="26">
        <f>IF(OR(C153&lt;&gt;0,D153&lt;&gt;0),SUM(C$3:C153)-SUM(D$3:D153),0)</f>
        <v>918435</v>
      </c>
      <c r="F153" s="5"/>
    </row>
    <row r="154" spans="1:7" ht="15.75" x14ac:dyDescent="0.25">
      <c r="A154" s="57"/>
      <c r="B154" s="5" t="s">
        <v>1655</v>
      </c>
      <c r="C154" s="6"/>
      <c r="D154" s="6">
        <v>30000</v>
      </c>
      <c r="E154" s="26">
        <f>IF(OR(C154&lt;&gt;0,D154&lt;&gt;0),SUM(C$3:C154)-SUM(D$3:D154),0)</f>
        <v>888435</v>
      </c>
      <c r="F154" s="5"/>
    </row>
    <row r="155" spans="1:7" ht="15.75" x14ac:dyDescent="0.25">
      <c r="A155" s="57"/>
      <c r="B155" s="5" t="s">
        <v>632</v>
      </c>
      <c r="C155" s="5"/>
      <c r="D155" s="6">
        <v>250000</v>
      </c>
      <c r="E155" s="26">
        <f>IF(OR(C155&lt;&gt;0,D155&lt;&gt;0),SUM(C$3:C155)-SUM(D$3:D155),0)</f>
        <v>638435</v>
      </c>
      <c r="F155" s="5"/>
    </row>
    <row r="156" spans="1:7" ht="15.75" x14ac:dyDescent="0.25">
      <c r="A156" s="57"/>
      <c r="B156" s="5" t="s">
        <v>1670</v>
      </c>
      <c r="C156" s="5"/>
      <c r="D156" s="6">
        <v>100000</v>
      </c>
      <c r="E156" s="26">
        <f>IF(OR(C156&lt;&gt;0,D156&lt;&gt;0),SUM(C$3:C156)-SUM(D$3:D156),0)</f>
        <v>538435</v>
      </c>
      <c r="F156" s="5"/>
    </row>
    <row r="157" spans="1:7" ht="15.75" x14ac:dyDescent="0.25">
      <c r="A157" s="57"/>
      <c r="B157" s="5" t="s">
        <v>326</v>
      </c>
      <c r="C157" s="5"/>
      <c r="D157" s="6">
        <v>50000</v>
      </c>
      <c r="E157" s="26">
        <f>IF(OR(C157&lt;&gt;0,D157&lt;&gt;0),SUM(C$3:C157)-SUM(D$3:D157),0)</f>
        <v>488435</v>
      </c>
      <c r="F157" s="5"/>
      <c r="G157" s="3">
        <f>433100-E157</f>
        <v>-55335</v>
      </c>
    </row>
    <row r="158" spans="1:7" ht="15.75" x14ac:dyDescent="0.25">
      <c r="A158" s="58"/>
      <c r="B158" s="5" t="s">
        <v>1656</v>
      </c>
      <c r="C158" s="5"/>
      <c r="D158" s="6">
        <v>104000</v>
      </c>
      <c r="E158" s="26">
        <f>IF(OR(C158&lt;&gt;0,D158&lt;&gt;0),SUM(C$3:C158)-SUM(D$3:D158),0)</f>
        <v>384435</v>
      </c>
      <c r="F158" s="5"/>
      <c r="G158" s="3">
        <f>331100-E158</f>
        <v>-53335</v>
      </c>
    </row>
    <row r="159" spans="1:7" ht="15.75" x14ac:dyDescent="0.25">
      <c r="A159" s="56">
        <v>45583</v>
      </c>
      <c r="B159" s="5" t="s">
        <v>291</v>
      </c>
      <c r="C159" s="6">
        <v>600000</v>
      </c>
      <c r="D159" s="6"/>
      <c r="E159" s="26">
        <f>IF(OR(C159&lt;&gt;0,D159&lt;&gt;0),SUM(C$3:C159)-SUM(D$3:D159),0)</f>
        <v>984435</v>
      </c>
      <c r="F159" s="5"/>
    </row>
    <row r="160" spans="1:7" ht="15.75" x14ac:dyDescent="0.25">
      <c r="A160" s="57"/>
      <c r="B160" s="5" t="s">
        <v>1666</v>
      </c>
      <c r="C160" s="6"/>
      <c r="D160" s="6">
        <v>377000</v>
      </c>
      <c r="E160" s="26">
        <f>IF(OR(C160&lt;&gt;0,D160&lt;&gt;0),SUM(C$3:C160)-SUM(D$3:D160),0)</f>
        <v>607435</v>
      </c>
      <c r="F160" s="5"/>
    </row>
    <row r="161" spans="1:7" ht="15.75" x14ac:dyDescent="0.25">
      <c r="A161" s="57"/>
      <c r="B161" s="5" t="s">
        <v>1666</v>
      </c>
      <c r="C161" s="6"/>
      <c r="D161" s="6">
        <v>192500</v>
      </c>
      <c r="E161" s="26">
        <f>IF(OR(C161&lt;&gt;0,D161&lt;&gt;0),SUM(C$3:C161)-SUM(D$3:D161),0)</f>
        <v>414935</v>
      </c>
      <c r="F161" s="5"/>
    </row>
    <row r="162" spans="1:7" ht="15.75" x14ac:dyDescent="0.25">
      <c r="A162" s="57"/>
      <c r="B162" s="5" t="s">
        <v>1667</v>
      </c>
      <c r="C162" s="5"/>
      <c r="D162" s="6">
        <v>11000</v>
      </c>
      <c r="E162" s="26">
        <f>IF(OR(C162&lt;&gt;0,D162&lt;&gt;0),SUM(C$3:C162)-SUM(D$3:D162),0)</f>
        <v>403935</v>
      </c>
      <c r="F162" s="5"/>
    </row>
    <row r="163" spans="1:7" ht="15.75" x14ac:dyDescent="0.25">
      <c r="A163" s="57"/>
      <c r="B163" s="5" t="s">
        <v>1667</v>
      </c>
      <c r="C163" s="5"/>
      <c r="D163" s="6">
        <v>12000</v>
      </c>
      <c r="E163" s="26">
        <f>IF(OR(C163&lt;&gt;0,D163&lt;&gt;0),SUM(C$3:C163)-SUM(D$3:D163),0)</f>
        <v>391935</v>
      </c>
      <c r="F163" s="5"/>
    </row>
    <row r="164" spans="1:7" ht="15.75" x14ac:dyDescent="0.25">
      <c r="A164" s="57"/>
      <c r="B164" s="5" t="s">
        <v>1668</v>
      </c>
      <c r="C164" s="5"/>
      <c r="D164" s="6">
        <v>7500</v>
      </c>
      <c r="E164" s="26">
        <f>IF(OR(C164&lt;&gt;0,D164&lt;&gt;0),SUM(C$3:C164)-SUM(D$3:D164),0)</f>
        <v>384435</v>
      </c>
      <c r="F164" s="5"/>
    </row>
    <row r="165" spans="1:7" ht="15.75" x14ac:dyDescent="0.25">
      <c r="A165" s="57"/>
      <c r="B165" s="5" t="s">
        <v>1669</v>
      </c>
      <c r="C165" s="5"/>
      <c r="D165" s="6">
        <v>25000</v>
      </c>
      <c r="E165" s="26">
        <f>IF(OR(C165&lt;&gt;0,D165&lt;&gt;0),SUM(C$3:C165)-SUM(D$3:D165),0)</f>
        <v>359435</v>
      </c>
      <c r="F165" s="5"/>
    </row>
    <row r="166" spans="1:7" ht="15.75" x14ac:dyDescent="0.25">
      <c r="A166" s="57"/>
      <c r="B166" s="5" t="s">
        <v>46</v>
      </c>
      <c r="C166" s="5"/>
      <c r="D166" s="6">
        <v>30000</v>
      </c>
      <c r="E166" s="26">
        <f>IF(OR(C166&lt;&gt;0,D166&lt;&gt;0),SUM(C$3:C166)-SUM(D$3:D166),0)</f>
        <v>329435</v>
      </c>
      <c r="F166" s="5"/>
    </row>
    <row r="167" spans="1:7" ht="15.75" x14ac:dyDescent="0.25">
      <c r="A167" s="57"/>
      <c r="B167" s="5" t="s">
        <v>1671</v>
      </c>
      <c r="C167" s="5"/>
      <c r="D167" s="6">
        <v>300000</v>
      </c>
      <c r="E167" s="26">
        <f>IF(OR(C167&lt;&gt;0,D167&lt;&gt;0),SUM(C$3:C167)-SUM(D$3:D167),0)</f>
        <v>29435</v>
      </c>
      <c r="F167" s="5"/>
    </row>
    <row r="168" spans="1:7" ht="15.75" x14ac:dyDescent="0.25">
      <c r="A168" s="57"/>
      <c r="B168" s="5" t="s">
        <v>1672</v>
      </c>
      <c r="C168" s="5"/>
      <c r="D168" s="6">
        <v>2000000</v>
      </c>
      <c r="E168" s="26">
        <f>IF(OR(C168&lt;&gt;0,D168&lt;&gt;0),SUM(C$3:C168)-SUM(D$3:D168),0)</f>
        <v>-1970565</v>
      </c>
      <c r="F168" s="5"/>
    </row>
    <row r="169" spans="1:7" ht="15.75" x14ac:dyDescent="0.25">
      <c r="A169" s="57"/>
      <c r="B169" s="5" t="s">
        <v>1673</v>
      </c>
      <c r="C169" s="5"/>
      <c r="D169" s="6">
        <v>101300</v>
      </c>
      <c r="E169" s="26">
        <f>IF(OR(C169&lt;&gt;0,D169&lt;&gt;0),SUM(C$3:C169)-SUM(D$3:D169),0)</f>
        <v>-2071865</v>
      </c>
      <c r="F169" s="5"/>
    </row>
    <row r="170" spans="1:7" ht="15.75" x14ac:dyDescent="0.25">
      <c r="A170" s="57"/>
      <c r="B170" s="5" t="s">
        <v>1674</v>
      </c>
      <c r="C170" s="5"/>
      <c r="D170" s="6">
        <v>100000</v>
      </c>
      <c r="E170" s="26">
        <f>IF(OR(C170&lt;&gt;0,D170&lt;&gt;0),SUM(C$3:C170)-SUM(D$3:D170),0)</f>
        <v>-2171865</v>
      </c>
      <c r="F170" s="5"/>
    </row>
    <row r="171" spans="1:7" ht="15.75" x14ac:dyDescent="0.25">
      <c r="A171" s="58"/>
      <c r="B171" s="5" t="s">
        <v>16</v>
      </c>
      <c r="C171" s="5"/>
      <c r="D171" s="6">
        <v>75000</v>
      </c>
      <c r="E171" s="26">
        <f>IF(OR(C171&lt;&gt;0,D171&lt;&gt;0),SUM(C$3:C171)-SUM(D$3:D171),0)</f>
        <v>-2246865</v>
      </c>
      <c r="F171" s="5"/>
    </row>
    <row r="172" spans="1:7" ht="15.75" x14ac:dyDescent="0.25">
      <c r="A172" s="57">
        <v>45584</v>
      </c>
      <c r="B172" s="5" t="s">
        <v>1675</v>
      </c>
      <c r="C172" s="6"/>
      <c r="D172" s="6">
        <v>30000</v>
      </c>
      <c r="E172" s="26">
        <f>IF(OR(C172&lt;&gt;0,D172&lt;&gt;0),SUM(C$3:C172)-SUM(D$3:D172),0)</f>
        <v>-2276865</v>
      </c>
      <c r="F172" s="5"/>
      <c r="G172" s="3">
        <f>25100-E172</f>
        <v>2301965</v>
      </c>
    </row>
    <row r="173" spans="1:7" ht="15.75" x14ac:dyDescent="0.25">
      <c r="A173" s="57"/>
      <c r="B173" s="5" t="s">
        <v>1676</v>
      </c>
      <c r="C173" s="5"/>
      <c r="D173" s="6">
        <v>75000</v>
      </c>
      <c r="E173" s="26">
        <f>IF(OR(C173&lt;&gt;0,D173&lt;&gt;0),SUM(C$3:C173)-SUM(D$3:D173),0)</f>
        <v>-2351865</v>
      </c>
      <c r="F173" s="5"/>
    </row>
    <row r="174" spans="1:7" ht="15.75" x14ac:dyDescent="0.25">
      <c r="A174" s="57"/>
      <c r="B174" s="5" t="s">
        <v>1677</v>
      </c>
      <c r="C174" s="5"/>
      <c r="D174" s="6">
        <v>500000</v>
      </c>
      <c r="E174" s="26">
        <f>IF(OR(C174&lt;&gt;0,D174&lt;&gt;0),SUM(C$3:C174)-SUM(D$3:D174),0)</f>
        <v>-2851865</v>
      </c>
      <c r="F174" s="5"/>
    </row>
    <row r="175" spans="1:7" ht="15.75" x14ac:dyDescent="0.25">
      <c r="A175" s="57"/>
      <c r="B175" s="5" t="s">
        <v>1678</v>
      </c>
      <c r="C175" s="5"/>
      <c r="D175" s="6">
        <v>105000</v>
      </c>
      <c r="E175" s="26">
        <f>IF(OR(C175&lt;&gt;0,D175&lt;&gt;0),SUM(C$3:C175)-SUM(D$3:D175),0)</f>
        <v>-2956865</v>
      </c>
      <c r="F175" s="5"/>
      <c r="G175" s="3">
        <f>830100-E175</f>
        <v>3786965</v>
      </c>
    </row>
    <row r="176" spans="1:7" ht="15.75" x14ac:dyDescent="0.25">
      <c r="A176" s="58"/>
      <c r="B176" s="5" t="s">
        <v>1680</v>
      </c>
      <c r="C176" s="5"/>
      <c r="D176" s="6">
        <v>31000</v>
      </c>
      <c r="E176" s="26">
        <f>IF(OR(C176&lt;&gt;0,D176&lt;&gt;0),SUM(C$3:C176)-SUM(D$3:D176),0)</f>
        <v>-2987865</v>
      </c>
      <c r="F176" s="5"/>
      <c r="G176" s="3">
        <f>719100-E176</f>
        <v>3706965</v>
      </c>
    </row>
    <row r="177" spans="1:7" ht="15.75" x14ac:dyDescent="0.25">
      <c r="A177" s="59">
        <v>45586</v>
      </c>
      <c r="B177" s="5" t="s">
        <v>7</v>
      </c>
      <c r="C177" s="6">
        <v>3540000</v>
      </c>
      <c r="D177" s="6"/>
      <c r="E177" s="26">
        <f>IF(OR(C177&lt;&gt;0,D177&lt;&gt;0),SUM(C$3:C177)-SUM(D$3:D177),0)</f>
        <v>552135</v>
      </c>
      <c r="F177" s="5"/>
    </row>
    <row r="178" spans="1:7" ht="15.75" x14ac:dyDescent="0.25">
      <c r="A178" s="59"/>
      <c r="B178" s="5" t="s">
        <v>1681</v>
      </c>
      <c r="C178" s="6"/>
      <c r="D178" s="6">
        <v>26500</v>
      </c>
      <c r="E178" s="26">
        <f>IF(OR(C178&lt;&gt;0,D178&lt;&gt;0),SUM(C$3:C178)-SUM(D$3:D178),0)</f>
        <v>525635</v>
      </c>
      <c r="F178" s="5"/>
    </row>
    <row r="179" spans="1:7" ht="15.75" x14ac:dyDescent="0.25">
      <c r="A179" s="59"/>
      <c r="B179" s="5" t="s">
        <v>1682</v>
      </c>
      <c r="C179" s="6"/>
      <c r="D179" s="6">
        <v>300000</v>
      </c>
      <c r="E179" s="26">
        <f>IF(OR(C179&lt;&gt;0,D179&lt;&gt;0),SUM(C$3:C179)-SUM(D$3:D179),0)</f>
        <v>225635</v>
      </c>
      <c r="F179" s="5"/>
    </row>
    <row r="180" spans="1:7" ht="15.75" x14ac:dyDescent="0.25">
      <c r="A180" s="59"/>
      <c r="B180" s="5" t="s">
        <v>1683</v>
      </c>
      <c r="C180" s="5"/>
      <c r="D180" s="6">
        <v>57000</v>
      </c>
      <c r="E180" s="26">
        <f>IF(OR(C180&lt;&gt;0,D180&lt;&gt;0),SUM(C$3:C180)-SUM(D$3:D180),0)</f>
        <v>168635</v>
      </c>
      <c r="F180" s="5"/>
      <c r="G180" s="3">
        <f>322100-E180</f>
        <v>153465</v>
      </c>
    </row>
    <row r="181" spans="1:7" ht="15.75" x14ac:dyDescent="0.25">
      <c r="A181" s="56">
        <v>45588</v>
      </c>
      <c r="B181" s="5" t="s">
        <v>298</v>
      </c>
      <c r="C181" s="6"/>
      <c r="D181" s="6">
        <v>1000000</v>
      </c>
      <c r="E181" s="26">
        <f>IF(OR(C181&lt;&gt;0,D181&lt;&gt;0),SUM(C$3:C181)-SUM(D$3:D181),0)</f>
        <v>-831365</v>
      </c>
      <c r="F181" s="5"/>
      <c r="G181" s="3">
        <f>69600-E181</f>
        <v>900965</v>
      </c>
    </row>
    <row r="182" spans="1:7" ht="15.75" x14ac:dyDescent="0.25">
      <c r="A182" s="57"/>
      <c r="B182" s="5" t="s">
        <v>7</v>
      </c>
      <c r="C182" s="6">
        <v>1600000</v>
      </c>
      <c r="D182" s="6"/>
      <c r="E182" s="26">
        <f>IF(OR(C182&lt;&gt;0,D182&lt;&gt;0),SUM(C$3:C182)-SUM(D$3:D182),0)</f>
        <v>768635</v>
      </c>
      <c r="F182" s="5"/>
    </row>
    <row r="183" spans="1:7" ht="15.75" x14ac:dyDescent="0.25">
      <c r="A183" s="57"/>
      <c r="B183" s="5" t="s">
        <v>1688</v>
      </c>
      <c r="C183" s="6"/>
      <c r="D183" s="6">
        <v>300000</v>
      </c>
      <c r="E183" s="26">
        <f>IF(OR(C183&lt;&gt;0,D183&lt;&gt;0),SUM(C$3:C183)-SUM(D$3:D183),0)</f>
        <v>468635</v>
      </c>
      <c r="F183" s="5"/>
    </row>
    <row r="184" spans="1:7" ht="15.75" x14ac:dyDescent="0.25">
      <c r="A184" s="57"/>
      <c r="B184" s="5" t="s">
        <v>991</v>
      </c>
      <c r="C184" s="5"/>
      <c r="D184" s="6">
        <v>80000</v>
      </c>
      <c r="E184" s="26">
        <f>IF(OR(C184&lt;&gt;0,D184&lt;&gt;0),SUM(C$3:C184)-SUM(D$3:D184),0)</f>
        <v>388635</v>
      </c>
      <c r="F184" s="5"/>
    </row>
    <row r="185" spans="1:7" ht="15.75" x14ac:dyDescent="0.25">
      <c r="A185" s="57"/>
      <c r="B185" s="5" t="s">
        <v>1684</v>
      </c>
      <c r="C185" s="5"/>
      <c r="D185" s="6">
        <v>2000</v>
      </c>
      <c r="E185" s="26">
        <f>IF(OR(C185&lt;&gt;0,D185&lt;&gt;0),SUM(C$3:C185)-SUM(D$3:D185),0)</f>
        <v>386635</v>
      </c>
      <c r="F185" s="5"/>
    </row>
    <row r="186" spans="1:7" ht="15.75" x14ac:dyDescent="0.25">
      <c r="A186" s="57"/>
      <c r="B186" s="5" t="s">
        <v>1685</v>
      </c>
      <c r="C186" s="5"/>
      <c r="D186" s="6">
        <v>55000</v>
      </c>
      <c r="E186" s="26">
        <f>IF(OR(C186&lt;&gt;0,D186&lt;&gt;0),SUM(C$3:C186)-SUM(D$3:D186),0)</f>
        <v>331635</v>
      </c>
      <c r="F186" s="5"/>
    </row>
    <row r="187" spans="1:7" ht="15.75" x14ac:dyDescent="0.25">
      <c r="A187" s="57"/>
      <c r="B187" s="5" t="s">
        <v>58</v>
      </c>
      <c r="C187" s="5"/>
      <c r="D187" s="6">
        <v>2000</v>
      </c>
      <c r="E187" s="26">
        <f>IF(OR(C187&lt;&gt;0,D187&lt;&gt;0),SUM(C$3:C187)-SUM(D$3:D187),0)</f>
        <v>329635</v>
      </c>
      <c r="F187" s="5"/>
    </row>
    <row r="188" spans="1:7" ht="15.75" x14ac:dyDescent="0.25">
      <c r="A188" s="57"/>
      <c r="B188" s="5" t="s">
        <v>67</v>
      </c>
      <c r="C188" s="5"/>
      <c r="D188" s="6">
        <v>42000</v>
      </c>
      <c r="E188" s="26">
        <f>IF(OR(C188&lt;&gt;0,D188&lt;&gt;0),SUM(C$3:C188)-SUM(D$3:D188),0)</f>
        <v>287635</v>
      </c>
      <c r="F188" s="5"/>
    </row>
    <row r="189" spans="1:7" ht="15.75" x14ac:dyDescent="0.25">
      <c r="A189" s="57"/>
      <c r="B189" s="5" t="s">
        <v>1686</v>
      </c>
      <c r="C189" s="5"/>
      <c r="D189" s="6">
        <v>19000</v>
      </c>
      <c r="E189" s="26">
        <f>IF(OR(C189&lt;&gt;0,D189&lt;&gt;0),SUM(C$3:C189)-SUM(D$3:D189),0)</f>
        <v>268635</v>
      </c>
      <c r="F189" s="5"/>
    </row>
    <row r="190" spans="1:7" ht="15.75" x14ac:dyDescent="0.25">
      <c r="A190" s="57"/>
      <c r="B190" s="5" t="s">
        <v>7</v>
      </c>
      <c r="C190" s="6">
        <v>1000000</v>
      </c>
      <c r="D190" s="5"/>
      <c r="E190" s="26">
        <f>IF(OR(C190&lt;&gt;0,D190&lt;&gt;0),SUM(C$3:C190)-SUM(D$3:D190),0)</f>
        <v>1268635</v>
      </c>
      <c r="F190" s="5"/>
    </row>
    <row r="191" spans="1:7" ht="15.75" x14ac:dyDescent="0.25">
      <c r="A191" s="57"/>
      <c r="B191" s="5" t="s">
        <v>1687</v>
      </c>
      <c r="C191" s="5"/>
      <c r="D191" s="6">
        <v>1000000</v>
      </c>
      <c r="E191" s="26">
        <f>IF(OR(C191&lt;&gt;0,D191&lt;&gt;0),SUM(C$3:C191)-SUM(D$3:D191),0)</f>
        <v>268635</v>
      </c>
      <c r="F191" s="5"/>
    </row>
    <row r="192" spans="1:7" ht="15.75" x14ac:dyDescent="0.25">
      <c r="A192" s="57"/>
      <c r="B192" s="5" t="s">
        <v>1689</v>
      </c>
      <c r="C192" s="5"/>
      <c r="D192" s="6">
        <v>6000</v>
      </c>
      <c r="E192" s="26">
        <f>IF(OR(C192&lt;&gt;0,D192&lt;&gt;0),SUM(C$3:C192)-SUM(D$3:D192),0)</f>
        <v>262635</v>
      </c>
      <c r="F192" s="5"/>
    </row>
    <row r="193" spans="1:6" ht="15.75" x14ac:dyDescent="0.25">
      <c r="A193" s="58"/>
      <c r="B193" s="5" t="s">
        <v>1690</v>
      </c>
      <c r="C193" s="5"/>
      <c r="D193" s="6">
        <v>27000</v>
      </c>
      <c r="E193" s="26">
        <f>IF(OR(C193&lt;&gt;0,D193&lt;&gt;0),SUM(C$3:C193)-SUM(D$3:D193),0)</f>
        <v>235635</v>
      </c>
      <c r="F193" s="5"/>
    </row>
    <row r="194" spans="1:6" ht="15.75" x14ac:dyDescent="0.25">
      <c r="A194" s="56">
        <v>45589</v>
      </c>
      <c r="B194" s="5" t="s">
        <v>840</v>
      </c>
      <c r="C194" s="6"/>
      <c r="D194" s="6">
        <v>100500</v>
      </c>
      <c r="E194" s="26">
        <f>IF(OR(C194&lt;&gt;0,D194&lt;&gt;0),SUM(C$3:C194)-SUM(D$3:D194),0)</f>
        <v>135135</v>
      </c>
      <c r="F194" s="5"/>
    </row>
    <row r="195" spans="1:6" ht="15.75" x14ac:dyDescent="0.25">
      <c r="A195" s="57"/>
      <c r="B195" s="5" t="s">
        <v>1691</v>
      </c>
      <c r="C195" s="6"/>
      <c r="D195" s="6">
        <v>38000</v>
      </c>
      <c r="E195" s="26">
        <f>IF(OR(C195&lt;&gt;0,D195&lt;&gt;0),SUM(C$3:C195)-SUM(D$3:D195),0)</f>
        <v>97135</v>
      </c>
      <c r="F195" s="5"/>
    </row>
    <row r="196" spans="1:6" ht="15.75" x14ac:dyDescent="0.25">
      <c r="A196" s="57"/>
      <c r="B196" s="5" t="s">
        <v>1692</v>
      </c>
      <c r="C196" s="6"/>
      <c r="D196" s="6">
        <v>78000</v>
      </c>
      <c r="E196" s="26">
        <f>IF(OR(C196&lt;&gt;0,D196&lt;&gt;0),SUM(C$3:C196)-SUM(D$3:D196),0)</f>
        <v>19135</v>
      </c>
      <c r="F196" s="5"/>
    </row>
    <row r="197" spans="1:6" ht="15.75" x14ac:dyDescent="0.25">
      <c r="A197" s="57"/>
      <c r="B197" s="5" t="s">
        <v>1693</v>
      </c>
      <c r="C197" s="5"/>
      <c r="D197" s="6">
        <v>1472056</v>
      </c>
      <c r="E197" s="26">
        <f>IF(OR(C197&lt;&gt;0,D197&lt;&gt;0),SUM(C$3:C197)-SUM(D$3:D197),0)</f>
        <v>-1452921</v>
      </c>
      <c r="F197" s="5"/>
    </row>
    <row r="198" spans="1:6" ht="15.75" x14ac:dyDescent="0.25">
      <c r="A198" s="57"/>
      <c r="B198" s="5" t="s">
        <v>1694</v>
      </c>
      <c r="C198" s="5"/>
      <c r="D198" s="6">
        <v>28500</v>
      </c>
      <c r="E198" s="26">
        <f>IF(OR(C198&lt;&gt;0,D198&lt;&gt;0),SUM(C$3:C198)-SUM(D$3:D198),0)</f>
        <v>-1481421</v>
      </c>
      <c r="F198" s="5"/>
    </row>
    <row r="199" spans="1:6" ht="15.75" x14ac:dyDescent="0.25">
      <c r="A199" s="57"/>
      <c r="B199" s="5" t="s">
        <v>1696</v>
      </c>
      <c r="C199" s="5"/>
      <c r="D199" s="6">
        <v>96000</v>
      </c>
      <c r="E199" s="26">
        <f>IF(OR(C199&lt;&gt;0,D199&lt;&gt;0),SUM(C$3:C199)-SUM(D$3:D199),0)</f>
        <v>-1577421</v>
      </c>
      <c r="F199" s="5"/>
    </row>
    <row r="200" spans="1:6" ht="15.75" x14ac:dyDescent="0.25">
      <c r="A200" s="57"/>
      <c r="B200" s="5" t="s">
        <v>1695</v>
      </c>
      <c r="C200" s="5"/>
      <c r="D200" s="6">
        <v>115000</v>
      </c>
      <c r="E200" s="26">
        <f>IF(OR(C200&lt;&gt;0,D200&lt;&gt;0),SUM(C$3:C200)-SUM(D$3:D200),0)</f>
        <v>-1692421</v>
      </c>
      <c r="F200" s="5"/>
    </row>
    <row r="201" spans="1:6" ht="15.75" x14ac:dyDescent="0.25">
      <c r="A201" s="57"/>
      <c r="B201" s="5" t="s">
        <v>1697</v>
      </c>
      <c r="C201" s="5"/>
      <c r="D201" s="6">
        <v>128500</v>
      </c>
      <c r="E201" s="26">
        <f>IF(OR(C201&lt;&gt;0,D201&lt;&gt;0),SUM(C$3:C201)-SUM(D$3:D201),0)</f>
        <v>-1820921</v>
      </c>
      <c r="F201" s="5"/>
    </row>
    <row r="202" spans="1:6" ht="15.75" x14ac:dyDescent="0.25">
      <c r="A202" s="57"/>
      <c r="B202" s="5" t="s">
        <v>1698</v>
      </c>
      <c r="C202" s="5"/>
      <c r="D202" s="6">
        <v>8500</v>
      </c>
      <c r="E202" s="26">
        <f>IF(OR(C202&lt;&gt;0,D202&lt;&gt;0),SUM(C$3:C202)-SUM(D$3:D202),0)</f>
        <v>-1829421</v>
      </c>
      <c r="F202" s="5"/>
    </row>
    <row r="203" spans="1:6" ht="15.75" x14ac:dyDescent="0.25">
      <c r="A203" s="57"/>
      <c r="B203" s="5" t="s">
        <v>758</v>
      </c>
      <c r="C203" s="6"/>
      <c r="D203" s="6">
        <v>250000</v>
      </c>
      <c r="E203" s="26">
        <f>IF(OR(C203&lt;&gt;0,D203&lt;&gt;0),SUM(C$3:C203)-SUM(D$3:D203),0)</f>
        <v>-2079421</v>
      </c>
      <c r="F203" s="5"/>
    </row>
    <row r="204" spans="1:6" ht="15.75" x14ac:dyDescent="0.25">
      <c r="A204" s="57"/>
      <c r="B204" s="5" t="s">
        <v>1699</v>
      </c>
      <c r="C204" s="5"/>
      <c r="D204" s="6">
        <v>200000</v>
      </c>
      <c r="E204" s="26">
        <f>IF(OR(C204&lt;&gt;0,D204&lt;&gt;0),SUM(C$3:C204)-SUM(D$3:D204),0)</f>
        <v>-2279421</v>
      </c>
      <c r="F204" s="5"/>
    </row>
    <row r="205" spans="1:6" ht="15.75" x14ac:dyDescent="0.25">
      <c r="A205" s="57"/>
      <c r="B205" s="5" t="s">
        <v>7</v>
      </c>
      <c r="C205" s="6">
        <v>2515056</v>
      </c>
      <c r="D205" s="6"/>
      <c r="E205" s="26">
        <f>IF(OR(C205&lt;&gt;0,D205&lt;&gt;0),SUM(C$3:C205)-SUM(D$3:D205),0)</f>
        <v>235635</v>
      </c>
      <c r="F205" s="5"/>
    </row>
    <row r="206" spans="1:6" ht="15.75" x14ac:dyDescent="0.25">
      <c r="A206" s="58"/>
      <c r="B206" s="5" t="s">
        <v>1096</v>
      </c>
      <c r="C206" s="5"/>
      <c r="D206" s="6">
        <v>2000</v>
      </c>
      <c r="E206" s="26">
        <f>IF(OR(C206&lt;&gt;0,D206&lt;&gt;0),SUM(C$3:C206)-SUM(D$3:D206),0)</f>
        <v>233635</v>
      </c>
      <c r="F206" s="5"/>
    </row>
    <row r="207" spans="1:6" ht="15.75" x14ac:dyDescent="0.25">
      <c r="A207" s="56">
        <v>45590</v>
      </c>
      <c r="B207" s="5" t="s">
        <v>1433</v>
      </c>
      <c r="C207" s="6"/>
      <c r="D207" s="6">
        <v>50000</v>
      </c>
      <c r="E207" s="26">
        <f>IF(OR(C207&lt;&gt;0,D207&lt;&gt;0),SUM(C$3:C207)-SUM(D$3:D207),0)</f>
        <v>183635</v>
      </c>
      <c r="F207" s="5"/>
    </row>
    <row r="208" spans="1:6" ht="15.75" x14ac:dyDescent="0.25">
      <c r="A208" s="57"/>
      <c r="B208" s="5" t="s">
        <v>1712</v>
      </c>
      <c r="C208" s="6"/>
      <c r="D208" s="6">
        <v>300000</v>
      </c>
      <c r="E208" s="26">
        <f>IF(OR(C208&lt;&gt;0,D208&lt;&gt;0),SUM(C$3:C208)-SUM(D$3:D208),0)</f>
        <v>-116365</v>
      </c>
      <c r="F208" s="5"/>
    </row>
    <row r="209" spans="1:8" ht="15.75" x14ac:dyDescent="0.25">
      <c r="A209" s="57"/>
      <c r="B209" s="5" t="s">
        <v>1713</v>
      </c>
      <c r="C209" s="6"/>
      <c r="D209" s="6">
        <v>233100</v>
      </c>
      <c r="E209" s="26">
        <f>IF(OR(C209&lt;&gt;0,D209&lt;&gt;0),SUM(C$3:C209)-SUM(D$3:D209),0)</f>
        <v>-349465</v>
      </c>
      <c r="F209" s="5"/>
    </row>
    <row r="210" spans="1:8" ht="15.75" x14ac:dyDescent="0.25">
      <c r="A210" s="57"/>
      <c r="B210" s="5" t="s">
        <v>7</v>
      </c>
      <c r="C210" s="6">
        <v>1500000</v>
      </c>
      <c r="D210" s="6"/>
      <c r="E210" s="26">
        <f>IF(OR(C210&lt;&gt;0,D210&lt;&gt;0),SUM(C$3:C210)-SUM(D$3:D210),0)</f>
        <v>1150535</v>
      </c>
      <c r="F210" s="5"/>
    </row>
    <row r="211" spans="1:8" ht="15.75" x14ac:dyDescent="0.25">
      <c r="A211" s="57"/>
      <c r="B211" s="5" t="s">
        <v>1714</v>
      </c>
      <c r="C211" s="5"/>
      <c r="D211" s="6">
        <v>200000</v>
      </c>
      <c r="E211" s="26">
        <f>IF(OR(C211&lt;&gt;0,D211&lt;&gt;0),SUM(C$3:C211)-SUM(D$3:D211),0)</f>
        <v>950535</v>
      </c>
      <c r="F211" s="5"/>
    </row>
    <row r="212" spans="1:8" ht="15.75" x14ac:dyDescent="0.25">
      <c r="A212" s="57"/>
      <c r="B212" s="5" t="s">
        <v>1667</v>
      </c>
      <c r="C212" s="5"/>
      <c r="D212" s="6">
        <v>63000</v>
      </c>
      <c r="E212" s="26">
        <f>IF(OR(C212&lt;&gt;0,D212&lt;&gt;0),SUM(C$3:C212)-SUM(D$3:D212),0)</f>
        <v>887535</v>
      </c>
      <c r="F212" s="5"/>
      <c r="H212" s="3">
        <f>783100-C210</f>
        <v>-716900</v>
      </c>
    </row>
    <row r="213" spans="1:8" ht="15.75" x14ac:dyDescent="0.25">
      <c r="A213" s="57"/>
      <c r="B213" s="5" t="s">
        <v>923</v>
      </c>
      <c r="C213" s="5"/>
      <c r="D213" s="6">
        <v>40800</v>
      </c>
      <c r="E213" s="26">
        <f>IF(OR(C213&lt;&gt;0,D213&lt;&gt;0),SUM(C$3:C213)-SUM(D$3:D213),0)</f>
        <v>846735</v>
      </c>
      <c r="F213" s="5"/>
    </row>
    <row r="214" spans="1:8" ht="15.75" x14ac:dyDescent="0.25">
      <c r="A214" s="57"/>
      <c r="B214" s="5" t="s">
        <v>309</v>
      </c>
      <c r="C214" s="5"/>
      <c r="D214" s="6">
        <v>418200</v>
      </c>
      <c r="E214" s="26">
        <f>IF(OR(C214&lt;&gt;0,D214&lt;&gt;0),SUM(C$3:C214)-SUM(D$3:D214),0)</f>
        <v>428535</v>
      </c>
      <c r="F214" s="5"/>
    </row>
    <row r="215" spans="1:8" ht="15.75" x14ac:dyDescent="0.25">
      <c r="A215" s="57"/>
      <c r="B215" s="5" t="s">
        <v>58</v>
      </c>
      <c r="C215" s="5"/>
      <c r="D215" s="6">
        <v>2000</v>
      </c>
      <c r="E215" s="26">
        <f>IF(OR(C215&lt;&gt;0,D215&lt;&gt;0),SUM(C$3:C215)-SUM(D$3:D215),0)</f>
        <v>426535</v>
      </c>
      <c r="F215" s="5"/>
      <c r="G215" s="3">
        <f>137600-E215</f>
        <v>-288935</v>
      </c>
      <c r="H215" s="3">
        <f>318051+G215</f>
        <v>29116</v>
      </c>
    </row>
    <row r="216" spans="1:8" ht="15.75" x14ac:dyDescent="0.25">
      <c r="A216" s="59">
        <v>45591</v>
      </c>
      <c r="B216" s="5" t="s">
        <v>7</v>
      </c>
      <c r="C216" s="6">
        <v>2000000</v>
      </c>
      <c r="D216" s="6"/>
      <c r="E216" s="26">
        <f>IF(OR(C216&lt;&gt;0,D216&lt;&gt;0),SUM(C$3:C216)-SUM(D$3:D216),0)</f>
        <v>2426535</v>
      </c>
      <c r="F216" s="5"/>
    </row>
    <row r="217" spans="1:8" ht="15.75" x14ac:dyDescent="0.25">
      <c r="A217" s="59"/>
      <c r="B217" s="5" t="s">
        <v>234</v>
      </c>
      <c r="C217" s="6"/>
      <c r="D217" s="6">
        <v>200000</v>
      </c>
      <c r="E217" s="26">
        <f>IF(OR(C217&lt;&gt;0,D217&lt;&gt;0),SUM(C$3:C217)-SUM(D$3:D217),0)</f>
        <v>2226535</v>
      </c>
      <c r="F217" s="5"/>
    </row>
    <row r="218" spans="1:8" ht="15.75" x14ac:dyDescent="0.25">
      <c r="A218" s="59"/>
      <c r="B218" s="5" t="s">
        <v>1721</v>
      </c>
      <c r="C218" s="6"/>
      <c r="D218" s="6">
        <v>200000</v>
      </c>
      <c r="E218" s="26">
        <f>IF(OR(C218&lt;&gt;0,D218&lt;&gt;0),SUM(C$3:C218)-SUM(D$3:D218),0)</f>
        <v>2026535</v>
      </c>
      <c r="F218" s="5"/>
    </row>
    <row r="219" spans="1:8" ht="15.75" x14ac:dyDescent="0.25">
      <c r="A219" s="59"/>
      <c r="B219" s="5" t="s">
        <v>1722</v>
      </c>
      <c r="C219" s="6"/>
      <c r="D219" s="6">
        <v>200000</v>
      </c>
      <c r="E219" s="26">
        <f>IF(OR(C219&lt;&gt;0,D219&lt;&gt;0),SUM(C$3:C219)-SUM(D$3:D219),0)</f>
        <v>1826535</v>
      </c>
      <c r="F219" s="5"/>
    </row>
    <row r="220" spans="1:8" ht="15.75" x14ac:dyDescent="0.25">
      <c r="A220" s="59"/>
      <c r="B220" s="5" t="s">
        <v>1723</v>
      </c>
      <c r="C220" s="6"/>
      <c r="D220" s="6">
        <v>200000</v>
      </c>
      <c r="E220" s="26">
        <f>IF(OR(C220&lt;&gt;0,D220&lt;&gt;0),SUM(C$3:C220)-SUM(D$3:D220),0)</f>
        <v>1626535</v>
      </c>
      <c r="F220" s="5"/>
    </row>
    <row r="221" spans="1:8" ht="15.75" x14ac:dyDescent="0.25">
      <c r="A221" s="59"/>
      <c r="B221" s="5" t="s">
        <v>505</v>
      </c>
      <c r="C221" s="6"/>
      <c r="D221" s="6">
        <v>200000</v>
      </c>
      <c r="E221" s="26">
        <f>IF(OR(C221&lt;&gt;0,D221&lt;&gt;0),SUM(C$3:C221)-SUM(D$3:D221),0)</f>
        <v>1426535</v>
      </c>
      <c r="F221" s="5"/>
    </row>
    <row r="222" spans="1:8" ht="15.75" x14ac:dyDescent="0.25">
      <c r="A222" s="59"/>
      <c r="B222" s="5" t="s">
        <v>622</v>
      </c>
      <c r="C222" s="6"/>
      <c r="D222" s="6">
        <v>200000</v>
      </c>
      <c r="E222" s="26">
        <f>IF(OR(C222&lt;&gt;0,D222&lt;&gt;0),SUM(C$3:C222)-SUM(D$3:D222),0)</f>
        <v>1226535</v>
      </c>
      <c r="F222" s="5"/>
    </row>
    <row r="223" spans="1:8" ht="15.75" x14ac:dyDescent="0.25">
      <c r="A223" s="59"/>
      <c r="B223" s="5" t="s">
        <v>27</v>
      </c>
      <c r="C223" s="6"/>
      <c r="D223" s="6">
        <v>300000</v>
      </c>
      <c r="E223" s="26">
        <f>IF(OR(C223&lt;&gt;0,D223&lt;&gt;0),SUM(C$3:C223)-SUM(D$3:D223),0)</f>
        <v>926535</v>
      </c>
      <c r="F223" s="5"/>
    </row>
    <row r="224" spans="1:8" ht="15.75" x14ac:dyDescent="0.25">
      <c r="A224" s="59"/>
      <c r="B224" s="5" t="s">
        <v>1715</v>
      </c>
      <c r="C224" s="5"/>
      <c r="D224" s="6">
        <v>78000</v>
      </c>
      <c r="E224" s="26">
        <f>IF(OR(C224&lt;&gt;0,D224&lt;&gt;0),SUM(C$3:C224)-SUM(D$3:D224),0)</f>
        <v>848535</v>
      </c>
      <c r="F224" s="5"/>
    </row>
    <row r="225" spans="1:7" ht="15.75" x14ac:dyDescent="0.25">
      <c r="A225" s="59"/>
      <c r="B225" s="5" t="s">
        <v>1716</v>
      </c>
      <c r="C225" s="5"/>
      <c r="D225" s="6">
        <v>100000</v>
      </c>
      <c r="E225" s="26">
        <f>IF(OR(C225&lt;&gt;0,D225&lt;&gt;0),SUM(C$3:C225)-SUM(D$3:D225),0)</f>
        <v>748535</v>
      </c>
      <c r="F225" s="5"/>
    </row>
    <row r="226" spans="1:7" ht="15.75" x14ac:dyDescent="0.25">
      <c r="A226" s="59"/>
      <c r="B226" s="5" t="s">
        <v>46</v>
      </c>
      <c r="C226" s="5"/>
      <c r="D226" s="6">
        <v>30000</v>
      </c>
      <c r="E226" s="26">
        <f>IF(OR(C226&lt;&gt;0,D226&lt;&gt;0),SUM(C$3:C226)-SUM(D$3:D226),0)</f>
        <v>718535</v>
      </c>
      <c r="F226" s="5"/>
    </row>
    <row r="227" spans="1:7" ht="15.75" x14ac:dyDescent="0.25">
      <c r="A227" s="56">
        <v>45593</v>
      </c>
      <c r="B227" s="5" t="s">
        <v>1717</v>
      </c>
      <c r="C227" s="6"/>
      <c r="D227" s="6">
        <v>200000</v>
      </c>
      <c r="E227" s="26">
        <f>IF(OR(C227&lt;&gt;0,D227&lt;&gt;0),SUM(C$3:C227)-SUM(D$3:D227),0)</f>
        <v>518535</v>
      </c>
      <c r="F227" s="5"/>
    </row>
    <row r="228" spans="1:7" ht="15.75" x14ac:dyDescent="0.25">
      <c r="A228" s="57"/>
      <c r="B228" s="5" t="s">
        <v>1718</v>
      </c>
      <c r="C228" s="6"/>
      <c r="D228" s="6">
        <v>75000</v>
      </c>
      <c r="E228" s="26">
        <f>IF(OR(C228&lt;&gt;0,D228&lt;&gt;0),SUM(C$3:C228)-SUM(D$3:D228),0)</f>
        <v>443535</v>
      </c>
      <c r="F228" s="5"/>
      <c r="G228" s="3">
        <f>373600-E228</f>
        <v>-69935</v>
      </c>
    </row>
    <row r="229" spans="1:7" ht="15.75" x14ac:dyDescent="0.25">
      <c r="A229" s="57"/>
      <c r="B229" s="5" t="s">
        <v>7</v>
      </c>
      <c r="C229" s="6">
        <v>600000</v>
      </c>
      <c r="D229" s="6"/>
      <c r="E229" s="26">
        <f>IF(OR(C229&lt;&gt;0,D229&lt;&gt;0),SUM(C$3:C229)-SUM(D$3:D229),0)</f>
        <v>1043535</v>
      </c>
      <c r="F229" s="5"/>
    </row>
    <row r="230" spans="1:7" ht="15.75" x14ac:dyDescent="0.25">
      <c r="A230" s="57"/>
      <c r="B230" s="5" t="s">
        <v>1719</v>
      </c>
      <c r="C230" s="5"/>
      <c r="D230" s="6">
        <v>350000</v>
      </c>
      <c r="E230" s="26">
        <f>IF(OR(C230&lt;&gt;0,D230&lt;&gt;0),SUM(C$3:C230)-SUM(D$3:D230),0)</f>
        <v>693535</v>
      </c>
      <c r="F230" s="5"/>
    </row>
    <row r="231" spans="1:7" ht="15.75" x14ac:dyDescent="0.25">
      <c r="A231" s="57"/>
      <c r="B231" s="5" t="s">
        <v>1720</v>
      </c>
      <c r="C231" s="5"/>
      <c r="D231" s="6">
        <v>250000</v>
      </c>
      <c r="E231" s="26">
        <f>IF(OR(C231&lt;&gt;0,D231&lt;&gt;0),SUM(C$3:C231)-SUM(D$3:D231),0)</f>
        <v>443535</v>
      </c>
      <c r="F231" s="5"/>
    </row>
    <row r="232" spans="1:7" ht="15.75" x14ac:dyDescent="0.25">
      <c r="A232" s="57"/>
      <c r="B232" s="5" t="s">
        <v>136</v>
      </c>
      <c r="C232" s="5"/>
      <c r="D232" s="6">
        <v>100000</v>
      </c>
      <c r="E232" s="26">
        <f>IF(OR(C232&lt;&gt;0,D232&lt;&gt;0),SUM(C$3:C232)-SUM(D$3:D232),0)</f>
        <v>343535</v>
      </c>
      <c r="F232" s="5"/>
    </row>
    <row r="233" spans="1:7" ht="15.75" x14ac:dyDescent="0.25">
      <c r="A233" s="57"/>
      <c r="B233" s="5" t="s">
        <v>1724</v>
      </c>
      <c r="C233" s="5"/>
      <c r="D233" s="6">
        <v>16600</v>
      </c>
      <c r="E233" s="26">
        <f>IF(OR(C233&lt;&gt;0,D233&lt;&gt;0),SUM(C$3:C233)-SUM(D$3:D233),0)</f>
        <v>326935</v>
      </c>
      <c r="F233" s="5"/>
    </row>
    <row r="234" spans="1:7" ht="15.75" x14ac:dyDescent="0.25">
      <c r="A234" s="57"/>
      <c r="B234" s="5" t="s">
        <v>1725</v>
      </c>
      <c r="C234" s="5"/>
      <c r="D234" s="6">
        <v>35000</v>
      </c>
      <c r="E234" s="26">
        <f>IF(OR(C234&lt;&gt;0,D234&lt;&gt;0),SUM(C$3:C234)-SUM(D$3:D234),0)</f>
        <v>291935</v>
      </c>
      <c r="F234" s="5"/>
    </row>
    <row r="235" spans="1:7" ht="15.75" x14ac:dyDescent="0.25">
      <c r="A235" s="57"/>
      <c r="B235" s="5" t="s">
        <v>443</v>
      </c>
      <c r="C235" s="5"/>
      <c r="D235" s="6">
        <v>4000</v>
      </c>
      <c r="E235" s="26">
        <f>IF(OR(C235&lt;&gt;0,D235&lt;&gt;0),SUM(C$3:C235)-SUM(D$3:D235),0)</f>
        <v>287935</v>
      </c>
      <c r="F235" s="5"/>
    </row>
    <row r="236" spans="1:7" ht="15.75" x14ac:dyDescent="0.25">
      <c r="A236" s="57"/>
      <c r="B236" s="5" t="s">
        <v>1726</v>
      </c>
      <c r="C236" s="5"/>
      <c r="D236" s="6">
        <v>26700</v>
      </c>
      <c r="E236" s="26">
        <f>IF(OR(C236&lt;&gt;0,D236&lt;&gt;0),SUM(C$3:C236)-SUM(D$3:D236),0)</f>
        <v>261235</v>
      </c>
      <c r="F236" s="5"/>
    </row>
    <row r="237" spans="1:7" ht="15.75" x14ac:dyDescent="0.25">
      <c r="A237" s="57"/>
      <c r="B237" s="5" t="s">
        <v>325</v>
      </c>
      <c r="C237" s="5"/>
      <c r="D237" s="6">
        <v>10500</v>
      </c>
      <c r="E237" s="26">
        <f>IF(OR(C237&lt;&gt;0,D237&lt;&gt;0),SUM(C$3:C237)-SUM(D$3:D237),0)</f>
        <v>250735</v>
      </c>
      <c r="F237" s="5"/>
      <c r="G237" s="3">
        <f>179600-E237</f>
        <v>-71135</v>
      </c>
    </row>
    <row r="238" spans="1:7" ht="15.75" x14ac:dyDescent="0.25">
      <c r="A238" s="58"/>
      <c r="B238" s="5" t="s">
        <v>238</v>
      </c>
      <c r="C238" s="5"/>
      <c r="D238" s="6">
        <v>2000</v>
      </c>
      <c r="E238" s="26">
        <f>IF(OR(C238&lt;&gt;0,D238&lt;&gt;0),SUM(C$3:C238)-SUM(D$3:D238),0)</f>
        <v>248735</v>
      </c>
      <c r="F238" s="5"/>
      <c r="G238" s="3">
        <f>179600-E238</f>
        <v>-69135</v>
      </c>
    </row>
    <row r="239" spans="1:7" ht="15.75" x14ac:dyDescent="0.25">
      <c r="A239" s="56">
        <v>45594</v>
      </c>
      <c r="B239" s="5" t="s">
        <v>316</v>
      </c>
      <c r="C239" s="5"/>
      <c r="D239" s="6">
        <v>178900</v>
      </c>
      <c r="E239" s="26">
        <f>IF(OR(C239&lt;&gt;0,D239&lt;&gt;0),SUM(C$3:C239)-SUM(D$3:D239),0)</f>
        <v>69835</v>
      </c>
      <c r="F239" s="5"/>
      <c r="G239" s="3">
        <f>129600-E239</f>
        <v>59765</v>
      </c>
    </row>
    <row r="240" spans="1:7" ht="15.75" x14ac:dyDescent="0.25">
      <c r="A240" s="57"/>
      <c r="B240" s="5" t="s">
        <v>7</v>
      </c>
      <c r="C240" s="6">
        <v>1500000</v>
      </c>
      <c r="D240" s="6"/>
      <c r="E240" s="26">
        <f>IF(OR(C240&lt;&gt;0,D240&lt;&gt;0),SUM(C$3:C240)-SUM(D$3:D240),0)</f>
        <v>1569835</v>
      </c>
      <c r="F240" s="5"/>
      <c r="G240" s="3"/>
    </row>
    <row r="241" spans="1:7" ht="15.75" x14ac:dyDescent="0.25">
      <c r="A241" s="57"/>
      <c r="B241" s="5" t="s">
        <v>930</v>
      </c>
      <c r="C241" s="5"/>
      <c r="D241" s="6">
        <v>200000</v>
      </c>
      <c r="E241" s="26">
        <f>IF(OR(C241&lt;&gt;0,D241&lt;&gt;0),SUM(C$3:C241)-SUM(D$3:D241),0)</f>
        <v>1369835</v>
      </c>
      <c r="F241" s="5"/>
    </row>
    <row r="242" spans="1:7" ht="15.75" x14ac:dyDescent="0.25">
      <c r="A242" s="57"/>
      <c r="B242" s="5" t="s">
        <v>1727</v>
      </c>
      <c r="C242" s="5"/>
      <c r="D242" s="6">
        <v>100000</v>
      </c>
      <c r="E242" s="26">
        <f>IF(OR(C242&lt;&gt;0,D242&lt;&gt;0),SUM(C$3:C242)-SUM(D$3:D242),0)</f>
        <v>1269835</v>
      </c>
      <c r="F242" s="5"/>
      <c r="G242" s="3">
        <f>29600-E242</f>
        <v>-1240235</v>
      </c>
    </row>
    <row r="243" spans="1:7" ht="15.75" x14ac:dyDescent="0.25">
      <c r="A243" s="58"/>
      <c r="B243" s="5" t="s">
        <v>1433</v>
      </c>
      <c r="C243" s="5"/>
      <c r="D243" s="6">
        <v>20000</v>
      </c>
      <c r="E243" s="26">
        <f>IF(OR(C243&lt;&gt;0,D243&lt;&gt;0),SUM(C$3:C243)-SUM(D$3:D243),0)</f>
        <v>1249835</v>
      </c>
      <c r="F243" s="5"/>
      <c r="G243" s="3"/>
    </row>
    <row r="244" spans="1:7" ht="15.75" x14ac:dyDescent="0.25">
      <c r="A244" s="70">
        <v>45595</v>
      </c>
      <c r="B244" s="1" t="s">
        <v>699</v>
      </c>
      <c r="C244" s="1"/>
      <c r="D244" s="8">
        <v>53000</v>
      </c>
      <c r="E244" s="33">
        <f>IF(OR(C244&lt;&gt;0,D244&lt;&gt;0),SUM(C$3:C244)-SUM(D$3:D244),0)</f>
        <v>1196835</v>
      </c>
      <c r="F244" s="1"/>
    </row>
    <row r="245" spans="1:7" ht="15.75" x14ac:dyDescent="0.25">
      <c r="A245" s="71"/>
      <c r="B245" s="1" t="s">
        <v>58</v>
      </c>
      <c r="C245" s="8"/>
      <c r="D245" s="8">
        <v>2000</v>
      </c>
      <c r="E245" s="33">
        <f>IF(OR(C245&lt;&gt;0,D245&lt;&gt;0),SUM(C$3:C245)-SUM(D$3:D245),0)</f>
        <v>1194835</v>
      </c>
      <c r="F245" s="1"/>
    </row>
    <row r="246" spans="1:7" ht="15.75" x14ac:dyDescent="0.25">
      <c r="A246" s="71"/>
      <c r="B246" s="1" t="s">
        <v>689</v>
      </c>
      <c r="C246" s="1"/>
      <c r="D246" s="8">
        <v>10000</v>
      </c>
      <c r="E246" s="33">
        <f>IF(OR(C246&lt;&gt;0,D246&lt;&gt;0),SUM(C$3:C246)-SUM(D$3:D246),0)</f>
        <v>1184835</v>
      </c>
      <c r="F246" s="1"/>
    </row>
    <row r="247" spans="1:7" ht="15.75" x14ac:dyDescent="0.25">
      <c r="A247" s="71"/>
      <c r="B247" s="1" t="s">
        <v>1614</v>
      </c>
      <c r="C247" s="1"/>
      <c r="D247" s="8">
        <v>300000</v>
      </c>
      <c r="E247" s="33">
        <f>IF(OR(C247&lt;&gt;0,D247&lt;&gt;0),SUM(C$3:C247)-SUM(D$3:D247),0)</f>
        <v>884835</v>
      </c>
      <c r="F247" s="1"/>
    </row>
    <row r="248" spans="1:7" ht="15.75" x14ac:dyDescent="0.25">
      <c r="A248" s="71"/>
      <c r="B248" s="1" t="s">
        <v>1737</v>
      </c>
      <c r="C248" s="1"/>
      <c r="D248" s="8">
        <v>8000</v>
      </c>
      <c r="E248" s="33">
        <f>IF(OR(C248&lt;&gt;0,D248&lt;&gt;0),SUM(C$3:C248)-SUM(D$3:D248),0)</f>
        <v>876835</v>
      </c>
      <c r="F248" s="1"/>
    </row>
    <row r="249" spans="1:7" ht="15.75" x14ac:dyDescent="0.25">
      <c r="A249" s="71"/>
      <c r="B249" s="1" t="s">
        <v>1728</v>
      </c>
      <c r="C249" s="1"/>
      <c r="D249" s="8">
        <v>24000</v>
      </c>
      <c r="E249" s="33">
        <f>IF(OR(C249&lt;&gt;0,D249&lt;&gt;0),SUM(C$3:C249)-SUM(D$3:D249),0)</f>
        <v>852835</v>
      </c>
      <c r="F249" s="1"/>
    </row>
    <row r="250" spans="1:7" ht="15.75" x14ac:dyDescent="0.25">
      <c r="A250" s="77">
        <v>45596</v>
      </c>
      <c r="B250" s="1" t="s">
        <v>1433</v>
      </c>
      <c r="C250" s="1"/>
      <c r="D250" s="8">
        <v>50000</v>
      </c>
      <c r="E250" s="33">
        <f>IF(OR(C250&lt;&gt;0,D250&lt;&gt;0),SUM(C$3:C250)-SUM(D$3:D250),0)</f>
        <v>802835</v>
      </c>
      <c r="F250" s="1"/>
    </row>
    <row r="251" spans="1:7" ht="15.75" x14ac:dyDescent="0.25">
      <c r="A251" s="77"/>
      <c r="B251" s="1" t="s">
        <v>1729</v>
      </c>
      <c r="C251" s="8"/>
      <c r="D251" s="8">
        <v>76000</v>
      </c>
      <c r="E251" s="33">
        <f>IF(OR(C251&lt;&gt;0,D251&lt;&gt;0),SUM(C$3:C251)-SUM(D$3:D251),0)</f>
        <v>726835</v>
      </c>
      <c r="F251" s="1"/>
    </row>
    <row r="252" spans="1:7" ht="15.75" x14ac:dyDescent="0.25">
      <c r="A252" s="77"/>
      <c r="B252" s="1" t="s">
        <v>67</v>
      </c>
      <c r="C252" s="1"/>
      <c r="D252" s="8">
        <v>45000</v>
      </c>
      <c r="E252" s="33">
        <f>IF(OR(C252&lt;&gt;0,D252&lt;&gt;0),SUM(C$3:C252)-SUM(D$3:D252),0)</f>
        <v>681835</v>
      </c>
      <c r="F252" s="1"/>
    </row>
    <row r="253" spans="1:7" ht="15.75" x14ac:dyDescent="0.25">
      <c r="A253" s="77"/>
      <c r="B253" s="1" t="s">
        <v>1736</v>
      </c>
      <c r="C253" s="1"/>
      <c r="D253" s="8">
        <v>200000</v>
      </c>
      <c r="E253" s="33">
        <f>IF(OR(C253&lt;&gt;0,D253&lt;&gt;0),SUM(C$3:C253)-SUM(D$3:D253),0)</f>
        <v>481835</v>
      </c>
      <c r="F253" s="1"/>
      <c r="G253" s="3">
        <f>443600-E253</f>
        <v>-38235</v>
      </c>
    </row>
    <row r="418" spans="2:2" x14ac:dyDescent="0.25">
      <c r="B418" t="s">
        <v>973</v>
      </c>
    </row>
  </sheetData>
  <mergeCells count="31">
    <mergeCell ref="A250:A253"/>
    <mergeCell ref="A63:A75"/>
    <mergeCell ref="A152:A158"/>
    <mergeCell ref="A91:A104"/>
    <mergeCell ref="A105:A110"/>
    <mergeCell ref="A114:A125"/>
    <mergeCell ref="A136:A148"/>
    <mergeCell ref="A149:A151"/>
    <mergeCell ref="A111:A113"/>
    <mergeCell ref="A181:A193"/>
    <mergeCell ref="A177:A180"/>
    <mergeCell ref="A172:A176"/>
    <mergeCell ref="A76:A90"/>
    <mergeCell ref="A159:A171"/>
    <mergeCell ref="A244:A249"/>
    <mergeCell ref="F1:F2"/>
    <mergeCell ref="A1:A2"/>
    <mergeCell ref="B1:B2"/>
    <mergeCell ref="C1:C2"/>
    <mergeCell ref="D1:D2"/>
    <mergeCell ref="E1:E2"/>
    <mergeCell ref="A3:A5"/>
    <mergeCell ref="A6:A11"/>
    <mergeCell ref="A12:A33"/>
    <mergeCell ref="A34:A62"/>
    <mergeCell ref="A239:A243"/>
    <mergeCell ref="A194:A206"/>
    <mergeCell ref="A207:A215"/>
    <mergeCell ref="A126:A135"/>
    <mergeCell ref="A216:A226"/>
    <mergeCell ref="A227:A238"/>
  </mergeCells>
  <phoneticPr fontId="4" type="noConversion"/>
  <pageMargins left="0.5" right="0.5" top="0.5" bottom="0.5" header="0.5" footer="0.5"/>
  <pageSetup paperSize="14" scale="55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2714-165C-4BAE-9438-7A1D6B7DA923}">
  <sheetPr>
    <pageSetUpPr fitToPage="1"/>
  </sheetPr>
  <dimension ref="A1:I163"/>
  <sheetViews>
    <sheetView tabSelected="1" topLeftCell="A133" zoomScaleNormal="100" workbookViewId="0">
      <selection activeCell="C143" sqref="C143"/>
    </sheetView>
  </sheetViews>
  <sheetFormatPr defaultRowHeight="15" x14ac:dyDescent="0.25"/>
  <cols>
    <col min="1" max="1" width="34.85546875" customWidth="1"/>
    <col min="2" max="2" width="27.85546875" customWidth="1"/>
    <col min="3" max="3" width="18.28515625" customWidth="1"/>
    <col min="4" max="4" width="18.42578125" customWidth="1"/>
    <col min="5" max="5" width="28.7109375" customWidth="1"/>
    <col min="6" max="6" width="18.140625" customWidth="1"/>
    <col min="7" max="7" width="17.140625" customWidth="1"/>
    <col min="8" max="8" width="15.5703125" bestFit="1" customWidth="1"/>
    <col min="9" max="9" width="12.85546875" bestFit="1" customWidth="1"/>
  </cols>
  <sheetData>
    <row r="1" spans="1:9" x14ac:dyDescent="0.25">
      <c r="A1" s="62" t="s">
        <v>0</v>
      </c>
      <c r="B1" s="80" t="s">
        <v>5</v>
      </c>
      <c r="C1" s="64" t="s">
        <v>1</v>
      </c>
      <c r="D1" s="64" t="s">
        <v>2</v>
      </c>
      <c r="E1" s="64" t="s">
        <v>3</v>
      </c>
      <c r="F1" s="78" t="s">
        <v>4</v>
      </c>
    </row>
    <row r="2" spans="1:9" x14ac:dyDescent="0.25">
      <c r="A2" s="63"/>
      <c r="B2" s="81"/>
      <c r="C2" s="65"/>
      <c r="D2" s="65"/>
      <c r="E2" s="65"/>
      <c r="F2" s="79"/>
    </row>
    <row r="3" spans="1:9" ht="15.75" x14ac:dyDescent="0.25">
      <c r="A3" s="56">
        <v>45597</v>
      </c>
      <c r="B3" s="27" t="s">
        <v>503</v>
      </c>
      <c r="C3" s="26">
        <v>481835</v>
      </c>
      <c r="D3" s="25"/>
      <c r="E3" s="26">
        <f>IF(OR(C3&lt;&gt;0,D3&lt;&gt;0),SUM(C$3:C3)-SUM(D$3:D3),0)</f>
        <v>481835</v>
      </c>
      <c r="F3" s="19"/>
    </row>
    <row r="4" spans="1:9" ht="15.75" x14ac:dyDescent="0.25">
      <c r="A4" s="57"/>
      <c r="B4" s="27" t="s">
        <v>1738</v>
      </c>
      <c r="C4" s="25"/>
      <c r="D4" s="6">
        <v>150000</v>
      </c>
      <c r="E4" s="26">
        <f>IF(OR(C4&lt;&gt;0,D4&lt;&gt;0),SUM(C$3:C4)-SUM(D$3:D4),0)</f>
        <v>331835</v>
      </c>
      <c r="F4" s="19"/>
      <c r="H4" s="3"/>
    </row>
    <row r="5" spans="1:9" ht="15.75" x14ac:dyDescent="0.25">
      <c r="A5" s="57"/>
      <c r="B5" s="5" t="s">
        <v>1739</v>
      </c>
      <c r="C5" s="6"/>
      <c r="D5" s="6">
        <v>350000</v>
      </c>
      <c r="E5" s="26">
        <f>IF(OR(C5&lt;&gt;0,D5&lt;&gt;0),SUM(C$3:C5)-SUM(D$3:D5),0)</f>
        <v>-18165</v>
      </c>
      <c r="F5" s="5"/>
      <c r="G5" s="3"/>
    </row>
    <row r="6" spans="1:9" ht="15.75" x14ac:dyDescent="0.25">
      <c r="A6" s="57"/>
      <c r="B6" s="5" t="s">
        <v>1740</v>
      </c>
      <c r="C6" s="5"/>
      <c r="D6" s="6">
        <v>23500</v>
      </c>
      <c r="E6" s="26">
        <f>IF(OR(C6&lt;&gt;0,D6&lt;&gt;0),SUM(C$3:C6)-SUM(D$3:D6),0)</f>
        <v>-41665</v>
      </c>
      <c r="F6" s="5"/>
      <c r="I6">
        <v>481835</v>
      </c>
    </row>
    <row r="7" spans="1:9" ht="15.75" x14ac:dyDescent="0.25">
      <c r="A7" s="57"/>
      <c r="B7" s="5" t="s">
        <v>1741</v>
      </c>
      <c r="C7" s="5"/>
      <c r="D7" s="6">
        <v>14000</v>
      </c>
      <c r="E7" s="26">
        <f>IF(OR(C7&lt;&gt;0,D7&lt;&gt;0),SUM(C$3:C7)-SUM(D$3:D7),0)</f>
        <v>-55665</v>
      </c>
      <c r="F7" s="5"/>
    </row>
    <row r="8" spans="1:9" ht="15.75" x14ac:dyDescent="0.25">
      <c r="A8" s="57"/>
      <c r="B8" s="5" t="s">
        <v>75</v>
      </c>
      <c r="C8" s="5"/>
      <c r="D8" s="6">
        <v>32000</v>
      </c>
      <c r="E8" s="26">
        <f>IF(OR(C8&lt;&gt;0,D8&lt;&gt;0),SUM(C$3:C8)-SUM(D$3:D8),0)</f>
        <v>-87665</v>
      </c>
      <c r="F8" s="5"/>
    </row>
    <row r="9" spans="1:9" ht="15.75" x14ac:dyDescent="0.25">
      <c r="A9" s="57"/>
      <c r="B9" s="5" t="s">
        <v>7</v>
      </c>
      <c r="C9" s="6">
        <v>569500</v>
      </c>
      <c r="D9" s="5"/>
      <c r="E9" s="26">
        <f>IF(OR(C9&lt;&gt;0,D9&lt;&gt;0),SUM(C$3:C9)-SUM(D$3:D9),0)</f>
        <v>481835</v>
      </c>
      <c r="F9" s="5"/>
    </row>
    <row r="10" spans="1:9" ht="15.75" x14ac:dyDescent="0.25">
      <c r="A10" s="57"/>
      <c r="B10" s="5" t="s">
        <v>593</v>
      </c>
      <c r="C10" s="5"/>
      <c r="D10" s="6">
        <v>350000</v>
      </c>
      <c r="E10" s="26">
        <f>IF(OR(C10&lt;&gt;0,D10&lt;&gt;0),SUM(C$3:C10)-SUM(D$3:D10),0)</f>
        <v>131835</v>
      </c>
      <c r="F10" s="5"/>
    </row>
    <row r="11" spans="1:9" ht="15.75" x14ac:dyDescent="0.25">
      <c r="A11" s="57"/>
      <c r="B11" s="5" t="s">
        <v>7</v>
      </c>
      <c r="C11" s="6">
        <v>250000</v>
      </c>
      <c r="D11" s="5"/>
      <c r="E11" s="26">
        <f>IF(OR(C11&lt;&gt;0,D11&lt;&gt;0),SUM(C$3:C11)-SUM(D$3:D11),0)</f>
        <v>381835</v>
      </c>
      <c r="F11" s="5"/>
    </row>
    <row r="12" spans="1:9" ht="15.75" x14ac:dyDescent="0.25">
      <c r="A12" s="57"/>
      <c r="B12" s="5" t="s">
        <v>1682</v>
      </c>
      <c r="C12" s="5"/>
      <c r="D12" s="6">
        <v>250000</v>
      </c>
      <c r="E12" s="26">
        <f>IF(OR(C12&lt;&gt;0,D12&lt;&gt;0),SUM(C$3:C12)-SUM(D$3:D12),0)</f>
        <v>131835</v>
      </c>
      <c r="F12" s="5"/>
    </row>
    <row r="13" spans="1:9" ht="15.75" x14ac:dyDescent="0.25">
      <c r="A13" s="57"/>
      <c r="B13" s="5" t="s">
        <v>7</v>
      </c>
      <c r="C13" s="6">
        <v>150000</v>
      </c>
      <c r="D13" s="5"/>
      <c r="E13" s="26">
        <f>IF(OR(C13&lt;&gt;0,D13&lt;&gt;0),SUM(C$3:C13)-SUM(D$3:D13),0)</f>
        <v>281835</v>
      </c>
      <c r="F13" s="5"/>
    </row>
    <row r="14" spans="1:9" ht="15.75" x14ac:dyDescent="0.25">
      <c r="A14" s="58"/>
      <c r="B14" s="5" t="s">
        <v>1748</v>
      </c>
      <c r="C14" s="5"/>
      <c r="D14" s="6">
        <v>200000</v>
      </c>
      <c r="E14" s="26">
        <f>IF(OR(C14&lt;&gt;0,D14&lt;&gt;0),SUM(C$3:C14)-SUM(D$3:D14),0)</f>
        <v>81835</v>
      </c>
      <c r="F14" s="5"/>
    </row>
    <row r="15" spans="1:9" ht="15.75" x14ac:dyDescent="0.25">
      <c r="A15" s="56">
        <v>45598</v>
      </c>
      <c r="B15" s="27" t="s">
        <v>7</v>
      </c>
      <c r="C15" s="6">
        <v>1000000</v>
      </c>
      <c r="D15" s="25"/>
      <c r="E15" s="26">
        <f>IF(OR(C15&lt;&gt;0,D15&lt;&gt;0),SUM(C$3:C15)-SUM(D$3:D15),0)</f>
        <v>1081835</v>
      </c>
      <c r="F15" s="19"/>
    </row>
    <row r="16" spans="1:9" ht="15.75" x14ac:dyDescent="0.25">
      <c r="A16" s="57"/>
      <c r="B16" s="27" t="s">
        <v>1828</v>
      </c>
      <c r="C16" s="25"/>
      <c r="D16" s="6">
        <v>22000</v>
      </c>
      <c r="E16" s="26">
        <f>IF(OR(C16&lt;&gt;0,D16&lt;&gt;0),SUM(C$3:C16)-SUM(D$3:D16),0)</f>
        <v>1059835</v>
      </c>
      <c r="F16" s="19"/>
    </row>
    <row r="17" spans="1:7" ht="15.75" x14ac:dyDescent="0.25">
      <c r="A17" s="57"/>
      <c r="B17" s="5" t="s">
        <v>713</v>
      </c>
      <c r="C17" s="6"/>
      <c r="D17" s="6">
        <v>200000</v>
      </c>
      <c r="E17" s="26">
        <f>IF(OR(C17&lt;&gt;0,D17&lt;&gt;0),SUM(C$3:C17)-SUM(D$3:D17),0)</f>
        <v>859835</v>
      </c>
      <c r="F17" s="5"/>
    </row>
    <row r="18" spans="1:7" ht="15.75" x14ac:dyDescent="0.25">
      <c r="A18" s="57"/>
      <c r="B18" s="5" t="s">
        <v>1742</v>
      </c>
      <c r="C18" s="5"/>
      <c r="D18" s="6">
        <v>200000</v>
      </c>
      <c r="E18" s="26">
        <f>IF(OR(C18&lt;&gt;0,D18&lt;&gt;0),SUM(C$3:C18)-SUM(D$3:D18),0)</f>
        <v>659835</v>
      </c>
      <c r="F18" s="5"/>
    </row>
    <row r="19" spans="1:7" ht="15.75" x14ac:dyDescent="0.25">
      <c r="A19" s="57"/>
      <c r="B19" s="5" t="s">
        <v>1743</v>
      </c>
      <c r="C19" s="5"/>
      <c r="D19" s="6">
        <v>600000</v>
      </c>
      <c r="E19" s="26">
        <f>IF(OR(C19&lt;&gt;0,D19&lt;&gt;0),SUM(C$3:C19)-SUM(D$3:D19),0)</f>
        <v>59835</v>
      </c>
      <c r="F19" s="5"/>
    </row>
    <row r="20" spans="1:7" ht="15.75" x14ac:dyDescent="0.25">
      <c r="A20" s="57"/>
      <c r="B20" s="5" t="s">
        <v>7</v>
      </c>
      <c r="C20" s="6">
        <v>1000000</v>
      </c>
      <c r="D20" s="6"/>
      <c r="E20" s="26">
        <f>IF(OR(C20&lt;&gt;0,D20&lt;&gt;0),SUM(C$3:C20)-SUM(D$3:D20),0)</f>
        <v>1059835</v>
      </c>
      <c r="F20" s="5"/>
      <c r="G20" s="3">
        <f>903600-E20</f>
        <v>-156235</v>
      </c>
    </row>
    <row r="21" spans="1:7" ht="15.75" x14ac:dyDescent="0.25">
      <c r="A21" s="57"/>
      <c r="B21" s="5" t="s">
        <v>1749</v>
      </c>
      <c r="C21" s="6"/>
      <c r="D21" s="6">
        <v>12000</v>
      </c>
      <c r="E21" s="26">
        <f>IF(OR(C21&lt;&gt;0,D21&lt;&gt;0),SUM(C$3:C21)-SUM(D$3:D21),0)</f>
        <v>1047835</v>
      </c>
      <c r="F21" s="5"/>
    </row>
    <row r="22" spans="1:7" ht="15.75" x14ac:dyDescent="0.25">
      <c r="A22" s="57"/>
      <c r="B22" s="5" t="s">
        <v>46</v>
      </c>
      <c r="C22" s="5"/>
      <c r="D22" s="6">
        <v>30000</v>
      </c>
      <c r="E22" s="26">
        <f>IF(OR(C22&lt;&gt;0,D22&lt;&gt;0),SUM(C$3:C22)-SUM(D$3:D22),0)</f>
        <v>1017835</v>
      </c>
      <c r="F22" s="5"/>
    </row>
    <row r="23" spans="1:7" ht="15.75" x14ac:dyDescent="0.25">
      <c r="A23" s="57"/>
      <c r="B23" s="5" t="s">
        <v>1750</v>
      </c>
      <c r="C23" s="6"/>
      <c r="D23" s="6">
        <v>175000</v>
      </c>
      <c r="E23" s="26">
        <f>IF(OR(C23&lt;&gt;0,D23&lt;&gt;0),SUM(C$3:C23)-SUM(D$3:D23),0)</f>
        <v>842835</v>
      </c>
      <c r="F23" s="5"/>
    </row>
    <row r="24" spans="1:7" ht="15.75" x14ac:dyDescent="0.25">
      <c r="A24" s="58"/>
      <c r="B24" s="5" t="s">
        <v>1535</v>
      </c>
      <c r="C24" s="5"/>
      <c r="D24" s="6">
        <v>2000</v>
      </c>
      <c r="E24" s="26">
        <f>IF(OR(C24&lt;&gt;0,D24&lt;&gt;0),SUM(C$3:C24)-SUM(D$3:D24),0)</f>
        <v>840835</v>
      </c>
      <c r="F24" s="5"/>
    </row>
    <row r="25" spans="1:7" ht="15.75" x14ac:dyDescent="0.25">
      <c r="A25" s="56">
        <v>45600</v>
      </c>
      <c r="B25" s="27" t="s">
        <v>1622</v>
      </c>
      <c r="C25" s="6"/>
      <c r="D25" s="25">
        <v>200000</v>
      </c>
      <c r="E25" s="26">
        <f>IF(OR(C25&lt;&gt;0,D25&lt;&gt;0),SUM(C$3:C25)-SUM(D$3:D25),0)</f>
        <v>640835</v>
      </c>
      <c r="F25" s="19"/>
    </row>
    <row r="26" spans="1:7" ht="15.75" x14ac:dyDescent="0.25">
      <c r="A26" s="57"/>
      <c r="B26" s="27" t="s">
        <v>1744</v>
      </c>
      <c r="C26" s="25"/>
      <c r="D26" s="6">
        <v>10000</v>
      </c>
      <c r="E26" s="26">
        <f>IF(OR(C26&lt;&gt;0,D26&lt;&gt;0),SUM(C$3:C26)-SUM(D$3:D26),0)</f>
        <v>630835</v>
      </c>
      <c r="F26" s="19"/>
    </row>
    <row r="27" spans="1:7" ht="15.75" x14ac:dyDescent="0.25">
      <c r="A27" s="57"/>
      <c r="B27" s="5" t="s">
        <v>988</v>
      </c>
      <c r="C27" s="6"/>
      <c r="D27" s="6">
        <v>82000</v>
      </c>
      <c r="E27" s="26">
        <f>IF(OR(C27&lt;&gt;0,D27&lt;&gt;0),SUM(C$3:C27)-SUM(D$3:D27),0)</f>
        <v>548835</v>
      </c>
      <c r="F27" s="5"/>
    </row>
    <row r="28" spans="1:7" ht="15.75" x14ac:dyDescent="0.25">
      <c r="A28" s="57"/>
      <c r="B28" s="5" t="s">
        <v>1745</v>
      </c>
      <c r="C28" s="5"/>
      <c r="D28" s="6">
        <v>10000</v>
      </c>
      <c r="E28" s="26">
        <f>IF(OR(C28&lt;&gt;0,D28&lt;&gt;0),SUM(C$3:C28)-SUM(D$3:D28),0)</f>
        <v>538835</v>
      </c>
      <c r="F28" s="5"/>
      <c r="G28" s="3"/>
    </row>
    <row r="29" spans="1:7" ht="15.75" x14ac:dyDescent="0.25">
      <c r="A29" s="57"/>
      <c r="B29" s="5" t="s">
        <v>7</v>
      </c>
      <c r="C29" s="6">
        <v>302000</v>
      </c>
      <c r="D29" s="6"/>
      <c r="E29" s="26">
        <f>IF(OR(C29&lt;&gt;0,D29&lt;&gt;0),SUM(C$3:C29)-SUM(D$3:D29),0)</f>
        <v>840835</v>
      </c>
      <c r="F29" s="5"/>
    </row>
    <row r="30" spans="1:7" ht="15.75" x14ac:dyDescent="0.25">
      <c r="A30" s="57"/>
      <c r="B30" s="5" t="s">
        <v>823</v>
      </c>
      <c r="C30" s="6"/>
      <c r="D30" s="6">
        <v>34000</v>
      </c>
      <c r="E30" s="26">
        <f>IF(OR(C30&lt;&gt;0,D30&lt;&gt;0),SUM(C$3:C30)-SUM(D$3:D30),0)</f>
        <v>806835</v>
      </c>
      <c r="F30" s="5"/>
    </row>
    <row r="31" spans="1:7" ht="15.75" x14ac:dyDescent="0.25">
      <c r="A31" s="57"/>
      <c r="B31" s="5" t="s">
        <v>1746</v>
      </c>
      <c r="C31" s="6"/>
      <c r="D31" s="6">
        <v>68000</v>
      </c>
      <c r="E31" s="26">
        <f>IF(OR(C31&lt;&gt;0,D31&lt;&gt;0),SUM(C$3:C31)-SUM(D$3:D31),0)</f>
        <v>738835</v>
      </c>
      <c r="F31" s="5"/>
    </row>
    <row r="32" spans="1:7" ht="15.75" x14ac:dyDescent="0.25">
      <c r="A32" s="57"/>
      <c r="B32" s="5" t="s">
        <v>43</v>
      </c>
      <c r="C32" s="5"/>
      <c r="D32" s="6">
        <v>200000</v>
      </c>
      <c r="E32" s="26">
        <f>IF(OR(C32&lt;&gt;0,D32&lt;&gt;0),SUM(C$3:C32)-SUM(D$3:D32),0)</f>
        <v>538835</v>
      </c>
      <c r="F32" s="5"/>
    </row>
    <row r="33" spans="1:8" ht="15.75" x14ac:dyDescent="0.25">
      <c r="A33" s="57"/>
      <c r="B33" s="5" t="s">
        <v>1747</v>
      </c>
      <c r="C33" s="5"/>
      <c r="D33" s="6">
        <v>483000</v>
      </c>
      <c r="E33" s="26">
        <f>IF(OR(C33&lt;&gt;0,D33&lt;&gt;0),SUM(C$3:C33)-SUM(D$3:D33),0)</f>
        <v>55835</v>
      </c>
      <c r="F33" s="5"/>
    </row>
    <row r="34" spans="1:8" ht="15.75" x14ac:dyDescent="0.25">
      <c r="A34" s="57"/>
      <c r="B34" s="5" t="s">
        <v>1432</v>
      </c>
      <c r="C34" s="6"/>
      <c r="D34" s="6">
        <v>240000</v>
      </c>
      <c r="E34" s="26">
        <f>IF(OR(C34&lt;&gt;0,D34&lt;&gt;0),SUM(C$3:C34)-SUM(D$3:D34),0)</f>
        <v>-184165</v>
      </c>
      <c r="F34" s="5"/>
    </row>
    <row r="35" spans="1:8" ht="15.75" x14ac:dyDescent="0.25">
      <c r="A35" s="58"/>
      <c r="B35" s="5" t="s">
        <v>1751</v>
      </c>
      <c r="C35" s="5"/>
      <c r="D35" s="6">
        <v>30000</v>
      </c>
      <c r="E35" s="26">
        <f>IF(OR(C35&lt;&gt;0,D35&lt;&gt;0),SUM(C$3:C35)-SUM(D$3:D35),0)</f>
        <v>-214165</v>
      </c>
      <c r="F35" s="5"/>
      <c r="G35" s="3"/>
    </row>
    <row r="36" spans="1:8" ht="15.75" x14ac:dyDescent="0.25">
      <c r="A36" s="59">
        <v>45601</v>
      </c>
      <c r="B36" s="5" t="s">
        <v>7</v>
      </c>
      <c r="C36" s="6">
        <f>733000+305000</f>
        <v>1038000</v>
      </c>
      <c r="D36" s="5"/>
      <c r="E36" s="26">
        <f>IF(OR(C36&lt;&gt;0,D36&lt;&gt;0),SUM(C$3:C36)-SUM(D$3:D36),0)</f>
        <v>823835</v>
      </c>
      <c r="F36" s="5"/>
      <c r="G36" s="3"/>
      <c r="H36" s="3"/>
    </row>
    <row r="37" spans="1:8" ht="15.75" x14ac:dyDescent="0.25">
      <c r="A37" s="59"/>
      <c r="B37" s="27" t="s">
        <v>1752</v>
      </c>
      <c r="C37" s="25"/>
      <c r="D37" s="6">
        <v>49700</v>
      </c>
      <c r="E37" s="26">
        <f>IF(OR(C37&lt;&gt;0,D37&lt;&gt;0),SUM(C$3:C37)-SUM(D$3:D37),0)</f>
        <v>774135</v>
      </c>
      <c r="F37" s="19"/>
      <c r="G37" s="3"/>
    </row>
    <row r="38" spans="1:8" ht="15.75" x14ac:dyDescent="0.25">
      <c r="A38" s="59"/>
      <c r="B38" s="5" t="s">
        <v>1753</v>
      </c>
      <c r="C38" s="6"/>
      <c r="D38" s="6">
        <v>30000</v>
      </c>
      <c r="E38" s="26">
        <f>IF(OR(C38&lt;&gt;0,D38&lt;&gt;0),SUM(C$3:C38)-SUM(D$3:D38),0)</f>
        <v>744135</v>
      </c>
      <c r="F38" s="5"/>
      <c r="G38" s="3">
        <f>612600-E38</f>
        <v>-131535</v>
      </c>
    </row>
    <row r="39" spans="1:8" ht="15.75" x14ac:dyDescent="0.25">
      <c r="A39" s="59"/>
      <c r="B39" s="5" t="s">
        <v>1754</v>
      </c>
      <c r="C39" s="5"/>
      <c r="D39" s="6">
        <v>250000</v>
      </c>
      <c r="E39" s="26">
        <f>IF(OR(C39&lt;&gt;0,D39&lt;&gt;0),SUM(C$3:C39)-SUM(D$3:D39),0)</f>
        <v>494135</v>
      </c>
      <c r="F39" s="5"/>
    </row>
    <row r="40" spans="1:8" ht="15.75" x14ac:dyDescent="0.25">
      <c r="A40" s="59"/>
      <c r="B40" s="5" t="s">
        <v>1755</v>
      </c>
      <c r="C40" s="6"/>
      <c r="D40" s="6">
        <v>100000</v>
      </c>
      <c r="E40" s="26">
        <f>IF(OR(C40&lt;&gt;0,D40&lt;&gt;0),SUM(C$3:C40)-SUM(D$3:D40),0)</f>
        <v>394135</v>
      </c>
      <c r="F40" s="5"/>
      <c r="G40" s="3">
        <f>363600-E40</f>
        <v>-30535</v>
      </c>
    </row>
    <row r="41" spans="1:8" ht="15.75" x14ac:dyDescent="0.25">
      <c r="A41" s="59"/>
      <c r="B41" s="5" t="s">
        <v>593</v>
      </c>
      <c r="C41" s="6"/>
      <c r="D41" s="6">
        <v>250000</v>
      </c>
      <c r="E41" s="26">
        <f>IF(OR(C41&lt;&gt;0,D41&lt;&gt;0),SUM(C$3:C41)-SUM(D$3:D41),0)</f>
        <v>144135</v>
      </c>
      <c r="F41" s="5"/>
    </row>
    <row r="42" spans="1:8" ht="15.75" x14ac:dyDescent="0.25">
      <c r="A42" s="56">
        <v>45602</v>
      </c>
      <c r="B42" s="5" t="s">
        <v>7</v>
      </c>
      <c r="C42" s="6">
        <v>345600</v>
      </c>
      <c r="D42" s="5"/>
      <c r="E42" s="26">
        <f>IF(OR(C42&lt;&gt;0,D42&lt;&gt;0),SUM(C$3:C42)-SUM(D$3:D42),0)</f>
        <v>489735</v>
      </c>
      <c r="F42" s="5"/>
    </row>
    <row r="43" spans="1:8" ht="15.75" x14ac:dyDescent="0.25">
      <c r="A43" s="57"/>
      <c r="B43" s="27" t="s">
        <v>1756</v>
      </c>
      <c r="C43" s="25"/>
      <c r="D43" s="6">
        <v>279000</v>
      </c>
      <c r="E43" s="26">
        <f>IF(OR(C43&lt;&gt;0,D43&lt;&gt;0),SUM(C$3:C43)-SUM(D$3:D43),0)</f>
        <v>210735</v>
      </c>
      <c r="F43" s="19"/>
    </row>
    <row r="44" spans="1:8" ht="15.75" x14ac:dyDescent="0.25">
      <c r="A44" s="57"/>
      <c r="B44" s="5" t="s">
        <v>136</v>
      </c>
      <c r="C44" s="6"/>
      <c r="D44" s="6">
        <v>150000</v>
      </c>
      <c r="E44" s="26">
        <f>IF(OR(C44&lt;&gt;0,D44&lt;&gt;0),SUM(C$3:C44)-SUM(D$3:D44),0)</f>
        <v>60735</v>
      </c>
      <c r="F44" s="5"/>
    </row>
    <row r="45" spans="1:8" ht="15.75" x14ac:dyDescent="0.25">
      <c r="A45" s="57"/>
      <c r="B45" s="5" t="s">
        <v>66</v>
      </c>
      <c r="C45" s="5"/>
      <c r="D45" s="6">
        <v>249400</v>
      </c>
      <c r="E45" s="26">
        <f>IF(OR(C45&lt;&gt;0,D45&lt;&gt;0),SUM(C$3:C45)-SUM(D$3:D45),0)</f>
        <v>-188665</v>
      </c>
      <c r="F45" s="5"/>
    </row>
    <row r="46" spans="1:8" ht="15.75" x14ac:dyDescent="0.25">
      <c r="A46" s="57"/>
      <c r="B46" s="5" t="s">
        <v>7</v>
      </c>
      <c r="C46" s="6">
        <v>582800</v>
      </c>
      <c r="D46" s="6"/>
      <c r="E46" s="26">
        <f>IF(OR(C46&lt;&gt;0,D46&lt;&gt;0),SUM(C$3:C46)-SUM(D$3:D46),0)</f>
        <v>394135</v>
      </c>
      <c r="F46" s="5"/>
    </row>
    <row r="47" spans="1:8" ht="15.75" x14ac:dyDescent="0.25">
      <c r="A47" s="57"/>
      <c r="B47" s="5" t="s">
        <v>1757</v>
      </c>
      <c r="C47" s="6"/>
      <c r="D47" s="6">
        <v>200000</v>
      </c>
      <c r="E47" s="26">
        <f>IF(OR(C47&lt;&gt;0,D47&lt;&gt;0),SUM(C$3:C47)-SUM(D$3:D47),0)</f>
        <v>194135</v>
      </c>
      <c r="F47" s="5"/>
    </row>
    <row r="48" spans="1:8" ht="15.75" x14ac:dyDescent="0.25">
      <c r="A48" s="57"/>
      <c r="B48" s="5" t="s">
        <v>1758</v>
      </c>
      <c r="C48" s="6"/>
      <c r="D48" s="6">
        <v>40000</v>
      </c>
      <c r="E48" s="26">
        <f>IF(OR(C48&lt;&gt;0,D48&lt;&gt;0),SUM(C$3:C48)-SUM(D$3:D48),0)</f>
        <v>154135</v>
      </c>
      <c r="F48" s="5"/>
    </row>
    <row r="49" spans="1:7" ht="15.75" x14ac:dyDescent="0.25">
      <c r="A49" s="57"/>
      <c r="B49" s="5" t="s">
        <v>46</v>
      </c>
      <c r="C49" s="5"/>
      <c r="D49" s="6">
        <v>30000</v>
      </c>
      <c r="E49" s="26">
        <f>IF(OR(C49&lt;&gt;0,D49&lt;&gt;0),SUM(C$3:C49)-SUM(D$3:D49),0)</f>
        <v>124135</v>
      </c>
      <c r="F49" s="5"/>
    </row>
    <row r="50" spans="1:7" ht="15.75" x14ac:dyDescent="0.25">
      <c r="A50" s="57"/>
      <c r="B50" s="5" t="s">
        <v>133</v>
      </c>
      <c r="C50" s="5"/>
      <c r="D50" s="6">
        <v>66500</v>
      </c>
      <c r="E50" s="26">
        <f>IF(OR(C50&lt;&gt;0,D50&lt;&gt;0),SUM(C$3:C50)-SUM(D$3:D50),0)</f>
        <v>57635</v>
      </c>
      <c r="F50" s="5"/>
    </row>
    <row r="51" spans="1:7" ht="15.75" x14ac:dyDescent="0.25">
      <c r="A51" s="57"/>
      <c r="B51" s="5" t="s">
        <v>1759</v>
      </c>
      <c r="C51" s="5"/>
      <c r="D51" s="6">
        <v>22000</v>
      </c>
      <c r="E51" s="26">
        <f>IF(OR(C51&lt;&gt;0,D51&lt;&gt;0),SUM(C$3:C51)-SUM(D$3:D51),0)</f>
        <v>35635</v>
      </c>
      <c r="F51" s="5"/>
    </row>
    <row r="52" spans="1:7" ht="15.75" x14ac:dyDescent="0.25">
      <c r="A52" s="56">
        <v>45603</v>
      </c>
      <c r="B52" s="27" t="s">
        <v>1781</v>
      </c>
      <c r="C52" s="25"/>
      <c r="D52" s="6">
        <v>200000</v>
      </c>
      <c r="E52" s="26">
        <f>IF(OR(C52&lt;&gt;0,D52&lt;&gt;0),SUM(C$3:C52)-SUM(D$3:D52),0)</f>
        <v>-164365</v>
      </c>
      <c r="F52" s="19"/>
    </row>
    <row r="53" spans="1:7" ht="15.75" x14ac:dyDescent="0.25">
      <c r="A53" s="57"/>
      <c r="B53" s="5" t="s">
        <v>1433</v>
      </c>
      <c r="C53" s="6"/>
      <c r="D53" s="6">
        <v>50000</v>
      </c>
      <c r="E53" s="26">
        <f>IF(OR(C53&lt;&gt;0,D53&lt;&gt;0),SUM(C$3:C53)-SUM(D$3:D53),0)</f>
        <v>-214365</v>
      </c>
      <c r="F53" s="5"/>
      <c r="G53" s="3">
        <f>39600-E53</f>
        <v>253965</v>
      </c>
    </row>
    <row r="54" spans="1:7" ht="15.75" x14ac:dyDescent="0.25">
      <c r="A54" s="57"/>
      <c r="B54" s="5" t="s">
        <v>129</v>
      </c>
      <c r="C54" s="6"/>
      <c r="D54" s="6">
        <v>560000</v>
      </c>
      <c r="E54" s="26">
        <f>IF(OR(C54&lt;&gt;0,D54&lt;&gt;0),SUM(C$3:C54)-SUM(D$3:D54),0)</f>
        <v>-774365</v>
      </c>
      <c r="F54" s="5"/>
    </row>
    <row r="55" spans="1:7" ht="15.75" x14ac:dyDescent="0.25">
      <c r="A55" s="57"/>
      <c r="B55" s="5" t="s">
        <v>7</v>
      </c>
      <c r="C55" s="6">
        <v>3525000</v>
      </c>
      <c r="D55" s="6"/>
      <c r="E55" s="26">
        <f>IF(OR(C55&lt;&gt;0,D55&lt;&gt;0),SUM(C$3:C55)-SUM(D$3:D55),0)</f>
        <v>2750635</v>
      </c>
      <c r="F55" s="5"/>
    </row>
    <row r="56" spans="1:7" ht="15.75" x14ac:dyDescent="0.25">
      <c r="A56" s="57"/>
      <c r="B56" s="5" t="s">
        <v>1760</v>
      </c>
      <c r="C56" s="5"/>
      <c r="D56" s="6">
        <v>3525000</v>
      </c>
      <c r="E56" s="26">
        <f>IF(OR(C56&lt;&gt;0,D56&lt;&gt;0),SUM(C$3:C56)-SUM(D$3:D56),0)</f>
        <v>-774365</v>
      </c>
      <c r="F56" s="5"/>
    </row>
    <row r="57" spans="1:7" ht="15.75" x14ac:dyDescent="0.25">
      <c r="A57" s="57"/>
      <c r="B57" s="5" t="s">
        <v>1774</v>
      </c>
      <c r="C57" s="5"/>
      <c r="D57" s="6">
        <v>300000</v>
      </c>
      <c r="E57" s="26">
        <f>IF(OR(C57&lt;&gt;0,D57&lt;&gt;0),SUM(C$3:C57)-SUM(D$3:D57),0)</f>
        <v>-1074365</v>
      </c>
      <c r="F57" s="5"/>
    </row>
    <row r="58" spans="1:7" ht="15.75" x14ac:dyDescent="0.25">
      <c r="A58" s="58"/>
      <c r="B58" s="5" t="s">
        <v>1775</v>
      </c>
      <c r="C58" s="6" t="s">
        <v>72</v>
      </c>
      <c r="D58" s="6">
        <v>10000</v>
      </c>
      <c r="E58" s="26">
        <f>IF(OR(C58&lt;&gt;0,D58&lt;&gt;0),SUM(C$3:C58)-SUM(D$3:D58),0)</f>
        <v>-1084365</v>
      </c>
      <c r="F58" s="5"/>
    </row>
    <row r="59" spans="1:7" ht="15.75" x14ac:dyDescent="0.25">
      <c r="A59" s="56">
        <v>45604</v>
      </c>
      <c r="B59" s="27" t="s">
        <v>67</v>
      </c>
      <c r="C59" s="25"/>
      <c r="D59" s="6">
        <v>60000</v>
      </c>
      <c r="E59" s="26">
        <f>IF(OR(C59&lt;&gt;0,D59&lt;&gt;0),SUM(C$3:C59)-SUM(D$3:D59),0)</f>
        <v>-1144365</v>
      </c>
      <c r="F59" s="19"/>
    </row>
    <row r="60" spans="1:7" ht="15.75" x14ac:dyDescent="0.25">
      <c r="A60" s="57"/>
      <c r="B60" s="5" t="s">
        <v>122</v>
      </c>
      <c r="C60" s="6"/>
      <c r="D60" s="6">
        <v>100000</v>
      </c>
      <c r="E60" s="26">
        <f>IF(OR(C60&lt;&gt;0,D60&lt;&gt;0),SUM(C$3:C60)-SUM(D$3:D60),0)</f>
        <v>-1244365</v>
      </c>
      <c r="F60" s="5"/>
    </row>
    <row r="61" spans="1:7" ht="15.75" x14ac:dyDescent="0.25">
      <c r="A61" s="57"/>
      <c r="B61" s="5" t="s">
        <v>76</v>
      </c>
      <c r="C61" s="6"/>
      <c r="D61" s="6">
        <v>30000</v>
      </c>
      <c r="E61" s="26">
        <f>IF(OR(C61&lt;&gt;0,D61&lt;&gt;0),SUM(C$3:C61)-SUM(D$3:D61),0)</f>
        <v>-1274365</v>
      </c>
      <c r="F61" s="5"/>
    </row>
    <row r="62" spans="1:7" ht="15.75" x14ac:dyDescent="0.25">
      <c r="A62" s="58"/>
      <c r="B62" s="5" t="s">
        <v>1778</v>
      </c>
      <c r="C62" s="6"/>
      <c r="D62" s="6">
        <v>300000</v>
      </c>
      <c r="E62" s="26">
        <f>IF(OR(C62&lt;&gt;0,D62&lt;&gt;0),SUM(C$3:C62)-SUM(D$3:D62),0)</f>
        <v>-1574365</v>
      </c>
      <c r="F62" s="5"/>
    </row>
    <row r="63" spans="1:7" ht="15.75" x14ac:dyDescent="0.25">
      <c r="A63" s="56">
        <v>45605</v>
      </c>
      <c r="B63" s="5" t="s">
        <v>1776</v>
      </c>
      <c r="C63" s="6"/>
      <c r="D63" s="6">
        <v>420000</v>
      </c>
      <c r="E63" s="26">
        <f>IF(OR(C63&lt;&gt;0,D63&lt;&gt;0),SUM(C$3:C63)-SUM(D$3:D63),0)</f>
        <v>-1994365</v>
      </c>
      <c r="F63" s="5"/>
    </row>
    <row r="64" spans="1:7" ht="15.75" x14ac:dyDescent="0.25">
      <c r="A64" s="57"/>
      <c r="B64" s="5" t="s">
        <v>1777</v>
      </c>
      <c r="C64" s="6"/>
      <c r="D64" s="6">
        <v>141000</v>
      </c>
      <c r="E64" s="26">
        <f>IF(OR(C64&lt;&gt;0,D64&lt;&gt;0),SUM(C$3:C64)-SUM(D$3:D64),0)</f>
        <v>-2135365</v>
      </c>
      <c r="F64" s="5"/>
    </row>
    <row r="65" spans="1:7" ht="15.75" x14ac:dyDescent="0.25">
      <c r="A65" s="57"/>
      <c r="B65" s="5" t="s">
        <v>7</v>
      </c>
      <c r="C65" s="6">
        <v>2581000</v>
      </c>
      <c r="D65" s="6"/>
      <c r="E65" s="26">
        <f>IF(OR(C65&lt;&gt;0,D65&lt;&gt;0),SUM(C$3:C65)-SUM(D$3:D65),0)</f>
        <v>445635</v>
      </c>
      <c r="F65" s="5"/>
      <c r="G65" s="20">
        <v>67635</v>
      </c>
    </row>
    <row r="66" spans="1:7" ht="15.75" x14ac:dyDescent="0.25">
      <c r="A66" s="57"/>
      <c r="B66" s="5" t="s">
        <v>1780</v>
      </c>
      <c r="C66" s="5"/>
      <c r="D66" s="6">
        <v>200000</v>
      </c>
      <c r="E66" s="26">
        <f>IF(OR(C66&lt;&gt;0,D66&lt;&gt;0),SUM(C$3:C66)-SUM(D$3:D66),0)</f>
        <v>245635</v>
      </c>
      <c r="F66" s="5"/>
    </row>
    <row r="67" spans="1:7" ht="15.75" x14ac:dyDescent="0.25">
      <c r="A67" s="57"/>
      <c r="B67" s="5" t="s">
        <v>1779</v>
      </c>
      <c r="C67" s="5"/>
      <c r="D67" s="6">
        <v>200000</v>
      </c>
      <c r="E67" s="26">
        <f>IF(OR(C67&lt;&gt;0,D67&lt;&gt;0),SUM(C$3:C67)-SUM(D$3:D67),0)</f>
        <v>45635</v>
      </c>
      <c r="F67" s="5"/>
    </row>
    <row r="68" spans="1:7" ht="15.75" x14ac:dyDescent="0.25">
      <c r="A68" s="58"/>
      <c r="B68" s="5" t="s">
        <v>7</v>
      </c>
      <c r="C68" s="6">
        <v>400000</v>
      </c>
      <c r="D68" s="5"/>
      <c r="E68" s="26">
        <f>IF(OR(C68&lt;&gt;0,D68&lt;&gt;0),SUM(C$3:C68)-SUM(D$3:D68),0)</f>
        <v>445635</v>
      </c>
      <c r="F68" s="5"/>
    </row>
    <row r="69" spans="1:7" ht="15.75" x14ac:dyDescent="0.25">
      <c r="A69" s="56">
        <v>45607</v>
      </c>
      <c r="B69" s="5" t="s">
        <v>7</v>
      </c>
      <c r="C69" s="6">
        <v>1000000</v>
      </c>
      <c r="D69" s="6"/>
      <c r="E69" s="26">
        <f>IF(OR(C69&lt;&gt;0,D69&lt;&gt;0),SUM(C$3:C69)-SUM(D$3:D69),0)</f>
        <v>1445635</v>
      </c>
      <c r="F69" s="5"/>
    </row>
    <row r="70" spans="1:7" ht="15.75" x14ac:dyDescent="0.25">
      <c r="A70" s="57"/>
      <c r="B70" s="27" t="s">
        <v>1433</v>
      </c>
      <c r="C70" s="6"/>
      <c r="D70" s="6">
        <v>50000</v>
      </c>
      <c r="E70" s="26">
        <f>IF(OR(C70&lt;&gt;0,D70&lt;&gt;0),SUM(C$3:C70)-SUM(D$3:D70),0)</f>
        <v>1395635</v>
      </c>
      <c r="F70" s="19"/>
    </row>
    <row r="71" spans="1:7" ht="15.75" x14ac:dyDescent="0.25">
      <c r="A71" s="57"/>
      <c r="B71" s="5" t="s">
        <v>7</v>
      </c>
      <c r="C71" s="6">
        <v>300000</v>
      </c>
      <c r="D71" s="6"/>
      <c r="E71" s="26">
        <f>IF(OR(C71&lt;&gt;0,D71&lt;&gt;0),SUM(C$3:C71)-SUM(D$3:D71),0)</f>
        <v>1695635</v>
      </c>
      <c r="F71" s="5"/>
    </row>
    <row r="72" spans="1:7" ht="15.75" x14ac:dyDescent="0.25">
      <c r="A72" s="57"/>
      <c r="B72" s="5" t="s">
        <v>1782</v>
      </c>
      <c r="C72" s="6">
        <v>232000</v>
      </c>
      <c r="D72" s="6"/>
      <c r="E72" s="26">
        <f>IF(OR(C72&lt;&gt;0,D72&lt;&gt;0),SUM(C$3:C72)-SUM(D$3:D72),0)</f>
        <v>1927635</v>
      </c>
      <c r="F72" s="5"/>
    </row>
    <row r="73" spans="1:7" ht="15.75" x14ac:dyDescent="0.25">
      <c r="A73" s="57"/>
      <c r="B73" s="5" t="s">
        <v>1783</v>
      </c>
      <c r="C73" s="6"/>
      <c r="D73" s="6">
        <v>144000</v>
      </c>
      <c r="E73" s="26">
        <f>IF(OR(C73&lt;&gt;0,D73&lt;&gt;0),SUM(C$3:C73)-SUM(D$3:D73),0)</f>
        <v>1783635</v>
      </c>
      <c r="F73" s="5"/>
      <c r="G73">
        <f>1350000+219000+15000+21000</f>
        <v>1605000</v>
      </c>
    </row>
    <row r="74" spans="1:7" ht="15.75" x14ac:dyDescent="0.25">
      <c r="A74" s="57"/>
      <c r="B74" s="5" t="s">
        <v>1784</v>
      </c>
      <c r="C74" s="5"/>
      <c r="D74" s="6">
        <v>431000</v>
      </c>
      <c r="E74" s="26">
        <f>IF(OR(C74&lt;&gt;0,D74&lt;&gt;0),SUM(C$3:C74)-SUM(D$3:D74),0)</f>
        <v>1352635</v>
      </c>
      <c r="F74" s="5"/>
    </row>
    <row r="75" spans="1:7" ht="15.75" x14ac:dyDescent="0.25">
      <c r="A75" s="57"/>
      <c r="B75" s="5" t="s">
        <v>166</v>
      </c>
      <c r="C75" s="5"/>
      <c r="D75" s="6">
        <v>2000</v>
      </c>
      <c r="E75" s="26">
        <f>IF(OR(C75&lt;&gt;0,D75&lt;&gt;0),SUM(C$3:C75)-SUM(D$3:D75),0)</f>
        <v>1350635</v>
      </c>
      <c r="F75" s="5"/>
      <c r="G75" s="3">
        <f>953000-E75</f>
        <v>-397635</v>
      </c>
    </row>
    <row r="76" spans="1:7" ht="15.75" x14ac:dyDescent="0.25">
      <c r="A76" s="58"/>
      <c r="B76" s="5" t="s">
        <v>27</v>
      </c>
      <c r="C76" s="6"/>
      <c r="D76" s="6">
        <v>300000</v>
      </c>
      <c r="E76" s="26">
        <f>IF(OR(C76&lt;&gt;0,D76&lt;&gt;0),SUM(C$3:C76)-SUM(D$3:D76),0)</f>
        <v>1050635</v>
      </c>
      <c r="F76" s="5"/>
    </row>
    <row r="77" spans="1:7" ht="15.75" x14ac:dyDescent="0.25">
      <c r="A77" s="56">
        <v>45608</v>
      </c>
      <c r="B77" s="5" t="s">
        <v>1785</v>
      </c>
      <c r="C77" s="6"/>
      <c r="D77" s="6">
        <v>200000</v>
      </c>
      <c r="E77" s="26">
        <f>IF(OR(C77&lt;&gt;0,D77&lt;&gt;0),SUM(C$3:C77)-SUM(D$3:D77),0)</f>
        <v>850635</v>
      </c>
      <c r="F77" s="5"/>
    </row>
    <row r="78" spans="1:7" ht="15.75" x14ac:dyDescent="0.25">
      <c r="A78" s="57"/>
      <c r="B78" s="27" t="s">
        <v>1784</v>
      </c>
      <c r="C78" s="6"/>
      <c r="D78" s="6">
        <v>341000</v>
      </c>
      <c r="E78" s="26">
        <f>IF(OR(C78&lt;&gt;0,D78&lt;&gt;0),SUM(C$3:C78)-SUM(D$3:D78),0)</f>
        <v>509635</v>
      </c>
      <c r="F78" s="19"/>
      <c r="G78" s="3">
        <f>113600-E78</f>
        <v>-396035</v>
      </c>
    </row>
    <row r="79" spans="1:7" ht="15.75" x14ac:dyDescent="0.25">
      <c r="A79" s="57"/>
      <c r="B79" s="27" t="s">
        <v>58</v>
      </c>
      <c r="C79" s="6"/>
      <c r="D79" s="6">
        <v>2000</v>
      </c>
      <c r="E79" s="26">
        <f>IF(OR(C79&lt;&gt;0,D79&lt;&gt;0),SUM(C$3:C79)-SUM(D$3:D79),0)</f>
        <v>507635</v>
      </c>
      <c r="F79" s="19"/>
      <c r="G79" s="3"/>
    </row>
    <row r="80" spans="1:7" ht="15.75" x14ac:dyDescent="0.25">
      <c r="A80" s="57"/>
      <c r="B80" s="5" t="s">
        <v>7</v>
      </c>
      <c r="C80" s="6">
        <v>1000000</v>
      </c>
      <c r="D80" s="6"/>
      <c r="E80" s="26">
        <f>IF(OR(C80&lt;&gt;0,D80&lt;&gt;0),SUM(C$3:C80)-SUM(D$3:D80),0)</f>
        <v>1507635</v>
      </c>
      <c r="F80" s="5"/>
    </row>
    <row r="81" spans="1:8" ht="15.75" x14ac:dyDescent="0.25">
      <c r="A81" s="57"/>
      <c r="B81" s="5" t="s">
        <v>1786</v>
      </c>
      <c r="C81" s="6"/>
      <c r="D81" s="6">
        <v>15000</v>
      </c>
      <c r="E81" s="26">
        <f>IF(OR(C81&lt;&gt;0,D81&lt;&gt;0),SUM(C$3:C81)-SUM(D$3:D81),0)</f>
        <v>1492635</v>
      </c>
      <c r="F81" s="5"/>
    </row>
    <row r="82" spans="1:8" ht="15.75" x14ac:dyDescent="0.25">
      <c r="A82" s="57"/>
      <c r="B82" s="5" t="s">
        <v>6</v>
      </c>
      <c r="C82" s="6"/>
      <c r="D82" s="6">
        <v>91300</v>
      </c>
      <c r="E82" s="26">
        <f>IF(OR(C82&lt;&gt;0,D82&lt;&gt;0),SUM(C$3:C82)-SUM(D$3:D82),0)</f>
        <v>1401335</v>
      </c>
      <c r="F82" s="5"/>
      <c r="G82" s="3">
        <f>1252600-E82</f>
        <v>-148735</v>
      </c>
    </row>
    <row r="83" spans="1:8" ht="15.75" x14ac:dyDescent="0.25">
      <c r="A83" s="57"/>
      <c r="B83" s="5" t="s">
        <v>16</v>
      </c>
      <c r="C83" s="5"/>
      <c r="D83" s="6">
        <v>125000</v>
      </c>
      <c r="E83" s="26">
        <f>IF(OR(C83&lt;&gt;0,D83&lt;&gt;0),SUM(C$3:C83)-SUM(D$3:D83),0)</f>
        <v>1276335</v>
      </c>
      <c r="F83" s="5"/>
    </row>
    <row r="84" spans="1:8" ht="15.75" x14ac:dyDescent="0.25">
      <c r="A84" s="57"/>
      <c r="B84" s="5" t="s">
        <v>1787</v>
      </c>
      <c r="C84" s="5"/>
      <c r="D84" s="6">
        <v>50000</v>
      </c>
      <c r="E84" s="26">
        <f>IF(OR(C84&lt;&gt;0,D84&lt;&gt;0),SUM(C$3:C84)-SUM(D$3:D84),0)</f>
        <v>1226335</v>
      </c>
      <c r="F84" s="5"/>
    </row>
    <row r="85" spans="1:8" ht="15.75" x14ac:dyDescent="0.25">
      <c r="A85" s="57"/>
      <c r="B85" s="5" t="s">
        <v>1396</v>
      </c>
      <c r="C85" s="6"/>
      <c r="D85" s="6">
        <v>100000</v>
      </c>
      <c r="E85" s="26">
        <f>IF(OR(C85&lt;&gt;0,D85&lt;&gt;0),SUM(C$3:C85)-SUM(D$3:D85),0)</f>
        <v>1126335</v>
      </c>
      <c r="F85" s="5"/>
    </row>
    <row r="86" spans="1:8" ht="15.75" x14ac:dyDescent="0.25">
      <c r="A86" s="57"/>
      <c r="B86" s="5" t="s">
        <v>1788</v>
      </c>
      <c r="C86" s="5"/>
      <c r="D86" s="6">
        <v>56500</v>
      </c>
      <c r="E86" s="26">
        <f>IF(OR(C86&lt;&gt;0,D86&lt;&gt;0),SUM(C$3:C86)-SUM(D$3:D86),0)</f>
        <v>1069835</v>
      </c>
      <c r="F86" s="5"/>
    </row>
    <row r="87" spans="1:8" ht="15.75" x14ac:dyDescent="0.25">
      <c r="A87" s="57"/>
      <c r="B87" s="5" t="s">
        <v>1789</v>
      </c>
      <c r="C87" s="5"/>
      <c r="D87" s="6">
        <v>50000</v>
      </c>
      <c r="E87" s="26">
        <f>IF(OR(C87&lt;&gt;0,D87&lt;&gt;0),SUM(C$3:C87)-SUM(D$3:D87),0)</f>
        <v>1019835</v>
      </c>
      <c r="F87" s="5"/>
    </row>
    <row r="88" spans="1:8" ht="15.75" x14ac:dyDescent="0.25">
      <c r="A88" s="57"/>
      <c r="B88" s="5" t="s">
        <v>1790</v>
      </c>
      <c r="C88" s="5"/>
      <c r="D88" s="6">
        <v>91000</v>
      </c>
      <c r="E88" s="26">
        <f>IF(OR(C88&lt;&gt;0,D88&lt;&gt;0),SUM(C$3:C88)-SUM(D$3:D88),0)</f>
        <v>928835</v>
      </c>
      <c r="F88" s="5"/>
    </row>
    <row r="89" spans="1:8" ht="15.75" x14ac:dyDescent="0.25">
      <c r="A89" s="57"/>
      <c r="B89" s="5" t="s">
        <v>1791</v>
      </c>
      <c r="C89" s="5"/>
      <c r="D89" s="6">
        <v>2000</v>
      </c>
      <c r="E89" s="26">
        <f>IF(OR(C89&lt;&gt;0,D89&lt;&gt;0),SUM(C$3:C89)-SUM(D$3:D89),0)</f>
        <v>926835</v>
      </c>
      <c r="F89" s="5"/>
      <c r="H89" s="3" t="e">
        <f>143000-#REF!</f>
        <v>#REF!</v>
      </c>
    </row>
    <row r="90" spans="1:8" ht="15.75" x14ac:dyDescent="0.25">
      <c r="A90" s="58"/>
      <c r="B90" s="5" t="s">
        <v>1792</v>
      </c>
      <c r="C90" s="5"/>
      <c r="D90" s="6">
        <v>100000</v>
      </c>
      <c r="E90" s="26">
        <f>IF(OR(C90&lt;&gt;0,D90&lt;&gt;0),SUM(C$3:C90)-SUM(D$3:D90),0)</f>
        <v>826835</v>
      </c>
      <c r="F90" s="5"/>
    </row>
    <row r="91" spans="1:8" ht="15.75" x14ac:dyDescent="0.25">
      <c r="A91" s="59">
        <v>45609</v>
      </c>
      <c r="B91" s="5" t="s">
        <v>643</v>
      </c>
      <c r="C91" s="6"/>
      <c r="D91" s="6">
        <v>125600</v>
      </c>
      <c r="E91" s="26">
        <f>IF(OR(C91&lt;&gt;0,D91&lt;&gt;0),SUM(C$3:C91)-SUM(D$3:D91),0)</f>
        <v>701235</v>
      </c>
      <c r="F91" s="5"/>
      <c r="G91" s="3">
        <f>575500-E91</f>
        <v>-125735</v>
      </c>
    </row>
    <row r="92" spans="1:8" ht="15.75" x14ac:dyDescent="0.25">
      <c r="A92" s="59"/>
      <c r="B92" s="27" t="s">
        <v>7</v>
      </c>
      <c r="C92" s="6">
        <v>1550000</v>
      </c>
      <c r="D92" s="6"/>
      <c r="E92" s="26">
        <f>IF(OR(C92&lt;&gt;0,D92&lt;&gt;0),SUM(C$3:C92)-SUM(D$3:D92),0)</f>
        <v>2251235</v>
      </c>
      <c r="F92" s="19"/>
    </row>
    <row r="93" spans="1:8" ht="15.75" x14ac:dyDescent="0.25">
      <c r="A93" s="59"/>
      <c r="B93" s="27" t="s">
        <v>675</v>
      </c>
      <c r="C93" s="6"/>
      <c r="D93" s="6">
        <v>700000</v>
      </c>
      <c r="E93" s="26">
        <f>IF(OR(C93&lt;&gt;0,D93&lt;&gt;0),SUM(C$3:C93)-SUM(D$3:D93),0)</f>
        <v>1551235</v>
      </c>
      <c r="F93" s="19"/>
    </row>
    <row r="94" spans="1:8" ht="15.75" x14ac:dyDescent="0.25">
      <c r="A94" s="59"/>
      <c r="B94" s="5" t="s">
        <v>46</v>
      </c>
      <c r="C94" s="6"/>
      <c r="D94" s="6">
        <v>30000</v>
      </c>
      <c r="E94" s="26">
        <f>IF(OR(C94&lt;&gt;0,D94&lt;&gt;0),SUM(C$3:C94)-SUM(D$3:D94),0)</f>
        <v>1521235</v>
      </c>
      <c r="F94" s="5"/>
      <c r="G94" s="3">
        <f>145500-E94</f>
        <v>-1375735</v>
      </c>
    </row>
    <row r="95" spans="1:8" ht="15.75" x14ac:dyDescent="0.25">
      <c r="A95" s="59"/>
      <c r="B95" s="5" t="s">
        <v>1793</v>
      </c>
      <c r="C95" s="6"/>
      <c r="D95" s="6">
        <v>30000</v>
      </c>
      <c r="E95" s="26">
        <f>IF(OR(C95&lt;&gt;0,D95&lt;&gt;0),SUM(C$3:C95)-SUM(D$3:D95),0)</f>
        <v>1491235</v>
      </c>
      <c r="F95" s="5"/>
      <c r="G95" s="3">
        <f>145500-E95</f>
        <v>-1345735</v>
      </c>
    </row>
    <row r="96" spans="1:8" ht="15.75" x14ac:dyDescent="0.25">
      <c r="A96" s="59"/>
      <c r="B96" s="5" t="s">
        <v>1794</v>
      </c>
      <c r="C96" s="6"/>
      <c r="D96" s="6">
        <v>200000</v>
      </c>
      <c r="E96" s="26">
        <f>IF(OR(C96&lt;&gt;0,D96&lt;&gt;0),SUM(C$3:C96)-SUM(D$3:D96),0)</f>
        <v>1291235</v>
      </c>
      <c r="F96" s="5"/>
    </row>
    <row r="97" spans="1:7" ht="15.75" x14ac:dyDescent="0.25">
      <c r="A97" s="59"/>
      <c r="B97" s="5" t="s">
        <v>1022</v>
      </c>
      <c r="C97" s="5"/>
      <c r="D97" s="6">
        <v>50000</v>
      </c>
      <c r="E97" s="26">
        <f>IF(OR(C97&lt;&gt;0,D97&lt;&gt;0),SUM(C$3:C97)-SUM(D$3:D97),0)</f>
        <v>1241235</v>
      </c>
      <c r="F97" s="5"/>
    </row>
    <row r="98" spans="1:7" ht="15.75" x14ac:dyDescent="0.25">
      <c r="A98" s="59"/>
      <c r="B98" s="5" t="s">
        <v>1795</v>
      </c>
      <c r="C98" s="5"/>
      <c r="D98" s="6">
        <v>10000</v>
      </c>
      <c r="E98" s="26">
        <f>IF(OR(C98&lt;&gt;0,D98&lt;&gt;0),SUM(C$3:C98)-SUM(D$3:D98),0)</f>
        <v>1231235</v>
      </c>
      <c r="F98" s="5"/>
    </row>
    <row r="99" spans="1:7" ht="15.75" x14ac:dyDescent="0.25">
      <c r="A99" s="59"/>
      <c r="B99" s="5" t="s">
        <v>1796</v>
      </c>
      <c r="C99" s="6"/>
      <c r="D99" s="6">
        <v>200000</v>
      </c>
      <c r="E99" s="26">
        <f>IF(OR(C99&lt;&gt;0,D99&lt;&gt;0),SUM(C$3:C99)-SUM(D$3:D99),0)</f>
        <v>1031235</v>
      </c>
      <c r="F99" s="5"/>
      <c r="G99" s="3">
        <f>935500-E99</f>
        <v>-95735</v>
      </c>
    </row>
    <row r="100" spans="1:7" ht="15.75" x14ac:dyDescent="0.25">
      <c r="A100" s="59"/>
      <c r="B100" s="5" t="s">
        <v>1797</v>
      </c>
      <c r="C100" s="5"/>
      <c r="D100" s="6">
        <v>18000</v>
      </c>
      <c r="E100" s="26">
        <f>IF(OR(C100&lt;&gt;0,D100&lt;&gt;0),SUM(C$3:C100)-SUM(D$3:D100),0)</f>
        <v>1013235</v>
      </c>
      <c r="F100" s="5"/>
    </row>
    <row r="101" spans="1:7" ht="15.75" x14ac:dyDescent="0.25">
      <c r="A101" s="59"/>
      <c r="B101" s="5" t="s">
        <v>1798</v>
      </c>
      <c r="C101" s="5"/>
      <c r="D101" s="6">
        <v>2000</v>
      </c>
      <c r="E101" s="26">
        <f>IF(OR(C101&lt;&gt;0,D101&lt;&gt;0),SUM(C$3:C101)-SUM(D$3:D101),0)</f>
        <v>1011235</v>
      </c>
      <c r="F101" s="5"/>
    </row>
    <row r="102" spans="1:7" ht="15.75" x14ac:dyDescent="0.25">
      <c r="A102" s="59"/>
      <c r="B102" s="5" t="s">
        <v>1530</v>
      </c>
      <c r="C102" s="5"/>
      <c r="D102" s="6">
        <v>30900</v>
      </c>
      <c r="E102" s="26">
        <f>IF(OR(C102&lt;&gt;0,D102&lt;&gt;0),SUM(C$3:C102)-SUM(D$3:D102),0)</f>
        <v>980335</v>
      </c>
      <c r="F102" s="5"/>
      <c r="G102" s="3">
        <f>881500-E102</f>
        <v>-98835</v>
      </c>
    </row>
    <row r="103" spans="1:7" ht="15.75" x14ac:dyDescent="0.25">
      <c r="A103" s="70">
        <v>45610</v>
      </c>
      <c r="B103" s="1" t="s">
        <v>1815</v>
      </c>
      <c r="C103" s="1"/>
      <c r="D103" s="8">
        <v>1000000</v>
      </c>
      <c r="E103" s="33">
        <f>IF(OR(C103&lt;&gt;0,D103&lt;&gt;0),SUM(C$3:C103)-SUM(D$3:D103),0)</f>
        <v>-19665</v>
      </c>
      <c r="F103" s="1"/>
    </row>
    <row r="104" spans="1:7" ht="15.75" x14ac:dyDescent="0.25">
      <c r="A104" s="71"/>
      <c r="B104" s="1" t="s">
        <v>1779</v>
      </c>
      <c r="C104" s="1"/>
      <c r="D104" s="8">
        <v>200000</v>
      </c>
      <c r="E104" s="33">
        <f>IF(OR(C104&lt;&gt;0,D104&lt;&gt;0),SUM(C$3:C104)-SUM(D$3:D104),0)</f>
        <v>-219665</v>
      </c>
      <c r="F104" s="1"/>
    </row>
    <row r="105" spans="1:7" ht="15.75" x14ac:dyDescent="0.25">
      <c r="A105" s="71"/>
      <c r="B105" s="1" t="s">
        <v>1799</v>
      </c>
      <c r="C105" s="1"/>
      <c r="D105" s="8">
        <v>18500</v>
      </c>
      <c r="E105" s="33">
        <f>IF(OR(C105&lt;&gt;0,D105&lt;&gt;0),SUM(C$3:C105)-SUM(D$3:D105),0)</f>
        <v>-238165</v>
      </c>
      <c r="F105" s="1"/>
    </row>
    <row r="106" spans="1:7" ht="15.75" x14ac:dyDescent="0.25">
      <c r="A106" s="71"/>
      <c r="B106" s="1" t="s">
        <v>7</v>
      </c>
      <c r="C106" s="8">
        <v>1000000</v>
      </c>
      <c r="D106" s="8"/>
      <c r="E106" s="33">
        <f>IF(OR(C106&lt;&gt;0,D106&lt;&gt;0),SUM(C$3:C106)-SUM(D$3:D106),0)</f>
        <v>761835</v>
      </c>
      <c r="F106" s="1"/>
    </row>
    <row r="107" spans="1:7" ht="15.75" x14ac:dyDescent="0.25">
      <c r="A107" s="71"/>
      <c r="B107" s="1" t="s">
        <v>1800</v>
      </c>
      <c r="C107" s="1"/>
      <c r="D107" s="8">
        <v>1000000</v>
      </c>
      <c r="E107" s="33">
        <f>IF(OR(C107&lt;&gt;0,D107&lt;&gt;0),SUM(C$3:C107)-SUM(D$3:D107),0)</f>
        <v>-238165</v>
      </c>
      <c r="F107" s="1"/>
    </row>
    <row r="108" spans="1:7" ht="15.75" x14ac:dyDescent="0.25">
      <c r="A108" s="71"/>
      <c r="B108" s="1" t="s">
        <v>1812</v>
      </c>
      <c r="C108" s="1"/>
      <c r="D108" s="8">
        <v>76000</v>
      </c>
      <c r="E108" s="33">
        <f>IF(OR(C108&lt;&gt;0,D108&lt;&gt;0),SUM(C$3:C108)-SUM(D$3:D108),0)</f>
        <v>-314165</v>
      </c>
      <c r="F108" s="1"/>
    </row>
    <row r="109" spans="1:7" ht="15.75" x14ac:dyDescent="0.25">
      <c r="A109" s="71"/>
      <c r="B109" s="1" t="s">
        <v>1114</v>
      </c>
      <c r="C109" s="1"/>
      <c r="D109" s="8">
        <v>50000</v>
      </c>
      <c r="E109" s="33">
        <f>IF(OR(C109&lt;&gt;0,D109&lt;&gt;0),SUM(C$3:C109)-SUM(D$3:D109),0)</f>
        <v>-364165</v>
      </c>
      <c r="F109" s="1"/>
    </row>
    <row r="110" spans="1:7" ht="15.75" x14ac:dyDescent="0.25">
      <c r="A110" s="71"/>
      <c r="B110" s="1" t="s">
        <v>1813</v>
      </c>
      <c r="C110" s="1"/>
      <c r="D110" s="8">
        <v>75600</v>
      </c>
      <c r="E110" s="33">
        <f>IF(OR(C110&lt;&gt;0,D110&lt;&gt;0),SUM(C$3:C110)-SUM(D$3:D110),0)</f>
        <v>-439765</v>
      </c>
      <c r="F110" s="1"/>
    </row>
    <row r="111" spans="1:7" ht="15.75" x14ac:dyDescent="0.25">
      <c r="A111" s="72"/>
      <c r="B111" s="1" t="s">
        <v>1751</v>
      </c>
      <c r="C111" s="1"/>
      <c r="D111" s="8">
        <v>28000</v>
      </c>
      <c r="E111" s="33">
        <f>IF(OR(C111&lt;&gt;0,D111&lt;&gt;0),SUM(C$3:C111)-SUM(D$3:D111),0)</f>
        <v>-467765</v>
      </c>
      <c r="F111" s="1"/>
    </row>
    <row r="112" spans="1:7" ht="15.75" x14ac:dyDescent="0.25">
      <c r="A112" s="70">
        <v>45611</v>
      </c>
      <c r="B112" s="1" t="s">
        <v>1814</v>
      </c>
      <c r="C112" s="1"/>
      <c r="D112" s="8">
        <v>240000</v>
      </c>
      <c r="E112" s="33">
        <f>IF(OR(C112&lt;&gt;0,D112&lt;&gt;0),SUM(C$3:C112)-SUM(D$3:D112),0)</f>
        <v>-707765</v>
      </c>
      <c r="F112" s="1"/>
    </row>
    <row r="113" spans="1:8" ht="15.75" x14ac:dyDescent="0.25">
      <c r="A113" s="71"/>
      <c r="B113" s="1" t="s">
        <v>1747</v>
      </c>
      <c r="C113" s="8"/>
      <c r="D113" s="8">
        <v>525000</v>
      </c>
      <c r="E113" s="33">
        <f>IF(OR(C113&lt;&gt;0,D113&lt;&gt;0),SUM(C$3:C113)-SUM(D$3:D113),0)</f>
        <v>-1232765</v>
      </c>
      <c r="F113" s="1"/>
    </row>
    <row r="114" spans="1:8" ht="15.75" x14ac:dyDescent="0.25">
      <c r="A114" s="71"/>
      <c r="B114" s="1" t="s">
        <v>7</v>
      </c>
      <c r="C114" s="8">
        <v>765000</v>
      </c>
      <c r="D114" s="8"/>
      <c r="E114" s="33">
        <f>IF(OR(C114&lt;&gt;0,D114&lt;&gt;0),SUM(C$3:C114)-SUM(D$3:D114),0)</f>
        <v>-467765</v>
      </c>
      <c r="F114" s="1"/>
    </row>
    <row r="115" spans="1:8" ht="15.75" x14ac:dyDescent="0.25">
      <c r="A115" s="71"/>
      <c r="B115" s="1" t="s">
        <v>7</v>
      </c>
      <c r="C115" s="8">
        <v>1093000</v>
      </c>
      <c r="D115" s="8"/>
      <c r="E115" s="33">
        <f>IF(OR(C115&lt;&gt;0,D115&lt;&gt;0),SUM(C$3:C115)-SUM(D$3:D115),0)</f>
        <v>625235</v>
      </c>
      <c r="F115" s="1"/>
    </row>
    <row r="116" spans="1:8" ht="15.75" x14ac:dyDescent="0.25">
      <c r="A116" s="71"/>
      <c r="B116" s="1" t="s">
        <v>1782</v>
      </c>
      <c r="C116" s="8">
        <v>32000</v>
      </c>
      <c r="D116" s="8"/>
      <c r="E116" s="33">
        <f>IF(OR(C116&lt;&gt;0,D116&lt;&gt;0),SUM(C$3:C116)-SUM(D$3:D116),0)</f>
        <v>657235</v>
      </c>
      <c r="F116" s="1"/>
      <c r="G116" s="3">
        <f>635000-E116</f>
        <v>-22235</v>
      </c>
    </row>
    <row r="117" spans="1:8" ht="15.75" x14ac:dyDescent="0.25">
      <c r="A117" s="71"/>
      <c r="B117" s="1" t="s">
        <v>1816</v>
      </c>
      <c r="C117" s="8"/>
      <c r="D117" s="8">
        <v>300000</v>
      </c>
      <c r="E117" s="33">
        <f>IF(OR(C117&lt;&gt;0,D117&lt;&gt;0),SUM(C$3:C117)-SUM(D$3:D117),0)</f>
        <v>357235</v>
      </c>
      <c r="F117" s="1"/>
    </row>
    <row r="118" spans="1:8" ht="15.75" x14ac:dyDescent="0.25">
      <c r="A118" s="71"/>
      <c r="B118" s="1" t="s">
        <v>1817</v>
      </c>
      <c r="C118" s="1"/>
      <c r="D118" s="8">
        <v>200000</v>
      </c>
      <c r="E118" s="33">
        <f>IF(OR(C118&lt;&gt;0,D118&lt;&gt;0),SUM(C$3:C118)-SUM(D$3:D118),0)</f>
        <v>157235</v>
      </c>
      <c r="F118" s="1"/>
    </row>
    <row r="119" spans="1:8" ht="15.75" x14ac:dyDescent="0.25">
      <c r="A119" s="71"/>
      <c r="B119" s="1" t="s">
        <v>1818</v>
      </c>
      <c r="C119" s="8"/>
      <c r="D119" s="8">
        <v>250000</v>
      </c>
      <c r="E119" s="33">
        <f>IF(OR(C119&lt;&gt;0,D119&lt;&gt;0),SUM(C$3:C119)-SUM(D$3:D119),0)</f>
        <v>-92765</v>
      </c>
      <c r="F119" s="1"/>
    </row>
    <row r="120" spans="1:8" ht="15.75" x14ac:dyDescent="0.25">
      <c r="A120" s="71"/>
      <c r="B120" s="1" t="s">
        <v>1819</v>
      </c>
      <c r="C120" s="1"/>
      <c r="D120" s="8">
        <v>24500</v>
      </c>
      <c r="E120" s="33">
        <f>IF(OR(C120&lt;&gt;0,D120&lt;&gt;0),SUM(C$3:C120)-SUM(D$3:D120),0)</f>
        <v>-117265</v>
      </c>
      <c r="F120" s="1"/>
    </row>
    <row r="121" spans="1:8" ht="15.75" x14ac:dyDescent="0.25">
      <c r="A121" s="71"/>
      <c r="B121" s="1" t="s">
        <v>1820</v>
      </c>
      <c r="C121" s="1"/>
      <c r="D121" s="8">
        <v>19000</v>
      </c>
      <c r="E121" s="33">
        <f>IF(OR(C121&lt;&gt;0,D121&lt;&gt;0),SUM(C$3:C121)-SUM(D$3:D121),0)</f>
        <v>-136265</v>
      </c>
      <c r="F121" s="1"/>
    </row>
    <row r="122" spans="1:8" ht="15.75" x14ac:dyDescent="0.25">
      <c r="A122" s="71"/>
      <c r="B122" s="1" t="s">
        <v>1821</v>
      </c>
      <c r="C122" s="1"/>
      <c r="D122" s="8">
        <v>29000</v>
      </c>
      <c r="E122" s="33">
        <f>IF(OR(C122&lt;&gt;0,D122&lt;&gt;0),SUM(C$3:C122)-SUM(D$3:D122),0)</f>
        <v>-165265</v>
      </c>
      <c r="F122" s="1"/>
      <c r="H122">
        <f>1125000-32000</f>
        <v>1093000</v>
      </c>
    </row>
    <row r="123" spans="1:8" ht="15.75" x14ac:dyDescent="0.25">
      <c r="A123" s="71"/>
      <c r="B123" s="1" t="s">
        <v>7</v>
      </c>
      <c r="C123" s="8">
        <v>322500</v>
      </c>
      <c r="D123" s="8"/>
      <c r="E123" s="33">
        <f>IF(OR(C123&lt;&gt;0,D123&lt;&gt;0),SUM(C$3:C123)-SUM(D$3:D123),0)</f>
        <v>157235</v>
      </c>
      <c r="F123" s="1"/>
    </row>
    <row r="124" spans="1:8" ht="15.75" x14ac:dyDescent="0.25">
      <c r="A124" s="71"/>
      <c r="B124" s="107" t="s">
        <v>16</v>
      </c>
      <c r="C124" s="1"/>
      <c r="D124" s="8">
        <v>75000</v>
      </c>
      <c r="E124" s="33">
        <f>IF(OR(C124&lt;&gt;0,D124&lt;&gt;0),SUM(C$3:C124)-SUM(D$3:D124),0)</f>
        <v>82235</v>
      </c>
      <c r="F124" s="1"/>
    </row>
    <row r="125" spans="1:8" ht="15.75" x14ac:dyDescent="0.25">
      <c r="A125" s="71"/>
      <c r="B125" s="107" t="s">
        <v>95</v>
      </c>
      <c r="C125" s="1"/>
      <c r="D125" s="8">
        <v>80000</v>
      </c>
      <c r="E125" s="33">
        <f>IF(OR(C125&lt;&gt;0,D125&lt;&gt;0),SUM(C$3:C125)-SUM(D$3:D125),0)</f>
        <v>2235</v>
      </c>
      <c r="F125" s="1"/>
    </row>
    <row r="126" spans="1:8" ht="15.75" x14ac:dyDescent="0.25">
      <c r="A126" s="71"/>
      <c r="B126" s="107" t="s">
        <v>1750</v>
      </c>
      <c r="C126" s="1"/>
      <c r="D126" s="8">
        <v>795000</v>
      </c>
      <c r="E126" s="33">
        <f>IF(OR(C126&lt;&gt;0,D126&lt;&gt;0),SUM(C$3:C126)-SUM(D$3:D126),0)</f>
        <v>-792765</v>
      </c>
      <c r="F126" s="1"/>
    </row>
    <row r="127" spans="1:8" ht="15.75" x14ac:dyDescent="0.25">
      <c r="A127" s="71"/>
      <c r="B127" s="107" t="s">
        <v>1535</v>
      </c>
      <c r="C127" s="1"/>
      <c r="D127" s="8">
        <v>2000</v>
      </c>
      <c r="E127" s="33">
        <f>IF(OR(C127&lt;&gt;0,D127&lt;&gt;0),SUM(C$3:C127)-SUM(D$3:D127),0)</f>
        <v>-794765</v>
      </c>
      <c r="F127" s="1"/>
    </row>
    <row r="128" spans="1:8" ht="15.75" x14ac:dyDescent="0.25">
      <c r="A128" s="71"/>
      <c r="B128" s="107" t="s">
        <v>1822</v>
      </c>
      <c r="C128" s="1"/>
      <c r="D128" s="8">
        <v>254600</v>
      </c>
      <c r="E128" s="33">
        <f>IF(OR(C128&lt;&gt;0,D128&lt;&gt;0),SUM(C$3:C128)-SUM(D$3:D128),0)</f>
        <v>-1049365</v>
      </c>
      <c r="F128" s="1"/>
    </row>
    <row r="129" spans="1:7" ht="15.75" x14ac:dyDescent="0.25">
      <c r="A129" s="71"/>
      <c r="B129" s="107" t="s">
        <v>7</v>
      </c>
      <c r="C129" s="8">
        <v>1127600</v>
      </c>
      <c r="D129" s="1"/>
      <c r="E129" s="33">
        <f>IF(OR(C129&lt;&gt;0,D129&lt;&gt;0),SUM(C$3:C129)-SUM(D$3:D129),0)</f>
        <v>78235</v>
      </c>
      <c r="F129" s="1"/>
    </row>
    <row r="130" spans="1:7" ht="15.75" x14ac:dyDescent="0.25">
      <c r="A130" s="71"/>
      <c r="B130" s="107" t="s">
        <v>7</v>
      </c>
      <c r="C130" s="8">
        <v>1000000</v>
      </c>
      <c r="D130" s="1"/>
      <c r="E130" s="33">
        <f>IF(OR(C130&lt;&gt;0,D130&lt;&gt;0),SUM(C$3:C130)-SUM(D$3:D130),0)</f>
        <v>1078235</v>
      </c>
      <c r="F130" s="1"/>
    </row>
    <row r="131" spans="1:7" ht="15.75" x14ac:dyDescent="0.25">
      <c r="A131" s="71"/>
      <c r="B131" s="107" t="s">
        <v>316</v>
      </c>
      <c r="C131" s="1"/>
      <c r="D131" s="8">
        <v>28500</v>
      </c>
      <c r="E131" s="33">
        <f>IF(OR(C131&lt;&gt;0,D131&lt;&gt;0),SUM(C$3:C131)-SUM(D$3:D131),0)</f>
        <v>1049735</v>
      </c>
      <c r="F131" s="1"/>
    </row>
    <row r="132" spans="1:7" ht="15.75" x14ac:dyDescent="0.25">
      <c r="A132" s="71"/>
      <c r="B132" s="107" t="s">
        <v>1823</v>
      </c>
      <c r="C132" s="1"/>
      <c r="D132" s="8">
        <v>66500</v>
      </c>
      <c r="E132" s="33">
        <f>IF(OR(C132&lt;&gt;0,D132&lt;&gt;0),SUM(C$3:C132)-SUM(D$3:D132),0)</f>
        <v>983235</v>
      </c>
      <c r="F132" s="1"/>
    </row>
    <row r="133" spans="1:7" ht="15.75" x14ac:dyDescent="0.25">
      <c r="A133" s="71"/>
      <c r="B133" s="107" t="s">
        <v>1824</v>
      </c>
      <c r="C133" s="1"/>
      <c r="D133" s="8">
        <v>2000</v>
      </c>
      <c r="E133" s="33">
        <f>IF(OR(C133&lt;&gt;0,D133&lt;&gt;0),SUM(C$3:C133)-SUM(D$3:D133),0)</f>
        <v>981235</v>
      </c>
      <c r="F133" s="1"/>
      <c r="G133" s="3">
        <f>885500-E133</f>
        <v>-95735</v>
      </c>
    </row>
    <row r="134" spans="1:7" ht="15.75" x14ac:dyDescent="0.25">
      <c r="A134" s="71"/>
      <c r="B134" s="107" t="s">
        <v>1825</v>
      </c>
      <c r="C134" s="1"/>
      <c r="D134" s="8">
        <v>68000</v>
      </c>
      <c r="E134" s="33">
        <f>IF(OR(C134&lt;&gt;0,D134&lt;&gt;0),SUM(C$3:C134)-SUM(D$3:D134),0)</f>
        <v>913235</v>
      </c>
      <c r="F134" s="1"/>
    </row>
    <row r="135" spans="1:7" ht="15.75" x14ac:dyDescent="0.25">
      <c r="A135" s="71"/>
      <c r="B135" s="107" t="s">
        <v>1826</v>
      </c>
      <c r="C135" s="1"/>
      <c r="D135" s="8">
        <v>150000</v>
      </c>
      <c r="E135" s="33">
        <f>IF(OR(C135&lt;&gt;0,D135&lt;&gt;0),SUM(C$3:C135)-SUM(D$3:D135),0)</f>
        <v>763235</v>
      </c>
      <c r="F135" s="1"/>
    </row>
    <row r="136" spans="1:7" ht="15.75" x14ac:dyDescent="0.25">
      <c r="A136" s="71"/>
      <c r="B136" s="107" t="s">
        <v>1827</v>
      </c>
      <c r="C136" s="1"/>
      <c r="D136" s="8">
        <v>500000</v>
      </c>
      <c r="E136" s="33">
        <f>IF(OR(C136&lt;&gt;0,D136&lt;&gt;0),SUM(C$3:C136)-SUM(D$3:D136),0)</f>
        <v>263235</v>
      </c>
      <c r="F136" s="1"/>
    </row>
    <row r="137" spans="1:7" ht="15.75" x14ac:dyDescent="0.25">
      <c r="A137" s="72"/>
      <c r="B137" s="107" t="s">
        <v>7</v>
      </c>
      <c r="C137" s="8">
        <v>718000</v>
      </c>
      <c r="D137" s="1"/>
      <c r="E137" s="33">
        <f>IF(OR(C137&lt;&gt;0,D137&lt;&gt;0),SUM(C$3:C137)-SUM(D$3:D137),0)</f>
        <v>981235</v>
      </c>
      <c r="F137" s="1"/>
    </row>
    <row r="138" spans="1:7" ht="15.75" x14ac:dyDescent="0.25">
      <c r="A138" s="70">
        <v>45612</v>
      </c>
      <c r="B138" s="1" t="s">
        <v>1537</v>
      </c>
      <c r="C138" s="1"/>
      <c r="D138" s="8">
        <v>50000</v>
      </c>
      <c r="E138" s="33">
        <f>IF(OR(C138&lt;&gt;0,D138&lt;&gt;0),SUM(C$3:C138)-SUM(D$3:D138),0)</f>
        <v>931235</v>
      </c>
      <c r="F138" s="1"/>
    </row>
    <row r="139" spans="1:7" ht="15.75" x14ac:dyDescent="0.25">
      <c r="A139" s="71"/>
      <c r="B139" s="1" t="s">
        <v>1829</v>
      </c>
      <c r="C139" s="8"/>
      <c r="D139" s="8">
        <v>19000</v>
      </c>
      <c r="E139" s="33">
        <f>IF(OR(C139&lt;&gt;0,D139&lt;&gt;0),SUM(C$3:C139)-SUM(D$3:D139),0)</f>
        <v>912235</v>
      </c>
      <c r="F139" s="1"/>
      <c r="G139" s="3">
        <f>882500-E139</f>
        <v>-29735</v>
      </c>
    </row>
    <row r="140" spans="1:7" ht="15.75" x14ac:dyDescent="0.25">
      <c r="A140" s="71"/>
      <c r="B140" s="1"/>
      <c r="C140" s="8"/>
      <c r="D140" s="8"/>
      <c r="E140" s="33">
        <f>IF(OR(C140&lt;&gt;0,D140&lt;&gt;0),SUM(C$3:C140)-SUM(D$3:D140),0)</f>
        <v>0</v>
      </c>
      <c r="F140" s="1"/>
    </row>
    <row r="141" spans="1:7" ht="15.75" x14ac:dyDescent="0.25">
      <c r="A141" s="71"/>
      <c r="B141" s="1"/>
      <c r="C141" s="8"/>
      <c r="D141" s="8"/>
      <c r="E141" s="33">
        <f>IF(OR(C141&lt;&gt;0,D141&lt;&gt;0),SUM(C$3:C141)-SUM(D$3:D141),0)</f>
        <v>0</v>
      </c>
      <c r="F141" s="1"/>
    </row>
    <row r="142" spans="1:7" ht="15.75" x14ac:dyDescent="0.25">
      <c r="A142" s="71"/>
      <c r="B142" s="1"/>
      <c r="C142" s="8"/>
      <c r="D142" s="8"/>
      <c r="E142" s="33">
        <f>IF(OR(C142&lt;&gt;0,D142&lt;&gt;0),SUM(C$3:C142)-SUM(D$3:D142),0)</f>
        <v>0</v>
      </c>
      <c r="F142" s="1"/>
    </row>
    <row r="143" spans="1:7" ht="15.75" x14ac:dyDescent="0.25">
      <c r="A143" s="71"/>
      <c r="B143" s="1"/>
      <c r="C143" s="8"/>
      <c r="D143" s="8"/>
      <c r="E143" s="33">
        <f>IF(OR(C143&lt;&gt;0,D143&lt;&gt;0),SUM(C$3:C143)-SUM(D$3:D143),0)</f>
        <v>0</v>
      </c>
      <c r="F143" s="1"/>
    </row>
    <row r="144" spans="1:7" ht="15.75" x14ac:dyDescent="0.25">
      <c r="A144" s="71"/>
      <c r="B144" s="1"/>
      <c r="C144" s="1"/>
      <c r="D144" s="8"/>
      <c r="E144" s="33">
        <f>IF(OR(C144&lt;&gt;0,D144&lt;&gt;0),SUM(C$3:C144)-SUM(D$3:D144),0)</f>
        <v>0</v>
      </c>
      <c r="F144" s="1"/>
    </row>
    <row r="145" spans="1:6" ht="15.75" x14ac:dyDescent="0.25">
      <c r="A145" s="71"/>
      <c r="B145" s="1"/>
      <c r="C145" s="8"/>
      <c r="D145" s="8"/>
      <c r="E145" s="33">
        <f>IF(OR(C145&lt;&gt;0,D145&lt;&gt;0),SUM(C$3:C145)-SUM(D$3:D145),0)</f>
        <v>0</v>
      </c>
      <c r="F145" s="1"/>
    </row>
    <row r="146" spans="1:6" ht="15.75" x14ac:dyDescent="0.25">
      <c r="A146" s="71"/>
      <c r="B146" s="1"/>
      <c r="C146" s="1"/>
      <c r="D146" s="8"/>
      <c r="E146" s="33">
        <f>IF(OR(C146&lt;&gt;0,D146&lt;&gt;0),SUM(C$3:C146)-SUM(D$3:D146),0)</f>
        <v>0</v>
      </c>
      <c r="F146" s="1"/>
    </row>
    <row r="147" spans="1:6" ht="15.75" x14ac:dyDescent="0.25">
      <c r="A147" s="71"/>
      <c r="B147" s="1"/>
      <c r="C147" s="1"/>
      <c r="D147" s="8"/>
      <c r="E147" s="33">
        <f>IF(OR(C147&lt;&gt;0,D147&lt;&gt;0),SUM(C$3:C147)-SUM(D$3:D147),0)</f>
        <v>0</v>
      </c>
      <c r="F147" s="1"/>
    </row>
    <row r="148" spans="1:6" ht="15.75" x14ac:dyDescent="0.25">
      <c r="A148" s="71"/>
      <c r="B148" s="1"/>
      <c r="C148" s="1"/>
      <c r="D148" s="8"/>
      <c r="E148" s="33">
        <f>IF(OR(C148&lt;&gt;0,D148&lt;&gt;0),SUM(C$3:C148)-SUM(D$3:D148),0)</f>
        <v>0</v>
      </c>
      <c r="F148" s="1"/>
    </row>
    <row r="149" spans="1:6" ht="15.75" x14ac:dyDescent="0.25">
      <c r="A149" s="71"/>
      <c r="B149" s="1"/>
      <c r="C149" s="8"/>
      <c r="D149" s="8"/>
      <c r="E149" s="33">
        <f>IF(OR(C149&lt;&gt;0,D149&lt;&gt;0),SUM(C$3:C149)-SUM(D$3:D149),0)</f>
        <v>0</v>
      </c>
      <c r="F149" s="1"/>
    </row>
    <row r="150" spans="1:6" ht="15.75" x14ac:dyDescent="0.25">
      <c r="A150" s="71"/>
      <c r="B150" s="107"/>
      <c r="C150" s="1"/>
      <c r="D150" s="8"/>
      <c r="E150" s="33">
        <f>IF(OR(C150&lt;&gt;0,D150&lt;&gt;0),SUM(C$3:C150)-SUM(D$3:D150),0)</f>
        <v>0</v>
      </c>
      <c r="F150" s="1"/>
    </row>
    <row r="151" spans="1:6" ht="15.75" x14ac:dyDescent="0.25">
      <c r="A151" s="71"/>
      <c r="B151" s="107"/>
      <c r="C151" s="1"/>
      <c r="D151" s="8"/>
      <c r="E151" s="33">
        <f>IF(OR(C151&lt;&gt;0,D151&lt;&gt;0),SUM(C$3:C151)-SUM(D$3:D151),0)</f>
        <v>0</v>
      </c>
      <c r="F151" s="1"/>
    </row>
    <row r="152" spans="1:6" ht="15.75" x14ac:dyDescent="0.25">
      <c r="A152" s="71"/>
      <c r="B152" s="107"/>
      <c r="C152" s="1"/>
      <c r="D152" s="8"/>
      <c r="E152" s="33">
        <f>IF(OR(C152&lt;&gt;0,D152&lt;&gt;0),SUM(C$3:C152)-SUM(D$3:D152),0)</f>
        <v>0</v>
      </c>
      <c r="F152" s="1"/>
    </row>
    <row r="153" spans="1:6" ht="15.75" x14ac:dyDescent="0.25">
      <c r="A153" s="71"/>
      <c r="B153" s="107"/>
      <c r="C153" s="1"/>
      <c r="D153" s="8"/>
      <c r="E153" s="33">
        <f>IF(OR(C153&lt;&gt;0,D153&lt;&gt;0),SUM(C$3:C153)-SUM(D$3:D153),0)</f>
        <v>0</v>
      </c>
      <c r="F153" s="1"/>
    </row>
    <row r="154" spans="1:6" ht="15.75" x14ac:dyDescent="0.25">
      <c r="A154" s="71"/>
      <c r="B154" s="107"/>
      <c r="C154" s="1"/>
      <c r="D154" s="8"/>
      <c r="E154" s="33">
        <f>IF(OR(C154&lt;&gt;0,D154&lt;&gt;0),SUM(C$3:C154)-SUM(D$3:D154),0)</f>
        <v>0</v>
      </c>
      <c r="F154" s="1"/>
    </row>
    <row r="155" spans="1:6" ht="15.75" x14ac:dyDescent="0.25">
      <c r="A155" s="71"/>
      <c r="B155" s="107"/>
      <c r="C155" s="8"/>
      <c r="D155" s="1"/>
      <c r="E155" s="33">
        <f>IF(OR(C155&lt;&gt;0,D155&lt;&gt;0),SUM(C$3:C155)-SUM(D$3:D155),0)</f>
        <v>0</v>
      </c>
      <c r="F155" s="1"/>
    </row>
    <row r="156" spans="1:6" ht="15.75" x14ac:dyDescent="0.25">
      <c r="A156" s="71"/>
      <c r="B156" s="107"/>
      <c r="C156" s="8"/>
      <c r="D156" s="1"/>
      <c r="E156" s="33">
        <f>IF(OR(C156&lt;&gt;0,D156&lt;&gt;0),SUM(C$3:C156)-SUM(D$3:D156),0)</f>
        <v>0</v>
      </c>
      <c r="F156" s="1"/>
    </row>
    <row r="157" spans="1:6" ht="15.75" x14ac:dyDescent="0.25">
      <c r="A157" s="71"/>
      <c r="B157" s="107"/>
      <c r="C157" s="1"/>
      <c r="D157" s="8"/>
      <c r="E157" s="33">
        <f>IF(OR(C157&lt;&gt;0,D157&lt;&gt;0),SUM(C$3:C157)-SUM(D$3:D157),0)</f>
        <v>0</v>
      </c>
      <c r="F157" s="1"/>
    </row>
    <row r="158" spans="1:6" ht="15.75" x14ac:dyDescent="0.25">
      <c r="A158" s="71"/>
      <c r="B158" s="107"/>
      <c r="C158" s="1"/>
      <c r="D158" s="8"/>
      <c r="E158" s="33">
        <f>IF(OR(C158&lt;&gt;0,D158&lt;&gt;0),SUM(C$3:C158)-SUM(D$3:D158),0)</f>
        <v>0</v>
      </c>
      <c r="F158" s="1"/>
    </row>
    <row r="159" spans="1:6" ht="15.75" x14ac:dyDescent="0.25">
      <c r="A159" s="71"/>
      <c r="B159" s="107"/>
      <c r="C159" s="1"/>
      <c r="D159" s="8"/>
      <c r="E159" s="33">
        <f>IF(OR(C159&lt;&gt;0,D159&lt;&gt;0),SUM(C$3:C159)-SUM(D$3:D159),0)</f>
        <v>0</v>
      </c>
      <c r="F159" s="1"/>
    </row>
    <row r="160" spans="1:6" ht="15.75" x14ac:dyDescent="0.25">
      <c r="A160" s="71"/>
      <c r="B160" s="107"/>
      <c r="C160" s="1"/>
      <c r="D160" s="8"/>
      <c r="E160" s="33">
        <f>IF(OR(C160&lt;&gt;0,D160&lt;&gt;0),SUM(C$3:C160)-SUM(D$3:D160),0)</f>
        <v>0</v>
      </c>
      <c r="F160" s="1"/>
    </row>
    <row r="161" spans="1:6" ht="15.75" x14ac:dyDescent="0.25">
      <c r="A161" s="71"/>
      <c r="B161" s="107"/>
      <c r="C161" s="1"/>
      <c r="D161" s="8"/>
      <c r="E161" s="33">
        <f>IF(OR(C161&lt;&gt;0,D161&lt;&gt;0),SUM(C$3:C161)-SUM(D$3:D161),0)</f>
        <v>0</v>
      </c>
      <c r="F161" s="1"/>
    </row>
    <row r="162" spans="1:6" ht="15.75" x14ac:dyDescent="0.25">
      <c r="A162" s="71"/>
      <c r="B162" s="107"/>
      <c r="C162" s="1"/>
      <c r="D162" s="8"/>
      <c r="E162" s="33">
        <f>IF(OR(C162&lt;&gt;0,D162&lt;&gt;0),SUM(C$3:C162)-SUM(D$3:D162),0)</f>
        <v>0</v>
      </c>
      <c r="F162" s="1"/>
    </row>
    <row r="163" spans="1:6" ht="15.75" x14ac:dyDescent="0.25">
      <c r="A163" s="72"/>
      <c r="B163" s="107"/>
      <c r="C163" s="8"/>
      <c r="D163" s="1"/>
      <c r="E163" s="33">
        <f>IF(OR(C163&lt;&gt;0,D163&lt;&gt;0),SUM(C$3:C163)-SUM(D$3:D163),0)</f>
        <v>0</v>
      </c>
      <c r="F163" s="1"/>
    </row>
  </sheetData>
  <mergeCells count="20">
    <mergeCell ref="A138:A163"/>
    <mergeCell ref="A112:A137"/>
    <mergeCell ref="F1:F2"/>
    <mergeCell ref="A15:A24"/>
    <mergeCell ref="A3:A14"/>
    <mergeCell ref="A1:A2"/>
    <mergeCell ref="B1:B2"/>
    <mergeCell ref="C1:C2"/>
    <mergeCell ref="D1:D2"/>
    <mergeCell ref="E1:E2"/>
    <mergeCell ref="A77:A90"/>
    <mergeCell ref="A69:A76"/>
    <mergeCell ref="A52:A58"/>
    <mergeCell ref="A59:A62"/>
    <mergeCell ref="A63:A68"/>
    <mergeCell ref="A91:A102"/>
    <mergeCell ref="A103:A111"/>
    <mergeCell ref="A42:A51"/>
    <mergeCell ref="A36:A41"/>
    <mergeCell ref="A25:A35"/>
  </mergeCells>
  <phoneticPr fontId="4" type="noConversion"/>
  <pageMargins left="0.5" right="0.5" top="0.5" bottom="0.5" header="0.5" footer="0.5"/>
  <pageSetup paperSize="14" scale="50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3ABB-875E-4355-B511-AC6E4647E936}">
  <sheetPr codeName="Sheet10"/>
  <dimension ref="A1:D45"/>
  <sheetViews>
    <sheetView topLeftCell="A7" workbookViewId="0">
      <selection activeCell="C56" sqref="C56"/>
    </sheetView>
  </sheetViews>
  <sheetFormatPr defaultRowHeight="15" x14ac:dyDescent="0.25"/>
  <cols>
    <col min="1" max="1" width="4.42578125" customWidth="1"/>
    <col min="2" max="2" width="19.28515625" customWidth="1"/>
    <col min="3" max="3" width="32.140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98">
        <v>1</v>
      </c>
      <c r="B3" s="98" t="s">
        <v>966</v>
      </c>
      <c r="C3" s="1" t="s">
        <v>1035</v>
      </c>
      <c r="D3" s="8">
        <v>12441379</v>
      </c>
    </row>
    <row r="4" spans="1:4" x14ac:dyDescent="0.25">
      <c r="A4" s="99"/>
      <c r="B4" s="99"/>
      <c r="C4" s="1" t="s">
        <v>1036</v>
      </c>
      <c r="D4" s="8">
        <v>2600000</v>
      </c>
    </row>
    <row r="5" spans="1:4" x14ac:dyDescent="0.25">
      <c r="A5" s="99"/>
      <c r="B5" s="99"/>
      <c r="C5" s="1" t="s">
        <v>1037</v>
      </c>
      <c r="D5" s="8">
        <v>1502000</v>
      </c>
    </row>
    <row r="6" spans="1:4" x14ac:dyDescent="0.25">
      <c r="A6" s="99"/>
      <c r="B6" s="99"/>
      <c r="C6" s="1" t="s">
        <v>1038</v>
      </c>
      <c r="D6" s="8">
        <v>8000000</v>
      </c>
    </row>
    <row r="7" spans="1:4" x14ac:dyDescent="0.25">
      <c r="A7" s="100"/>
      <c r="B7" s="100"/>
      <c r="C7" s="1" t="s">
        <v>7</v>
      </c>
      <c r="D7" s="8">
        <v>20000000</v>
      </c>
    </row>
    <row r="8" spans="1:4" ht="15" customHeight="1" x14ac:dyDescent="0.25">
      <c r="A8" s="90" t="s">
        <v>851</v>
      </c>
      <c r="B8" s="90"/>
      <c r="C8" s="90"/>
      <c r="D8" s="89">
        <f>SUM(D3:D7)</f>
        <v>44543379</v>
      </c>
    </row>
    <row r="9" spans="1:4" ht="15" customHeight="1" x14ac:dyDescent="0.25">
      <c r="A9" s="90"/>
      <c r="B9" s="90"/>
      <c r="C9" s="90"/>
      <c r="D9" s="89"/>
    </row>
    <row r="13" spans="1:4" x14ac:dyDescent="0.25">
      <c r="A13" s="87" t="s">
        <v>968</v>
      </c>
      <c r="B13" s="87" t="s">
        <v>965</v>
      </c>
      <c r="C13" s="87" t="s">
        <v>5</v>
      </c>
      <c r="D13" s="87" t="s">
        <v>969</v>
      </c>
    </row>
    <row r="14" spans="1:4" x14ac:dyDescent="0.25">
      <c r="A14" s="88"/>
      <c r="B14" s="88"/>
      <c r="C14" s="88"/>
      <c r="D14" s="88"/>
    </row>
    <row r="15" spans="1:4" x14ac:dyDescent="0.25">
      <c r="A15" s="91">
        <v>1</v>
      </c>
      <c r="B15" s="91" t="s">
        <v>967</v>
      </c>
      <c r="C15" s="1" t="s">
        <v>1039</v>
      </c>
      <c r="D15" s="8">
        <v>1800000</v>
      </c>
    </row>
    <row r="16" spans="1:4" x14ac:dyDescent="0.25">
      <c r="A16" s="91"/>
      <c r="B16" s="91"/>
      <c r="C16" s="1" t="s">
        <v>1040</v>
      </c>
      <c r="D16" s="8">
        <v>1106700</v>
      </c>
    </row>
    <row r="17" spans="1:4" x14ac:dyDescent="0.25">
      <c r="A17" s="91"/>
      <c r="B17" s="91"/>
      <c r="C17" s="1" t="s">
        <v>1041</v>
      </c>
      <c r="D17" s="8">
        <v>15000000</v>
      </c>
    </row>
    <row r="18" spans="1:4" x14ac:dyDescent="0.25">
      <c r="A18" s="91"/>
      <c r="B18" s="91"/>
      <c r="C18" s="1" t="s">
        <v>1042</v>
      </c>
      <c r="D18" s="8">
        <v>2500000</v>
      </c>
    </row>
    <row r="19" spans="1:4" x14ac:dyDescent="0.25">
      <c r="A19" s="91"/>
      <c r="B19" s="91"/>
      <c r="C19" s="1" t="s">
        <v>1043</v>
      </c>
      <c r="D19" s="8">
        <v>14000000</v>
      </c>
    </row>
    <row r="20" spans="1:4" x14ac:dyDescent="0.25">
      <c r="A20" s="91"/>
      <c r="B20" s="91"/>
      <c r="C20" s="1" t="s">
        <v>1044</v>
      </c>
      <c r="D20" s="8">
        <v>900000</v>
      </c>
    </row>
    <row r="21" spans="1:4" x14ac:dyDescent="0.25">
      <c r="A21" s="91"/>
      <c r="B21" s="91"/>
      <c r="C21" s="1" t="s">
        <v>1045</v>
      </c>
      <c r="D21" s="8">
        <v>500000</v>
      </c>
    </row>
    <row r="22" spans="1:4" x14ac:dyDescent="0.25">
      <c r="A22" s="91"/>
      <c r="B22" s="91"/>
      <c r="C22" s="1" t="s">
        <v>1046</v>
      </c>
      <c r="D22" s="8">
        <v>4000000</v>
      </c>
    </row>
    <row r="23" spans="1:4" x14ac:dyDescent="0.25">
      <c r="A23" s="92" t="s">
        <v>851</v>
      </c>
      <c r="B23" s="93"/>
      <c r="C23" s="94"/>
      <c r="D23" s="89">
        <f>SUM(D15:D22)</f>
        <v>39806700</v>
      </c>
    </row>
    <row r="24" spans="1:4" x14ac:dyDescent="0.25">
      <c r="A24" s="95"/>
      <c r="B24" s="96"/>
      <c r="C24" s="97"/>
      <c r="D24" s="89"/>
    </row>
    <row r="27" spans="1:4" x14ac:dyDescent="0.25">
      <c r="A27" s="87" t="s">
        <v>968</v>
      </c>
      <c r="B27" s="87" t="s">
        <v>965</v>
      </c>
      <c r="C27" s="87" t="s">
        <v>5</v>
      </c>
      <c r="D27" s="87" t="s">
        <v>969</v>
      </c>
    </row>
    <row r="28" spans="1:4" x14ac:dyDescent="0.25">
      <c r="A28" s="88"/>
      <c r="B28" s="88"/>
      <c r="C28" s="88"/>
      <c r="D28" s="88"/>
    </row>
    <row r="29" spans="1:4" x14ac:dyDescent="0.25">
      <c r="A29" s="91">
        <v>1</v>
      </c>
      <c r="B29" s="91" t="s">
        <v>1047</v>
      </c>
      <c r="C29" s="1" t="s">
        <v>1048</v>
      </c>
      <c r="D29" s="8">
        <v>300000</v>
      </c>
    </row>
    <row r="30" spans="1:4" x14ac:dyDescent="0.25">
      <c r="A30" s="91"/>
      <c r="B30" s="91"/>
      <c r="C30" s="1" t="s">
        <v>1049</v>
      </c>
      <c r="D30" s="8">
        <v>300000</v>
      </c>
    </row>
    <row r="31" spans="1:4" x14ac:dyDescent="0.25">
      <c r="A31" s="91"/>
      <c r="B31" s="91"/>
      <c r="C31" s="1" t="s">
        <v>1050</v>
      </c>
      <c r="D31" s="8">
        <v>300000</v>
      </c>
    </row>
    <row r="32" spans="1:4" x14ac:dyDescent="0.25">
      <c r="A32" s="91"/>
      <c r="B32" s="91"/>
      <c r="C32" s="1" t="s">
        <v>1051</v>
      </c>
      <c r="D32" s="8">
        <v>300000</v>
      </c>
    </row>
    <row r="33" spans="1:4" x14ac:dyDescent="0.25">
      <c r="A33" s="92" t="s">
        <v>851</v>
      </c>
      <c r="B33" s="93"/>
      <c r="C33" s="94"/>
      <c r="D33" s="89">
        <f>SUM(D29:D32)</f>
        <v>1200000</v>
      </c>
    </row>
    <row r="34" spans="1:4" x14ac:dyDescent="0.25">
      <c r="A34" s="95"/>
      <c r="B34" s="96"/>
      <c r="C34" s="97"/>
      <c r="D34" s="89"/>
    </row>
    <row r="39" spans="1:4" x14ac:dyDescent="0.25">
      <c r="A39" s="87" t="s">
        <v>968</v>
      </c>
      <c r="B39" s="87" t="s">
        <v>965</v>
      </c>
      <c r="C39" s="87" t="s">
        <v>969</v>
      </c>
    </row>
    <row r="40" spans="1:4" x14ac:dyDescent="0.25">
      <c r="A40" s="88"/>
      <c r="B40" s="88"/>
      <c r="C40" s="88"/>
    </row>
    <row r="41" spans="1:4" ht="22.5" customHeight="1" x14ac:dyDescent="0.25">
      <c r="A41" s="30">
        <v>1</v>
      </c>
      <c r="B41" s="30" t="s">
        <v>966</v>
      </c>
      <c r="C41" s="8">
        <f>D8</f>
        <v>44543379</v>
      </c>
    </row>
    <row r="42" spans="1:4" ht="21.75" customHeight="1" x14ac:dyDescent="0.25">
      <c r="A42" s="30">
        <v>2</v>
      </c>
      <c r="B42" s="30" t="s">
        <v>967</v>
      </c>
      <c r="C42" s="8">
        <f>D23</f>
        <v>39806700</v>
      </c>
    </row>
    <row r="43" spans="1:4" ht="21.75" customHeight="1" x14ac:dyDescent="0.25">
      <c r="A43" s="30">
        <v>3</v>
      </c>
      <c r="B43" s="30" t="s">
        <v>1047</v>
      </c>
      <c r="C43" s="8">
        <f>D33</f>
        <v>1200000</v>
      </c>
    </row>
    <row r="44" spans="1:4" ht="15" customHeight="1" x14ac:dyDescent="0.25">
      <c r="A44" s="90" t="s">
        <v>851</v>
      </c>
      <c r="B44" s="90"/>
      <c r="C44" s="89">
        <f>SUM(C41:C43)</f>
        <v>85550079</v>
      </c>
    </row>
    <row r="45" spans="1:4" ht="15" customHeight="1" x14ac:dyDescent="0.25">
      <c r="A45" s="90"/>
      <c r="B45" s="90"/>
      <c r="C45" s="89"/>
    </row>
  </sheetData>
  <mergeCells count="29">
    <mergeCell ref="A1:A2"/>
    <mergeCell ref="B1:B2"/>
    <mergeCell ref="C1:C2"/>
    <mergeCell ref="D1:D2"/>
    <mergeCell ref="B3:B7"/>
    <mergeCell ref="A3:A7"/>
    <mergeCell ref="A13:A14"/>
    <mergeCell ref="B13:B14"/>
    <mergeCell ref="C13:C14"/>
    <mergeCell ref="D13:D14"/>
    <mergeCell ref="A8:C9"/>
    <mergeCell ref="D8:D9"/>
    <mergeCell ref="B15:B22"/>
    <mergeCell ref="A15:A22"/>
    <mergeCell ref="A27:A28"/>
    <mergeCell ref="B27:B28"/>
    <mergeCell ref="C27:C28"/>
    <mergeCell ref="A29:A32"/>
    <mergeCell ref="B29:B32"/>
    <mergeCell ref="A33:C34"/>
    <mergeCell ref="D33:D34"/>
    <mergeCell ref="A23:C24"/>
    <mergeCell ref="D23:D24"/>
    <mergeCell ref="D27:D28"/>
    <mergeCell ref="A39:A40"/>
    <mergeCell ref="B39:B40"/>
    <mergeCell ref="C39:C40"/>
    <mergeCell ref="C44:C45"/>
    <mergeCell ref="A44:B4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06E1-CA6C-4B28-A94E-196A807D53E0}">
  <sheetPr codeName="Sheet11"/>
  <dimension ref="A1:J51"/>
  <sheetViews>
    <sheetView topLeftCell="A19" workbookViewId="0">
      <selection activeCell="G29" sqref="G29"/>
    </sheetView>
  </sheetViews>
  <sheetFormatPr defaultRowHeight="15" x14ac:dyDescent="0.25"/>
  <cols>
    <col min="1" max="1" width="4.42578125" customWidth="1"/>
    <col min="2" max="2" width="19.28515625" customWidth="1"/>
    <col min="3" max="3" width="32.140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10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10" x14ac:dyDescent="0.25">
      <c r="A2" s="88"/>
      <c r="B2" s="88"/>
      <c r="C2" s="88"/>
      <c r="D2" s="88"/>
    </row>
    <row r="3" spans="1:10" x14ac:dyDescent="0.25">
      <c r="A3" s="98">
        <v>1</v>
      </c>
      <c r="B3" s="98" t="s">
        <v>966</v>
      </c>
      <c r="C3" s="1" t="s">
        <v>1075</v>
      </c>
      <c r="D3" s="8">
        <v>30000000</v>
      </c>
    </row>
    <row r="4" spans="1:10" x14ac:dyDescent="0.25">
      <c r="A4" s="99"/>
      <c r="B4" s="99"/>
      <c r="C4" s="1" t="s">
        <v>1076</v>
      </c>
      <c r="D4" s="8">
        <v>5050000</v>
      </c>
    </row>
    <row r="5" spans="1:10" x14ac:dyDescent="0.25">
      <c r="A5" s="99"/>
      <c r="B5" s="99"/>
      <c r="C5" s="1" t="s">
        <v>1077</v>
      </c>
      <c r="D5" s="8">
        <v>4542584</v>
      </c>
    </row>
    <row r="6" spans="1:10" x14ac:dyDescent="0.25">
      <c r="A6" s="99"/>
      <c r="B6" s="99"/>
      <c r="C6" s="1" t="s">
        <v>1078</v>
      </c>
      <c r="D6" s="8">
        <v>19500000</v>
      </c>
    </row>
    <row r="7" spans="1:10" x14ac:dyDescent="0.25">
      <c r="A7" s="99"/>
      <c r="B7" s="99"/>
      <c r="C7" s="1" t="s">
        <v>1080</v>
      </c>
      <c r="D7" s="8">
        <v>11100000</v>
      </c>
    </row>
    <row r="8" spans="1:10" x14ac:dyDescent="0.25">
      <c r="A8" s="99"/>
      <c r="B8" s="99"/>
      <c r="C8" s="1" t="s">
        <v>1079</v>
      </c>
      <c r="D8" s="8">
        <v>13500000</v>
      </c>
    </row>
    <row r="9" spans="1:10" x14ac:dyDescent="0.25">
      <c r="A9" s="99"/>
      <c r="B9" s="99"/>
      <c r="C9" s="1" t="s">
        <v>1109</v>
      </c>
      <c r="D9" s="8">
        <v>13070216</v>
      </c>
    </row>
    <row r="10" spans="1:10" x14ac:dyDescent="0.25">
      <c r="A10" s="99"/>
      <c r="B10" s="99"/>
      <c r="C10" s="1" t="s">
        <v>1110</v>
      </c>
      <c r="D10" s="8">
        <v>6925000</v>
      </c>
    </row>
    <row r="11" spans="1:10" x14ac:dyDescent="0.25">
      <c r="A11" s="100"/>
      <c r="B11" s="100"/>
      <c r="C11" s="1" t="s">
        <v>7</v>
      </c>
      <c r="D11" s="8">
        <v>25000000</v>
      </c>
    </row>
    <row r="12" spans="1:10" ht="15" customHeight="1" x14ac:dyDescent="0.25">
      <c r="A12" s="90" t="s">
        <v>851</v>
      </c>
      <c r="B12" s="90"/>
      <c r="C12" s="90"/>
      <c r="D12" s="89">
        <f>SUM(D3:D11)</f>
        <v>128687800</v>
      </c>
    </row>
    <row r="13" spans="1:10" ht="15" customHeight="1" x14ac:dyDescent="0.25">
      <c r="A13" s="90"/>
      <c r="B13" s="90"/>
      <c r="C13" s="90"/>
      <c r="D13" s="89"/>
    </row>
    <row r="16" spans="1:10" x14ac:dyDescent="0.25">
      <c r="J16">
        <f>19500000</f>
        <v>19500000</v>
      </c>
    </row>
    <row r="17" spans="1:4" x14ac:dyDescent="0.25">
      <c r="A17" s="87" t="s">
        <v>968</v>
      </c>
      <c r="B17" s="87" t="s">
        <v>965</v>
      </c>
      <c r="C17" s="87" t="s">
        <v>5</v>
      </c>
      <c r="D17" s="87" t="s">
        <v>969</v>
      </c>
    </row>
    <row r="18" spans="1:4" x14ac:dyDescent="0.25">
      <c r="A18" s="88"/>
      <c r="B18" s="88"/>
      <c r="C18" s="88"/>
      <c r="D18" s="88"/>
    </row>
    <row r="19" spans="1:4" x14ac:dyDescent="0.25">
      <c r="A19" s="91">
        <v>1</v>
      </c>
      <c r="B19" s="91" t="s">
        <v>967</v>
      </c>
      <c r="C19" s="32" t="s">
        <v>1081</v>
      </c>
      <c r="D19" s="8">
        <v>500000</v>
      </c>
    </row>
    <row r="20" spans="1:4" x14ac:dyDescent="0.25">
      <c r="A20" s="91"/>
      <c r="B20" s="91"/>
      <c r="C20" s="32" t="s">
        <v>1082</v>
      </c>
      <c r="D20" s="8">
        <v>5500000</v>
      </c>
    </row>
    <row r="21" spans="1:4" x14ac:dyDescent="0.25">
      <c r="A21" s="91"/>
      <c r="B21" s="91"/>
      <c r="C21" s="32" t="s">
        <v>1083</v>
      </c>
      <c r="D21" s="8">
        <v>900000</v>
      </c>
    </row>
    <row r="22" spans="1:4" x14ac:dyDescent="0.25">
      <c r="A22" s="91"/>
      <c r="B22" s="91"/>
      <c r="C22" s="32" t="s">
        <v>1084</v>
      </c>
      <c r="D22" s="8">
        <v>1400000</v>
      </c>
    </row>
    <row r="23" spans="1:4" x14ac:dyDescent="0.25">
      <c r="A23" s="91"/>
      <c r="B23" s="91"/>
      <c r="C23" s="32" t="s">
        <v>1085</v>
      </c>
      <c r="D23" s="8">
        <v>550000</v>
      </c>
    </row>
    <row r="24" spans="1:4" x14ac:dyDescent="0.25">
      <c r="A24" s="91"/>
      <c r="B24" s="91"/>
      <c r="C24" s="31" t="s">
        <v>1106</v>
      </c>
      <c r="D24" s="8">
        <v>5500000</v>
      </c>
    </row>
    <row r="25" spans="1:4" x14ac:dyDescent="0.25">
      <c r="A25" s="91"/>
      <c r="B25" s="91"/>
      <c r="C25" s="31" t="s">
        <v>1107</v>
      </c>
      <c r="D25" s="8">
        <v>5500000</v>
      </c>
    </row>
    <row r="26" spans="1:4" x14ac:dyDescent="0.25">
      <c r="A26" s="91"/>
      <c r="B26" s="91"/>
      <c r="C26" s="31" t="s">
        <v>1108</v>
      </c>
      <c r="D26" s="8">
        <v>5150000</v>
      </c>
    </row>
    <row r="27" spans="1:4" x14ac:dyDescent="0.25">
      <c r="A27" s="92" t="s">
        <v>851</v>
      </c>
      <c r="B27" s="93"/>
      <c r="C27" s="94"/>
      <c r="D27" s="89">
        <f>SUM(D19:D26)</f>
        <v>25000000</v>
      </c>
    </row>
    <row r="28" spans="1:4" x14ac:dyDescent="0.25">
      <c r="A28" s="95"/>
      <c r="B28" s="96"/>
      <c r="C28" s="97"/>
      <c r="D28" s="89"/>
    </row>
    <row r="31" spans="1:4" x14ac:dyDescent="0.25">
      <c r="A31" s="87" t="s">
        <v>968</v>
      </c>
      <c r="B31" s="87" t="s">
        <v>965</v>
      </c>
      <c r="C31" s="87" t="s">
        <v>5</v>
      </c>
      <c r="D31" s="87" t="s">
        <v>969</v>
      </c>
    </row>
    <row r="32" spans="1:4" x14ac:dyDescent="0.25">
      <c r="A32" s="88"/>
      <c r="B32" s="88"/>
      <c r="C32" s="88"/>
      <c r="D32" s="88"/>
    </row>
    <row r="33" spans="1:4" x14ac:dyDescent="0.25">
      <c r="A33" s="91">
        <v>1</v>
      </c>
      <c r="B33" s="91" t="s">
        <v>1047</v>
      </c>
      <c r="C33" s="32" t="s">
        <v>1048</v>
      </c>
      <c r="D33" s="8">
        <v>300000</v>
      </c>
    </row>
    <row r="34" spans="1:4" x14ac:dyDescent="0.25">
      <c r="A34" s="91"/>
      <c r="B34" s="91"/>
      <c r="C34" s="32" t="s">
        <v>1049</v>
      </c>
      <c r="D34" s="8">
        <v>300000</v>
      </c>
    </row>
    <row r="35" spans="1:4" x14ac:dyDescent="0.25">
      <c r="A35" s="91"/>
      <c r="B35" s="91"/>
      <c r="C35" s="32" t="s">
        <v>1050</v>
      </c>
      <c r="D35" s="8">
        <v>300000</v>
      </c>
    </row>
    <row r="36" spans="1:4" x14ac:dyDescent="0.25">
      <c r="A36" s="91"/>
      <c r="B36" s="91"/>
      <c r="C36" s="32" t="s">
        <v>1051</v>
      </c>
      <c r="D36" s="8">
        <v>300000</v>
      </c>
    </row>
    <row r="37" spans="1:4" x14ac:dyDescent="0.25">
      <c r="A37" s="91"/>
      <c r="B37" s="91"/>
      <c r="C37" s="31" t="s">
        <v>1086</v>
      </c>
      <c r="D37" s="8">
        <v>1000000</v>
      </c>
    </row>
    <row r="38" spans="1:4" x14ac:dyDescent="0.25">
      <c r="A38" s="91"/>
      <c r="B38" s="91"/>
      <c r="C38" s="31" t="s">
        <v>1098</v>
      </c>
      <c r="D38" s="8">
        <v>3000000</v>
      </c>
    </row>
    <row r="39" spans="1:4" x14ac:dyDescent="0.25">
      <c r="A39" s="92" t="s">
        <v>851</v>
      </c>
      <c r="B39" s="93"/>
      <c r="C39" s="94"/>
      <c r="D39" s="89">
        <f>SUM(D33:D38)</f>
        <v>5200000</v>
      </c>
    </row>
    <row r="40" spans="1:4" x14ac:dyDescent="0.25">
      <c r="A40" s="95"/>
      <c r="B40" s="96"/>
      <c r="C40" s="97"/>
      <c r="D40" s="89"/>
    </row>
    <row r="45" spans="1:4" x14ac:dyDescent="0.25">
      <c r="A45" s="87" t="s">
        <v>968</v>
      </c>
      <c r="B45" s="87" t="s">
        <v>965</v>
      </c>
      <c r="C45" s="87" t="s">
        <v>969</v>
      </c>
    </row>
    <row r="46" spans="1:4" x14ac:dyDescent="0.25">
      <c r="A46" s="88"/>
      <c r="B46" s="88"/>
      <c r="C46" s="88"/>
    </row>
    <row r="47" spans="1:4" ht="22.5" customHeight="1" x14ac:dyDescent="0.25">
      <c r="A47" s="30">
        <v>1</v>
      </c>
      <c r="B47" s="30" t="s">
        <v>966</v>
      </c>
      <c r="C47" s="8">
        <f>D12</f>
        <v>128687800</v>
      </c>
    </row>
    <row r="48" spans="1:4" ht="21.75" customHeight="1" x14ac:dyDescent="0.25">
      <c r="A48" s="30">
        <v>2</v>
      </c>
      <c r="B48" s="30" t="s">
        <v>967</v>
      </c>
      <c r="C48" s="8">
        <f>D27</f>
        <v>25000000</v>
      </c>
    </row>
    <row r="49" spans="1:3" ht="21.75" customHeight="1" x14ac:dyDescent="0.25">
      <c r="A49" s="30">
        <v>3</v>
      </c>
      <c r="B49" s="30" t="s">
        <v>1047</v>
      </c>
      <c r="C49" s="8">
        <f>D39</f>
        <v>5200000</v>
      </c>
    </row>
    <row r="50" spans="1:3" ht="15" customHeight="1" x14ac:dyDescent="0.25">
      <c r="A50" s="90" t="s">
        <v>851</v>
      </c>
      <c r="B50" s="90"/>
      <c r="C50" s="89">
        <f>SUM(C47:C49)</f>
        <v>158887800</v>
      </c>
    </row>
    <row r="51" spans="1:3" ht="15" customHeight="1" x14ac:dyDescent="0.25">
      <c r="A51" s="90"/>
      <c r="B51" s="90"/>
      <c r="C51" s="89"/>
    </row>
  </sheetData>
  <mergeCells count="29">
    <mergeCell ref="A50:B51"/>
    <mergeCell ref="C50:C51"/>
    <mergeCell ref="A39:C40"/>
    <mergeCell ref="B33:B38"/>
    <mergeCell ref="A33:A38"/>
    <mergeCell ref="D39:D40"/>
    <mergeCell ref="A45:A46"/>
    <mergeCell ref="B45:B46"/>
    <mergeCell ref="C45:C46"/>
    <mergeCell ref="A27:C28"/>
    <mergeCell ref="D27:D28"/>
    <mergeCell ref="A31:A32"/>
    <mergeCell ref="B31:B32"/>
    <mergeCell ref="C31:C32"/>
    <mergeCell ref="D31:D32"/>
    <mergeCell ref="B19:B26"/>
    <mergeCell ref="A19:A26"/>
    <mergeCell ref="A12:C13"/>
    <mergeCell ref="D12:D13"/>
    <mergeCell ref="A17:A18"/>
    <mergeCell ref="B17:B18"/>
    <mergeCell ref="C17:C18"/>
    <mergeCell ref="D17:D18"/>
    <mergeCell ref="A1:A2"/>
    <mergeCell ref="B1:B2"/>
    <mergeCell ref="C1:C2"/>
    <mergeCell ref="D1:D2"/>
    <mergeCell ref="B3:B11"/>
    <mergeCell ref="A3:A11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0FE3-2C90-4C7F-87AD-6D65A84F7C7A}">
  <sheetPr codeName="Sheet12"/>
  <dimension ref="A1:J59"/>
  <sheetViews>
    <sheetView topLeftCell="A34" workbookViewId="0">
      <selection activeCell="C23" sqref="C23"/>
    </sheetView>
  </sheetViews>
  <sheetFormatPr defaultRowHeight="15" x14ac:dyDescent="0.25"/>
  <cols>
    <col min="1" max="1" width="4.42578125" customWidth="1"/>
    <col min="2" max="2" width="19.28515625" customWidth="1"/>
    <col min="3" max="3" width="32.140625" customWidth="1"/>
    <col min="4" max="4" width="21.5703125" customWidth="1"/>
    <col min="5" max="5" width="17.7109375" bestFit="1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8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8" x14ac:dyDescent="0.25">
      <c r="A2" s="88"/>
      <c r="B2" s="88"/>
      <c r="C2" s="88"/>
      <c r="D2" s="88"/>
    </row>
    <row r="3" spans="1:8" x14ac:dyDescent="0.25">
      <c r="A3" s="36">
        <v>1</v>
      </c>
      <c r="B3" s="98" t="s">
        <v>966</v>
      </c>
      <c r="C3" s="1" t="s">
        <v>1122</v>
      </c>
      <c r="D3" s="8">
        <v>5934250</v>
      </c>
    </row>
    <row r="4" spans="1:8" x14ac:dyDescent="0.25">
      <c r="A4" s="37">
        <v>2</v>
      </c>
      <c r="B4" s="99"/>
      <c r="C4" s="1" t="s">
        <v>1123</v>
      </c>
      <c r="D4" s="8">
        <v>14880000</v>
      </c>
    </row>
    <row r="5" spans="1:8" x14ac:dyDescent="0.25">
      <c r="A5" s="36">
        <v>3</v>
      </c>
      <c r="B5" s="99"/>
      <c r="C5" s="1" t="s">
        <v>1124</v>
      </c>
      <c r="D5" s="8">
        <v>11742515</v>
      </c>
    </row>
    <row r="6" spans="1:8" x14ac:dyDescent="0.25">
      <c r="A6" s="37">
        <v>4</v>
      </c>
      <c r="B6" s="99"/>
      <c r="C6" s="1" t="s">
        <v>1125</v>
      </c>
      <c r="D6" s="8">
        <v>10000000</v>
      </c>
    </row>
    <row r="7" spans="1:8" x14ac:dyDescent="0.25">
      <c r="A7" s="36">
        <v>5</v>
      </c>
      <c r="B7" s="99"/>
      <c r="C7" s="1" t="s">
        <v>1126</v>
      </c>
      <c r="D7" s="8">
        <v>8800000</v>
      </c>
    </row>
    <row r="8" spans="1:8" x14ac:dyDescent="0.25">
      <c r="A8" s="37">
        <v>6</v>
      </c>
      <c r="B8" s="99"/>
      <c r="C8" s="1" t="s">
        <v>1127</v>
      </c>
      <c r="D8" s="8">
        <v>13505052</v>
      </c>
    </row>
    <row r="9" spans="1:8" x14ac:dyDescent="0.25">
      <c r="A9" s="36">
        <v>7</v>
      </c>
      <c r="B9" s="99"/>
      <c r="C9" s="1" t="s">
        <v>1128</v>
      </c>
      <c r="D9" s="8">
        <v>16500000</v>
      </c>
      <c r="H9" s="3">
        <f>SUM(D5,D6,D8,D9,D10,D11)</f>
        <v>74247567</v>
      </c>
    </row>
    <row r="10" spans="1:8" x14ac:dyDescent="0.25">
      <c r="A10" s="37">
        <v>8</v>
      </c>
      <c r="B10" s="99"/>
      <c r="C10" s="1" t="s">
        <v>1129</v>
      </c>
      <c r="D10" s="8">
        <v>7500000</v>
      </c>
    </row>
    <row r="11" spans="1:8" x14ac:dyDescent="0.25">
      <c r="A11" s="37">
        <v>10</v>
      </c>
      <c r="B11" s="99"/>
      <c r="C11" s="1" t="s">
        <v>7</v>
      </c>
      <c r="D11" s="8">
        <v>15000000</v>
      </c>
    </row>
    <row r="12" spans="1:8" x14ac:dyDescent="0.25">
      <c r="A12" s="36">
        <v>11</v>
      </c>
      <c r="B12" s="99"/>
      <c r="C12" s="1" t="s">
        <v>1134</v>
      </c>
      <c r="D12" s="8">
        <v>12552000</v>
      </c>
    </row>
    <row r="13" spans="1:8" x14ac:dyDescent="0.25">
      <c r="A13" s="37">
        <v>12</v>
      </c>
      <c r="B13" s="99"/>
      <c r="C13" s="1" t="s">
        <v>1135</v>
      </c>
      <c r="D13" s="8">
        <v>57000000</v>
      </c>
    </row>
    <row r="14" spans="1:8" x14ac:dyDescent="0.25">
      <c r="A14" s="36">
        <v>13</v>
      </c>
      <c r="B14" s="100"/>
      <c r="C14" s="1" t="s">
        <v>1136</v>
      </c>
      <c r="D14" s="8">
        <v>55000000</v>
      </c>
    </row>
    <row r="15" spans="1:8" ht="15" customHeight="1" x14ac:dyDescent="0.25">
      <c r="A15" s="90" t="s">
        <v>851</v>
      </c>
      <c r="B15" s="90"/>
      <c r="C15" s="90"/>
      <c r="D15" s="89">
        <f>SUM(D3:D14)</f>
        <v>228413817</v>
      </c>
      <c r="E15" s="101">
        <f>SUM(D3:D11,D14)</f>
        <v>158861817</v>
      </c>
    </row>
    <row r="16" spans="1:8" ht="15" customHeight="1" x14ac:dyDescent="0.25">
      <c r="A16" s="90"/>
      <c r="B16" s="90"/>
      <c r="C16" s="90"/>
      <c r="D16" s="89"/>
      <c r="E16" s="102"/>
    </row>
    <row r="19" spans="1:10" x14ac:dyDescent="0.25">
      <c r="J19">
        <f>19500000</f>
        <v>19500000</v>
      </c>
    </row>
    <row r="20" spans="1:10" x14ac:dyDescent="0.25">
      <c r="A20" s="87" t="s">
        <v>968</v>
      </c>
      <c r="B20" s="87" t="s">
        <v>965</v>
      </c>
      <c r="C20" s="87" t="s">
        <v>5</v>
      </c>
      <c r="D20" s="87" t="s">
        <v>969</v>
      </c>
    </row>
    <row r="21" spans="1:10" x14ac:dyDescent="0.25">
      <c r="A21" s="88"/>
      <c r="B21" s="88"/>
      <c r="C21" s="88"/>
      <c r="D21" s="88"/>
    </row>
    <row r="22" spans="1:10" x14ac:dyDescent="0.25">
      <c r="A22" s="35">
        <v>1</v>
      </c>
      <c r="B22" s="91" t="s">
        <v>967</v>
      </c>
      <c r="C22" s="32" t="s">
        <v>1130</v>
      </c>
      <c r="D22" s="8">
        <v>7100000</v>
      </c>
    </row>
    <row r="23" spans="1:10" x14ac:dyDescent="0.25">
      <c r="A23" s="34">
        <v>2</v>
      </c>
      <c r="B23" s="91"/>
      <c r="C23" s="31" t="s">
        <v>1137</v>
      </c>
      <c r="D23" s="8">
        <v>901000</v>
      </c>
    </row>
    <row r="24" spans="1:10" x14ac:dyDescent="0.25">
      <c r="A24" s="35">
        <v>3</v>
      </c>
      <c r="B24" s="91"/>
      <c r="C24" s="31" t="s">
        <v>1138</v>
      </c>
      <c r="D24" s="8">
        <v>15000000</v>
      </c>
    </row>
    <row r="25" spans="1:10" x14ac:dyDescent="0.25">
      <c r="A25" s="34">
        <v>4</v>
      </c>
      <c r="B25" s="91"/>
      <c r="C25" s="31" t="s">
        <v>1139</v>
      </c>
      <c r="D25" s="8">
        <v>500000</v>
      </c>
    </row>
    <row r="26" spans="1:10" x14ac:dyDescent="0.25">
      <c r="A26" s="35">
        <v>5</v>
      </c>
      <c r="B26" s="91"/>
      <c r="C26" s="31" t="s">
        <v>1140</v>
      </c>
      <c r="D26" s="8">
        <v>4545000</v>
      </c>
    </row>
    <row r="27" spans="1:10" x14ac:dyDescent="0.25">
      <c r="A27" s="34">
        <v>6</v>
      </c>
      <c r="B27" s="91"/>
      <c r="C27" s="31" t="s">
        <v>1141</v>
      </c>
      <c r="D27" s="8">
        <v>16592000</v>
      </c>
    </row>
    <row r="28" spans="1:10" x14ac:dyDescent="0.25">
      <c r="A28" s="35">
        <v>7</v>
      </c>
      <c r="B28" s="91"/>
      <c r="C28" s="31" t="s">
        <v>1142</v>
      </c>
      <c r="D28" s="8">
        <v>300000</v>
      </c>
    </row>
    <row r="29" spans="1:10" ht="15.75" customHeight="1" x14ac:dyDescent="0.25">
      <c r="A29" s="34">
        <v>8</v>
      </c>
      <c r="B29" s="91"/>
      <c r="C29" s="31" t="s">
        <v>1143</v>
      </c>
      <c r="D29" s="8">
        <v>700000</v>
      </c>
    </row>
    <row r="30" spans="1:10" x14ac:dyDescent="0.25">
      <c r="A30" s="35">
        <v>9</v>
      </c>
      <c r="B30" s="91"/>
      <c r="C30" s="31" t="s">
        <v>1144</v>
      </c>
      <c r="D30" s="8">
        <v>850000</v>
      </c>
    </row>
    <row r="31" spans="1:10" x14ac:dyDescent="0.25">
      <c r="A31" s="34">
        <v>10</v>
      </c>
      <c r="B31" s="91"/>
      <c r="C31" s="31" t="s">
        <v>1145</v>
      </c>
      <c r="D31" s="8">
        <v>800000</v>
      </c>
    </row>
    <row r="32" spans="1:10" x14ac:dyDescent="0.25">
      <c r="A32" s="92" t="s">
        <v>851</v>
      </c>
      <c r="B32" s="93"/>
      <c r="C32" s="94"/>
      <c r="D32" s="89">
        <f>SUM(D22:D31)</f>
        <v>47288000</v>
      </c>
    </row>
    <row r="33" spans="1:4" x14ac:dyDescent="0.25">
      <c r="A33" s="95"/>
      <c r="B33" s="96"/>
      <c r="C33" s="97"/>
      <c r="D33" s="89"/>
    </row>
    <row r="36" spans="1:4" x14ac:dyDescent="0.25">
      <c r="A36" s="87" t="s">
        <v>968</v>
      </c>
      <c r="B36" s="87" t="s">
        <v>965</v>
      </c>
      <c r="C36" s="87" t="s">
        <v>5</v>
      </c>
      <c r="D36" s="87" t="s">
        <v>969</v>
      </c>
    </row>
    <row r="37" spans="1:4" x14ac:dyDescent="0.25">
      <c r="A37" s="88"/>
      <c r="B37" s="88"/>
      <c r="C37" s="88"/>
      <c r="D37" s="88"/>
    </row>
    <row r="38" spans="1:4" x14ac:dyDescent="0.25">
      <c r="A38" s="91">
        <v>1</v>
      </c>
      <c r="B38" s="91" t="s">
        <v>1047</v>
      </c>
      <c r="C38" s="32" t="s">
        <v>1048</v>
      </c>
      <c r="D38" s="8">
        <v>300000</v>
      </c>
    </row>
    <row r="39" spans="1:4" x14ac:dyDescent="0.25">
      <c r="A39" s="91"/>
      <c r="B39" s="91"/>
      <c r="C39" s="32" t="s">
        <v>1049</v>
      </c>
      <c r="D39" s="8">
        <v>300000</v>
      </c>
    </row>
    <row r="40" spans="1:4" x14ac:dyDescent="0.25">
      <c r="A40" s="91"/>
      <c r="B40" s="91"/>
      <c r="C40" s="32" t="s">
        <v>1050</v>
      </c>
      <c r="D40" s="8">
        <v>300000</v>
      </c>
    </row>
    <row r="41" spans="1:4" x14ac:dyDescent="0.25">
      <c r="A41" s="91"/>
      <c r="B41" s="91"/>
      <c r="C41" s="32" t="s">
        <v>1051</v>
      </c>
      <c r="D41" s="8">
        <v>300000</v>
      </c>
    </row>
    <row r="42" spans="1:4" x14ac:dyDescent="0.25">
      <c r="A42" s="92" t="s">
        <v>851</v>
      </c>
      <c r="B42" s="93"/>
      <c r="C42" s="94"/>
      <c r="D42" s="89">
        <f>SUM(D38:D41)</f>
        <v>1200000</v>
      </c>
    </row>
    <row r="43" spans="1:4" x14ac:dyDescent="0.25">
      <c r="A43" s="95"/>
      <c r="B43" s="96"/>
      <c r="C43" s="97"/>
      <c r="D43" s="89"/>
    </row>
    <row r="48" spans="1:4" x14ac:dyDescent="0.25">
      <c r="A48" s="87" t="s">
        <v>968</v>
      </c>
      <c r="B48" s="87" t="s">
        <v>965</v>
      </c>
      <c r="C48" s="87" t="s">
        <v>969</v>
      </c>
    </row>
    <row r="49" spans="1:7" x14ac:dyDescent="0.25">
      <c r="A49" s="88"/>
      <c r="B49" s="88"/>
      <c r="C49" s="88"/>
    </row>
    <row r="50" spans="1:7" ht="22.5" customHeight="1" x14ac:dyDescent="0.25">
      <c r="A50" s="30">
        <v>1</v>
      </c>
      <c r="B50" s="30" t="s">
        <v>966</v>
      </c>
      <c r="C50" s="8">
        <f>D15</f>
        <v>228413817</v>
      </c>
      <c r="D50" s="3">
        <f>E15</f>
        <v>158861817</v>
      </c>
    </row>
    <row r="51" spans="1:7" ht="21.75" customHeight="1" x14ac:dyDescent="0.25">
      <c r="A51" s="30">
        <v>2</v>
      </c>
      <c r="B51" s="30" t="s">
        <v>967</v>
      </c>
      <c r="C51" s="8">
        <f>D32</f>
        <v>47288000</v>
      </c>
    </row>
    <row r="52" spans="1:7" ht="21.75" customHeight="1" x14ac:dyDescent="0.25">
      <c r="A52" s="30">
        <v>3</v>
      </c>
      <c r="B52" s="30" t="s">
        <v>1047</v>
      </c>
      <c r="C52" s="8">
        <f>D42</f>
        <v>1200000</v>
      </c>
    </row>
    <row r="53" spans="1:7" ht="15" customHeight="1" x14ac:dyDescent="0.25">
      <c r="A53" s="90" t="s">
        <v>851</v>
      </c>
      <c r="B53" s="90"/>
      <c r="C53" s="89">
        <f>SUM(D50,C51,C52)</f>
        <v>207349817</v>
      </c>
    </row>
    <row r="54" spans="1:7" ht="15" customHeight="1" x14ac:dyDescent="0.25">
      <c r="A54" s="90"/>
      <c r="B54" s="90"/>
      <c r="C54" s="89"/>
    </row>
    <row r="59" spans="1:7" x14ac:dyDescent="0.25">
      <c r="G59" s="3">
        <f>74247567+1200000+1405000</f>
        <v>76852567</v>
      </c>
    </row>
  </sheetData>
  <mergeCells count="28">
    <mergeCell ref="A53:B54"/>
    <mergeCell ref="C53:C54"/>
    <mergeCell ref="A38:A41"/>
    <mergeCell ref="B38:B41"/>
    <mergeCell ref="A42:C43"/>
    <mergeCell ref="D42:D43"/>
    <mergeCell ref="A48:A49"/>
    <mergeCell ref="B48:B49"/>
    <mergeCell ref="C48:C49"/>
    <mergeCell ref="A32:C33"/>
    <mergeCell ref="D32:D33"/>
    <mergeCell ref="A36:A37"/>
    <mergeCell ref="B36:B37"/>
    <mergeCell ref="C36:C37"/>
    <mergeCell ref="D36:D37"/>
    <mergeCell ref="E15:E16"/>
    <mergeCell ref="B22:B31"/>
    <mergeCell ref="B3:B14"/>
    <mergeCell ref="A1:A2"/>
    <mergeCell ref="B1:B2"/>
    <mergeCell ref="C1:C2"/>
    <mergeCell ref="D1:D2"/>
    <mergeCell ref="A15:C16"/>
    <mergeCell ref="D15:D16"/>
    <mergeCell ref="A20:A21"/>
    <mergeCell ref="B20:B21"/>
    <mergeCell ref="C20:C21"/>
    <mergeCell ref="D20:D2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D924-0E0D-4D5F-8144-0C99B676E0A7}">
  <sheetPr codeName="Sheet13"/>
  <dimension ref="A1:J49"/>
  <sheetViews>
    <sheetView topLeftCell="A28" workbookViewId="0">
      <selection activeCell="C46" sqref="C46"/>
    </sheetView>
  </sheetViews>
  <sheetFormatPr defaultRowHeight="15" x14ac:dyDescent="0.25"/>
  <cols>
    <col min="1" max="1" width="4.42578125" customWidth="1"/>
    <col min="2" max="2" width="19.28515625" customWidth="1"/>
    <col min="3" max="3" width="32.140625" customWidth="1"/>
    <col min="4" max="4" width="21.5703125" customWidth="1"/>
    <col min="5" max="5" width="17.7109375" bestFit="1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10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10" x14ac:dyDescent="0.25">
      <c r="A2" s="88"/>
      <c r="B2" s="88"/>
      <c r="C2" s="88"/>
      <c r="D2" s="88"/>
    </row>
    <row r="3" spans="1:10" x14ac:dyDescent="0.25">
      <c r="A3" s="36">
        <v>1</v>
      </c>
      <c r="B3" s="98" t="s">
        <v>966</v>
      </c>
      <c r="C3" s="1" t="s">
        <v>1169</v>
      </c>
      <c r="D3" s="8">
        <v>15235000</v>
      </c>
    </row>
    <row r="4" spans="1:10" x14ac:dyDescent="0.25">
      <c r="A4" s="37">
        <v>2</v>
      </c>
      <c r="B4" s="99"/>
      <c r="C4" s="1" t="s">
        <v>1170</v>
      </c>
      <c r="D4" s="8">
        <v>2450000</v>
      </c>
    </row>
    <row r="5" spans="1:10" x14ac:dyDescent="0.25">
      <c r="A5" s="36">
        <v>3</v>
      </c>
      <c r="B5" s="99"/>
      <c r="C5" s="1" t="s">
        <v>1171</v>
      </c>
      <c r="D5" s="8">
        <v>10788000</v>
      </c>
    </row>
    <row r="6" spans="1:10" x14ac:dyDescent="0.25">
      <c r="A6" s="37">
        <v>4</v>
      </c>
      <c r="B6" s="99"/>
      <c r="C6" s="1" t="s">
        <v>1172</v>
      </c>
      <c r="D6" s="8">
        <v>17353161</v>
      </c>
    </row>
    <row r="7" spans="1:10" x14ac:dyDescent="0.25">
      <c r="A7" s="36">
        <v>5</v>
      </c>
      <c r="B7" s="99"/>
      <c r="C7" s="1" t="s">
        <v>1173</v>
      </c>
      <c r="D7" s="8">
        <v>3482500</v>
      </c>
    </row>
    <row r="8" spans="1:10" x14ac:dyDescent="0.25">
      <c r="A8" s="37">
        <v>6</v>
      </c>
      <c r="B8" s="99"/>
      <c r="C8" s="1" t="s">
        <v>1174</v>
      </c>
      <c r="D8" s="8">
        <v>4725000</v>
      </c>
    </row>
    <row r="9" spans="1:10" x14ac:dyDescent="0.25">
      <c r="A9" s="36">
        <v>7</v>
      </c>
      <c r="B9" s="99"/>
      <c r="C9" s="1" t="s">
        <v>1175</v>
      </c>
      <c r="D9" s="8">
        <v>25000000</v>
      </c>
      <c r="H9" s="3" t="e">
        <f>SUM(D5,D6,D8,D9,#REF!,#REF!)</f>
        <v>#REF!</v>
      </c>
    </row>
    <row r="10" spans="1:10" x14ac:dyDescent="0.25">
      <c r="A10" s="36"/>
      <c r="B10" s="38"/>
      <c r="C10" s="1"/>
      <c r="D10" s="8"/>
      <c r="H10" s="3"/>
    </row>
    <row r="11" spans="1:10" x14ac:dyDescent="0.25">
      <c r="A11" s="36"/>
      <c r="B11" s="38"/>
      <c r="C11" s="1"/>
      <c r="D11" s="8"/>
      <c r="H11" s="3"/>
    </row>
    <row r="12" spans="1:10" ht="15" customHeight="1" x14ac:dyDescent="0.25">
      <c r="A12" s="90" t="s">
        <v>851</v>
      </c>
      <c r="B12" s="90"/>
      <c r="C12" s="90"/>
      <c r="D12" s="89">
        <f>SUM(D3:D9)</f>
        <v>79033661</v>
      </c>
      <c r="E12" s="101" t="e">
        <f>SUM(D3:D9,#REF!)</f>
        <v>#REF!</v>
      </c>
    </row>
    <row r="13" spans="1:10" ht="15" customHeight="1" x14ac:dyDescent="0.25">
      <c r="A13" s="90"/>
      <c r="B13" s="90"/>
      <c r="C13" s="90"/>
      <c r="D13" s="89"/>
      <c r="E13" s="102"/>
    </row>
    <row r="16" spans="1:10" x14ac:dyDescent="0.25">
      <c r="J16">
        <f>19500000</f>
        <v>19500000</v>
      </c>
    </row>
    <row r="17" spans="1:4" x14ac:dyDescent="0.25">
      <c r="A17" s="87" t="s">
        <v>968</v>
      </c>
      <c r="B17" s="87" t="s">
        <v>965</v>
      </c>
      <c r="C17" s="87" t="s">
        <v>5</v>
      </c>
      <c r="D17" s="87" t="s">
        <v>969</v>
      </c>
    </row>
    <row r="18" spans="1:4" x14ac:dyDescent="0.25">
      <c r="A18" s="88"/>
      <c r="B18" s="88"/>
      <c r="C18" s="88"/>
      <c r="D18" s="88"/>
    </row>
    <row r="19" spans="1:4" x14ac:dyDescent="0.25">
      <c r="A19" s="35">
        <v>1</v>
      </c>
      <c r="B19" s="91" t="s">
        <v>967</v>
      </c>
      <c r="C19" s="32" t="s">
        <v>1176</v>
      </c>
      <c r="D19" s="8">
        <v>1550000</v>
      </c>
    </row>
    <row r="20" spans="1:4" x14ac:dyDescent="0.25">
      <c r="A20" s="34">
        <v>2</v>
      </c>
      <c r="B20" s="91"/>
      <c r="C20" s="31" t="s">
        <v>1177</v>
      </c>
      <c r="D20" s="8">
        <v>1750000</v>
      </c>
    </row>
    <row r="21" spans="1:4" x14ac:dyDescent="0.25">
      <c r="A21" s="35">
        <v>3</v>
      </c>
      <c r="B21" s="91"/>
      <c r="C21" s="31" t="s">
        <v>1178</v>
      </c>
      <c r="D21" s="8">
        <v>1800000</v>
      </c>
    </row>
    <row r="22" spans="1:4" x14ac:dyDescent="0.25">
      <c r="A22" s="92" t="s">
        <v>851</v>
      </c>
      <c r="B22" s="93"/>
      <c r="C22" s="94"/>
      <c r="D22" s="89">
        <f>SUM(D19:D21)</f>
        <v>5100000</v>
      </c>
    </row>
    <row r="23" spans="1:4" x14ac:dyDescent="0.25">
      <c r="A23" s="95"/>
      <c r="B23" s="96"/>
      <c r="C23" s="97"/>
      <c r="D23" s="89"/>
    </row>
    <row r="26" spans="1:4" x14ac:dyDescent="0.25">
      <c r="A26" s="87" t="s">
        <v>968</v>
      </c>
      <c r="B26" s="87" t="s">
        <v>965</v>
      </c>
      <c r="C26" s="87" t="s">
        <v>5</v>
      </c>
      <c r="D26" s="87" t="s">
        <v>969</v>
      </c>
    </row>
    <row r="27" spans="1:4" x14ac:dyDescent="0.25">
      <c r="A27" s="88"/>
      <c r="B27" s="88"/>
      <c r="C27" s="88"/>
      <c r="D27" s="88"/>
    </row>
    <row r="28" spans="1:4" x14ac:dyDescent="0.25">
      <c r="A28" s="91">
        <v>1</v>
      </c>
      <c r="B28" s="91" t="s">
        <v>1047</v>
      </c>
      <c r="C28" s="32" t="s">
        <v>1048</v>
      </c>
      <c r="D28" s="8">
        <v>300000</v>
      </c>
    </row>
    <row r="29" spans="1:4" x14ac:dyDescent="0.25">
      <c r="A29" s="91"/>
      <c r="B29" s="91"/>
      <c r="C29" s="32" t="s">
        <v>1049</v>
      </c>
      <c r="D29" s="8">
        <v>300000</v>
      </c>
    </row>
    <row r="30" spans="1:4" x14ac:dyDescent="0.25">
      <c r="A30" s="91"/>
      <c r="B30" s="91"/>
      <c r="C30" s="32" t="s">
        <v>1050</v>
      </c>
      <c r="D30" s="8">
        <v>300000</v>
      </c>
    </row>
    <row r="31" spans="1:4" x14ac:dyDescent="0.25">
      <c r="A31" s="91"/>
      <c r="B31" s="91"/>
      <c r="C31" s="32" t="s">
        <v>1051</v>
      </c>
      <c r="D31" s="8">
        <v>300000</v>
      </c>
    </row>
    <row r="32" spans="1:4" x14ac:dyDescent="0.25">
      <c r="A32" s="92" t="s">
        <v>851</v>
      </c>
      <c r="B32" s="93"/>
      <c r="C32" s="94"/>
      <c r="D32" s="89">
        <f>SUM(D28:D31)</f>
        <v>1200000</v>
      </c>
    </row>
    <row r="33" spans="1:4" x14ac:dyDescent="0.25">
      <c r="A33" s="95"/>
      <c r="B33" s="96"/>
      <c r="C33" s="97"/>
      <c r="D33" s="89"/>
    </row>
    <row r="38" spans="1:4" x14ac:dyDescent="0.25">
      <c r="A38" s="87" t="s">
        <v>968</v>
      </c>
      <c r="B38" s="87" t="s">
        <v>965</v>
      </c>
      <c r="C38" s="87" t="s">
        <v>969</v>
      </c>
    </row>
    <row r="39" spans="1:4" x14ac:dyDescent="0.25">
      <c r="A39" s="88"/>
      <c r="B39" s="88"/>
      <c r="C39" s="88"/>
    </row>
    <row r="40" spans="1:4" ht="22.5" customHeight="1" x14ac:dyDescent="0.25">
      <c r="A40" s="30">
        <v>1</v>
      </c>
      <c r="B40" s="30" t="s">
        <v>966</v>
      </c>
      <c r="C40" s="8">
        <f>D12</f>
        <v>79033661</v>
      </c>
      <c r="D40" s="3" t="e">
        <f>E12</f>
        <v>#REF!</v>
      </c>
    </row>
    <row r="41" spans="1:4" ht="21.75" customHeight="1" x14ac:dyDescent="0.25">
      <c r="A41" s="30">
        <v>2</v>
      </c>
      <c r="B41" s="30" t="s">
        <v>967</v>
      </c>
      <c r="C41" s="8">
        <f>D22</f>
        <v>5100000</v>
      </c>
    </row>
    <row r="42" spans="1:4" ht="21.75" customHeight="1" x14ac:dyDescent="0.25">
      <c r="A42" s="30"/>
      <c r="B42" s="30" t="s">
        <v>1179</v>
      </c>
      <c r="C42" s="8">
        <f>2700000+4500000</f>
        <v>7200000</v>
      </c>
    </row>
    <row r="43" spans="1:4" ht="15" customHeight="1" x14ac:dyDescent="0.25">
      <c r="A43" s="90" t="s">
        <v>851</v>
      </c>
      <c r="B43" s="90"/>
      <c r="C43" s="89">
        <f>SUM(C40:C42)</f>
        <v>91333661</v>
      </c>
    </row>
    <row r="44" spans="1:4" ht="15" customHeight="1" x14ac:dyDescent="0.25">
      <c r="A44" s="90"/>
      <c r="B44" s="90"/>
      <c r="C44" s="89"/>
    </row>
    <row r="46" spans="1:4" x14ac:dyDescent="0.25">
      <c r="C46" t="s">
        <v>72</v>
      </c>
    </row>
    <row r="49" spans="7:7" x14ac:dyDescent="0.25">
      <c r="G49" s="3">
        <f>74247567+1200000+1405000</f>
        <v>76852567</v>
      </c>
    </row>
  </sheetData>
  <mergeCells count="28">
    <mergeCell ref="B19:B21"/>
    <mergeCell ref="A1:A2"/>
    <mergeCell ref="B1:B2"/>
    <mergeCell ref="C1:C2"/>
    <mergeCell ref="D1:D2"/>
    <mergeCell ref="B3:B9"/>
    <mergeCell ref="A12:C13"/>
    <mergeCell ref="D12:D13"/>
    <mergeCell ref="E12:E13"/>
    <mergeCell ref="A17:A18"/>
    <mergeCell ref="B17:B18"/>
    <mergeCell ref="C17:C18"/>
    <mergeCell ref="D17:D18"/>
    <mergeCell ref="D32:D33"/>
    <mergeCell ref="A38:A39"/>
    <mergeCell ref="B38:B39"/>
    <mergeCell ref="C38:C39"/>
    <mergeCell ref="A22:C23"/>
    <mergeCell ref="D22:D23"/>
    <mergeCell ref="A26:A27"/>
    <mergeCell ref="B26:B27"/>
    <mergeCell ref="C26:C27"/>
    <mergeCell ref="D26:D27"/>
    <mergeCell ref="A43:B44"/>
    <mergeCell ref="C43:C44"/>
    <mergeCell ref="A28:A31"/>
    <mergeCell ref="B28:B31"/>
    <mergeCell ref="A32:C33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22827-05E9-4604-BC9C-98BB3782AF1A}">
  <sheetPr codeName="Sheet14"/>
  <dimension ref="A1:J48"/>
  <sheetViews>
    <sheetView topLeftCell="A79" zoomScaleNormal="100" workbookViewId="0">
      <selection activeCell="C17" sqref="C17"/>
    </sheetView>
  </sheetViews>
  <sheetFormatPr defaultRowHeight="15" x14ac:dyDescent="0.25"/>
  <cols>
    <col min="1" max="1" width="4.42578125" customWidth="1"/>
    <col min="2" max="2" width="19.28515625" customWidth="1"/>
    <col min="3" max="3" width="32.140625" customWidth="1"/>
    <col min="4" max="4" width="21.5703125" customWidth="1"/>
    <col min="5" max="5" width="17.7109375" bestFit="1" customWidth="1"/>
    <col min="6" max="6" width="4.28515625" customWidth="1"/>
    <col min="7" max="7" width="18.5703125" customWidth="1"/>
    <col min="8" max="8" width="4.42578125" customWidth="1"/>
    <col min="9" max="9" width="18.140625" customWidth="1"/>
  </cols>
  <sheetData>
    <row r="1" spans="1:10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10" x14ac:dyDescent="0.25">
      <c r="A2" s="88"/>
      <c r="B2" s="88"/>
      <c r="C2" s="88"/>
      <c r="D2" s="88"/>
    </row>
    <row r="3" spans="1:10" x14ac:dyDescent="0.25">
      <c r="A3" s="37">
        <v>2</v>
      </c>
      <c r="B3" s="99"/>
      <c r="C3" s="1" t="s">
        <v>1216</v>
      </c>
      <c r="D3" s="8">
        <v>12736000</v>
      </c>
    </row>
    <row r="4" spans="1:10" x14ac:dyDescent="0.25">
      <c r="A4" s="36">
        <v>3</v>
      </c>
      <c r="B4" s="99"/>
      <c r="C4" s="1" t="s">
        <v>1175</v>
      </c>
      <c r="D4" s="8">
        <v>25000000</v>
      </c>
    </row>
    <row r="5" spans="1:10" ht="15" customHeight="1" x14ac:dyDescent="0.25">
      <c r="A5" s="90" t="s">
        <v>851</v>
      </c>
      <c r="B5" s="90"/>
      <c r="C5" s="90"/>
      <c r="D5" s="89">
        <f>SUM(D3:D4)</f>
        <v>37736000</v>
      </c>
      <c r="E5" s="101" t="e">
        <f>SUM(D3:D4,#REF!)</f>
        <v>#REF!</v>
      </c>
    </row>
    <row r="6" spans="1:10" ht="15" customHeight="1" x14ac:dyDescent="0.25">
      <c r="A6" s="90"/>
      <c r="B6" s="90"/>
      <c r="C6" s="90"/>
      <c r="D6" s="89"/>
      <c r="E6" s="102"/>
    </row>
    <row r="9" spans="1:10" x14ac:dyDescent="0.25">
      <c r="J9">
        <f>19500000</f>
        <v>19500000</v>
      </c>
    </row>
    <row r="10" spans="1:10" x14ac:dyDescent="0.25">
      <c r="A10" s="87" t="s">
        <v>968</v>
      </c>
      <c r="B10" s="87" t="s">
        <v>965</v>
      </c>
      <c r="C10" s="87" t="s">
        <v>5</v>
      </c>
      <c r="D10" s="87" t="s">
        <v>969</v>
      </c>
    </row>
    <row r="11" spans="1:10" x14ac:dyDescent="0.25">
      <c r="A11" s="88"/>
      <c r="B11" s="88"/>
      <c r="C11" s="88"/>
      <c r="D11" s="88"/>
    </row>
    <row r="12" spans="1:10" x14ac:dyDescent="0.25">
      <c r="A12" s="35">
        <v>1</v>
      </c>
      <c r="B12" s="91" t="s">
        <v>967</v>
      </c>
      <c r="C12" s="32" t="s">
        <v>1217</v>
      </c>
      <c r="D12" s="8">
        <v>9200000</v>
      </c>
    </row>
    <row r="13" spans="1:10" x14ac:dyDescent="0.25">
      <c r="A13" s="34">
        <v>2</v>
      </c>
      <c r="B13" s="91"/>
      <c r="C13" s="31" t="s">
        <v>1218</v>
      </c>
      <c r="D13" s="8">
        <v>3500000</v>
      </c>
    </row>
    <row r="14" spans="1:10" x14ac:dyDescent="0.25">
      <c r="A14" s="35">
        <v>3</v>
      </c>
      <c r="B14" s="91"/>
      <c r="C14" s="31" t="s">
        <v>1219</v>
      </c>
      <c r="D14" s="8">
        <v>5353000</v>
      </c>
    </row>
    <row r="15" spans="1:10" x14ac:dyDescent="0.25">
      <c r="A15" s="34">
        <v>4</v>
      </c>
      <c r="B15" s="91"/>
      <c r="C15" s="31" t="s">
        <v>1220</v>
      </c>
      <c r="D15" s="8">
        <v>2000000</v>
      </c>
    </row>
    <row r="16" spans="1:10" x14ac:dyDescent="0.25">
      <c r="A16" s="35">
        <v>5</v>
      </c>
      <c r="B16" s="91"/>
      <c r="C16" s="31" t="s">
        <v>1221</v>
      </c>
      <c r="D16" s="8">
        <v>3000000</v>
      </c>
    </row>
    <row r="17" spans="1:4" x14ac:dyDescent="0.25">
      <c r="A17" s="35">
        <v>7</v>
      </c>
      <c r="B17" s="91"/>
      <c r="C17" s="31" t="s">
        <v>1222</v>
      </c>
      <c r="D17" s="8">
        <v>600000</v>
      </c>
    </row>
    <row r="18" spans="1:4" x14ac:dyDescent="0.25">
      <c r="A18" s="34">
        <v>8</v>
      </c>
      <c r="B18" s="91"/>
      <c r="C18" s="31" t="s">
        <v>1223</v>
      </c>
      <c r="D18" s="8">
        <v>13200000</v>
      </c>
    </row>
    <row r="19" spans="1:4" x14ac:dyDescent="0.25">
      <c r="A19" s="35">
        <v>9</v>
      </c>
      <c r="B19" s="91"/>
      <c r="C19" s="31" t="s">
        <v>1224</v>
      </c>
      <c r="D19" s="8">
        <v>12700000</v>
      </c>
    </row>
    <row r="20" spans="1:4" x14ac:dyDescent="0.25">
      <c r="A20" s="34">
        <v>10</v>
      </c>
      <c r="B20" s="91"/>
      <c r="C20" s="31" t="s">
        <v>1227</v>
      </c>
      <c r="D20" s="8">
        <v>3900000</v>
      </c>
    </row>
    <row r="21" spans="1:4" x14ac:dyDescent="0.25">
      <c r="A21" s="92" t="s">
        <v>851</v>
      </c>
      <c r="B21" s="93"/>
      <c r="C21" s="94"/>
      <c r="D21" s="89">
        <f>SUM(D12:D20)</f>
        <v>53453000</v>
      </c>
    </row>
    <row r="22" spans="1:4" x14ac:dyDescent="0.25">
      <c r="A22" s="95"/>
      <c r="B22" s="96"/>
      <c r="C22" s="97"/>
      <c r="D22" s="89"/>
    </row>
    <row r="25" spans="1:4" x14ac:dyDescent="0.25">
      <c r="A25" s="87" t="s">
        <v>968</v>
      </c>
      <c r="B25" s="87" t="s">
        <v>965</v>
      </c>
      <c r="C25" s="87" t="s">
        <v>5</v>
      </c>
      <c r="D25" s="87" t="s">
        <v>969</v>
      </c>
    </row>
    <row r="26" spans="1:4" x14ac:dyDescent="0.25">
      <c r="A26" s="88"/>
      <c r="B26" s="88"/>
      <c r="C26" s="88"/>
      <c r="D26" s="88"/>
    </row>
    <row r="27" spans="1:4" x14ac:dyDescent="0.25">
      <c r="A27" s="91">
        <v>1</v>
      </c>
      <c r="B27" s="91" t="s">
        <v>1047</v>
      </c>
      <c r="C27" s="32" t="s">
        <v>1048</v>
      </c>
      <c r="D27" s="8">
        <v>300000</v>
      </c>
    </row>
    <row r="28" spans="1:4" x14ac:dyDescent="0.25">
      <c r="A28" s="91"/>
      <c r="B28" s="91"/>
      <c r="C28" s="32" t="s">
        <v>1049</v>
      </c>
      <c r="D28" s="8">
        <v>300000</v>
      </c>
    </row>
    <row r="29" spans="1:4" x14ac:dyDescent="0.25">
      <c r="A29" s="91"/>
      <c r="B29" s="91"/>
      <c r="C29" s="32" t="s">
        <v>1050</v>
      </c>
      <c r="D29" s="8">
        <v>300000</v>
      </c>
    </row>
    <row r="30" spans="1:4" x14ac:dyDescent="0.25">
      <c r="A30" s="91"/>
      <c r="B30" s="91"/>
      <c r="C30" s="32" t="s">
        <v>1051</v>
      </c>
      <c r="D30" s="8">
        <v>300000</v>
      </c>
    </row>
    <row r="31" spans="1:4" x14ac:dyDescent="0.25">
      <c r="A31" s="92" t="s">
        <v>851</v>
      </c>
      <c r="B31" s="93"/>
      <c r="C31" s="94"/>
      <c r="D31" s="89">
        <f>SUM(D27:D30)</f>
        <v>1200000</v>
      </c>
    </row>
    <row r="32" spans="1:4" x14ac:dyDescent="0.25">
      <c r="A32" s="95"/>
      <c r="B32" s="96"/>
      <c r="C32" s="97"/>
      <c r="D32" s="89"/>
    </row>
    <row r="37" spans="1:7" x14ac:dyDescent="0.25">
      <c r="A37" s="87" t="s">
        <v>968</v>
      </c>
      <c r="B37" s="87" t="s">
        <v>965</v>
      </c>
      <c r="C37" s="87" t="s">
        <v>969</v>
      </c>
    </row>
    <row r="38" spans="1:7" x14ac:dyDescent="0.25">
      <c r="A38" s="88"/>
      <c r="B38" s="88"/>
      <c r="C38" s="88"/>
    </row>
    <row r="39" spans="1:7" ht="22.5" customHeight="1" x14ac:dyDescent="0.25">
      <c r="A39" s="30">
        <v>1</v>
      </c>
      <c r="B39" s="30" t="s">
        <v>966</v>
      </c>
      <c r="C39" s="8">
        <f>D5</f>
        <v>37736000</v>
      </c>
      <c r="D39" s="3" t="e">
        <f>E5</f>
        <v>#REF!</v>
      </c>
    </row>
    <row r="40" spans="1:7" ht="21.75" customHeight="1" x14ac:dyDescent="0.25">
      <c r="A40" s="30">
        <v>2</v>
      </c>
      <c r="B40" s="30" t="s">
        <v>967</v>
      </c>
      <c r="C40" s="8">
        <f>D21</f>
        <v>53453000</v>
      </c>
    </row>
    <row r="41" spans="1:7" ht="21.75" customHeight="1" x14ac:dyDescent="0.25">
      <c r="A41" s="30">
        <v>3</v>
      </c>
      <c r="B41" s="30" t="s">
        <v>1047</v>
      </c>
      <c r="C41" s="8">
        <v>1200000</v>
      </c>
    </row>
    <row r="42" spans="1:7" ht="15" customHeight="1" x14ac:dyDescent="0.25">
      <c r="A42" s="90" t="s">
        <v>851</v>
      </c>
      <c r="B42" s="90"/>
      <c r="C42" s="89">
        <f>SUM(C39:C41)</f>
        <v>92389000</v>
      </c>
    </row>
    <row r="43" spans="1:7" ht="15" customHeight="1" x14ac:dyDescent="0.25">
      <c r="A43" s="90"/>
      <c r="B43" s="90"/>
      <c r="C43" s="89"/>
    </row>
    <row r="48" spans="1:7" x14ac:dyDescent="0.25">
      <c r="G48" s="3">
        <f>74247567+1200000+1405000</f>
        <v>76852567</v>
      </c>
    </row>
  </sheetData>
  <mergeCells count="28">
    <mergeCell ref="A42:B43"/>
    <mergeCell ref="C42:C43"/>
    <mergeCell ref="B12:B20"/>
    <mergeCell ref="A27:A30"/>
    <mergeCell ref="B27:B30"/>
    <mergeCell ref="A31:C32"/>
    <mergeCell ref="D31:D32"/>
    <mergeCell ref="A37:A38"/>
    <mergeCell ref="B37:B38"/>
    <mergeCell ref="C37:C38"/>
    <mergeCell ref="A21:C22"/>
    <mergeCell ref="D21:D22"/>
    <mergeCell ref="A25:A26"/>
    <mergeCell ref="B25:B26"/>
    <mergeCell ref="C25:C26"/>
    <mergeCell ref="D25:D26"/>
    <mergeCell ref="E5:E6"/>
    <mergeCell ref="A10:A11"/>
    <mergeCell ref="B10:B11"/>
    <mergeCell ref="C10:C11"/>
    <mergeCell ref="D10:D11"/>
    <mergeCell ref="A5:C6"/>
    <mergeCell ref="D5:D6"/>
    <mergeCell ref="A1:A2"/>
    <mergeCell ref="B1:B2"/>
    <mergeCell ref="C1:C2"/>
    <mergeCell ref="D1:D2"/>
    <mergeCell ref="B3:B4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B660D-4337-4D3C-83A3-45E33D978B20}">
  <sheetPr codeName="Sheet15"/>
  <dimension ref="A1:J49"/>
  <sheetViews>
    <sheetView topLeftCell="A36" zoomScaleNormal="100" workbookViewId="0">
      <selection activeCell="C48" sqref="C48"/>
    </sheetView>
  </sheetViews>
  <sheetFormatPr defaultRowHeight="15" x14ac:dyDescent="0.25"/>
  <cols>
    <col min="1" max="1" width="4.42578125" customWidth="1"/>
    <col min="2" max="2" width="19.28515625" customWidth="1"/>
    <col min="3" max="3" width="32.140625" customWidth="1"/>
    <col min="4" max="4" width="21.5703125" customWidth="1"/>
    <col min="5" max="5" width="17.7109375" bestFit="1" customWidth="1"/>
    <col min="6" max="6" width="4.28515625" customWidth="1"/>
    <col min="7" max="7" width="18.5703125" customWidth="1"/>
    <col min="8" max="8" width="4.42578125" customWidth="1"/>
    <col min="9" max="9" width="18.140625" customWidth="1"/>
  </cols>
  <sheetData>
    <row r="1" spans="1:10" x14ac:dyDescent="0.25">
      <c r="A1" s="103" t="s">
        <v>968</v>
      </c>
      <c r="B1" s="103" t="s">
        <v>965</v>
      </c>
      <c r="C1" s="103" t="s">
        <v>5</v>
      </c>
      <c r="D1" s="103" t="s">
        <v>969</v>
      </c>
    </row>
    <row r="2" spans="1:10" x14ac:dyDescent="0.25">
      <c r="A2" s="103"/>
      <c r="B2" s="103"/>
      <c r="C2" s="103"/>
      <c r="D2" s="103"/>
    </row>
    <row r="3" spans="1:10" x14ac:dyDescent="0.25">
      <c r="A3" s="30">
        <v>1</v>
      </c>
      <c r="B3" s="98" t="s">
        <v>966</v>
      </c>
      <c r="C3" s="1" t="s">
        <v>1241</v>
      </c>
      <c r="D3" s="8">
        <v>11379384</v>
      </c>
    </row>
    <row r="4" spans="1:10" x14ac:dyDescent="0.25">
      <c r="A4" s="30">
        <v>2</v>
      </c>
      <c r="B4" s="99"/>
      <c r="C4" s="1" t="s">
        <v>1037</v>
      </c>
      <c r="D4" s="8">
        <v>1502500</v>
      </c>
    </row>
    <row r="5" spans="1:10" x14ac:dyDescent="0.25">
      <c r="A5" s="30">
        <v>3</v>
      </c>
      <c r="B5" s="99"/>
      <c r="C5" s="1" t="s">
        <v>1038</v>
      </c>
      <c r="D5" s="8">
        <v>8000000</v>
      </c>
    </row>
    <row r="6" spans="1:10" x14ac:dyDescent="0.25">
      <c r="A6" s="30">
        <v>4</v>
      </c>
      <c r="B6" s="99"/>
      <c r="C6" s="1" t="s">
        <v>1242</v>
      </c>
      <c r="D6" s="8">
        <v>4000000</v>
      </c>
    </row>
    <row r="7" spans="1:10" x14ac:dyDescent="0.25">
      <c r="A7" s="30">
        <v>5</v>
      </c>
      <c r="B7" s="99"/>
      <c r="C7" s="1" t="s">
        <v>1175</v>
      </c>
      <c r="D7" s="8">
        <v>15000000</v>
      </c>
    </row>
    <row r="8" spans="1:10" x14ac:dyDescent="0.25">
      <c r="A8" s="30">
        <v>6</v>
      </c>
      <c r="B8" s="100"/>
      <c r="C8" s="1" t="s">
        <v>1243</v>
      </c>
      <c r="D8" s="8">
        <v>5000000</v>
      </c>
    </row>
    <row r="9" spans="1:10" ht="15" customHeight="1" x14ac:dyDescent="0.25">
      <c r="A9" s="90" t="s">
        <v>851</v>
      </c>
      <c r="B9" s="90"/>
      <c r="C9" s="90"/>
      <c r="D9" s="89">
        <f>SUM(D3:D8)</f>
        <v>44881884</v>
      </c>
      <c r="E9" s="101" t="s">
        <v>1250</v>
      </c>
    </row>
    <row r="10" spans="1:10" ht="15" customHeight="1" x14ac:dyDescent="0.25">
      <c r="A10" s="90"/>
      <c r="B10" s="90"/>
      <c r="C10" s="90"/>
      <c r="D10" s="89"/>
      <c r="E10" s="102"/>
    </row>
    <row r="13" spans="1:10" x14ac:dyDescent="0.25">
      <c r="J13">
        <f>19500000</f>
        <v>19500000</v>
      </c>
    </row>
    <row r="14" spans="1:10" x14ac:dyDescent="0.25">
      <c r="A14" s="87" t="s">
        <v>968</v>
      </c>
      <c r="B14" s="87" t="s">
        <v>965</v>
      </c>
      <c r="C14" s="87" t="s">
        <v>5</v>
      </c>
      <c r="D14" s="87" t="s">
        <v>969</v>
      </c>
    </row>
    <row r="15" spans="1:10" x14ac:dyDescent="0.25">
      <c r="A15" s="88"/>
      <c r="B15" s="88"/>
      <c r="C15" s="88"/>
      <c r="D15" s="88"/>
    </row>
    <row r="16" spans="1:10" x14ac:dyDescent="0.25">
      <c r="A16" s="35">
        <v>1</v>
      </c>
      <c r="B16" s="91" t="s">
        <v>967</v>
      </c>
      <c r="C16" s="32" t="s">
        <v>1244</v>
      </c>
      <c r="D16" s="8">
        <v>5830000</v>
      </c>
    </row>
    <row r="17" spans="1:4" x14ac:dyDescent="0.25">
      <c r="A17" s="34">
        <v>2</v>
      </c>
      <c r="B17" s="91"/>
      <c r="C17" s="31" t="s">
        <v>1245</v>
      </c>
      <c r="D17" s="8">
        <v>3450000</v>
      </c>
    </row>
    <row r="18" spans="1:4" x14ac:dyDescent="0.25">
      <c r="A18" s="35">
        <v>3</v>
      </c>
      <c r="B18" s="91"/>
      <c r="C18" s="31" t="s">
        <v>1246</v>
      </c>
      <c r="D18" s="8">
        <v>2405000</v>
      </c>
    </row>
    <row r="19" spans="1:4" x14ac:dyDescent="0.25">
      <c r="A19" s="34">
        <v>4</v>
      </c>
      <c r="B19" s="91"/>
      <c r="C19" s="31" t="s">
        <v>1247</v>
      </c>
      <c r="D19" s="8">
        <v>250000</v>
      </c>
    </row>
    <row r="20" spans="1:4" x14ac:dyDescent="0.25">
      <c r="A20" s="35">
        <v>5</v>
      </c>
      <c r="B20" s="91"/>
      <c r="C20" s="31" t="s">
        <v>1248</v>
      </c>
      <c r="D20" s="8">
        <v>200000</v>
      </c>
    </row>
    <row r="21" spans="1:4" x14ac:dyDescent="0.25">
      <c r="A21" s="35">
        <v>7</v>
      </c>
      <c r="B21" s="91"/>
      <c r="C21" s="31" t="s">
        <v>1249</v>
      </c>
      <c r="D21" s="8">
        <v>250000</v>
      </c>
    </row>
    <row r="22" spans="1:4" x14ac:dyDescent="0.25">
      <c r="A22" s="92" t="s">
        <v>851</v>
      </c>
      <c r="B22" s="93"/>
      <c r="C22" s="94"/>
      <c r="D22" s="89">
        <f>SUM(D16:D21)</f>
        <v>12385000</v>
      </c>
    </row>
    <row r="23" spans="1:4" x14ac:dyDescent="0.25">
      <c r="A23" s="95"/>
      <c r="B23" s="96"/>
      <c r="C23" s="97"/>
      <c r="D23" s="89"/>
    </row>
    <row r="26" spans="1:4" x14ac:dyDescent="0.25">
      <c r="A26" s="87" t="s">
        <v>968</v>
      </c>
      <c r="B26" s="87" t="s">
        <v>965</v>
      </c>
      <c r="C26" s="87" t="s">
        <v>5</v>
      </c>
      <c r="D26" s="87" t="s">
        <v>969</v>
      </c>
    </row>
    <row r="27" spans="1:4" x14ac:dyDescent="0.25">
      <c r="A27" s="88"/>
      <c r="B27" s="88"/>
      <c r="C27" s="88"/>
      <c r="D27" s="88"/>
    </row>
    <row r="28" spans="1:4" x14ac:dyDescent="0.25">
      <c r="A28" s="91">
        <v>1</v>
      </c>
      <c r="B28" s="91" t="s">
        <v>1047</v>
      </c>
      <c r="C28" s="32" t="s">
        <v>1048</v>
      </c>
      <c r="D28" s="8">
        <v>300000</v>
      </c>
    </row>
    <row r="29" spans="1:4" x14ac:dyDescent="0.25">
      <c r="A29" s="91"/>
      <c r="B29" s="91"/>
      <c r="C29" s="32" t="s">
        <v>1049</v>
      </c>
      <c r="D29" s="8">
        <v>300000</v>
      </c>
    </row>
    <row r="30" spans="1:4" x14ac:dyDescent="0.25">
      <c r="A30" s="91"/>
      <c r="B30" s="91"/>
      <c r="C30" s="32" t="s">
        <v>1050</v>
      </c>
      <c r="D30" s="8">
        <v>300000</v>
      </c>
    </row>
    <row r="31" spans="1:4" x14ac:dyDescent="0.25">
      <c r="A31" s="91"/>
      <c r="B31" s="91"/>
      <c r="C31" s="32" t="s">
        <v>1051</v>
      </c>
      <c r="D31" s="8">
        <v>300000</v>
      </c>
    </row>
    <row r="32" spans="1:4" x14ac:dyDescent="0.25">
      <c r="A32" s="92" t="s">
        <v>851</v>
      </c>
      <c r="B32" s="93"/>
      <c r="C32" s="94"/>
      <c r="D32" s="89">
        <f>SUM(D28:D31)</f>
        <v>1200000</v>
      </c>
    </row>
    <row r="33" spans="1:4" x14ac:dyDescent="0.25">
      <c r="A33" s="95"/>
      <c r="B33" s="96"/>
      <c r="C33" s="97"/>
      <c r="D33" s="89"/>
    </row>
    <row r="38" spans="1:4" x14ac:dyDescent="0.25">
      <c r="A38" s="87" t="s">
        <v>968</v>
      </c>
      <c r="B38" s="87" t="s">
        <v>965</v>
      </c>
      <c r="C38" s="87" t="s">
        <v>969</v>
      </c>
    </row>
    <row r="39" spans="1:4" x14ac:dyDescent="0.25">
      <c r="A39" s="88"/>
      <c r="B39" s="88"/>
      <c r="C39" s="88"/>
    </row>
    <row r="40" spans="1:4" ht="22.5" customHeight="1" x14ac:dyDescent="0.25">
      <c r="A40" s="30">
        <v>1</v>
      </c>
      <c r="B40" s="30" t="s">
        <v>966</v>
      </c>
      <c r="C40" s="8">
        <f>D9</f>
        <v>44881884</v>
      </c>
      <c r="D40" s="3" t="str">
        <f>E9</f>
        <v>Z</v>
      </c>
    </row>
    <row r="41" spans="1:4" ht="21.75" customHeight="1" x14ac:dyDescent="0.25">
      <c r="A41" s="30">
        <v>2</v>
      </c>
      <c r="B41" s="30" t="s">
        <v>967</v>
      </c>
      <c r="C41" s="8">
        <f>D22</f>
        <v>12385000</v>
      </c>
    </row>
    <row r="42" spans="1:4" ht="21.75" customHeight="1" x14ac:dyDescent="0.25">
      <c r="A42" s="30">
        <v>3</v>
      </c>
      <c r="B42" s="30" t="s">
        <v>1047</v>
      </c>
      <c r="C42" s="8">
        <v>1200000</v>
      </c>
    </row>
    <row r="43" spans="1:4" ht="15" customHeight="1" x14ac:dyDescent="0.25">
      <c r="A43" s="90" t="s">
        <v>851</v>
      </c>
      <c r="B43" s="90"/>
      <c r="C43" s="89">
        <f>SUM(C40:C42)</f>
        <v>58466884</v>
      </c>
    </row>
    <row r="44" spans="1:4" ht="15" customHeight="1" x14ac:dyDescent="0.25">
      <c r="A44" s="90"/>
      <c r="B44" s="90"/>
      <c r="C44" s="89"/>
    </row>
    <row r="49" spans="7:7" x14ac:dyDescent="0.25">
      <c r="G49" s="3">
        <f>74247567+1200000+1405000</f>
        <v>76852567</v>
      </c>
    </row>
  </sheetData>
  <mergeCells count="28">
    <mergeCell ref="A1:A2"/>
    <mergeCell ref="B1:B2"/>
    <mergeCell ref="C1:C2"/>
    <mergeCell ref="D1:D2"/>
    <mergeCell ref="A9:C10"/>
    <mergeCell ref="D9:D10"/>
    <mergeCell ref="E9:E10"/>
    <mergeCell ref="A14:A15"/>
    <mergeCell ref="B14:B15"/>
    <mergeCell ref="C14:C15"/>
    <mergeCell ref="D14:D15"/>
    <mergeCell ref="D32:D33"/>
    <mergeCell ref="A38:A39"/>
    <mergeCell ref="B38:B39"/>
    <mergeCell ref="C38:C39"/>
    <mergeCell ref="A22:C23"/>
    <mergeCell ref="D22:D23"/>
    <mergeCell ref="A26:A27"/>
    <mergeCell ref="B26:B27"/>
    <mergeCell ref="C26:C27"/>
    <mergeCell ref="D26:D27"/>
    <mergeCell ref="A43:B44"/>
    <mergeCell ref="C43:C44"/>
    <mergeCell ref="B3:B8"/>
    <mergeCell ref="A28:A31"/>
    <mergeCell ref="B28:B31"/>
    <mergeCell ref="A32:C33"/>
    <mergeCell ref="B16:B21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943C-3EB6-499B-8889-929AE901F26C}">
  <sheetPr codeName="Sheet16"/>
  <dimension ref="A1:J54"/>
  <sheetViews>
    <sheetView zoomScaleNormal="100" workbookViewId="0">
      <selection activeCell="D10" sqref="D10"/>
    </sheetView>
  </sheetViews>
  <sheetFormatPr defaultRowHeight="15" x14ac:dyDescent="0.25"/>
  <cols>
    <col min="1" max="1" width="4.42578125" customWidth="1"/>
    <col min="2" max="2" width="19.28515625" customWidth="1"/>
    <col min="3" max="3" width="37.85546875" customWidth="1"/>
    <col min="4" max="4" width="21.5703125" customWidth="1"/>
    <col min="5" max="5" width="17.7109375" bestFit="1" customWidth="1"/>
    <col min="6" max="6" width="4.28515625" customWidth="1"/>
    <col min="7" max="7" width="18.5703125" customWidth="1"/>
    <col min="8" max="8" width="4.42578125" customWidth="1"/>
    <col min="9" max="9" width="18.140625" customWidth="1"/>
  </cols>
  <sheetData>
    <row r="1" spans="1:5" x14ac:dyDescent="0.25">
      <c r="A1" s="103" t="s">
        <v>968</v>
      </c>
      <c r="B1" s="103" t="s">
        <v>965</v>
      </c>
      <c r="C1" s="103" t="s">
        <v>5</v>
      </c>
      <c r="D1" s="103" t="s">
        <v>969</v>
      </c>
    </row>
    <row r="2" spans="1:5" x14ac:dyDescent="0.25">
      <c r="A2" s="103"/>
      <c r="B2" s="103"/>
      <c r="C2" s="103"/>
      <c r="D2" s="103"/>
    </row>
    <row r="3" spans="1:5" x14ac:dyDescent="0.25">
      <c r="A3" s="30">
        <v>1</v>
      </c>
      <c r="B3" s="98" t="s">
        <v>966</v>
      </c>
      <c r="C3" s="1" t="s">
        <v>1075</v>
      </c>
      <c r="D3" s="8">
        <v>28497500</v>
      </c>
    </row>
    <row r="4" spans="1:5" x14ac:dyDescent="0.25">
      <c r="A4" s="30">
        <v>2</v>
      </c>
      <c r="B4" s="99"/>
      <c r="C4" s="1" t="s">
        <v>1122</v>
      </c>
      <c r="D4" s="8">
        <v>5934250</v>
      </c>
    </row>
    <row r="5" spans="1:5" x14ac:dyDescent="0.25">
      <c r="A5" s="30">
        <v>3</v>
      </c>
      <c r="B5" s="99"/>
      <c r="C5" s="1" t="s">
        <v>1304</v>
      </c>
      <c r="D5" s="8">
        <v>13070216</v>
      </c>
    </row>
    <row r="6" spans="1:5" x14ac:dyDescent="0.25">
      <c r="A6" s="30">
        <v>4</v>
      </c>
      <c r="B6" s="99"/>
      <c r="C6" s="1" t="s">
        <v>1110</v>
      </c>
      <c r="D6" s="8">
        <v>6860416</v>
      </c>
    </row>
    <row r="7" spans="1:5" x14ac:dyDescent="0.25">
      <c r="A7" s="30">
        <v>5</v>
      </c>
      <c r="B7" s="99"/>
      <c r="C7" s="1" t="s">
        <v>1305</v>
      </c>
      <c r="D7" s="8">
        <v>6846006</v>
      </c>
    </row>
    <row r="8" spans="1:5" x14ac:dyDescent="0.25">
      <c r="A8" s="30">
        <v>6</v>
      </c>
      <c r="B8" s="99"/>
      <c r="C8" s="1" t="s">
        <v>1123</v>
      </c>
      <c r="D8" s="8">
        <v>14750000</v>
      </c>
    </row>
    <row r="9" spans="1:5" x14ac:dyDescent="0.25">
      <c r="A9" s="30">
        <v>7</v>
      </c>
      <c r="B9" s="99"/>
      <c r="C9" s="1" t="s">
        <v>1125</v>
      </c>
      <c r="D9" s="8">
        <v>10000000</v>
      </c>
    </row>
    <row r="10" spans="1:5" x14ac:dyDescent="0.25">
      <c r="A10" s="30">
        <v>8</v>
      </c>
      <c r="B10" s="99"/>
      <c r="C10" s="1" t="s">
        <v>1306</v>
      </c>
      <c r="D10" s="8">
        <v>5800000</v>
      </c>
    </row>
    <row r="11" spans="1:5" x14ac:dyDescent="0.25">
      <c r="A11" s="30">
        <v>9</v>
      </c>
      <c r="B11" s="99"/>
      <c r="C11" s="1" t="s">
        <v>1307</v>
      </c>
      <c r="D11" s="8">
        <v>4542584</v>
      </c>
    </row>
    <row r="12" spans="1:5" x14ac:dyDescent="0.25">
      <c r="A12" s="30">
        <v>10</v>
      </c>
      <c r="B12" s="100"/>
      <c r="C12" s="1" t="s">
        <v>7</v>
      </c>
      <c r="D12" s="8">
        <v>25000000</v>
      </c>
    </row>
    <row r="13" spans="1:5" ht="15" customHeight="1" x14ac:dyDescent="0.25">
      <c r="A13" s="90" t="s">
        <v>851</v>
      </c>
      <c r="B13" s="90"/>
      <c r="C13" s="90"/>
      <c r="D13" s="89">
        <f>SUM(D3:D12)</f>
        <v>121300972</v>
      </c>
      <c r="E13" s="101"/>
    </row>
    <row r="14" spans="1:5" ht="15" customHeight="1" x14ac:dyDescent="0.25">
      <c r="A14" s="90"/>
      <c r="B14" s="90"/>
      <c r="C14" s="90"/>
      <c r="D14" s="89"/>
      <c r="E14" s="102"/>
    </row>
    <row r="17" spans="1:10" x14ac:dyDescent="0.25">
      <c r="J17">
        <f>19500000</f>
        <v>19500000</v>
      </c>
    </row>
    <row r="18" spans="1:10" x14ac:dyDescent="0.25">
      <c r="A18" s="87" t="s">
        <v>968</v>
      </c>
      <c r="B18" s="87" t="s">
        <v>965</v>
      </c>
      <c r="C18" s="87" t="s">
        <v>5</v>
      </c>
      <c r="D18" s="87" t="s">
        <v>969</v>
      </c>
    </row>
    <row r="19" spans="1:10" x14ac:dyDescent="0.25">
      <c r="A19" s="88"/>
      <c r="B19" s="88"/>
      <c r="C19" s="88"/>
      <c r="D19" s="88"/>
    </row>
    <row r="20" spans="1:10" x14ac:dyDescent="0.25">
      <c r="A20" s="35">
        <v>1</v>
      </c>
      <c r="B20" s="91" t="s">
        <v>967</v>
      </c>
      <c r="C20" s="32" t="s">
        <v>1308</v>
      </c>
      <c r="D20" s="8">
        <v>15600000</v>
      </c>
    </row>
    <row r="21" spans="1:10" x14ac:dyDescent="0.25">
      <c r="A21" s="34">
        <v>2</v>
      </c>
      <c r="B21" s="91"/>
      <c r="C21" s="31" t="s">
        <v>1309</v>
      </c>
      <c r="D21" s="8">
        <v>19200000</v>
      </c>
    </row>
    <row r="22" spans="1:10" x14ac:dyDescent="0.25">
      <c r="A22" s="35">
        <v>3</v>
      </c>
      <c r="B22" s="91"/>
      <c r="C22" s="31" t="s">
        <v>1310</v>
      </c>
      <c r="D22" s="8">
        <v>500000</v>
      </c>
    </row>
    <row r="23" spans="1:10" x14ac:dyDescent="0.25">
      <c r="A23" s="35">
        <v>4</v>
      </c>
      <c r="B23" s="91"/>
      <c r="C23" s="31" t="s">
        <v>1311</v>
      </c>
      <c r="D23" s="8">
        <v>5500000</v>
      </c>
    </row>
    <row r="24" spans="1:10" x14ac:dyDescent="0.25">
      <c r="A24" s="34">
        <v>5</v>
      </c>
      <c r="B24" s="91"/>
      <c r="C24" s="31" t="s">
        <v>1312</v>
      </c>
      <c r="D24" s="8">
        <v>850000</v>
      </c>
    </row>
    <row r="25" spans="1:10" x14ac:dyDescent="0.25">
      <c r="A25" s="35">
        <v>6</v>
      </c>
      <c r="B25" s="91"/>
      <c r="C25" s="31" t="s">
        <v>1313</v>
      </c>
      <c r="D25" s="8">
        <v>447900</v>
      </c>
    </row>
    <row r="26" spans="1:10" x14ac:dyDescent="0.25">
      <c r="A26" s="35">
        <v>7</v>
      </c>
      <c r="B26" s="91"/>
      <c r="C26" s="31" t="s">
        <v>1314</v>
      </c>
      <c r="D26" s="8">
        <v>10000000</v>
      </c>
    </row>
    <row r="27" spans="1:10" x14ac:dyDescent="0.25">
      <c r="A27" s="34">
        <v>8</v>
      </c>
      <c r="B27" s="91"/>
      <c r="C27" s="31" t="s">
        <v>1315</v>
      </c>
      <c r="D27" s="8">
        <v>1296401</v>
      </c>
    </row>
    <row r="28" spans="1:10" x14ac:dyDescent="0.25">
      <c r="A28" s="92" t="s">
        <v>851</v>
      </c>
      <c r="B28" s="93"/>
      <c r="C28" s="94"/>
      <c r="D28" s="89">
        <f>SUM(D20:D27)</f>
        <v>53394301</v>
      </c>
    </row>
    <row r="29" spans="1:10" x14ac:dyDescent="0.25">
      <c r="A29" s="95"/>
      <c r="B29" s="96"/>
      <c r="C29" s="97"/>
      <c r="D29" s="89"/>
    </row>
    <row r="32" spans="1:10" x14ac:dyDescent="0.25">
      <c r="A32" s="87" t="s">
        <v>968</v>
      </c>
      <c r="B32" s="87" t="s">
        <v>965</v>
      </c>
      <c r="C32" s="87" t="s">
        <v>5</v>
      </c>
      <c r="D32" s="87" t="s">
        <v>969</v>
      </c>
    </row>
    <row r="33" spans="1:4" x14ac:dyDescent="0.25">
      <c r="A33" s="88"/>
      <c r="B33" s="88"/>
      <c r="C33" s="88"/>
      <c r="D33" s="88"/>
    </row>
    <row r="34" spans="1:4" x14ac:dyDescent="0.25">
      <c r="A34" s="91">
        <v>1</v>
      </c>
      <c r="B34" s="91" t="s">
        <v>1047</v>
      </c>
      <c r="C34" s="32" t="s">
        <v>1048</v>
      </c>
      <c r="D34" s="8">
        <v>300000</v>
      </c>
    </row>
    <row r="35" spans="1:4" x14ac:dyDescent="0.25">
      <c r="A35" s="91"/>
      <c r="B35" s="91"/>
      <c r="C35" s="32" t="s">
        <v>1049</v>
      </c>
      <c r="D35" s="8">
        <v>300000</v>
      </c>
    </row>
    <row r="36" spans="1:4" x14ac:dyDescent="0.25">
      <c r="A36" s="91"/>
      <c r="B36" s="91"/>
      <c r="C36" s="32" t="s">
        <v>1050</v>
      </c>
      <c r="D36" s="8">
        <v>300000</v>
      </c>
    </row>
    <row r="37" spans="1:4" x14ac:dyDescent="0.25">
      <c r="A37" s="91"/>
      <c r="B37" s="91"/>
      <c r="C37" s="32" t="s">
        <v>1051</v>
      </c>
      <c r="D37" s="8">
        <v>300000</v>
      </c>
    </row>
    <row r="38" spans="1:4" x14ac:dyDescent="0.25">
      <c r="A38" s="92" t="s">
        <v>851</v>
      </c>
      <c r="B38" s="93"/>
      <c r="C38" s="94"/>
      <c r="D38" s="89">
        <f>SUM(D34:D37)</f>
        <v>1200000</v>
      </c>
    </row>
    <row r="39" spans="1:4" x14ac:dyDescent="0.25">
      <c r="A39" s="95"/>
      <c r="B39" s="96"/>
      <c r="C39" s="97"/>
      <c r="D39" s="89"/>
    </row>
    <row r="44" spans="1:4" x14ac:dyDescent="0.25">
      <c r="A44" s="87" t="s">
        <v>968</v>
      </c>
      <c r="B44" s="87" t="s">
        <v>965</v>
      </c>
      <c r="C44" s="87" t="s">
        <v>969</v>
      </c>
    </row>
    <row r="45" spans="1:4" x14ac:dyDescent="0.25">
      <c r="A45" s="88"/>
      <c r="B45" s="88"/>
      <c r="C45" s="88"/>
    </row>
    <row r="46" spans="1:4" ht="22.5" customHeight="1" x14ac:dyDescent="0.25">
      <c r="A46" s="30">
        <v>1</v>
      </c>
      <c r="B46" s="30" t="s">
        <v>966</v>
      </c>
      <c r="C46" s="8">
        <f>D13</f>
        <v>121300972</v>
      </c>
      <c r="D46" s="3"/>
    </row>
    <row r="47" spans="1:4" ht="21.75" customHeight="1" x14ac:dyDescent="0.25">
      <c r="A47" s="30">
        <v>2</v>
      </c>
      <c r="B47" s="30" t="s">
        <v>967</v>
      </c>
      <c r="C47" s="8">
        <f>D28</f>
        <v>53394301</v>
      </c>
    </row>
    <row r="48" spans="1:4" ht="15" customHeight="1" x14ac:dyDescent="0.25">
      <c r="A48" s="90" t="s">
        <v>851</v>
      </c>
      <c r="B48" s="90"/>
      <c r="C48" s="89">
        <f>SUM(C46:C47)</f>
        <v>174695273</v>
      </c>
    </row>
    <row r="49" spans="1:7" ht="15" customHeight="1" x14ac:dyDescent="0.25">
      <c r="A49" s="90"/>
      <c r="B49" s="90"/>
      <c r="C49" s="89"/>
    </row>
    <row r="54" spans="1:7" x14ac:dyDescent="0.25">
      <c r="G54" s="3">
        <f>74247567+1200000+1405000</f>
        <v>76852567</v>
      </c>
    </row>
  </sheetData>
  <mergeCells count="28">
    <mergeCell ref="A48:B49"/>
    <mergeCell ref="C48:C49"/>
    <mergeCell ref="B20:B27"/>
    <mergeCell ref="A34:A37"/>
    <mergeCell ref="B34:B37"/>
    <mergeCell ref="A38:C39"/>
    <mergeCell ref="D38:D39"/>
    <mergeCell ref="A44:A45"/>
    <mergeCell ref="B44:B45"/>
    <mergeCell ref="C44:C45"/>
    <mergeCell ref="A28:C29"/>
    <mergeCell ref="D28:D29"/>
    <mergeCell ref="A32:A33"/>
    <mergeCell ref="B32:B33"/>
    <mergeCell ref="C32:C33"/>
    <mergeCell ref="D32:D33"/>
    <mergeCell ref="E13:E14"/>
    <mergeCell ref="A18:A19"/>
    <mergeCell ref="B18:B19"/>
    <mergeCell ref="C18:C19"/>
    <mergeCell ref="D18:D19"/>
    <mergeCell ref="A13:C14"/>
    <mergeCell ref="D13:D14"/>
    <mergeCell ref="A1:A2"/>
    <mergeCell ref="B1:B2"/>
    <mergeCell ref="C1:C2"/>
    <mergeCell ref="D1:D2"/>
    <mergeCell ref="B3:B12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9473C-A59F-4072-B821-56E8E3EF437C}">
  <sheetPr codeName="Sheet17"/>
  <dimension ref="A1:J58"/>
  <sheetViews>
    <sheetView topLeftCell="A28" zoomScaleNormal="100" workbookViewId="0">
      <selection activeCell="C59" sqref="C59"/>
    </sheetView>
  </sheetViews>
  <sheetFormatPr defaultRowHeight="15" x14ac:dyDescent="0.25"/>
  <cols>
    <col min="1" max="1" width="4.42578125" customWidth="1"/>
    <col min="2" max="2" width="19.28515625" customWidth="1"/>
    <col min="3" max="3" width="37.85546875" customWidth="1"/>
    <col min="4" max="4" width="21.5703125" customWidth="1"/>
    <col min="5" max="5" width="17.7109375" bestFit="1" customWidth="1"/>
    <col min="6" max="6" width="4.28515625" customWidth="1"/>
    <col min="7" max="7" width="18.5703125" customWidth="1"/>
    <col min="8" max="8" width="4.42578125" customWidth="1"/>
    <col min="9" max="9" width="18.140625" customWidth="1"/>
  </cols>
  <sheetData>
    <row r="1" spans="1:5" x14ac:dyDescent="0.25">
      <c r="A1" s="103" t="s">
        <v>968</v>
      </c>
      <c r="B1" s="103" t="s">
        <v>965</v>
      </c>
      <c r="C1" s="103" t="s">
        <v>5</v>
      </c>
      <c r="D1" s="103" t="s">
        <v>969</v>
      </c>
    </row>
    <row r="2" spans="1:5" x14ac:dyDescent="0.25">
      <c r="A2" s="103"/>
      <c r="B2" s="103"/>
      <c r="C2" s="103"/>
      <c r="D2" s="103"/>
    </row>
    <row r="3" spans="1:5" x14ac:dyDescent="0.25">
      <c r="A3" s="30">
        <v>1</v>
      </c>
      <c r="B3" s="98" t="s">
        <v>966</v>
      </c>
      <c r="C3" s="1" t="s">
        <v>1124</v>
      </c>
      <c r="D3" s="8">
        <v>11742515</v>
      </c>
    </row>
    <row r="4" spans="1:5" x14ac:dyDescent="0.25">
      <c r="A4" s="30">
        <v>2</v>
      </c>
      <c r="B4" s="99"/>
      <c r="C4" s="1" t="s">
        <v>1344</v>
      </c>
      <c r="D4" s="8">
        <v>8800000</v>
      </c>
    </row>
    <row r="5" spans="1:5" x14ac:dyDescent="0.25">
      <c r="A5" s="30">
        <v>3</v>
      </c>
      <c r="B5" s="99"/>
      <c r="C5" s="1" t="s">
        <v>1134</v>
      </c>
      <c r="D5" s="8">
        <v>12552000</v>
      </c>
    </row>
    <row r="6" spans="1:5" x14ac:dyDescent="0.25">
      <c r="A6" s="30">
        <v>4</v>
      </c>
      <c r="B6" s="99"/>
      <c r="C6" s="1" t="s">
        <v>1135</v>
      </c>
      <c r="D6" s="8">
        <v>57000000</v>
      </c>
    </row>
    <row r="7" spans="1:5" x14ac:dyDescent="0.25">
      <c r="A7" s="30">
        <v>5</v>
      </c>
      <c r="B7" s="99"/>
      <c r="C7" s="1" t="s">
        <v>1342</v>
      </c>
      <c r="D7" s="8">
        <v>55000000</v>
      </c>
    </row>
    <row r="8" spans="1:5" x14ac:dyDescent="0.25">
      <c r="A8" s="30">
        <v>6</v>
      </c>
      <c r="B8" s="99"/>
      <c r="C8" s="1" t="s">
        <v>1343</v>
      </c>
      <c r="D8" s="8">
        <v>9505052</v>
      </c>
    </row>
    <row r="9" spans="1:5" x14ac:dyDescent="0.25">
      <c r="A9" s="30">
        <v>7</v>
      </c>
      <c r="B9" s="99"/>
      <c r="C9" s="1" t="s">
        <v>1345</v>
      </c>
      <c r="D9" s="8">
        <v>3500000</v>
      </c>
    </row>
    <row r="10" spans="1:5" x14ac:dyDescent="0.25">
      <c r="A10" s="30">
        <v>8</v>
      </c>
      <c r="B10" s="99"/>
      <c r="C10" s="1" t="s">
        <v>1346</v>
      </c>
      <c r="D10" s="8">
        <v>5650000</v>
      </c>
    </row>
    <row r="11" spans="1:5" x14ac:dyDescent="0.25">
      <c r="A11" s="30">
        <v>9</v>
      </c>
      <c r="B11" s="99"/>
      <c r="C11" s="1" t="s">
        <v>7</v>
      </c>
      <c r="D11" s="8">
        <v>25000000</v>
      </c>
    </row>
    <row r="12" spans="1:5" x14ac:dyDescent="0.25">
      <c r="A12" s="30">
        <v>10</v>
      </c>
      <c r="B12" s="100"/>
      <c r="C12" s="1"/>
      <c r="D12" s="8"/>
    </row>
    <row r="13" spans="1:5" ht="15" customHeight="1" x14ac:dyDescent="0.25">
      <c r="A13" s="90" t="s">
        <v>851</v>
      </c>
      <c r="B13" s="90"/>
      <c r="C13" s="90"/>
      <c r="D13" s="89">
        <f>SUM(D3:D12)</f>
        <v>188749567</v>
      </c>
      <c r="E13" s="101"/>
    </row>
    <row r="14" spans="1:5" ht="15" customHeight="1" x14ac:dyDescent="0.25">
      <c r="A14" s="90"/>
      <c r="B14" s="90"/>
      <c r="C14" s="90"/>
      <c r="D14" s="89"/>
      <c r="E14" s="102"/>
    </row>
    <row r="17" spans="1:10" x14ac:dyDescent="0.25">
      <c r="J17">
        <f>19500000</f>
        <v>19500000</v>
      </c>
    </row>
    <row r="18" spans="1:10" x14ac:dyDescent="0.25">
      <c r="A18" s="87" t="s">
        <v>968</v>
      </c>
      <c r="B18" s="87" t="s">
        <v>965</v>
      </c>
      <c r="C18" s="87" t="s">
        <v>5</v>
      </c>
      <c r="D18" s="87" t="s">
        <v>969</v>
      </c>
    </row>
    <row r="19" spans="1:10" x14ac:dyDescent="0.25">
      <c r="A19" s="88"/>
      <c r="B19" s="88"/>
      <c r="C19" s="88"/>
      <c r="D19" s="88"/>
    </row>
    <row r="20" spans="1:10" x14ac:dyDescent="0.25">
      <c r="A20" s="35">
        <v>1</v>
      </c>
      <c r="B20" s="91" t="s">
        <v>967</v>
      </c>
      <c r="C20" s="32" t="s">
        <v>1348</v>
      </c>
      <c r="D20" s="8">
        <v>14500000</v>
      </c>
    </row>
    <row r="21" spans="1:10" x14ac:dyDescent="0.25">
      <c r="A21" s="34">
        <v>2</v>
      </c>
      <c r="B21" s="91"/>
      <c r="C21" s="31" t="s">
        <v>1349</v>
      </c>
      <c r="D21" s="8">
        <v>650000</v>
      </c>
    </row>
    <row r="22" spans="1:10" x14ac:dyDescent="0.25">
      <c r="A22" s="35">
        <v>3</v>
      </c>
      <c r="B22" s="91"/>
      <c r="C22" s="31" t="s">
        <v>1350</v>
      </c>
      <c r="D22" s="8">
        <v>650000</v>
      </c>
    </row>
    <row r="23" spans="1:10" x14ac:dyDescent="0.25">
      <c r="A23" s="92" t="s">
        <v>851</v>
      </c>
      <c r="B23" s="93"/>
      <c r="C23" s="94"/>
      <c r="D23" s="89">
        <f>SUM(D20:D22)</f>
        <v>15800000</v>
      </c>
    </row>
    <row r="24" spans="1:10" x14ac:dyDescent="0.25">
      <c r="A24" s="95"/>
      <c r="B24" s="96"/>
      <c r="C24" s="97"/>
      <c r="D24" s="89"/>
    </row>
    <row r="27" spans="1:10" x14ac:dyDescent="0.25">
      <c r="A27" s="87" t="s">
        <v>968</v>
      </c>
      <c r="B27" s="87" t="s">
        <v>965</v>
      </c>
      <c r="C27" s="87" t="s">
        <v>5</v>
      </c>
      <c r="D27" s="87" t="s">
        <v>969</v>
      </c>
    </row>
    <row r="28" spans="1:10" x14ac:dyDescent="0.25">
      <c r="A28" s="88"/>
      <c r="B28" s="88"/>
      <c r="C28" s="88"/>
      <c r="D28" s="88"/>
    </row>
    <row r="29" spans="1:10" x14ac:dyDescent="0.25">
      <c r="A29" s="91">
        <v>1</v>
      </c>
      <c r="B29" s="91" t="s">
        <v>1047</v>
      </c>
      <c r="C29" s="32" t="s">
        <v>1048</v>
      </c>
      <c r="D29" s="8">
        <v>300000</v>
      </c>
    </row>
    <row r="30" spans="1:10" x14ac:dyDescent="0.25">
      <c r="A30" s="91"/>
      <c r="B30" s="91"/>
      <c r="C30" s="32" t="s">
        <v>1049</v>
      </c>
      <c r="D30" s="8">
        <v>300000</v>
      </c>
    </row>
    <row r="31" spans="1:10" x14ac:dyDescent="0.25">
      <c r="A31" s="91"/>
      <c r="B31" s="91"/>
      <c r="C31" s="32" t="s">
        <v>1050</v>
      </c>
      <c r="D31" s="8">
        <v>300000</v>
      </c>
    </row>
    <row r="32" spans="1:10" x14ac:dyDescent="0.25">
      <c r="A32" s="91"/>
      <c r="B32" s="91"/>
      <c r="C32" s="32" t="s">
        <v>1051</v>
      </c>
      <c r="D32" s="8">
        <v>300000</v>
      </c>
    </row>
    <row r="33" spans="1:4" x14ac:dyDescent="0.25">
      <c r="A33" s="92" t="s">
        <v>851</v>
      </c>
      <c r="B33" s="93"/>
      <c r="C33" s="94"/>
      <c r="D33" s="89">
        <f>SUM(D29:D32)</f>
        <v>1200000</v>
      </c>
    </row>
    <row r="34" spans="1:4" x14ac:dyDescent="0.25">
      <c r="A34" s="95"/>
      <c r="B34" s="96"/>
      <c r="C34" s="97"/>
      <c r="D34" s="89"/>
    </row>
    <row r="39" spans="1:4" x14ac:dyDescent="0.25">
      <c r="A39" s="87" t="s">
        <v>968</v>
      </c>
      <c r="B39" s="87" t="s">
        <v>965</v>
      </c>
      <c r="C39" s="87" t="s">
        <v>969</v>
      </c>
    </row>
    <row r="40" spans="1:4" x14ac:dyDescent="0.25">
      <c r="A40" s="88"/>
      <c r="B40" s="88"/>
      <c r="C40" s="88"/>
    </row>
    <row r="41" spans="1:4" ht="22.5" customHeight="1" x14ac:dyDescent="0.25">
      <c r="A41" s="30">
        <v>1</v>
      </c>
      <c r="B41" s="30" t="s">
        <v>966</v>
      </c>
      <c r="C41" s="8">
        <f>D13</f>
        <v>188749567</v>
      </c>
      <c r="D41" s="3"/>
    </row>
    <row r="42" spans="1:4" ht="21.75" customHeight="1" x14ac:dyDescent="0.25">
      <c r="A42" s="30">
        <v>2</v>
      </c>
      <c r="B42" s="30" t="s">
        <v>967</v>
      </c>
      <c r="C42" s="8">
        <f>D23</f>
        <v>15800000</v>
      </c>
    </row>
    <row r="43" spans="1:4" ht="15" customHeight="1" x14ac:dyDescent="0.25">
      <c r="A43" s="90" t="s">
        <v>851</v>
      </c>
      <c r="B43" s="90"/>
      <c r="C43" s="89">
        <f>SUM(C41:C42)</f>
        <v>204549567</v>
      </c>
    </row>
    <row r="44" spans="1:4" ht="15" customHeight="1" x14ac:dyDescent="0.25">
      <c r="A44" s="90"/>
      <c r="B44" s="90"/>
      <c r="C44" s="89"/>
    </row>
    <row r="49" spans="1:7" x14ac:dyDescent="0.25">
      <c r="G49" s="3">
        <f>74247567+1200000+1405000</f>
        <v>76852567</v>
      </c>
    </row>
    <row r="51" spans="1:7" x14ac:dyDescent="0.25">
      <c r="A51" s="87" t="s">
        <v>968</v>
      </c>
      <c r="B51" s="87" t="s">
        <v>1351</v>
      </c>
      <c r="C51" s="87" t="s">
        <v>969</v>
      </c>
    </row>
    <row r="52" spans="1:7" x14ac:dyDescent="0.25">
      <c r="A52" s="88"/>
      <c r="B52" s="88"/>
      <c r="C52" s="88"/>
    </row>
    <row r="53" spans="1:7" x14ac:dyDescent="0.25">
      <c r="A53" s="30">
        <v>1</v>
      </c>
      <c r="B53" s="30" t="s">
        <v>1124</v>
      </c>
      <c r="C53" s="8">
        <v>11742515</v>
      </c>
    </row>
    <row r="54" spans="1:7" x14ac:dyDescent="0.25">
      <c r="A54" s="30">
        <v>2</v>
      </c>
      <c r="B54" s="30" t="s">
        <v>1175</v>
      </c>
      <c r="C54" s="8">
        <v>25000000</v>
      </c>
    </row>
    <row r="55" spans="1:7" x14ac:dyDescent="0.25">
      <c r="A55" s="30">
        <v>3</v>
      </c>
      <c r="B55" s="30" t="s">
        <v>1352</v>
      </c>
      <c r="C55" s="8">
        <v>14500000</v>
      </c>
    </row>
    <row r="56" spans="1:7" x14ac:dyDescent="0.25">
      <c r="A56" s="30">
        <v>4</v>
      </c>
      <c r="B56" s="30" t="s">
        <v>1353</v>
      </c>
      <c r="C56" s="8">
        <v>6120600</v>
      </c>
    </row>
    <row r="57" spans="1:7" x14ac:dyDescent="0.25">
      <c r="A57" s="90" t="s">
        <v>851</v>
      </c>
      <c r="B57" s="90"/>
      <c r="C57" s="89">
        <f>SUM(C53:C56)</f>
        <v>57363115</v>
      </c>
    </row>
    <row r="58" spans="1:7" x14ac:dyDescent="0.25">
      <c r="A58" s="90"/>
      <c r="B58" s="90"/>
      <c r="C58" s="89"/>
    </row>
  </sheetData>
  <mergeCells count="33">
    <mergeCell ref="B20:B22"/>
    <mergeCell ref="A1:A2"/>
    <mergeCell ref="B1:B2"/>
    <mergeCell ref="C1:C2"/>
    <mergeCell ref="D1:D2"/>
    <mergeCell ref="B3:B12"/>
    <mergeCell ref="A13:C14"/>
    <mergeCell ref="D13:D14"/>
    <mergeCell ref="E13:E14"/>
    <mergeCell ref="A18:A19"/>
    <mergeCell ref="B18:B19"/>
    <mergeCell ref="C18:C19"/>
    <mergeCell ref="D18:D19"/>
    <mergeCell ref="D33:D34"/>
    <mergeCell ref="A39:A40"/>
    <mergeCell ref="B39:B40"/>
    <mergeCell ref="C39:C40"/>
    <mergeCell ref="A23:C24"/>
    <mergeCell ref="D23:D24"/>
    <mergeCell ref="A27:A28"/>
    <mergeCell ref="B27:B28"/>
    <mergeCell ref="C27:C28"/>
    <mergeCell ref="D27:D28"/>
    <mergeCell ref="A57:B58"/>
    <mergeCell ref="C57:C58"/>
    <mergeCell ref="A29:A32"/>
    <mergeCell ref="B29:B32"/>
    <mergeCell ref="A33:C34"/>
    <mergeCell ref="A43:B44"/>
    <mergeCell ref="C43:C44"/>
    <mergeCell ref="A51:A52"/>
    <mergeCell ref="B51:B52"/>
    <mergeCell ref="C51:C52"/>
  </mergeCells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3B1B-6C5F-4D8F-BFCD-907C54827F75}">
  <sheetPr codeName="Sheet18"/>
  <dimension ref="A1:J59"/>
  <sheetViews>
    <sheetView zoomScaleNormal="100" workbookViewId="0">
      <selection activeCell="B48" sqref="B48"/>
    </sheetView>
  </sheetViews>
  <sheetFormatPr defaultRowHeight="15" x14ac:dyDescent="0.25"/>
  <cols>
    <col min="1" max="1" width="4.42578125" customWidth="1"/>
    <col min="2" max="2" width="19.28515625" customWidth="1"/>
    <col min="3" max="3" width="37.85546875" customWidth="1"/>
    <col min="4" max="4" width="21.5703125" customWidth="1"/>
    <col min="5" max="5" width="17.7109375" bestFit="1" customWidth="1"/>
    <col min="6" max="6" width="4.28515625" customWidth="1"/>
    <col min="7" max="7" width="18.5703125" customWidth="1"/>
    <col min="8" max="8" width="4.42578125" customWidth="1"/>
    <col min="9" max="9" width="18.140625" customWidth="1"/>
  </cols>
  <sheetData>
    <row r="1" spans="1:10" x14ac:dyDescent="0.25">
      <c r="A1" s="103" t="s">
        <v>968</v>
      </c>
      <c r="B1" s="103" t="s">
        <v>965</v>
      </c>
      <c r="C1" s="103" t="s">
        <v>5</v>
      </c>
      <c r="D1" s="103" t="s">
        <v>969</v>
      </c>
    </row>
    <row r="2" spans="1:10" x14ac:dyDescent="0.25">
      <c r="A2" s="103"/>
      <c r="B2" s="103"/>
      <c r="C2" s="103"/>
      <c r="D2" s="103"/>
    </row>
    <row r="3" spans="1:10" x14ac:dyDescent="0.25">
      <c r="A3" s="30">
        <v>1</v>
      </c>
      <c r="B3" s="98" t="s">
        <v>966</v>
      </c>
      <c r="C3" s="1" t="s">
        <v>1387</v>
      </c>
      <c r="D3" s="8">
        <v>13500000</v>
      </c>
    </row>
    <row r="4" spans="1:10" x14ac:dyDescent="0.25">
      <c r="A4" s="30">
        <v>2</v>
      </c>
      <c r="B4" s="99"/>
      <c r="C4" s="1" t="s">
        <v>1388</v>
      </c>
      <c r="D4" s="8">
        <v>19415000</v>
      </c>
    </row>
    <row r="5" spans="1:10" x14ac:dyDescent="0.25">
      <c r="A5" s="30">
        <v>3</v>
      </c>
      <c r="B5" s="99"/>
      <c r="C5" s="1" t="s">
        <v>1389</v>
      </c>
      <c r="D5" s="8">
        <v>2450000</v>
      </c>
    </row>
    <row r="6" spans="1:10" x14ac:dyDescent="0.25">
      <c r="A6" s="30">
        <v>4</v>
      </c>
      <c r="B6" s="99"/>
      <c r="C6" s="1" t="s">
        <v>7</v>
      </c>
      <c r="D6" s="8">
        <v>25000000</v>
      </c>
    </row>
    <row r="7" spans="1:10" x14ac:dyDescent="0.25">
      <c r="A7" s="30"/>
      <c r="B7" s="38"/>
      <c r="C7" s="1" t="s">
        <v>1403</v>
      </c>
      <c r="D7" s="8">
        <v>5000000</v>
      </c>
    </row>
    <row r="8" spans="1:10" ht="15" customHeight="1" x14ac:dyDescent="0.25">
      <c r="A8" s="90" t="s">
        <v>851</v>
      </c>
      <c r="B8" s="90"/>
      <c r="C8" s="90"/>
      <c r="D8" s="89">
        <f>SUM(D3:D7)</f>
        <v>65365000</v>
      </c>
      <c r="E8" s="101"/>
    </row>
    <row r="9" spans="1:10" ht="15" customHeight="1" x14ac:dyDescent="0.25">
      <c r="A9" s="90"/>
      <c r="B9" s="90"/>
      <c r="C9" s="90"/>
      <c r="D9" s="89"/>
      <c r="E9" s="102"/>
    </row>
    <row r="12" spans="1:10" x14ac:dyDescent="0.25">
      <c r="J12">
        <f>19500000</f>
        <v>19500000</v>
      </c>
    </row>
    <row r="13" spans="1:10" x14ac:dyDescent="0.25">
      <c r="A13" s="87" t="s">
        <v>968</v>
      </c>
      <c r="B13" s="87" t="s">
        <v>965</v>
      </c>
      <c r="C13" s="87" t="s">
        <v>5</v>
      </c>
      <c r="D13" s="87" t="s">
        <v>969</v>
      </c>
    </row>
    <row r="14" spans="1:10" x14ac:dyDescent="0.25">
      <c r="A14" s="88"/>
      <c r="B14" s="88"/>
      <c r="C14" s="88"/>
      <c r="D14" s="88"/>
    </row>
    <row r="15" spans="1:10" x14ac:dyDescent="0.25">
      <c r="A15" s="35">
        <v>1</v>
      </c>
      <c r="B15" s="91" t="s">
        <v>967</v>
      </c>
      <c r="C15" s="32" t="s">
        <v>1390</v>
      </c>
      <c r="D15" s="8">
        <v>5500000</v>
      </c>
    </row>
    <row r="16" spans="1:10" x14ac:dyDescent="0.25">
      <c r="A16" s="34">
        <v>2</v>
      </c>
      <c r="B16" s="91"/>
      <c r="C16" s="31" t="s">
        <v>1391</v>
      </c>
      <c r="D16" s="8">
        <v>12500000</v>
      </c>
    </row>
    <row r="17" spans="1:4" x14ac:dyDescent="0.25">
      <c r="A17" s="35">
        <v>3</v>
      </c>
      <c r="B17" s="91"/>
      <c r="C17" s="31" t="s">
        <v>1392</v>
      </c>
      <c r="D17" s="8">
        <v>7146800</v>
      </c>
    </row>
    <row r="18" spans="1:4" x14ac:dyDescent="0.25">
      <c r="A18" s="35">
        <v>4</v>
      </c>
      <c r="B18" s="91"/>
      <c r="C18" s="31" t="s">
        <v>1393</v>
      </c>
      <c r="D18" s="8">
        <v>15000000</v>
      </c>
    </row>
    <row r="19" spans="1:4" x14ac:dyDescent="0.25">
      <c r="A19" s="34">
        <v>5</v>
      </c>
      <c r="B19" s="91"/>
      <c r="C19" s="31" t="s">
        <v>1394</v>
      </c>
      <c r="D19" s="8">
        <v>800000</v>
      </c>
    </row>
    <row r="20" spans="1:4" x14ac:dyDescent="0.25">
      <c r="A20" s="35">
        <v>7</v>
      </c>
      <c r="B20" s="91"/>
      <c r="C20" s="31" t="s">
        <v>1398</v>
      </c>
      <c r="D20" s="8">
        <v>3500000</v>
      </c>
    </row>
    <row r="21" spans="1:4" x14ac:dyDescent="0.25">
      <c r="A21" s="34">
        <v>8</v>
      </c>
      <c r="B21" s="91"/>
      <c r="C21" s="31" t="s">
        <v>1399</v>
      </c>
      <c r="D21" s="8">
        <v>500000</v>
      </c>
    </row>
    <row r="22" spans="1:4" x14ac:dyDescent="0.25">
      <c r="A22" s="35">
        <v>9</v>
      </c>
      <c r="B22" s="91"/>
      <c r="C22" s="31" t="s">
        <v>1400</v>
      </c>
      <c r="D22" s="8">
        <v>1800000</v>
      </c>
    </row>
    <row r="23" spans="1:4" x14ac:dyDescent="0.25">
      <c r="A23" s="35">
        <v>10</v>
      </c>
      <c r="B23" s="91"/>
      <c r="C23" s="31" t="s">
        <v>1401</v>
      </c>
      <c r="D23" s="8">
        <v>400000</v>
      </c>
    </row>
    <row r="24" spans="1:4" x14ac:dyDescent="0.25">
      <c r="A24" s="92" t="s">
        <v>851</v>
      </c>
      <c r="B24" s="93"/>
      <c r="C24" s="94"/>
      <c r="D24" s="89">
        <f>SUM(D15:D19)</f>
        <v>40946800</v>
      </c>
    </row>
    <row r="25" spans="1:4" x14ac:dyDescent="0.25">
      <c r="A25" s="95"/>
      <c r="B25" s="96"/>
      <c r="C25" s="97"/>
      <c r="D25" s="89"/>
    </row>
    <row r="28" spans="1:4" x14ac:dyDescent="0.25">
      <c r="A28" s="87" t="s">
        <v>968</v>
      </c>
      <c r="B28" s="87" t="s">
        <v>965</v>
      </c>
      <c r="C28" s="87" t="s">
        <v>5</v>
      </c>
      <c r="D28" s="87" t="s">
        <v>969</v>
      </c>
    </row>
    <row r="29" spans="1:4" x14ac:dyDescent="0.25">
      <c r="A29" s="88"/>
      <c r="B29" s="88"/>
      <c r="C29" s="88"/>
      <c r="D29" s="88"/>
    </row>
    <row r="30" spans="1:4" x14ac:dyDescent="0.25">
      <c r="A30" s="91">
        <v>1</v>
      </c>
      <c r="B30" s="91" t="s">
        <v>1047</v>
      </c>
      <c r="C30" s="32" t="s">
        <v>1048</v>
      </c>
      <c r="D30" s="8">
        <v>300000</v>
      </c>
    </row>
    <row r="31" spans="1:4" x14ac:dyDescent="0.25">
      <c r="A31" s="91"/>
      <c r="B31" s="91"/>
      <c r="C31" s="32" t="s">
        <v>1049</v>
      </c>
      <c r="D31" s="8">
        <v>300000</v>
      </c>
    </row>
    <row r="32" spans="1:4" x14ac:dyDescent="0.25">
      <c r="A32" s="91"/>
      <c r="B32" s="91"/>
      <c r="C32" s="32" t="s">
        <v>1050</v>
      </c>
      <c r="D32" s="8">
        <v>300000</v>
      </c>
    </row>
    <row r="33" spans="1:4" x14ac:dyDescent="0.25">
      <c r="A33" s="91"/>
      <c r="B33" s="91"/>
      <c r="C33" s="32" t="s">
        <v>1051</v>
      </c>
      <c r="D33" s="8">
        <v>300000</v>
      </c>
    </row>
    <row r="34" spans="1:4" x14ac:dyDescent="0.25">
      <c r="A34" s="92" t="s">
        <v>851</v>
      </c>
      <c r="B34" s="93"/>
      <c r="C34" s="94"/>
      <c r="D34" s="89">
        <f>SUM(D30:D33)</f>
        <v>1200000</v>
      </c>
    </row>
    <row r="35" spans="1:4" x14ac:dyDescent="0.25">
      <c r="A35" s="95"/>
      <c r="B35" s="96"/>
      <c r="C35" s="97"/>
      <c r="D35" s="89"/>
    </row>
    <row r="40" spans="1:4" x14ac:dyDescent="0.25">
      <c r="A40" s="87" t="s">
        <v>968</v>
      </c>
      <c r="B40" s="87" t="s">
        <v>965</v>
      </c>
      <c r="C40" s="87" t="s">
        <v>969</v>
      </c>
    </row>
    <row r="41" spans="1:4" x14ac:dyDescent="0.25">
      <c r="A41" s="88"/>
      <c r="B41" s="88"/>
      <c r="C41" s="88"/>
    </row>
    <row r="42" spans="1:4" ht="22.5" customHeight="1" x14ac:dyDescent="0.25">
      <c r="A42" s="30">
        <v>1</v>
      </c>
      <c r="B42" s="30" t="s">
        <v>966</v>
      </c>
      <c r="C42" s="8">
        <f>D8</f>
        <v>65365000</v>
      </c>
      <c r="D42" s="3"/>
    </row>
    <row r="43" spans="1:4" ht="21.75" customHeight="1" x14ac:dyDescent="0.25">
      <c r="A43" s="30">
        <v>2</v>
      </c>
      <c r="B43" s="30" t="s">
        <v>967</v>
      </c>
      <c r="C43" s="8">
        <f>D24</f>
        <v>40946800</v>
      </c>
    </row>
    <row r="44" spans="1:4" ht="15" customHeight="1" x14ac:dyDescent="0.25">
      <c r="A44" s="90" t="s">
        <v>851</v>
      </c>
      <c r="B44" s="90"/>
      <c r="C44" s="89">
        <f>SUM(C42:C43)</f>
        <v>106311800</v>
      </c>
    </row>
    <row r="45" spans="1:4" ht="15" customHeight="1" x14ac:dyDescent="0.25">
      <c r="A45" s="90"/>
      <c r="B45" s="90"/>
      <c r="C45" s="89"/>
    </row>
    <row r="50" spans="1:7" x14ac:dyDescent="0.25">
      <c r="G50" s="3">
        <f>74247567+1200000+1405000</f>
        <v>76852567</v>
      </c>
    </row>
    <row r="52" spans="1:7" x14ac:dyDescent="0.25">
      <c r="A52" s="87" t="s">
        <v>968</v>
      </c>
      <c r="B52" s="87" t="s">
        <v>1351</v>
      </c>
      <c r="C52" s="87" t="s">
        <v>969</v>
      </c>
    </row>
    <row r="53" spans="1:7" x14ac:dyDescent="0.25">
      <c r="A53" s="88"/>
      <c r="B53" s="88"/>
      <c r="C53" s="88"/>
    </row>
    <row r="54" spans="1:7" x14ac:dyDescent="0.25">
      <c r="A54" s="30">
        <v>1</v>
      </c>
      <c r="B54" s="30" t="s">
        <v>1124</v>
      </c>
      <c r="C54" s="8">
        <v>11742515</v>
      </c>
    </row>
    <row r="55" spans="1:7" x14ac:dyDescent="0.25">
      <c r="A55" s="30">
        <v>2</v>
      </c>
      <c r="B55" s="30" t="s">
        <v>1175</v>
      </c>
      <c r="C55" s="8">
        <v>25000000</v>
      </c>
    </row>
    <row r="56" spans="1:7" x14ac:dyDescent="0.25">
      <c r="A56" s="30">
        <v>3</v>
      </c>
      <c r="B56" s="30" t="s">
        <v>1352</v>
      </c>
      <c r="C56" s="8">
        <v>14500000</v>
      </c>
    </row>
    <row r="57" spans="1:7" x14ac:dyDescent="0.25">
      <c r="A57" s="30">
        <v>4</v>
      </c>
      <c r="B57" s="30" t="s">
        <v>1353</v>
      </c>
      <c r="C57" s="8">
        <v>6120600</v>
      </c>
    </row>
    <row r="58" spans="1:7" x14ac:dyDescent="0.25">
      <c r="A58" s="90" t="s">
        <v>851</v>
      </c>
      <c r="B58" s="90"/>
      <c r="C58" s="89">
        <f>SUM(C54:C57)</f>
        <v>57363115</v>
      </c>
    </row>
    <row r="59" spans="1:7" x14ac:dyDescent="0.25">
      <c r="A59" s="90"/>
      <c r="B59" s="90"/>
      <c r="C59" s="89"/>
    </row>
  </sheetData>
  <mergeCells count="33">
    <mergeCell ref="A58:B59"/>
    <mergeCell ref="C58:C59"/>
    <mergeCell ref="A30:A33"/>
    <mergeCell ref="B30:B33"/>
    <mergeCell ref="A34:C35"/>
    <mergeCell ref="A44:B45"/>
    <mergeCell ref="C44:C45"/>
    <mergeCell ref="A52:A53"/>
    <mergeCell ref="B52:B53"/>
    <mergeCell ref="C52:C53"/>
    <mergeCell ref="D34:D35"/>
    <mergeCell ref="A40:A41"/>
    <mergeCell ref="B40:B41"/>
    <mergeCell ref="C40:C41"/>
    <mergeCell ref="A24:C25"/>
    <mergeCell ref="D24:D25"/>
    <mergeCell ref="A28:A29"/>
    <mergeCell ref="B28:B29"/>
    <mergeCell ref="C28:C29"/>
    <mergeCell ref="D28:D29"/>
    <mergeCell ref="E8:E9"/>
    <mergeCell ref="A13:A14"/>
    <mergeCell ref="B13:B14"/>
    <mergeCell ref="C13:C14"/>
    <mergeCell ref="D13:D14"/>
    <mergeCell ref="B15:B23"/>
    <mergeCell ref="A1:A2"/>
    <mergeCell ref="B1:B2"/>
    <mergeCell ref="C1:C2"/>
    <mergeCell ref="D1:D2"/>
    <mergeCell ref="B3:B6"/>
    <mergeCell ref="A8:C9"/>
    <mergeCell ref="D8:D9"/>
  </mergeCells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B23C-C0A8-4EAA-AF7B-DFD07E3762F3}">
  <sheetPr codeName="Sheet19"/>
  <dimension ref="A1:D76"/>
  <sheetViews>
    <sheetView workbookViewId="0">
      <selection activeCell="A64" sqref="A64:A74"/>
    </sheetView>
  </sheetViews>
  <sheetFormatPr defaultRowHeight="15" x14ac:dyDescent="0.25"/>
  <cols>
    <col min="1" max="1" width="4.42578125" customWidth="1"/>
    <col min="2" max="2" width="39" customWidth="1"/>
    <col min="3" max="3" width="32.140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98">
        <v>1</v>
      </c>
      <c r="B3" s="98" t="s">
        <v>966</v>
      </c>
      <c r="C3" s="1" t="s">
        <v>1448</v>
      </c>
      <c r="D3" s="8">
        <v>30000000</v>
      </c>
    </row>
    <row r="4" spans="1:4" x14ac:dyDescent="0.25">
      <c r="A4" s="99"/>
      <c r="B4" s="99"/>
      <c r="C4" s="1" t="s">
        <v>1449</v>
      </c>
      <c r="D4" s="8">
        <v>6808333</v>
      </c>
    </row>
    <row r="5" spans="1:4" x14ac:dyDescent="0.25">
      <c r="A5" s="99"/>
      <c r="B5" s="99"/>
      <c r="C5" s="1" t="s">
        <v>1450</v>
      </c>
      <c r="D5" s="8">
        <v>5934250</v>
      </c>
    </row>
    <row r="6" spans="1:4" x14ac:dyDescent="0.25">
      <c r="A6" s="99"/>
      <c r="B6" s="99"/>
      <c r="C6" s="1" t="s">
        <v>1451</v>
      </c>
      <c r="D6" s="8">
        <v>13070216</v>
      </c>
    </row>
    <row r="7" spans="1:4" x14ac:dyDescent="0.25">
      <c r="A7" s="100"/>
      <c r="B7" s="100"/>
      <c r="C7" s="1" t="s">
        <v>1452</v>
      </c>
      <c r="D7" s="8">
        <v>6791667</v>
      </c>
    </row>
    <row r="8" spans="1:4" x14ac:dyDescent="0.25">
      <c r="A8" s="41"/>
      <c r="B8" s="41"/>
      <c r="C8" s="1" t="s">
        <v>1123</v>
      </c>
      <c r="D8" s="8">
        <v>14620000</v>
      </c>
    </row>
    <row r="9" spans="1:4" x14ac:dyDescent="0.25">
      <c r="A9" s="41"/>
      <c r="B9" s="41"/>
      <c r="C9" s="1" t="s">
        <v>1124</v>
      </c>
      <c r="D9" s="8">
        <v>11742515</v>
      </c>
    </row>
    <row r="10" spans="1:4" x14ac:dyDescent="0.25">
      <c r="A10" s="41"/>
      <c r="B10" s="41"/>
      <c r="C10" s="1" t="s">
        <v>1125</v>
      </c>
      <c r="D10" s="8">
        <v>10000000</v>
      </c>
    </row>
    <row r="11" spans="1:4" x14ac:dyDescent="0.25">
      <c r="A11" s="41"/>
      <c r="B11" s="41"/>
      <c r="C11" s="1" t="s">
        <v>1126</v>
      </c>
      <c r="D11" s="8">
        <v>8800000</v>
      </c>
    </row>
    <row r="12" spans="1:4" x14ac:dyDescent="0.25">
      <c r="A12" s="41"/>
      <c r="B12" s="41"/>
      <c r="C12" s="1" t="s">
        <v>1135</v>
      </c>
      <c r="D12" s="8">
        <v>57000000</v>
      </c>
    </row>
    <row r="13" spans="1:4" x14ac:dyDescent="0.25">
      <c r="A13" s="41"/>
      <c r="B13" s="41"/>
      <c r="C13" s="1" t="s">
        <v>1453</v>
      </c>
      <c r="D13" s="8">
        <v>9505052</v>
      </c>
    </row>
    <row r="14" spans="1:4" x14ac:dyDescent="0.25">
      <c r="A14" s="41"/>
      <c r="B14" s="41"/>
      <c r="C14" s="1" t="s">
        <v>1454</v>
      </c>
      <c r="D14" s="8">
        <v>4000000</v>
      </c>
    </row>
    <row r="15" spans="1:4" x14ac:dyDescent="0.25">
      <c r="A15" s="41"/>
      <c r="B15" s="41"/>
      <c r="C15" s="1" t="s">
        <v>1455</v>
      </c>
      <c r="D15" s="8">
        <v>14355000</v>
      </c>
    </row>
    <row r="16" spans="1:4" x14ac:dyDescent="0.25">
      <c r="A16" s="41"/>
      <c r="B16" s="41"/>
      <c r="C16" s="1" t="s">
        <v>1456</v>
      </c>
      <c r="D16" s="8">
        <v>4542584</v>
      </c>
    </row>
    <row r="17" spans="1:4" x14ac:dyDescent="0.25">
      <c r="A17" s="41"/>
      <c r="B17" s="41"/>
      <c r="C17" s="1" t="s">
        <v>1457</v>
      </c>
      <c r="D17" s="8">
        <v>5650000</v>
      </c>
    </row>
    <row r="18" spans="1:4" x14ac:dyDescent="0.25">
      <c r="A18" s="41"/>
      <c r="B18" s="41"/>
      <c r="C18" s="1" t="s">
        <v>1458</v>
      </c>
      <c r="D18" s="8">
        <v>17495625</v>
      </c>
    </row>
    <row r="19" spans="1:4" x14ac:dyDescent="0.25">
      <c r="A19" s="41"/>
      <c r="B19" s="41"/>
      <c r="C19" s="1" t="s">
        <v>1471</v>
      </c>
      <c r="D19" s="8">
        <v>3500000</v>
      </c>
    </row>
    <row r="20" spans="1:4" ht="15" customHeight="1" x14ac:dyDescent="0.25">
      <c r="A20" s="90" t="s">
        <v>851</v>
      </c>
      <c r="B20" s="90"/>
      <c r="C20" s="90"/>
      <c r="D20" s="89">
        <f>SUM(D3:D19)</f>
        <v>223815242</v>
      </c>
    </row>
    <row r="21" spans="1:4" ht="15" customHeight="1" x14ac:dyDescent="0.25">
      <c r="A21" s="90"/>
      <c r="B21" s="90"/>
      <c r="C21" s="90"/>
      <c r="D21" s="89"/>
    </row>
    <row r="25" spans="1:4" x14ac:dyDescent="0.25">
      <c r="A25" s="87" t="s">
        <v>968</v>
      </c>
      <c r="B25" s="87" t="s">
        <v>965</v>
      </c>
      <c r="C25" s="87" t="s">
        <v>5</v>
      </c>
      <c r="D25" s="87" t="s">
        <v>969</v>
      </c>
    </row>
    <row r="26" spans="1:4" x14ac:dyDescent="0.25">
      <c r="A26" s="88"/>
      <c r="B26" s="88"/>
      <c r="C26" s="88"/>
      <c r="D26" s="88"/>
    </row>
    <row r="27" spans="1:4" x14ac:dyDescent="0.25">
      <c r="A27" s="91">
        <v>1</v>
      </c>
      <c r="B27" s="91" t="s">
        <v>967</v>
      </c>
      <c r="C27" s="1" t="s">
        <v>1459</v>
      </c>
      <c r="D27" s="8">
        <v>9915000</v>
      </c>
    </row>
    <row r="28" spans="1:4" x14ac:dyDescent="0.25">
      <c r="A28" s="91"/>
      <c r="B28" s="91"/>
      <c r="C28" s="1" t="s">
        <v>1460</v>
      </c>
      <c r="D28" s="8">
        <v>1200000</v>
      </c>
    </row>
    <row r="29" spans="1:4" x14ac:dyDescent="0.25">
      <c r="A29" s="91"/>
      <c r="B29" s="91"/>
      <c r="C29" s="1" t="s">
        <v>1461</v>
      </c>
      <c r="D29" s="8">
        <v>1087000</v>
      </c>
    </row>
    <row r="30" spans="1:4" x14ac:dyDescent="0.25">
      <c r="A30" s="91"/>
      <c r="B30" s="91"/>
      <c r="C30" s="1" t="s">
        <v>1462</v>
      </c>
      <c r="D30" s="8">
        <v>16160000</v>
      </c>
    </row>
    <row r="31" spans="1:4" x14ac:dyDescent="0.25">
      <c r="A31" s="91"/>
      <c r="B31" s="91"/>
      <c r="C31" s="1" t="s">
        <v>1463</v>
      </c>
      <c r="D31" s="8">
        <v>2000000</v>
      </c>
    </row>
    <row r="32" spans="1:4" x14ac:dyDescent="0.25">
      <c r="A32" s="91"/>
      <c r="B32" s="91"/>
      <c r="C32" s="1" t="s">
        <v>1464</v>
      </c>
      <c r="D32" s="8">
        <v>1450000</v>
      </c>
    </row>
    <row r="33" spans="1:4" x14ac:dyDescent="0.25">
      <c r="A33" s="91"/>
      <c r="B33" s="91"/>
      <c r="C33" s="1" t="s">
        <v>1465</v>
      </c>
      <c r="D33" s="8">
        <v>7371460</v>
      </c>
    </row>
    <row r="34" spans="1:4" x14ac:dyDescent="0.25">
      <c r="A34" s="91"/>
      <c r="B34" s="91"/>
      <c r="C34" s="1" t="s">
        <v>1466</v>
      </c>
      <c r="D34" s="8">
        <v>4000000</v>
      </c>
    </row>
    <row r="35" spans="1:4" x14ac:dyDescent="0.25">
      <c r="A35" s="34"/>
      <c r="B35" s="43"/>
      <c r="C35" s="31" t="s">
        <v>1467</v>
      </c>
      <c r="D35" s="8">
        <v>6850000</v>
      </c>
    </row>
    <row r="36" spans="1:4" x14ac:dyDescent="0.25">
      <c r="A36" s="34"/>
      <c r="B36" s="43"/>
      <c r="C36" s="31" t="s">
        <v>1468</v>
      </c>
      <c r="D36" s="8">
        <v>1200000</v>
      </c>
    </row>
    <row r="37" spans="1:4" x14ac:dyDescent="0.25">
      <c r="A37" s="34"/>
      <c r="B37" s="43"/>
      <c r="C37" s="31" t="s">
        <v>1469</v>
      </c>
      <c r="D37" s="8">
        <v>1500000</v>
      </c>
    </row>
    <row r="38" spans="1:4" x14ac:dyDescent="0.25">
      <c r="A38" s="34"/>
      <c r="B38" s="43"/>
      <c r="C38" s="31" t="s">
        <v>1470</v>
      </c>
      <c r="D38" s="8">
        <v>8474200</v>
      </c>
    </row>
    <row r="39" spans="1:4" x14ac:dyDescent="0.25">
      <c r="A39" s="92" t="s">
        <v>851</v>
      </c>
      <c r="B39" s="93"/>
      <c r="C39" s="94"/>
      <c r="D39" s="89">
        <f>SUM(D27:D38)</f>
        <v>61207660</v>
      </c>
    </row>
    <row r="40" spans="1:4" x14ac:dyDescent="0.25">
      <c r="A40" s="95"/>
      <c r="B40" s="96"/>
      <c r="C40" s="97"/>
      <c r="D40" s="89"/>
    </row>
    <row r="43" spans="1:4" x14ac:dyDescent="0.25">
      <c r="A43" s="87" t="s">
        <v>968</v>
      </c>
      <c r="B43" s="87" t="s">
        <v>965</v>
      </c>
      <c r="C43" s="87" t="s">
        <v>5</v>
      </c>
      <c r="D43" s="87" t="s">
        <v>969</v>
      </c>
    </row>
    <row r="44" spans="1:4" x14ac:dyDescent="0.25">
      <c r="A44" s="88"/>
      <c r="B44" s="88"/>
      <c r="C44" s="88"/>
      <c r="D44" s="88"/>
    </row>
    <row r="45" spans="1:4" x14ac:dyDescent="0.25">
      <c r="A45" s="42">
        <v>1</v>
      </c>
      <c r="B45" s="42" t="s">
        <v>1047</v>
      </c>
      <c r="C45" s="1" t="s">
        <v>1472</v>
      </c>
      <c r="D45" s="8">
        <v>1300000</v>
      </c>
    </row>
    <row r="46" spans="1:4" x14ac:dyDescent="0.25">
      <c r="A46" s="92" t="s">
        <v>851</v>
      </c>
      <c r="B46" s="93"/>
      <c r="C46" s="94"/>
      <c r="D46" s="89">
        <f>SUM(D45:D45)</f>
        <v>1300000</v>
      </c>
    </row>
    <row r="47" spans="1:4" x14ac:dyDescent="0.25">
      <c r="A47" s="95"/>
      <c r="B47" s="96"/>
      <c r="C47" s="97"/>
      <c r="D47" s="89"/>
    </row>
    <row r="52" spans="1:3" x14ac:dyDescent="0.25">
      <c r="A52" s="87" t="s">
        <v>968</v>
      </c>
      <c r="B52" s="87" t="s">
        <v>965</v>
      </c>
      <c r="C52" s="87" t="s">
        <v>969</v>
      </c>
    </row>
    <row r="53" spans="1:3" x14ac:dyDescent="0.25">
      <c r="A53" s="88"/>
      <c r="B53" s="88"/>
      <c r="C53" s="88"/>
    </row>
    <row r="54" spans="1:3" ht="22.5" customHeight="1" x14ac:dyDescent="0.25">
      <c r="A54" s="30">
        <v>1</v>
      </c>
      <c r="B54" s="30" t="s">
        <v>966</v>
      </c>
      <c r="C54" s="8">
        <f>D20</f>
        <v>223815242</v>
      </c>
    </row>
    <row r="55" spans="1:3" ht="21.75" customHeight="1" x14ac:dyDescent="0.25">
      <c r="A55" s="30">
        <v>2</v>
      </c>
      <c r="B55" s="30" t="s">
        <v>967</v>
      </c>
      <c r="C55" s="8">
        <f>D39</f>
        <v>61207660</v>
      </c>
    </row>
    <row r="56" spans="1:3" ht="21.75" customHeight="1" x14ac:dyDescent="0.25">
      <c r="A56" s="30">
        <v>3</v>
      </c>
      <c r="B56" s="30" t="s">
        <v>1047</v>
      </c>
      <c r="C56" s="8">
        <f>D46</f>
        <v>1300000</v>
      </c>
    </row>
    <row r="57" spans="1:3" ht="15" customHeight="1" x14ac:dyDescent="0.25">
      <c r="A57" s="90" t="s">
        <v>851</v>
      </c>
      <c r="B57" s="90"/>
      <c r="C57" s="89">
        <f>SUM(C54:C56)</f>
        <v>286322902</v>
      </c>
    </row>
    <row r="58" spans="1:3" ht="15" customHeight="1" x14ac:dyDescent="0.25">
      <c r="A58" s="90"/>
      <c r="B58" s="90"/>
      <c r="C58" s="89"/>
    </row>
    <row r="62" spans="1:3" x14ac:dyDescent="0.25">
      <c r="A62" s="87" t="s">
        <v>968</v>
      </c>
      <c r="B62" s="87" t="s">
        <v>7</v>
      </c>
      <c r="C62" s="87" t="s">
        <v>969</v>
      </c>
    </row>
    <row r="63" spans="1:3" x14ac:dyDescent="0.25">
      <c r="A63" s="88"/>
      <c r="B63" s="88"/>
      <c r="C63" s="88"/>
    </row>
    <row r="64" spans="1:3" x14ac:dyDescent="0.25">
      <c r="A64" s="42">
        <v>1</v>
      </c>
      <c r="B64" s="42" t="s">
        <v>1451</v>
      </c>
      <c r="C64" s="8">
        <v>13070216</v>
      </c>
    </row>
    <row r="65" spans="1:3" x14ac:dyDescent="0.25">
      <c r="A65" s="34">
        <v>2</v>
      </c>
      <c r="B65" s="43" t="s">
        <v>1124</v>
      </c>
      <c r="C65" s="8">
        <v>11742515</v>
      </c>
    </row>
    <row r="66" spans="1:3" x14ac:dyDescent="0.25">
      <c r="A66" s="42">
        <v>3</v>
      </c>
      <c r="B66" s="43" t="s">
        <v>1125</v>
      </c>
      <c r="C66" s="8">
        <v>10000000</v>
      </c>
    </row>
    <row r="67" spans="1:3" x14ac:dyDescent="0.25">
      <c r="A67" s="34">
        <v>4</v>
      </c>
      <c r="B67" s="43" t="s">
        <v>1473</v>
      </c>
      <c r="C67" s="8">
        <v>9505052</v>
      </c>
    </row>
    <row r="68" spans="1:3" x14ac:dyDescent="0.25">
      <c r="A68" s="42">
        <v>5</v>
      </c>
      <c r="B68" s="43" t="s">
        <v>1454</v>
      </c>
      <c r="C68" s="8">
        <v>4000000</v>
      </c>
    </row>
    <row r="69" spans="1:3" x14ac:dyDescent="0.25">
      <c r="A69" s="34">
        <v>6</v>
      </c>
      <c r="B69" s="43" t="s">
        <v>1474</v>
      </c>
      <c r="C69" s="8">
        <v>14355000</v>
      </c>
    </row>
    <row r="70" spans="1:3" x14ac:dyDescent="0.25">
      <c r="A70" s="42">
        <v>7</v>
      </c>
      <c r="B70" s="43" t="s">
        <v>1475</v>
      </c>
      <c r="C70" s="8">
        <v>4542584</v>
      </c>
    </row>
    <row r="71" spans="1:3" x14ac:dyDescent="0.25">
      <c r="A71" s="34">
        <v>8</v>
      </c>
      <c r="B71" s="43" t="s">
        <v>1476</v>
      </c>
      <c r="C71" s="8">
        <v>5650000</v>
      </c>
    </row>
    <row r="72" spans="1:3" x14ac:dyDescent="0.25">
      <c r="A72" s="42">
        <v>9</v>
      </c>
      <c r="B72" s="43" t="s">
        <v>1477</v>
      </c>
      <c r="C72" s="8">
        <v>17495625</v>
      </c>
    </row>
    <row r="73" spans="1:3" x14ac:dyDescent="0.25">
      <c r="A73" s="34">
        <v>10</v>
      </c>
      <c r="B73" s="43" t="s">
        <v>1478</v>
      </c>
      <c r="C73" s="8">
        <v>3500000</v>
      </c>
    </row>
    <row r="74" spans="1:3" x14ac:dyDescent="0.25">
      <c r="A74" s="42">
        <v>11</v>
      </c>
      <c r="B74" s="43" t="s">
        <v>1479</v>
      </c>
      <c r="C74" s="8">
        <v>7371460</v>
      </c>
    </row>
    <row r="75" spans="1:3" ht="15" customHeight="1" x14ac:dyDescent="0.25">
      <c r="A75" s="92" t="s">
        <v>851</v>
      </c>
      <c r="B75" s="93"/>
      <c r="C75" s="89">
        <f>SUM(C64:C74)</f>
        <v>101232452</v>
      </c>
    </row>
    <row r="76" spans="1:3" ht="15" customHeight="1" x14ac:dyDescent="0.25">
      <c r="A76" s="95"/>
      <c r="B76" s="96"/>
      <c r="C76" s="89"/>
    </row>
  </sheetData>
  <mergeCells count="32">
    <mergeCell ref="C75:C76"/>
    <mergeCell ref="C62:C63"/>
    <mergeCell ref="B62:B63"/>
    <mergeCell ref="A62:A63"/>
    <mergeCell ref="A75:B76"/>
    <mergeCell ref="A57:B58"/>
    <mergeCell ref="C57:C58"/>
    <mergeCell ref="A46:C47"/>
    <mergeCell ref="D46:D47"/>
    <mergeCell ref="A52:A53"/>
    <mergeCell ref="B52:B53"/>
    <mergeCell ref="C52:C53"/>
    <mergeCell ref="A27:A34"/>
    <mergeCell ref="B27:B34"/>
    <mergeCell ref="A39:C40"/>
    <mergeCell ref="D39:D40"/>
    <mergeCell ref="A43:A44"/>
    <mergeCell ref="B43:B44"/>
    <mergeCell ref="C43:C44"/>
    <mergeCell ref="D43:D44"/>
    <mergeCell ref="A20:C21"/>
    <mergeCell ref="D20:D21"/>
    <mergeCell ref="A25:A26"/>
    <mergeCell ref="B25:B26"/>
    <mergeCell ref="C25:C26"/>
    <mergeCell ref="D25:D26"/>
    <mergeCell ref="A1:A2"/>
    <mergeCell ref="B1:B2"/>
    <mergeCell ref="C1:C2"/>
    <mergeCell ref="D1:D2"/>
    <mergeCell ref="A3:A7"/>
    <mergeCell ref="B3:B7"/>
  </mergeCells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5B-840F-4332-831A-BD1B951961B3}">
  <sheetPr codeName="Sheet20"/>
  <dimension ref="A1:D57"/>
  <sheetViews>
    <sheetView topLeftCell="A40" workbookViewId="0">
      <selection activeCell="A43" sqref="A43:C57"/>
    </sheetView>
  </sheetViews>
  <sheetFormatPr defaultRowHeight="15" x14ac:dyDescent="0.25"/>
  <cols>
    <col min="1" max="1" width="4.42578125" customWidth="1"/>
    <col min="2" max="2" width="39" customWidth="1"/>
    <col min="3" max="3" width="32.140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45">
        <v>1</v>
      </c>
      <c r="B3" s="45" t="s">
        <v>966</v>
      </c>
      <c r="C3" s="1" t="s">
        <v>1507</v>
      </c>
      <c r="D3" s="8">
        <v>7000000</v>
      </c>
    </row>
    <row r="4" spans="1:4" x14ac:dyDescent="0.25">
      <c r="A4" s="45">
        <v>2</v>
      </c>
      <c r="B4" s="45"/>
      <c r="C4" s="1" t="s">
        <v>7</v>
      </c>
      <c r="D4" s="8">
        <v>20000000</v>
      </c>
    </row>
    <row r="5" spans="1:4" ht="15" customHeight="1" x14ac:dyDescent="0.25">
      <c r="A5" s="90" t="s">
        <v>851</v>
      </c>
      <c r="B5" s="90"/>
      <c r="C5" s="90"/>
      <c r="D5" s="89">
        <f>SUM(D3:D4)</f>
        <v>27000000</v>
      </c>
    </row>
    <row r="6" spans="1:4" ht="15" customHeight="1" x14ac:dyDescent="0.25">
      <c r="A6" s="90"/>
      <c r="B6" s="90"/>
      <c r="C6" s="90"/>
      <c r="D6" s="89"/>
    </row>
    <row r="10" spans="1:4" x14ac:dyDescent="0.25">
      <c r="A10" s="87" t="s">
        <v>968</v>
      </c>
      <c r="B10" s="87" t="s">
        <v>965</v>
      </c>
      <c r="C10" s="87" t="s">
        <v>5</v>
      </c>
      <c r="D10" s="87" t="s">
        <v>969</v>
      </c>
    </row>
    <row r="11" spans="1:4" x14ac:dyDescent="0.25">
      <c r="A11" s="88"/>
      <c r="B11" s="88"/>
      <c r="C11" s="88"/>
      <c r="D11" s="88"/>
    </row>
    <row r="12" spans="1:4" x14ac:dyDescent="0.25">
      <c r="A12" s="91">
        <v>1</v>
      </c>
      <c r="B12" s="91" t="s">
        <v>967</v>
      </c>
      <c r="C12" s="1" t="s">
        <v>1508</v>
      </c>
      <c r="D12" s="8">
        <v>1980000</v>
      </c>
    </row>
    <row r="13" spans="1:4" x14ac:dyDescent="0.25">
      <c r="A13" s="91"/>
      <c r="B13" s="91"/>
      <c r="C13" s="1" t="s">
        <v>1509</v>
      </c>
      <c r="D13" s="8">
        <v>2000000</v>
      </c>
    </row>
    <row r="14" spans="1:4" x14ac:dyDescent="0.25">
      <c r="A14" s="91"/>
      <c r="B14" s="91"/>
      <c r="C14" s="1" t="s">
        <v>1510</v>
      </c>
      <c r="D14" s="8">
        <v>10500000</v>
      </c>
    </row>
    <row r="15" spans="1:4" x14ac:dyDescent="0.25">
      <c r="A15" s="91"/>
      <c r="B15" s="91"/>
      <c r="C15" s="1" t="s">
        <v>1511</v>
      </c>
      <c r="D15" s="8">
        <v>33100000</v>
      </c>
    </row>
    <row r="16" spans="1:4" x14ac:dyDescent="0.25">
      <c r="A16" s="91"/>
      <c r="B16" s="91"/>
      <c r="C16" s="1" t="s">
        <v>1512</v>
      </c>
      <c r="D16" s="8">
        <v>4839000</v>
      </c>
    </row>
    <row r="17" spans="1:4" x14ac:dyDescent="0.25">
      <c r="A17" s="92" t="s">
        <v>851</v>
      </c>
      <c r="B17" s="93"/>
      <c r="C17" s="94"/>
      <c r="D17" s="89">
        <f>SUM(D12:D16)</f>
        <v>52419000</v>
      </c>
    </row>
    <row r="18" spans="1:4" x14ac:dyDescent="0.25">
      <c r="A18" s="95"/>
      <c r="B18" s="96"/>
      <c r="C18" s="97"/>
      <c r="D18" s="89"/>
    </row>
    <row r="21" spans="1:4" x14ac:dyDescent="0.25">
      <c r="A21" s="87" t="s">
        <v>968</v>
      </c>
      <c r="B21" s="87" t="s">
        <v>965</v>
      </c>
      <c r="C21" s="87" t="s">
        <v>5</v>
      </c>
      <c r="D21" s="87" t="s">
        <v>969</v>
      </c>
    </row>
    <row r="22" spans="1:4" x14ac:dyDescent="0.25">
      <c r="A22" s="88"/>
      <c r="B22" s="88"/>
      <c r="C22" s="88"/>
      <c r="D22" s="88"/>
    </row>
    <row r="23" spans="1:4" x14ac:dyDescent="0.25">
      <c r="A23" s="42">
        <v>1</v>
      </c>
      <c r="B23" s="42" t="s">
        <v>1047</v>
      </c>
      <c r="C23" s="1" t="s">
        <v>1513</v>
      </c>
      <c r="D23" s="8">
        <v>300000</v>
      </c>
    </row>
    <row r="24" spans="1:4" x14ac:dyDescent="0.25">
      <c r="A24" s="34"/>
      <c r="B24" s="43"/>
      <c r="C24" s="1" t="s">
        <v>1514</v>
      </c>
      <c r="D24" s="8">
        <v>300000</v>
      </c>
    </row>
    <row r="25" spans="1:4" x14ac:dyDescent="0.25">
      <c r="A25" s="34"/>
      <c r="B25" s="43"/>
      <c r="C25" s="1" t="s">
        <v>1515</v>
      </c>
      <c r="D25" s="8">
        <v>300000</v>
      </c>
    </row>
    <row r="26" spans="1:4" x14ac:dyDescent="0.25">
      <c r="A26" s="34"/>
      <c r="B26" s="43"/>
      <c r="C26" s="31"/>
      <c r="D26" s="8"/>
    </row>
    <row r="27" spans="1:4" x14ac:dyDescent="0.25">
      <c r="A27" s="92" t="s">
        <v>851</v>
      </c>
      <c r="B27" s="93"/>
      <c r="C27" s="94"/>
      <c r="D27" s="89">
        <f>SUM(D23:D25)</f>
        <v>900000</v>
      </c>
    </row>
    <row r="28" spans="1:4" x14ac:dyDescent="0.25">
      <c r="A28" s="95"/>
      <c r="B28" s="96"/>
      <c r="C28" s="97"/>
      <c r="D28" s="89"/>
    </row>
    <row r="33" spans="1:3" x14ac:dyDescent="0.25">
      <c r="A33" s="87" t="s">
        <v>968</v>
      </c>
      <c r="B33" s="87" t="s">
        <v>965</v>
      </c>
      <c r="C33" s="87" t="s">
        <v>969</v>
      </c>
    </row>
    <row r="34" spans="1:3" x14ac:dyDescent="0.25">
      <c r="A34" s="88"/>
      <c r="B34" s="88"/>
      <c r="C34" s="88"/>
    </row>
    <row r="35" spans="1:3" ht="22.5" customHeight="1" x14ac:dyDescent="0.25">
      <c r="A35" s="30">
        <v>1</v>
      </c>
      <c r="B35" s="30" t="s">
        <v>966</v>
      </c>
      <c r="C35" s="8">
        <f>D5</f>
        <v>27000000</v>
      </c>
    </row>
    <row r="36" spans="1:3" ht="21.75" customHeight="1" x14ac:dyDescent="0.25">
      <c r="A36" s="30">
        <v>2</v>
      </c>
      <c r="B36" s="30" t="s">
        <v>967</v>
      </c>
      <c r="C36" s="8">
        <f>D17</f>
        <v>52419000</v>
      </c>
    </row>
    <row r="37" spans="1:3" ht="21.75" customHeight="1" x14ac:dyDescent="0.25">
      <c r="A37" s="30">
        <v>3</v>
      </c>
      <c r="B37" s="30" t="s">
        <v>1047</v>
      </c>
      <c r="C37" s="8">
        <f>D27</f>
        <v>900000</v>
      </c>
    </row>
    <row r="38" spans="1:3" ht="15" customHeight="1" x14ac:dyDescent="0.25">
      <c r="A38" s="90" t="s">
        <v>851</v>
      </c>
      <c r="B38" s="90"/>
      <c r="C38" s="89">
        <f>SUM(C35:C37)</f>
        <v>80319000</v>
      </c>
    </row>
    <row r="39" spans="1:3" ht="15" customHeight="1" x14ac:dyDescent="0.25">
      <c r="A39" s="90"/>
      <c r="B39" s="90"/>
      <c r="C39" s="89"/>
    </row>
    <row r="43" spans="1:3" x14ac:dyDescent="0.25">
      <c r="A43" s="87" t="s">
        <v>968</v>
      </c>
      <c r="B43" s="87" t="s">
        <v>7</v>
      </c>
      <c r="C43" s="87" t="s">
        <v>969</v>
      </c>
    </row>
    <row r="44" spans="1:3" x14ac:dyDescent="0.25">
      <c r="A44" s="88"/>
      <c r="B44" s="88"/>
      <c r="C44" s="88"/>
    </row>
    <row r="45" spans="1:3" x14ac:dyDescent="0.25">
      <c r="A45" s="42">
        <v>1</v>
      </c>
      <c r="B45" s="42" t="s">
        <v>1451</v>
      </c>
      <c r="C45" s="8">
        <v>13070216</v>
      </c>
    </row>
    <row r="46" spans="1:3" x14ac:dyDescent="0.25">
      <c r="A46" s="34">
        <v>2</v>
      </c>
      <c r="B46" s="43" t="s">
        <v>1124</v>
      </c>
      <c r="C46" s="8">
        <v>11742515</v>
      </c>
    </row>
    <row r="47" spans="1:3" x14ac:dyDescent="0.25">
      <c r="A47" s="42">
        <v>3</v>
      </c>
      <c r="B47" s="43" t="s">
        <v>1125</v>
      </c>
      <c r="C47" s="8">
        <v>10000000</v>
      </c>
    </row>
    <row r="48" spans="1:3" x14ac:dyDescent="0.25">
      <c r="A48" s="34">
        <v>4</v>
      </c>
      <c r="B48" s="43" t="s">
        <v>1473</v>
      </c>
      <c r="C48" s="8">
        <v>9505052</v>
      </c>
    </row>
    <row r="49" spans="1:3" x14ac:dyDescent="0.25">
      <c r="A49" s="42">
        <v>5</v>
      </c>
      <c r="B49" s="43" t="s">
        <v>1454</v>
      </c>
      <c r="C49" s="8">
        <v>4000000</v>
      </c>
    </row>
    <row r="50" spans="1:3" x14ac:dyDescent="0.25">
      <c r="A50" s="34">
        <v>6</v>
      </c>
      <c r="B50" s="43" t="s">
        <v>1474</v>
      </c>
      <c r="C50" s="8">
        <v>14355000</v>
      </c>
    </row>
    <row r="51" spans="1:3" x14ac:dyDescent="0.25">
      <c r="A51" s="42">
        <v>7</v>
      </c>
      <c r="B51" s="43" t="s">
        <v>1475</v>
      </c>
      <c r="C51" s="8">
        <v>4542584</v>
      </c>
    </row>
    <row r="52" spans="1:3" x14ac:dyDescent="0.25">
      <c r="A52" s="34">
        <v>8</v>
      </c>
      <c r="B52" s="43" t="s">
        <v>1476</v>
      </c>
      <c r="C52" s="8">
        <v>5650000</v>
      </c>
    </row>
    <row r="53" spans="1:3" x14ac:dyDescent="0.25">
      <c r="A53" s="42">
        <v>9</v>
      </c>
      <c r="B53" s="43" t="s">
        <v>1477</v>
      </c>
      <c r="C53" s="8">
        <v>17495625</v>
      </c>
    </row>
    <row r="54" spans="1:3" x14ac:dyDescent="0.25">
      <c r="A54" s="34">
        <v>10</v>
      </c>
      <c r="B54" s="43" t="s">
        <v>1478</v>
      </c>
      <c r="C54" s="8">
        <v>3500000</v>
      </c>
    </row>
    <row r="55" spans="1:3" x14ac:dyDescent="0.25">
      <c r="A55" s="42">
        <v>11</v>
      </c>
      <c r="B55" s="43" t="s">
        <v>1479</v>
      </c>
      <c r="C55" s="8">
        <v>7371460</v>
      </c>
    </row>
    <row r="56" spans="1:3" ht="15" customHeight="1" x14ac:dyDescent="0.25">
      <c r="A56" s="92" t="s">
        <v>851</v>
      </c>
      <c r="B56" s="93"/>
      <c r="C56" s="89">
        <f>SUM(C45:C55)</f>
        <v>101232452</v>
      </c>
    </row>
    <row r="57" spans="1:3" ht="15" customHeight="1" x14ac:dyDescent="0.25">
      <c r="A57" s="95"/>
      <c r="B57" s="96"/>
      <c r="C57" s="89"/>
    </row>
  </sheetData>
  <mergeCells count="30">
    <mergeCell ref="A1:A2"/>
    <mergeCell ref="B1:B2"/>
    <mergeCell ref="C1:C2"/>
    <mergeCell ref="D1:D2"/>
    <mergeCell ref="A5:C6"/>
    <mergeCell ref="D5:D6"/>
    <mergeCell ref="A10:A11"/>
    <mergeCell ref="B10:B11"/>
    <mergeCell ref="C10:C11"/>
    <mergeCell ref="D10:D11"/>
    <mergeCell ref="D17:D18"/>
    <mergeCell ref="A12:A16"/>
    <mergeCell ref="B12:B16"/>
    <mergeCell ref="A17:C18"/>
    <mergeCell ref="A21:A22"/>
    <mergeCell ref="B21:B22"/>
    <mergeCell ref="C21:C22"/>
    <mergeCell ref="D21:D22"/>
    <mergeCell ref="A38:B39"/>
    <mergeCell ref="C38:C39"/>
    <mergeCell ref="A27:C28"/>
    <mergeCell ref="D27:D28"/>
    <mergeCell ref="A33:A34"/>
    <mergeCell ref="B33:B34"/>
    <mergeCell ref="C33:C34"/>
    <mergeCell ref="A43:A44"/>
    <mergeCell ref="B43:B44"/>
    <mergeCell ref="C43:C44"/>
    <mergeCell ref="A56:B57"/>
    <mergeCell ref="C56:C57"/>
  </mergeCells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ACE4-EF7E-43B8-A508-91CF319B3394}">
  <sheetPr codeName="Sheet21"/>
  <dimension ref="A1:D68"/>
  <sheetViews>
    <sheetView workbookViewId="0">
      <selection activeCell="C43" sqref="C43:C44"/>
    </sheetView>
  </sheetViews>
  <sheetFormatPr defaultRowHeight="15" x14ac:dyDescent="0.25"/>
  <cols>
    <col min="1" max="1" width="4.42578125" customWidth="1"/>
    <col min="2" max="2" width="39" customWidth="1"/>
    <col min="3" max="3" width="32.140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45">
        <v>1</v>
      </c>
      <c r="B3" s="98" t="s">
        <v>966</v>
      </c>
      <c r="C3" s="1" t="s">
        <v>1552</v>
      </c>
      <c r="D3" s="8">
        <v>4725000</v>
      </c>
    </row>
    <row r="4" spans="1:4" x14ac:dyDescent="0.25">
      <c r="A4" s="45">
        <v>2</v>
      </c>
      <c r="B4" s="99"/>
      <c r="C4" s="1" t="s">
        <v>1553</v>
      </c>
      <c r="D4" s="8">
        <v>8544363</v>
      </c>
    </row>
    <row r="5" spans="1:4" x14ac:dyDescent="0.25">
      <c r="A5" s="45">
        <v>3</v>
      </c>
      <c r="B5" s="99"/>
      <c r="C5" s="1" t="s">
        <v>1554</v>
      </c>
      <c r="D5" s="8">
        <v>2175000</v>
      </c>
    </row>
    <row r="6" spans="1:4" x14ac:dyDescent="0.25">
      <c r="A6" s="45">
        <v>4</v>
      </c>
      <c r="B6" s="99"/>
      <c r="C6" s="1" t="s">
        <v>1585</v>
      </c>
      <c r="D6" s="8">
        <v>7771917</v>
      </c>
    </row>
    <row r="7" spans="1:4" x14ac:dyDescent="0.25">
      <c r="A7" s="45">
        <v>5</v>
      </c>
      <c r="B7" s="99"/>
      <c r="C7" s="1" t="s">
        <v>1586</v>
      </c>
      <c r="D7" s="8">
        <v>2450000</v>
      </c>
    </row>
    <row r="8" spans="1:4" x14ac:dyDescent="0.25">
      <c r="A8" s="45">
        <v>6</v>
      </c>
      <c r="B8" s="100"/>
      <c r="C8" s="1" t="s">
        <v>7</v>
      </c>
      <c r="D8" s="8">
        <v>25000000</v>
      </c>
    </row>
    <row r="9" spans="1:4" x14ac:dyDescent="0.25">
      <c r="A9" s="45"/>
      <c r="B9" s="41"/>
      <c r="C9" s="1" t="s">
        <v>1590</v>
      </c>
      <c r="D9" s="8">
        <v>4500000</v>
      </c>
    </row>
    <row r="10" spans="1:4" ht="15" customHeight="1" x14ac:dyDescent="0.25">
      <c r="A10" s="90" t="s">
        <v>851</v>
      </c>
      <c r="B10" s="90"/>
      <c r="C10" s="90"/>
      <c r="D10" s="89">
        <f>SUM(D3:D9)</f>
        <v>55166280</v>
      </c>
    </row>
    <row r="11" spans="1:4" ht="15" customHeight="1" x14ac:dyDescent="0.25">
      <c r="A11" s="90"/>
      <c r="B11" s="90"/>
      <c r="C11" s="90"/>
      <c r="D11" s="89"/>
    </row>
    <row r="15" spans="1:4" x14ac:dyDescent="0.25">
      <c r="A15" s="87" t="s">
        <v>968</v>
      </c>
      <c r="B15" s="87" t="s">
        <v>965</v>
      </c>
      <c r="C15" s="87" t="s">
        <v>5</v>
      </c>
      <c r="D15" s="87" t="s">
        <v>969</v>
      </c>
    </row>
    <row r="16" spans="1:4" x14ac:dyDescent="0.25">
      <c r="A16" s="88"/>
      <c r="B16" s="88"/>
      <c r="C16" s="88"/>
      <c r="D16" s="88"/>
    </row>
    <row r="17" spans="1:4" x14ac:dyDescent="0.25">
      <c r="A17" s="30">
        <v>1</v>
      </c>
      <c r="B17" s="104" t="s">
        <v>967</v>
      </c>
      <c r="C17" s="32" t="s">
        <v>1556</v>
      </c>
      <c r="D17" s="8">
        <v>15350000</v>
      </c>
    </row>
    <row r="18" spans="1:4" x14ac:dyDescent="0.25">
      <c r="A18" s="30">
        <v>2</v>
      </c>
      <c r="B18" s="105"/>
      <c r="C18" s="32" t="s">
        <v>1557</v>
      </c>
      <c r="D18" s="8">
        <v>22800000</v>
      </c>
    </row>
    <row r="19" spans="1:4" x14ac:dyDescent="0.25">
      <c r="A19" s="30">
        <v>3</v>
      </c>
      <c r="B19" s="105"/>
      <c r="C19" s="32" t="s">
        <v>1558</v>
      </c>
      <c r="D19" s="8">
        <v>8110000</v>
      </c>
    </row>
    <row r="20" spans="1:4" x14ac:dyDescent="0.25">
      <c r="A20" s="30">
        <v>4</v>
      </c>
      <c r="B20" s="105"/>
      <c r="C20" s="32" t="s">
        <v>1559</v>
      </c>
      <c r="D20" s="8">
        <v>1800000</v>
      </c>
    </row>
    <row r="21" spans="1:4" x14ac:dyDescent="0.25">
      <c r="A21" s="30">
        <v>5</v>
      </c>
      <c r="B21" s="105"/>
      <c r="C21" s="32" t="s">
        <v>1560</v>
      </c>
      <c r="D21" s="8">
        <v>700000</v>
      </c>
    </row>
    <row r="22" spans="1:4" x14ac:dyDescent="0.25">
      <c r="A22" s="30">
        <v>6</v>
      </c>
      <c r="B22" s="105"/>
      <c r="C22" s="31" t="s">
        <v>1561</v>
      </c>
      <c r="D22" s="8">
        <v>2400000</v>
      </c>
    </row>
    <row r="23" spans="1:4" x14ac:dyDescent="0.25">
      <c r="A23" s="30">
        <v>7</v>
      </c>
      <c r="B23" s="105"/>
      <c r="C23" s="31" t="s">
        <v>1562</v>
      </c>
      <c r="D23" s="8">
        <v>2500000</v>
      </c>
    </row>
    <row r="24" spans="1:4" x14ac:dyDescent="0.25">
      <c r="A24" s="30">
        <v>8</v>
      </c>
      <c r="B24" s="105"/>
      <c r="C24" s="31" t="s">
        <v>1567</v>
      </c>
      <c r="D24" s="8">
        <v>800000</v>
      </c>
    </row>
    <row r="25" spans="1:4" x14ac:dyDescent="0.25">
      <c r="A25" s="30">
        <v>9</v>
      </c>
      <c r="B25" s="105"/>
      <c r="C25" s="31" t="s">
        <v>1588</v>
      </c>
      <c r="D25" s="8">
        <v>5200000</v>
      </c>
    </row>
    <row r="26" spans="1:4" x14ac:dyDescent="0.25">
      <c r="A26" s="30">
        <v>10</v>
      </c>
      <c r="B26" s="106"/>
      <c r="C26" s="31" t="s">
        <v>1587</v>
      </c>
      <c r="D26" s="8">
        <v>1700000</v>
      </c>
    </row>
    <row r="27" spans="1:4" x14ac:dyDescent="0.25">
      <c r="A27" s="92" t="s">
        <v>851</v>
      </c>
      <c r="B27" s="93"/>
      <c r="C27" s="94"/>
      <c r="D27" s="89">
        <f>SUM(D17:D26)</f>
        <v>61360000</v>
      </c>
    </row>
    <row r="28" spans="1:4" x14ac:dyDescent="0.25">
      <c r="A28" s="95"/>
      <c r="B28" s="96"/>
      <c r="C28" s="97"/>
      <c r="D28" s="89"/>
    </row>
    <row r="31" spans="1:4" x14ac:dyDescent="0.25">
      <c r="A31" s="87" t="s">
        <v>968</v>
      </c>
      <c r="B31" s="87" t="s">
        <v>965</v>
      </c>
      <c r="C31" s="87" t="s">
        <v>5</v>
      </c>
      <c r="D31" s="87" t="s">
        <v>969</v>
      </c>
    </row>
    <row r="32" spans="1:4" x14ac:dyDescent="0.25">
      <c r="A32" s="88"/>
      <c r="B32" s="88"/>
      <c r="C32" s="88"/>
      <c r="D32" s="88"/>
    </row>
    <row r="33" spans="1:4" x14ac:dyDescent="0.25">
      <c r="A33" s="42">
        <v>1</v>
      </c>
      <c r="B33" s="42" t="s">
        <v>1047</v>
      </c>
      <c r="C33" s="1"/>
      <c r="D33" s="8"/>
    </row>
    <row r="34" spans="1:4" x14ac:dyDescent="0.25">
      <c r="A34" s="34"/>
      <c r="B34" s="43"/>
      <c r="C34" s="1"/>
      <c r="D34" s="8"/>
    </row>
    <row r="35" spans="1:4" x14ac:dyDescent="0.25">
      <c r="A35" s="34"/>
      <c r="B35" s="43"/>
      <c r="C35" s="1"/>
      <c r="D35" s="8"/>
    </row>
    <row r="36" spans="1:4" x14ac:dyDescent="0.25">
      <c r="A36" s="34"/>
      <c r="B36" s="43"/>
      <c r="C36" s="31"/>
      <c r="D36" s="8"/>
    </row>
    <row r="37" spans="1:4" x14ac:dyDescent="0.25">
      <c r="A37" s="92" t="s">
        <v>851</v>
      </c>
      <c r="B37" s="93"/>
      <c r="C37" s="94"/>
      <c r="D37" s="89">
        <f>SUM(D33:D35)</f>
        <v>0</v>
      </c>
    </row>
    <row r="38" spans="1:4" x14ac:dyDescent="0.25">
      <c r="A38" s="95"/>
      <c r="B38" s="96"/>
      <c r="C38" s="97"/>
      <c r="D38" s="89"/>
    </row>
    <row r="43" spans="1:4" x14ac:dyDescent="0.25">
      <c r="A43" s="87" t="s">
        <v>968</v>
      </c>
      <c r="B43" s="87" t="s">
        <v>965</v>
      </c>
      <c r="C43" s="87" t="s">
        <v>969</v>
      </c>
    </row>
    <row r="44" spans="1:4" x14ac:dyDescent="0.25">
      <c r="A44" s="88"/>
      <c r="B44" s="88"/>
      <c r="C44" s="88"/>
    </row>
    <row r="45" spans="1:4" ht="22.5" customHeight="1" x14ac:dyDescent="0.25">
      <c r="A45" s="30">
        <v>1</v>
      </c>
      <c r="B45" s="30" t="s">
        <v>966</v>
      </c>
      <c r="C45" s="8">
        <f>D10</f>
        <v>55166280</v>
      </c>
    </row>
    <row r="46" spans="1:4" ht="21.75" customHeight="1" x14ac:dyDescent="0.25">
      <c r="A46" s="30">
        <v>2</v>
      </c>
      <c r="B46" s="30" t="s">
        <v>967</v>
      </c>
      <c r="C46" s="8">
        <f>D27</f>
        <v>61360000</v>
      </c>
    </row>
    <row r="47" spans="1:4" ht="21.75" hidden="1" customHeight="1" x14ac:dyDescent="0.25">
      <c r="A47" s="30">
        <v>3</v>
      </c>
      <c r="B47" s="30" t="s">
        <v>1047</v>
      </c>
      <c r="C47" s="8">
        <f>D37</f>
        <v>0</v>
      </c>
    </row>
    <row r="48" spans="1:4" ht="15" customHeight="1" x14ac:dyDescent="0.25">
      <c r="A48" s="90" t="s">
        <v>851</v>
      </c>
      <c r="B48" s="90"/>
      <c r="C48" s="89">
        <f>SUM(C45:C47)</f>
        <v>116526280</v>
      </c>
    </row>
    <row r="49" spans="1:3" ht="15" customHeight="1" x14ac:dyDescent="0.25">
      <c r="A49" s="90"/>
      <c r="B49" s="90"/>
      <c r="C49" s="89"/>
    </row>
    <row r="53" spans="1:3" x14ac:dyDescent="0.25">
      <c r="A53" s="87" t="s">
        <v>968</v>
      </c>
      <c r="B53" s="87" t="s">
        <v>7</v>
      </c>
      <c r="C53" s="87" t="s">
        <v>969</v>
      </c>
    </row>
    <row r="54" spans="1:3" x14ac:dyDescent="0.25">
      <c r="A54" s="88"/>
      <c r="B54" s="88"/>
      <c r="C54" s="88"/>
    </row>
    <row r="55" spans="1:3" x14ac:dyDescent="0.25">
      <c r="A55" s="42">
        <v>1</v>
      </c>
      <c r="B55" s="1" t="s">
        <v>1552</v>
      </c>
      <c r="C55" s="8">
        <v>4725000</v>
      </c>
    </row>
    <row r="56" spans="1:3" x14ac:dyDescent="0.25">
      <c r="A56" s="34">
        <v>2</v>
      </c>
      <c r="B56" s="1" t="s">
        <v>1553</v>
      </c>
      <c r="C56" s="8">
        <v>8544363</v>
      </c>
    </row>
    <row r="57" spans="1:3" x14ac:dyDescent="0.25">
      <c r="A57" s="42">
        <v>3</v>
      </c>
      <c r="B57" s="1" t="s">
        <v>1591</v>
      </c>
      <c r="C57" s="8">
        <v>2175000</v>
      </c>
    </row>
    <row r="58" spans="1:3" x14ac:dyDescent="0.25">
      <c r="A58" s="34">
        <v>4</v>
      </c>
      <c r="B58" s="1" t="s">
        <v>1586</v>
      </c>
      <c r="C58" s="8">
        <v>2450000</v>
      </c>
    </row>
    <row r="59" spans="1:3" x14ac:dyDescent="0.25">
      <c r="A59" s="42">
        <v>5</v>
      </c>
      <c r="B59" s="1" t="s">
        <v>7</v>
      </c>
      <c r="C59" s="8">
        <v>25000000</v>
      </c>
    </row>
    <row r="60" spans="1:3" x14ac:dyDescent="0.25">
      <c r="A60" s="34">
        <v>6</v>
      </c>
      <c r="B60" s="1" t="s">
        <v>1590</v>
      </c>
      <c r="C60" s="8">
        <v>4500000</v>
      </c>
    </row>
    <row r="61" spans="1:3" x14ac:dyDescent="0.25">
      <c r="A61" s="42">
        <v>7</v>
      </c>
      <c r="B61" s="32" t="s">
        <v>1558</v>
      </c>
      <c r="C61" s="8">
        <v>8110000</v>
      </c>
    </row>
    <row r="62" spans="1:3" x14ac:dyDescent="0.25">
      <c r="A62" s="34">
        <v>8</v>
      </c>
      <c r="B62" s="32" t="s">
        <v>1559</v>
      </c>
      <c r="C62" s="8">
        <v>1800000</v>
      </c>
    </row>
    <row r="63" spans="1:3" x14ac:dyDescent="0.25">
      <c r="A63" s="42">
        <v>9</v>
      </c>
      <c r="B63" s="32" t="s">
        <v>1560</v>
      </c>
      <c r="C63" s="8">
        <v>700000</v>
      </c>
    </row>
    <row r="64" spans="1:3" x14ac:dyDescent="0.25">
      <c r="A64" s="34">
        <v>10</v>
      </c>
      <c r="B64" s="31" t="s">
        <v>1561</v>
      </c>
      <c r="C64" s="8">
        <v>2400000</v>
      </c>
    </row>
    <row r="65" spans="1:3" x14ac:dyDescent="0.25">
      <c r="A65" s="42">
        <v>11</v>
      </c>
      <c r="B65" s="31" t="s">
        <v>1588</v>
      </c>
      <c r="C65" s="8">
        <v>5200000</v>
      </c>
    </row>
    <row r="66" spans="1:3" x14ac:dyDescent="0.25">
      <c r="A66" s="34">
        <v>12</v>
      </c>
      <c r="B66" s="31" t="s">
        <v>1587</v>
      </c>
      <c r="C66" s="8">
        <v>1700000</v>
      </c>
    </row>
    <row r="67" spans="1:3" ht="15" customHeight="1" x14ac:dyDescent="0.25">
      <c r="A67" s="92" t="s">
        <v>851</v>
      </c>
      <c r="B67" s="93"/>
      <c r="C67" s="89">
        <f>SUM(C55:C65)</f>
        <v>65604363</v>
      </c>
    </row>
    <row r="68" spans="1:3" ht="15" customHeight="1" x14ac:dyDescent="0.25">
      <c r="A68" s="95"/>
      <c r="B68" s="96"/>
      <c r="C68" s="89"/>
    </row>
  </sheetData>
  <mergeCells count="30">
    <mergeCell ref="D31:D32"/>
    <mergeCell ref="A1:A2"/>
    <mergeCell ref="B1:B2"/>
    <mergeCell ref="C1:C2"/>
    <mergeCell ref="D1:D2"/>
    <mergeCell ref="A10:C11"/>
    <mergeCell ref="D10:D11"/>
    <mergeCell ref="D15:D16"/>
    <mergeCell ref="A27:C28"/>
    <mergeCell ref="D27:D28"/>
    <mergeCell ref="A31:A32"/>
    <mergeCell ref="B31:B32"/>
    <mergeCell ref="C31:C32"/>
    <mergeCell ref="D37:D38"/>
    <mergeCell ref="A43:A44"/>
    <mergeCell ref="B43:B44"/>
    <mergeCell ref="C43:C44"/>
    <mergeCell ref="A48:B49"/>
    <mergeCell ref="C48:C49"/>
    <mergeCell ref="A67:B68"/>
    <mergeCell ref="C67:C68"/>
    <mergeCell ref="B17:B26"/>
    <mergeCell ref="B3:B8"/>
    <mergeCell ref="A15:A16"/>
    <mergeCell ref="B15:B16"/>
    <mergeCell ref="C15:C16"/>
    <mergeCell ref="A53:A54"/>
    <mergeCell ref="B53:B54"/>
    <mergeCell ref="C53:C54"/>
    <mergeCell ref="A37:C38"/>
  </mergeCells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1915-ECB8-4FBB-B3AA-8C40513EC820}">
  <sheetPr codeName="Sheet22"/>
  <dimension ref="A3:J66"/>
  <sheetViews>
    <sheetView topLeftCell="A49" workbookViewId="0">
      <selection activeCell="A51" sqref="A51:C66"/>
    </sheetView>
  </sheetViews>
  <sheetFormatPr defaultRowHeight="15" x14ac:dyDescent="0.25"/>
  <cols>
    <col min="1" max="1" width="4.42578125" customWidth="1"/>
    <col min="2" max="2" width="39" customWidth="1"/>
    <col min="3" max="3" width="32.140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29" customWidth="1"/>
    <col min="10" max="10" width="18.28515625" customWidth="1"/>
  </cols>
  <sheetData>
    <row r="3" spans="1:10" x14ac:dyDescent="0.25">
      <c r="G3" s="90" t="s">
        <v>1633</v>
      </c>
      <c r="H3" s="90"/>
      <c r="I3" s="90"/>
      <c r="J3" s="90"/>
    </row>
    <row r="4" spans="1:10" x14ac:dyDescent="0.25">
      <c r="G4" s="90"/>
      <c r="H4" s="90"/>
      <c r="I4" s="90"/>
      <c r="J4" s="90"/>
    </row>
    <row r="5" spans="1:10" ht="15" customHeight="1" x14ac:dyDescent="0.25">
      <c r="A5" s="87" t="s">
        <v>968</v>
      </c>
      <c r="B5" s="87" t="s">
        <v>965</v>
      </c>
      <c r="C5" s="87" t="s">
        <v>5</v>
      </c>
      <c r="D5" s="87" t="s">
        <v>969</v>
      </c>
      <c r="G5" s="87" t="s">
        <v>968</v>
      </c>
      <c r="H5" s="87" t="s">
        <v>965</v>
      </c>
      <c r="I5" s="87" t="s">
        <v>5</v>
      </c>
      <c r="J5" s="87" t="s">
        <v>969</v>
      </c>
    </row>
    <row r="6" spans="1:10" ht="15" customHeight="1" x14ac:dyDescent="0.25">
      <c r="A6" s="88"/>
      <c r="B6" s="88"/>
      <c r="C6" s="88"/>
      <c r="D6" s="88"/>
      <c r="G6" s="88"/>
      <c r="H6" s="88"/>
      <c r="I6" s="88"/>
      <c r="J6" s="88"/>
    </row>
    <row r="7" spans="1:10" x14ac:dyDescent="0.25">
      <c r="A7" s="45">
        <v>1</v>
      </c>
      <c r="B7" s="98" t="s">
        <v>966</v>
      </c>
      <c r="C7" s="1" t="s">
        <v>1624</v>
      </c>
      <c r="D7" s="8">
        <v>1502500</v>
      </c>
      <c r="G7" s="45">
        <v>1</v>
      </c>
      <c r="H7" s="45" t="s">
        <v>966</v>
      </c>
      <c r="I7" s="1" t="s">
        <v>7</v>
      </c>
      <c r="J7" s="8">
        <v>25000000</v>
      </c>
    </row>
    <row r="8" spans="1:10" x14ac:dyDescent="0.25">
      <c r="A8" s="45">
        <v>2</v>
      </c>
      <c r="B8" s="99"/>
      <c r="C8" s="1" t="s">
        <v>1625</v>
      </c>
      <c r="D8" s="8">
        <v>2470000</v>
      </c>
      <c r="G8" s="45">
        <v>2</v>
      </c>
      <c r="H8" s="99" t="s">
        <v>967</v>
      </c>
      <c r="I8" s="1" t="s">
        <v>1634</v>
      </c>
      <c r="J8" s="8">
        <v>6351800</v>
      </c>
    </row>
    <row r="9" spans="1:10" x14ac:dyDescent="0.25">
      <c r="A9" s="45">
        <v>3</v>
      </c>
      <c r="B9" s="99"/>
      <c r="C9" s="1" t="s">
        <v>1038</v>
      </c>
      <c r="D9" s="8">
        <v>8000000</v>
      </c>
      <c r="G9" s="45">
        <v>3</v>
      </c>
      <c r="H9" s="100"/>
      <c r="I9" s="1" t="str">
        <f>C21</f>
        <v>SAMSAT MERCY GLA</v>
      </c>
      <c r="J9" s="8">
        <f>D21</f>
        <v>10571000</v>
      </c>
    </row>
    <row r="10" spans="1:10" x14ac:dyDescent="0.25">
      <c r="A10" s="45">
        <v>4</v>
      </c>
      <c r="B10" s="99"/>
      <c r="C10" s="1" t="s">
        <v>7</v>
      </c>
      <c r="D10" s="8">
        <v>25000000</v>
      </c>
      <c r="G10" s="90" t="s">
        <v>851</v>
      </c>
      <c r="H10" s="90"/>
      <c r="I10" s="90"/>
      <c r="J10" s="89">
        <f>SUM(J7:J9)</f>
        <v>41922800</v>
      </c>
    </row>
    <row r="11" spans="1:10" x14ac:dyDescent="0.25">
      <c r="A11" s="45">
        <v>5</v>
      </c>
      <c r="B11" s="99"/>
      <c r="C11" s="1" t="s">
        <v>1626</v>
      </c>
      <c r="D11" s="8">
        <v>4542584</v>
      </c>
      <c r="G11" s="90"/>
      <c r="H11" s="90"/>
      <c r="I11" s="90"/>
      <c r="J11" s="89"/>
    </row>
    <row r="12" spans="1:10" ht="15" customHeight="1" x14ac:dyDescent="0.25">
      <c r="A12" s="90" t="s">
        <v>851</v>
      </c>
      <c r="B12" s="90"/>
      <c r="C12" s="90"/>
      <c r="D12" s="89">
        <f>SUM(D7:D11)</f>
        <v>41515084</v>
      </c>
    </row>
    <row r="13" spans="1:10" ht="15" customHeight="1" x14ac:dyDescent="0.25">
      <c r="A13" s="90"/>
      <c r="B13" s="90"/>
      <c r="C13" s="90"/>
      <c r="D13" s="89"/>
    </row>
    <row r="17" spans="1:4" x14ac:dyDescent="0.25">
      <c r="A17" s="87" t="s">
        <v>968</v>
      </c>
      <c r="B17" s="87" t="s">
        <v>965</v>
      </c>
      <c r="C17" s="87" t="s">
        <v>5</v>
      </c>
      <c r="D17" s="87" t="s">
        <v>969</v>
      </c>
    </row>
    <row r="18" spans="1:4" x14ac:dyDescent="0.25">
      <c r="A18" s="88"/>
      <c r="B18" s="88"/>
      <c r="C18" s="88"/>
      <c r="D18" s="88"/>
    </row>
    <row r="19" spans="1:4" x14ac:dyDescent="0.25">
      <c r="A19" s="30">
        <v>1</v>
      </c>
      <c r="B19" s="91" t="s">
        <v>967</v>
      </c>
      <c r="C19" s="32" t="s">
        <v>1627</v>
      </c>
      <c r="D19" s="8">
        <v>6351800</v>
      </c>
    </row>
    <row r="20" spans="1:4" x14ac:dyDescent="0.25">
      <c r="A20" s="30">
        <v>2</v>
      </c>
      <c r="B20" s="91"/>
      <c r="C20" s="32" t="s">
        <v>1628</v>
      </c>
      <c r="D20" s="8">
        <v>7000000</v>
      </c>
    </row>
    <row r="21" spans="1:4" x14ac:dyDescent="0.25">
      <c r="A21" s="30">
        <v>3</v>
      </c>
      <c r="B21" s="91"/>
      <c r="C21" s="32" t="s">
        <v>1629</v>
      </c>
      <c r="D21" s="8">
        <v>10571000</v>
      </c>
    </row>
    <row r="22" spans="1:4" x14ac:dyDescent="0.25">
      <c r="A22" s="30">
        <v>4</v>
      </c>
      <c r="B22" s="91"/>
      <c r="C22" s="32" t="s">
        <v>1630</v>
      </c>
      <c r="D22" s="8">
        <v>33500000</v>
      </c>
    </row>
    <row r="23" spans="1:4" x14ac:dyDescent="0.25">
      <c r="A23" s="30">
        <v>5</v>
      </c>
      <c r="B23" s="91"/>
      <c r="C23" s="32" t="s">
        <v>1631</v>
      </c>
      <c r="D23" s="8">
        <v>600000</v>
      </c>
    </row>
    <row r="24" spans="1:4" x14ac:dyDescent="0.25">
      <c r="A24" s="49"/>
      <c r="B24" s="43"/>
      <c r="C24" s="31" t="s">
        <v>1632</v>
      </c>
      <c r="D24" s="8">
        <v>16000000</v>
      </c>
    </row>
    <row r="25" spans="1:4" x14ac:dyDescent="0.25">
      <c r="A25" s="92" t="s">
        <v>851</v>
      </c>
      <c r="B25" s="93"/>
      <c r="C25" s="94"/>
      <c r="D25" s="89">
        <f>SUM(D19:D24)</f>
        <v>74022800</v>
      </c>
    </row>
    <row r="26" spans="1:4" x14ac:dyDescent="0.25">
      <c r="A26" s="95"/>
      <c r="B26" s="96"/>
      <c r="C26" s="97"/>
      <c r="D26" s="89"/>
    </row>
    <row r="29" spans="1:4" x14ac:dyDescent="0.25">
      <c r="A29" s="87" t="s">
        <v>968</v>
      </c>
      <c r="B29" s="87" t="s">
        <v>965</v>
      </c>
      <c r="C29" s="87" t="s">
        <v>5</v>
      </c>
      <c r="D29" s="87" t="s">
        <v>969</v>
      </c>
    </row>
    <row r="30" spans="1:4" x14ac:dyDescent="0.25">
      <c r="A30" s="88"/>
      <c r="B30" s="88"/>
      <c r="C30" s="88"/>
      <c r="D30" s="88"/>
    </row>
    <row r="31" spans="1:4" x14ac:dyDescent="0.25">
      <c r="A31" s="42">
        <v>1</v>
      </c>
      <c r="B31" s="42" t="s">
        <v>1047</v>
      </c>
      <c r="C31" s="1"/>
      <c r="D31" s="8"/>
    </row>
    <row r="32" spans="1:4" x14ac:dyDescent="0.25">
      <c r="A32" s="34"/>
      <c r="B32" s="43"/>
      <c r="C32" s="1"/>
      <c r="D32" s="8"/>
    </row>
    <row r="33" spans="1:4" x14ac:dyDescent="0.25">
      <c r="A33" s="34"/>
      <c r="B33" s="43"/>
      <c r="C33" s="1"/>
      <c r="D33" s="8"/>
    </row>
    <row r="34" spans="1:4" x14ac:dyDescent="0.25">
      <c r="A34" s="34"/>
      <c r="B34" s="43"/>
      <c r="C34" s="31"/>
      <c r="D34" s="8"/>
    </row>
    <row r="35" spans="1:4" x14ac:dyDescent="0.25">
      <c r="A35" s="92" t="s">
        <v>851</v>
      </c>
      <c r="B35" s="93"/>
      <c r="C35" s="94"/>
      <c r="D35" s="89">
        <f>SUM(D31:D33)</f>
        <v>0</v>
      </c>
    </row>
    <row r="36" spans="1:4" x14ac:dyDescent="0.25">
      <c r="A36" s="95"/>
      <c r="B36" s="96"/>
      <c r="C36" s="97"/>
      <c r="D36" s="89"/>
    </row>
    <row r="41" spans="1:4" x14ac:dyDescent="0.25">
      <c r="A41" s="87" t="s">
        <v>968</v>
      </c>
      <c r="B41" s="87" t="s">
        <v>965</v>
      </c>
      <c r="C41" s="87" t="s">
        <v>969</v>
      </c>
    </row>
    <row r="42" spans="1:4" x14ac:dyDescent="0.25">
      <c r="A42" s="88"/>
      <c r="B42" s="88"/>
      <c r="C42" s="88"/>
    </row>
    <row r="43" spans="1:4" ht="22.5" customHeight="1" x14ac:dyDescent="0.25">
      <c r="A43" s="30">
        <v>1</v>
      </c>
      <c r="B43" s="30" t="s">
        <v>966</v>
      </c>
      <c r="C43" s="8">
        <f>D12</f>
        <v>41515084</v>
      </c>
    </row>
    <row r="44" spans="1:4" ht="21.75" customHeight="1" x14ac:dyDescent="0.25">
      <c r="A44" s="30">
        <v>2</v>
      </c>
      <c r="B44" s="30" t="s">
        <v>967</v>
      </c>
      <c r="C44" s="8">
        <f>D25</f>
        <v>74022800</v>
      </c>
    </row>
    <row r="45" spans="1:4" ht="21.75" hidden="1" customHeight="1" x14ac:dyDescent="0.25">
      <c r="A45" s="30">
        <v>3</v>
      </c>
      <c r="B45" s="30" t="s">
        <v>1047</v>
      </c>
      <c r="C45" s="8">
        <f>D35</f>
        <v>0</v>
      </c>
    </row>
    <row r="46" spans="1:4" ht="15" customHeight="1" x14ac:dyDescent="0.25">
      <c r="A46" s="90" t="s">
        <v>851</v>
      </c>
      <c r="B46" s="90"/>
      <c r="C46" s="89">
        <f>SUM(C43:C45)</f>
        <v>115537884</v>
      </c>
    </row>
    <row r="47" spans="1:4" ht="15" customHeight="1" x14ac:dyDescent="0.25">
      <c r="A47" s="90"/>
      <c r="B47" s="90"/>
      <c r="C47" s="89"/>
    </row>
    <row r="51" spans="1:3" x14ac:dyDescent="0.25">
      <c r="A51" s="87" t="s">
        <v>968</v>
      </c>
      <c r="B51" s="87" t="s">
        <v>7</v>
      </c>
      <c r="C51" s="87" t="s">
        <v>969</v>
      </c>
    </row>
    <row r="52" spans="1:3" x14ac:dyDescent="0.25">
      <c r="A52" s="88"/>
      <c r="B52" s="88"/>
      <c r="C52" s="88"/>
    </row>
    <row r="53" spans="1:3" x14ac:dyDescent="0.25">
      <c r="A53" s="42">
        <v>1</v>
      </c>
      <c r="B53" s="1" t="s">
        <v>1552</v>
      </c>
      <c r="C53" s="8">
        <v>4725000</v>
      </c>
    </row>
    <row r="54" spans="1:3" x14ac:dyDescent="0.25">
      <c r="A54" s="34">
        <v>2</v>
      </c>
      <c r="B54" s="1" t="s">
        <v>1553</v>
      </c>
      <c r="C54" s="8">
        <v>8544363</v>
      </c>
    </row>
    <row r="55" spans="1:3" x14ac:dyDescent="0.25">
      <c r="A55" s="42">
        <v>3</v>
      </c>
      <c r="B55" s="1" t="s">
        <v>1591</v>
      </c>
      <c r="C55" s="8">
        <v>2175000</v>
      </c>
    </row>
    <row r="56" spans="1:3" x14ac:dyDescent="0.25">
      <c r="A56" s="34">
        <v>4</v>
      </c>
      <c r="B56" s="1" t="s">
        <v>1586</v>
      </c>
      <c r="C56" s="8">
        <v>2450000</v>
      </c>
    </row>
    <row r="57" spans="1:3" x14ac:dyDescent="0.25">
      <c r="A57" s="42">
        <v>5</v>
      </c>
      <c r="B57" s="1" t="s">
        <v>7</v>
      </c>
      <c r="C57" s="8">
        <v>25000000</v>
      </c>
    </row>
    <row r="58" spans="1:3" x14ac:dyDescent="0.25">
      <c r="A58" s="34">
        <v>6</v>
      </c>
      <c r="B58" s="1" t="s">
        <v>1590</v>
      </c>
      <c r="C58" s="8">
        <v>4500000</v>
      </c>
    </row>
    <row r="59" spans="1:3" x14ac:dyDescent="0.25">
      <c r="A59" s="42">
        <v>7</v>
      </c>
      <c r="B59" s="32" t="s">
        <v>1558</v>
      </c>
      <c r="C59" s="8">
        <v>8110000</v>
      </c>
    </row>
    <row r="60" spans="1:3" x14ac:dyDescent="0.25">
      <c r="A60" s="34">
        <v>8</v>
      </c>
      <c r="B60" s="32" t="s">
        <v>1559</v>
      </c>
      <c r="C60" s="8">
        <v>1800000</v>
      </c>
    </row>
    <row r="61" spans="1:3" x14ac:dyDescent="0.25">
      <c r="A61" s="42">
        <v>9</v>
      </c>
      <c r="B61" s="32" t="s">
        <v>1560</v>
      </c>
      <c r="C61" s="8">
        <v>700000</v>
      </c>
    </row>
    <row r="62" spans="1:3" x14ac:dyDescent="0.25">
      <c r="A62" s="34">
        <v>10</v>
      </c>
      <c r="B62" s="31" t="s">
        <v>1561</v>
      </c>
      <c r="C62" s="8">
        <v>2400000</v>
      </c>
    </row>
    <row r="63" spans="1:3" x14ac:dyDescent="0.25">
      <c r="A63" s="42">
        <v>11</v>
      </c>
      <c r="B63" s="31" t="s">
        <v>1588</v>
      </c>
      <c r="C63" s="8">
        <v>5200000</v>
      </c>
    </row>
    <row r="64" spans="1:3" x14ac:dyDescent="0.25">
      <c r="A64" s="34">
        <v>12</v>
      </c>
      <c r="B64" s="31" t="s">
        <v>1587</v>
      </c>
      <c r="C64" s="8">
        <v>1700000</v>
      </c>
    </row>
    <row r="65" spans="1:3" ht="15" customHeight="1" x14ac:dyDescent="0.25">
      <c r="A65" s="92" t="s">
        <v>851</v>
      </c>
      <c r="B65" s="93"/>
      <c r="C65" s="89">
        <f>SUM(C53:C63)</f>
        <v>65604363</v>
      </c>
    </row>
    <row r="66" spans="1:3" ht="15" customHeight="1" x14ac:dyDescent="0.25">
      <c r="A66" s="95"/>
      <c r="B66" s="96"/>
      <c r="C66" s="89"/>
    </row>
  </sheetData>
  <mergeCells count="38">
    <mergeCell ref="G3:J4"/>
    <mergeCell ref="J5:J6"/>
    <mergeCell ref="I5:I6"/>
    <mergeCell ref="H5:H6"/>
    <mergeCell ref="G5:G6"/>
    <mergeCell ref="H8:H9"/>
    <mergeCell ref="A65:B66"/>
    <mergeCell ref="C65:C66"/>
    <mergeCell ref="G10:I11"/>
    <mergeCell ref="J10:J11"/>
    <mergeCell ref="A41:A42"/>
    <mergeCell ref="B41:B42"/>
    <mergeCell ref="C41:C42"/>
    <mergeCell ref="A46:B47"/>
    <mergeCell ref="C46:C47"/>
    <mergeCell ref="A51:A52"/>
    <mergeCell ref="B51:B52"/>
    <mergeCell ref="C51:C52"/>
    <mergeCell ref="A29:A30"/>
    <mergeCell ref="B29:B30"/>
    <mergeCell ref="C29:C30"/>
    <mergeCell ref="D29:D30"/>
    <mergeCell ref="A35:C36"/>
    <mergeCell ref="D35:D36"/>
    <mergeCell ref="A17:A18"/>
    <mergeCell ref="B17:B18"/>
    <mergeCell ref="C17:C18"/>
    <mergeCell ref="D17:D18"/>
    <mergeCell ref="B19:B23"/>
    <mergeCell ref="A25:C26"/>
    <mergeCell ref="D25:D26"/>
    <mergeCell ref="A12:C13"/>
    <mergeCell ref="D12:D13"/>
    <mergeCell ref="A5:A6"/>
    <mergeCell ref="B5:B6"/>
    <mergeCell ref="C5:C6"/>
    <mergeCell ref="D5:D6"/>
    <mergeCell ref="B7:B11"/>
  </mergeCell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8431-2DE4-482A-92C0-44F1A06E4E3A}">
  <dimension ref="A1:D65"/>
  <sheetViews>
    <sheetView topLeftCell="A45" workbookViewId="0">
      <selection activeCell="D62" sqref="D62"/>
    </sheetView>
  </sheetViews>
  <sheetFormatPr defaultRowHeight="15" x14ac:dyDescent="0.25"/>
  <cols>
    <col min="1" max="1" width="4.42578125" customWidth="1"/>
    <col min="2" max="2" width="19.28515625" customWidth="1"/>
    <col min="3" max="3" width="32.140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98">
        <v>1</v>
      </c>
      <c r="B3" s="98" t="s">
        <v>966</v>
      </c>
      <c r="C3" s="1" t="s">
        <v>1038</v>
      </c>
      <c r="D3" s="8">
        <v>8000000</v>
      </c>
    </row>
    <row r="4" spans="1:4" x14ac:dyDescent="0.25">
      <c r="A4" s="99"/>
      <c r="B4" s="99"/>
      <c r="C4" s="1" t="s">
        <v>1075</v>
      </c>
      <c r="D4" s="8">
        <v>30000000</v>
      </c>
    </row>
    <row r="5" spans="1:4" x14ac:dyDescent="0.25">
      <c r="A5" s="99"/>
      <c r="B5" s="99"/>
      <c r="C5" s="1" t="s">
        <v>1452</v>
      </c>
      <c r="D5" s="8">
        <v>6731250</v>
      </c>
    </row>
    <row r="6" spans="1:4" x14ac:dyDescent="0.25">
      <c r="A6" s="99"/>
      <c r="B6" s="99"/>
      <c r="C6" s="1" t="s">
        <v>1123</v>
      </c>
      <c r="D6" s="8">
        <v>14490000</v>
      </c>
    </row>
    <row r="7" spans="1:4" x14ac:dyDescent="0.25">
      <c r="A7" s="99"/>
      <c r="B7" s="99"/>
      <c r="C7" s="1" t="s">
        <v>1125</v>
      </c>
      <c r="D7" s="8">
        <v>10000000</v>
      </c>
    </row>
    <row r="8" spans="1:4" x14ac:dyDescent="0.25">
      <c r="A8" s="99"/>
      <c r="B8" s="99"/>
      <c r="C8" s="1" t="s">
        <v>1451</v>
      </c>
      <c r="D8" s="8">
        <v>13070216</v>
      </c>
    </row>
    <row r="9" spans="1:4" x14ac:dyDescent="0.25">
      <c r="A9" s="99"/>
      <c r="B9" s="99"/>
      <c r="C9" s="1" t="s">
        <v>1657</v>
      </c>
      <c r="D9" s="8">
        <v>4542584</v>
      </c>
    </row>
    <row r="10" spans="1:4" x14ac:dyDescent="0.25">
      <c r="A10" s="100"/>
      <c r="B10" s="100"/>
      <c r="C10" s="1" t="s">
        <v>7</v>
      </c>
      <c r="D10" s="8">
        <v>25000000</v>
      </c>
    </row>
    <row r="11" spans="1:4" ht="15" customHeight="1" x14ac:dyDescent="0.25">
      <c r="A11" s="90" t="s">
        <v>851</v>
      </c>
      <c r="B11" s="90"/>
      <c r="C11" s="90"/>
      <c r="D11" s="89">
        <f>SUM(D3:D10)</f>
        <v>111834050</v>
      </c>
    </row>
    <row r="12" spans="1:4" ht="15" customHeight="1" x14ac:dyDescent="0.25">
      <c r="A12" s="90"/>
      <c r="B12" s="90"/>
      <c r="C12" s="90"/>
      <c r="D12" s="89"/>
    </row>
    <row r="16" spans="1:4" x14ac:dyDescent="0.25">
      <c r="A16" s="87" t="s">
        <v>968</v>
      </c>
      <c r="B16" s="87" t="s">
        <v>965</v>
      </c>
      <c r="C16" s="87" t="s">
        <v>5</v>
      </c>
      <c r="D16" s="87" t="s">
        <v>969</v>
      </c>
    </row>
    <row r="17" spans="1:4" x14ac:dyDescent="0.25">
      <c r="A17" s="88"/>
      <c r="B17" s="88"/>
      <c r="C17" s="88"/>
      <c r="D17" s="88"/>
    </row>
    <row r="18" spans="1:4" x14ac:dyDescent="0.25">
      <c r="A18" s="91">
        <v>1</v>
      </c>
      <c r="B18" s="91" t="s">
        <v>967</v>
      </c>
      <c r="C18" s="1" t="s">
        <v>1658</v>
      </c>
      <c r="D18" s="8">
        <v>6300000</v>
      </c>
    </row>
    <row r="19" spans="1:4" x14ac:dyDescent="0.25">
      <c r="A19" s="91"/>
      <c r="B19" s="91"/>
      <c r="C19" s="1" t="s">
        <v>1659</v>
      </c>
      <c r="D19" s="8">
        <v>3500000</v>
      </c>
    </row>
    <row r="20" spans="1:4" x14ac:dyDescent="0.25">
      <c r="A20" s="91"/>
      <c r="B20" s="91"/>
      <c r="C20" s="1" t="s">
        <v>1660</v>
      </c>
      <c r="D20" s="8">
        <v>2060000</v>
      </c>
    </row>
    <row r="21" spans="1:4" x14ac:dyDescent="0.25">
      <c r="A21" s="91"/>
      <c r="B21" s="91"/>
      <c r="C21" s="1" t="s">
        <v>1661</v>
      </c>
      <c r="D21" s="8">
        <v>400000</v>
      </c>
    </row>
    <row r="22" spans="1:4" x14ac:dyDescent="0.25">
      <c r="A22" s="91"/>
      <c r="B22" s="91"/>
      <c r="C22" s="1" t="s">
        <v>1662</v>
      </c>
      <c r="D22" s="8">
        <v>34159000</v>
      </c>
    </row>
    <row r="23" spans="1:4" x14ac:dyDescent="0.25">
      <c r="A23" s="91"/>
      <c r="B23" s="91"/>
      <c r="C23" s="1" t="s">
        <v>1663</v>
      </c>
      <c r="D23" s="8">
        <v>650000</v>
      </c>
    </row>
    <row r="24" spans="1:4" x14ac:dyDescent="0.25">
      <c r="A24" s="91"/>
      <c r="B24" s="91"/>
      <c r="C24" s="1" t="s">
        <v>1679</v>
      </c>
      <c r="D24" s="8">
        <v>250000</v>
      </c>
    </row>
    <row r="25" spans="1:4" x14ac:dyDescent="0.25">
      <c r="A25" s="91"/>
      <c r="B25" s="91"/>
      <c r="C25" s="1" t="s">
        <v>1664</v>
      </c>
      <c r="D25" s="8">
        <v>5900000</v>
      </c>
    </row>
    <row r="26" spans="1:4" x14ac:dyDescent="0.25">
      <c r="A26" s="91"/>
      <c r="B26" s="91"/>
      <c r="C26" s="1" t="s">
        <v>1665</v>
      </c>
      <c r="D26" s="8">
        <v>6000000</v>
      </c>
    </row>
    <row r="27" spans="1:4" x14ac:dyDescent="0.25">
      <c r="A27" s="92" t="s">
        <v>851</v>
      </c>
      <c r="B27" s="93"/>
      <c r="C27" s="94"/>
      <c r="D27" s="89">
        <f>SUM(D18:D26)</f>
        <v>59219000</v>
      </c>
    </row>
    <row r="28" spans="1:4" x14ac:dyDescent="0.25">
      <c r="A28" s="95"/>
      <c r="B28" s="96"/>
      <c r="C28" s="97"/>
      <c r="D28" s="89"/>
    </row>
    <row r="31" spans="1:4" x14ac:dyDescent="0.25">
      <c r="A31" s="87" t="s">
        <v>968</v>
      </c>
      <c r="B31" s="87" t="s">
        <v>965</v>
      </c>
      <c r="C31" s="87" t="s">
        <v>5</v>
      </c>
      <c r="D31" s="87" t="s">
        <v>969</v>
      </c>
    </row>
    <row r="32" spans="1:4" x14ac:dyDescent="0.25">
      <c r="A32" s="88"/>
      <c r="B32" s="88"/>
      <c r="C32" s="88"/>
      <c r="D32" s="88"/>
    </row>
    <row r="33" spans="1:4" x14ac:dyDescent="0.25">
      <c r="A33" s="91">
        <v>1</v>
      </c>
      <c r="B33" s="91" t="s">
        <v>1047</v>
      </c>
      <c r="C33" s="1" t="s">
        <v>1048</v>
      </c>
      <c r="D33" s="8">
        <v>300000</v>
      </c>
    </row>
    <row r="34" spans="1:4" x14ac:dyDescent="0.25">
      <c r="A34" s="91"/>
      <c r="B34" s="91"/>
      <c r="C34" s="1" t="s">
        <v>1049</v>
      </c>
      <c r="D34" s="8">
        <v>300000</v>
      </c>
    </row>
    <row r="35" spans="1:4" x14ac:dyDescent="0.25">
      <c r="A35" s="91"/>
      <c r="B35" s="91"/>
      <c r="C35" s="1" t="s">
        <v>1050</v>
      </c>
      <c r="D35" s="8">
        <v>300000</v>
      </c>
    </row>
    <row r="36" spans="1:4" x14ac:dyDescent="0.25">
      <c r="A36" s="91"/>
      <c r="B36" s="91"/>
      <c r="C36" s="1" t="s">
        <v>1051</v>
      </c>
      <c r="D36" s="8">
        <v>300000</v>
      </c>
    </row>
    <row r="37" spans="1:4" x14ac:dyDescent="0.25">
      <c r="A37" s="92" t="s">
        <v>851</v>
      </c>
      <c r="B37" s="93"/>
      <c r="C37" s="94"/>
      <c r="D37" s="89">
        <f>SUM(D33:D36)</f>
        <v>1200000</v>
      </c>
    </row>
    <row r="38" spans="1:4" x14ac:dyDescent="0.25">
      <c r="A38" s="95"/>
      <c r="B38" s="96"/>
      <c r="C38" s="97"/>
      <c r="D38" s="89"/>
    </row>
    <row r="43" spans="1:4" x14ac:dyDescent="0.25">
      <c r="A43" s="87" t="s">
        <v>968</v>
      </c>
      <c r="B43" s="87" t="s">
        <v>965</v>
      </c>
      <c r="C43" s="87" t="s">
        <v>969</v>
      </c>
    </row>
    <row r="44" spans="1:4" x14ac:dyDescent="0.25">
      <c r="A44" s="88"/>
      <c r="B44" s="88"/>
      <c r="C44" s="88"/>
    </row>
    <row r="45" spans="1:4" ht="22.5" customHeight="1" x14ac:dyDescent="0.25">
      <c r="A45" s="30">
        <v>1</v>
      </c>
      <c r="B45" s="30" t="s">
        <v>966</v>
      </c>
      <c r="C45" s="8">
        <f>D11</f>
        <v>111834050</v>
      </c>
    </row>
    <row r="46" spans="1:4" ht="21.75" customHeight="1" x14ac:dyDescent="0.25">
      <c r="A46" s="30">
        <v>2</v>
      </c>
      <c r="B46" s="30" t="s">
        <v>967</v>
      </c>
      <c r="C46" s="8">
        <f>D27</f>
        <v>59219000</v>
      </c>
    </row>
    <row r="47" spans="1:4" ht="21.75" hidden="1" customHeight="1" x14ac:dyDescent="0.25">
      <c r="A47" s="30">
        <v>3</v>
      </c>
      <c r="B47" s="30" t="s">
        <v>1047</v>
      </c>
      <c r="C47" s="8">
        <f>D37</f>
        <v>1200000</v>
      </c>
    </row>
    <row r="48" spans="1:4" ht="15" customHeight="1" x14ac:dyDescent="0.25">
      <c r="A48" s="90" t="s">
        <v>851</v>
      </c>
      <c r="B48" s="90"/>
      <c r="C48" s="89">
        <f>SUM(C45:C46)</f>
        <v>171053050</v>
      </c>
    </row>
    <row r="49" spans="1:3" ht="15" customHeight="1" x14ac:dyDescent="0.25">
      <c r="A49" s="90"/>
      <c r="B49" s="90"/>
      <c r="C49" s="89"/>
    </row>
    <row r="53" spans="1:3" x14ac:dyDescent="0.25">
      <c r="A53" s="87" t="s">
        <v>968</v>
      </c>
      <c r="B53" s="87" t="s">
        <v>7</v>
      </c>
      <c r="C53" s="87" t="s">
        <v>969</v>
      </c>
    </row>
    <row r="54" spans="1:3" x14ac:dyDescent="0.25">
      <c r="A54" s="88"/>
      <c r="B54" s="88"/>
      <c r="C54" s="88"/>
    </row>
    <row r="55" spans="1:3" x14ac:dyDescent="0.25">
      <c r="A55" s="42">
        <v>1</v>
      </c>
      <c r="B55" s="1" t="str" cm="1">
        <f t="array" ref="B55:C55">C3:D3</f>
        <v>KOPERASI PANCA MERTA</v>
      </c>
      <c r="C55" s="8">
        <v>8000000</v>
      </c>
    </row>
    <row r="56" spans="1:3" x14ac:dyDescent="0.25">
      <c r="A56" s="34">
        <v>2</v>
      </c>
      <c r="B56" s="1" t="str" cm="1">
        <f t="array" ref="B56:C56">C7:D7</f>
        <v>LPD TEMBAWU</v>
      </c>
      <c r="C56" s="8">
        <v>10000000</v>
      </c>
    </row>
    <row r="57" spans="1:3" x14ac:dyDescent="0.25">
      <c r="A57" s="42">
        <v>3</v>
      </c>
      <c r="B57" s="1" t="str" cm="1">
        <f t="array" ref="B57:C57">C8:D8</f>
        <v>ANGS APARTMENT LAVAYA</v>
      </c>
      <c r="C57" s="8">
        <v>13070216</v>
      </c>
    </row>
    <row r="58" spans="1:3" x14ac:dyDescent="0.25">
      <c r="A58" s="34">
        <v>4</v>
      </c>
      <c r="B58" s="1" t="str" cm="1">
        <f t="array" ref="B58:C58">C9:D9</f>
        <v>ANGS HUTANG PAJAK</v>
      </c>
      <c r="C58" s="8">
        <v>4542584</v>
      </c>
    </row>
    <row r="59" spans="1:3" x14ac:dyDescent="0.25">
      <c r="A59" s="42">
        <v>5</v>
      </c>
      <c r="B59" s="1" t="str" cm="1">
        <f t="array" ref="B59:C59">C10:D10</f>
        <v>PATTY CASH</v>
      </c>
      <c r="C59" s="8">
        <v>25000000</v>
      </c>
    </row>
    <row r="60" spans="1:3" x14ac:dyDescent="0.25">
      <c r="A60" s="34">
        <v>6</v>
      </c>
      <c r="B60" s="1" t="str" cm="1">
        <f t="array" ref="B60:C60">C20:D20</f>
        <v>REMBES CHROME LEXUS LM 350</v>
      </c>
      <c r="C60" s="8">
        <v>2060000</v>
      </c>
    </row>
    <row r="61" spans="1:3" x14ac:dyDescent="0.25">
      <c r="A61" s="42">
        <v>7</v>
      </c>
      <c r="B61" s="32" t="str" cm="1">
        <f t="array" ref="B61:C61">C21:D21</f>
        <v>PDR MACAN 2.0 &amp; RUBICON SHORT</v>
      </c>
      <c r="C61" s="8">
        <v>400000</v>
      </c>
    </row>
    <row r="62" spans="1:3" x14ac:dyDescent="0.25">
      <c r="A62" s="34">
        <v>8</v>
      </c>
      <c r="B62" s="32" t="str" cm="1">
        <f t="array" ref="B62:C62">C23:D23</f>
        <v>CEK BMX M4</v>
      </c>
      <c r="C62" s="8">
        <v>650000</v>
      </c>
    </row>
    <row r="63" spans="1:3" x14ac:dyDescent="0.25">
      <c r="A63" s="42">
        <v>9</v>
      </c>
      <c r="B63" s="32" t="str" cm="1">
        <f t="array" ref="B63:C63">C24:D24</f>
        <v>ONGKOS JALAN UDIN</v>
      </c>
      <c r="C63" s="8">
        <v>250000</v>
      </c>
    </row>
    <row r="64" spans="1:3" x14ac:dyDescent="0.25">
      <c r="A64" s="92" t="s">
        <v>851</v>
      </c>
      <c r="B64" s="93"/>
      <c r="C64" s="89">
        <f>SUM(C55:C63)</f>
        <v>63972800</v>
      </c>
    </row>
    <row r="65" spans="1:3" x14ac:dyDescent="0.25">
      <c r="A65" s="95"/>
      <c r="B65" s="96"/>
      <c r="C65" s="89"/>
    </row>
  </sheetData>
  <mergeCells count="34">
    <mergeCell ref="A53:A54"/>
    <mergeCell ref="B53:B54"/>
    <mergeCell ref="C53:C54"/>
    <mergeCell ref="A64:B65"/>
    <mergeCell ref="C64:C65"/>
    <mergeCell ref="A48:B49"/>
    <mergeCell ref="C48:C49"/>
    <mergeCell ref="A33:A36"/>
    <mergeCell ref="B33:B36"/>
    <mergeCell ref="A37:C38"/>
    <mergeCell ref="D37:D38"/>
    <mergeCell ref="A43:A44"/>
    <mergeCell ref="B43:B44"/>
    <mergeCell ref="C43:C44"/>
    <mergeCell ref="A18:A26"/>
    <mergeCell ref="B18:B26"/>
    <mergeCell ref="A27:C28"/>
    <mergeCell ref="D27:D28"/>
    <mergeCell ref="A31:A32"/>
    <mergeCell ref="B31:B32"/>
    <mergeCell ref="C31:C32"/>
    <mergeCell ref="D31:D32"/>
    <mergeCell ref="D11:D12"/>
    <mergeCell ref="A16:A17"/>
    <mergeCell ref="B16:B17"/>
    <mergeCell ref="C16:C17"/>
    <mergeCell ref="D16:D17"/>
    <mergeCell ref="A11:C12"/>
    <mergeCell ref="A1:A2"/>
    <mergeCell ref="B1:B2"/>
    <mergeCell ref="C1:C2"/>
    <mergeCell ref="D1:D2"/>
    <mergeCell ref="B3:B10"/>
    <mergeCell ref="A3:A10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A5E8-72A2-4685-B864-BBC36C86D2A9}">
  <dimension ref="A1:D68"/>
  <sheetViews>
    <sheetView workbookViewId="0">
      <selection activeCell="C67" sqref="C67:C68"/>
    </sheetView>
  </sheetViews>
  <sheetFormatPr defaultRowHeight="15" x14ac:dyDescent="0.25"/>
  <cols>
    <col min="1" max="1" width="4.42578125" customWidth="1"/>
    <col min="2" max="2" width="40.7109375" customWidth="1"/>
    <col min="3" max="3" width="36.28515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98">
        <v>1</v>
      </c>
      <c r="B3" s="98" t="s">
        <v>966</v>
      </c>
      <c r="C3" s="1" t="s">
        <v>1700</v>
      </c>
      <c r="D3" s="8">
        <v>6698215</v>
      </c>
    </row>
    <row r="4" spans="1:4" x14ac:dyDescent="0.25">
      <c r="A4" s="99"/>
      <c r="B4" s="99"/>
      <c r="C4" s="1" t="s">
        <v>1701</v>
      </c>
      <c r="D4" s="8">
        <v>9505052</v>
      </c>
    </row>
    <row r="5" spans="1:4" x14ac:dyDescent="0.25">
      <c r="A5" s="99"/>
      <c r="B5" s="99"/>
      <c r="C5" s="1" t="s">
        <v>1345</v>
      </c>
      <c r="D5" s="8">
        <v>4000000</v>
      </c>
    </row>
    <row r="6" spans="1:4" x14ac:dyDescent="0.25">
      <c r="A6" s="99"/>
      <c r="B6" s="99"/>
      <c r="C6" s="1" t="s">
        <v>1124</v>
      </c>
      <c r="D6" s="8">
        <v>11742515</v>
      </c>
    </row>
    <row r="7" spans="1:4" x14ac:dyDescent="0.25">
      <c r="A7" s="99"/>
      <c r="B7" s="99"/>
      <c r="C7" s="1" t="s">
        <v>1344</v>
      </c>
      <c r="D7" s="8">
        <v>8800000</v>
      </c>
    </row>
    <row r="8" spans="1:4" x14ac:dyDescent="0.25">
      <c r="A8" s="99"/>
      <c r="B8" s="99"/>
      <c r="C8" s="1" t="s">
        <v>1702</v>
      </c>
      <c r="D8" s="8">
        <v>7000000</v>
      </c>
    </row>
    <row r="9" spans="1:4" x14ac:dyDescent="0.25">
      <c r="A9" s="99"/>
      <c r="B9" s="99"/>
      <c r="C9" s="1" t="s">
        <v>7</v>
      </c>
      <c r="D9" s="8">
        <v>20000000</v>
      </c>
    </row>
    <row r="10" spans="1:4" ht="15" customHeight="1" x14ac:dyDescent="0.25">
      <c r="A10" s="90" t="s">
        <v>851</v>
      </c>
      <c r="B10" s="90"/>
      <c r="C10" s="90"/>
      <c r="D10" s="89">
        <f>SUM(D3:D9)</f>
        <v>67745782</v>
      </c>
    </row>
    <row r="11" spans="1:4" ht="15" customHeight="1" x14ac:dyDescent="0.25">
      <c r="A11" s="90"/>
      <c r="B11" s="90"/>
      <c r="C11" s="90"/>
      <c r="D11" s="89"/>
    </row>
    <row r="15" spans="1:4" x14ac:dyDescent="0.25">
      <c r="A15" s="87" t="s">
        <v>968</v>
      </c>
      <c r="B15" s="87" t="s">
        <v>965</v>
      </c>
      <c r="C15" s="87" t="s">
        <v>5</v>
      </c>
      <c r="D15" s="87" t="s">
        <v>969</v>
      </c>
    </row>
    <row r="16" spans="1:4" x14ac:dyDescent="0.25">
      <c r="A16" s="88"/>
      <c r="B16" s="88"/>
      <c r="C16" s="88"/>
      <c r="D16" s="88"/>
    </row>
    <row r="17" spans="1:4" x14ac:dyDescent="0.25">
      <c r="A17" s="91">
        <v>1</v>
      </c>
      <c r="B17" s="91" t="s">
        <v>967</v>
      </c>
      <c r="C17" s="1" t="s">
        <v>1703</v>
      </c>
      <c r="D17" s="8">
        <f>2730000+1800000</f>
        <v>4530000</v>
      </c>
    </row>
    <row r="18" spans="1:4" x14ac:dyDescent="0.25">
      <c r="A18" s="91"/>
      <c r="B18" s="91"/>
      <c r="C18" s="1" t="s">
        <v>1704</v>
      </c>
      <c r="D18" s="8">
        <v>300010</v>
      </c>
    </row>
    <row r="19" spans="1:4" x14ac:dyDescent="0.25">
      <c r="A19" s="91"/>
      <c r="B19" s="91"/>
      <c r="C19" s="1" t="s">
        <v>1705</v>
      </c>
      <c r="D19" s="8">
        <v>300000</v>
      </c>
    </row>
    <row r="20" spans="1:4" x14ac:dyDescent="0.25">
      <c r="A20" s="91"/>
      <c r="B20" s="91"/>
      <c r="C20" s="1" t="s">
        <v>1706</v>
      </c>
      <c r="D20" s="8">
        <v>812500</v>
      </c>
    </row>
    <row r="21" spans="1:4" x14ac:dyDescent="0.25">
      <c r="A21" s="92" t="s">
        <v>851</v>
      </c>
      <c r="B21" s="93"/>
      <c r="C21" s="94"/>
      <c r="D21" s="89">
        <f>SUM(D17:D20)</f>
        <v>5942510</v>
      </c>
    </row>
    <row r="22" spans="1:4" x14ac:dyDescent="0.25">
      <c r="A22" s="95"/>
      <c r="B22" s="96"/>
      <c r="C22" s="97"/>
      <c r="D22" s="89"/>
    </row>
    <row r="25" spans="1:4" x14ac:dyDescent="0.25">
      <c r="A25" s="87" t="s">
        <v>968</v>
      </c>
      <c r="B25" s="87" t="s">
        <v>965</v>
      </c>
      <c r="C25" s="87" t="s">
        <v>5</v>
      </c>
      <c r="D25" s="87" t="s">
        <v>969</v>
      </c>
    </row>
    <row r="26" spans="1:4" x14ac:dyDescent="0.25">
      <c r="A26" s="88"/>
      <c r="B26" s="88"/>
      <c r="C26" s="88"/>
      <c r="D26" s="88"/>
    </row>
    <row r="27" spans="1:4" x14ac:dyDescent="0.25">
      <c r="A27" s="91">
        <v>1</v>
      </c>
      <c r="B27" s="91" t="s">
        <v>1047</v>
      </c>
      <c r="C27" s="1" t="s">
        <v>1048</v>
      </c>
      <c r="D27" s="8">
        <v>300000</v>
      </c>
    </row>
    <row r="28" spans="1:4" x14ac:dyDescent="0.25">
      <c r="A28" s="91"/>
      <c r="B28" s="91"/>
      <c r="C28" s="1" t="s">
        <v>1707</v>
      </c>
      <c r="D28" s="8">
        <v>300000</v>
      </c>
    </row>
    <row r="29" spans="1:4" x14ac:dyDescent="0.25">
      <c r="A29" s="92" t="s">
        <v>851</v>
      </c>
      <c r="B29" s="93"/>
      <c r="C29" s="94"/>
      <c r="D29" s="89">
        <f>SUM(D27:D28)</f>
        <v>600000</v>
      </c>
    </row>
    <row r="30" spans="1:4" x14ac:dyDescent="0.25">
      <c r="A30" s="95"/>
      <c r="B30" s="96"/>
      <c r="C30" s="97"/>
      <c r="D30" s="89"/>
    </row>
    <row r="34" spans="1:4" x14ac:dyDescent="0.25">
      <c r="A34" s="87" t="s">
        <v>968</v>
      </c>
      <c r="B34" s="87" t="s">
        <v>965</v>
      </c>
      <c r="C34" s="87" t="s">
        <v>5</v>
      </c>
      <c r="D34" s="87" t="s">
        <v>969</v>
      </c>
    </row>
    <row r="35" spans="1:4" x14ac:dyDescent="0.25">
      <c r="A35" s="88"/>
      <c r="B35" s="88"/>
      <c r="C35" s="88"/>
      <c r="D35" s="88"/>
    </row>
    <row r="36" spans="1:4" x14ac:dyDescent="0.25">
      <c r="A36" s="91">
        <v>1</v>
      </c>
      <c r="B36" s="91" t="s">
        <v>1708</v>
      </c>
      <c r="C36" s="1" t="s">
        <v>1709</v>
      </c>
      <c r="D36" s="8">
        <v>500000</v>
      </c>
    </row>
    <row r="37" spans="1:4" x14ac:dyDescent="0.25">
      <c r="A37" s="91"/>
      <c r="B37" s="91"/>
      <c r="C37" s="1" t="s">
        <v>1710</v>
      </c>
      <c r="D37" s="8">
        <v>1285000</v>
      </c>
    </row>
    <row r="38" spans="1:4" x14ac:dyDescent="0.25">
      <c r="A38" s="91"/>
      <c r="B38" s="91"/>
      <c r="C38" s="1" t="s">
        <v>1711</v>
      </c>
      <c r="D38" s="8">
        <v>3580000</v>
      </c>
    </row>
    <row r="39" spans="1:4" x14ac:dyDescent="0.25">
      <c r="A39" s="92" t="s">
        <v>851</v>
      </c>
      <c r="B39" s="93"/>
      <c r="C39" s="94"/>
      <c r="D39" s="89">
        <f>SUM(D36:D38)</f>
        <v>5365000</v>
      </c>
    </row>
    <row r="40" spans="1:4" x14ac:dyDescent="0.25">
      <c r="A40" s="95"/>
      <c r="B40" s="96"/>
      <c r="C40" s="97"/>
      <c r="D40" s="89"/>
    </row>
    <row r="42" spans="1:4" x14ac:dyDescent="0.25">
      <c r="A42" s="87" t="s">
        <v>968</v>
      </c>
      <c r="B42" s="87" t="s">
        <v>965</v>
      </c>
      <c r="C42" s="87" t="s">
        <v>969</v>
      </c>
    </row>
    <row r="43" spans="1:4" x14ac:dyDescent="0.25">
      <c r="A43" s="88"/>
      <c r="B43" s="88"/>
      <c r="C43" s="88"/>
    </row>
    <row r="44" spans="1:4" ht="22.5" customHeight="1" x14ac:dyDescent="0.25">
      <c r="A44" s="30">
        <v>1</v>
      </c>
      <c r="B44" s="30" t="s">
        <v>966</v>
      </c>
      <c r="C44" s="8">
        <f>D10</f>
        <v>67745782</v>
      </c>
    </row>
    <row r="45" spans="1:4" ht="21.75" customHeight="1" x14ac:dyDescent="0.25">
      <c r="A45" s="30">
        <v>2</v>
      </c>
      <c r="B45" s="30" t="s">
        <v>967</v>
      </c>
      <c r="C45" s="8">
        <f>D21</f>
        <v>5942510</v>
      </c>
    </row>
    <row r="46" spans="1:4" ht="19.5" customHeight="1" x14ac:dyDescent="0.25">
      <c r="A46" s="30">
        <v>3</v>
      </c>
      <c r="B46" s="30" t="s">
        <v>1047</v>
      </c>
      <c r="C46" s="8">
        <f>D29</f>
        <v>600000</v>
      </c>
    </row>
    <row r="47" spans="1:4" ht="19.5" customHeight="1" x14ac:dyDescent="0.25">
      <c r="A47" s="30">
        <v>4</v>
      </c>
      <c r="B47" s="30" t="str">
        <f>B36</f>
        <v>CONTENT CREATOR</v>
      </c>
      <c r="C47" s="8">
        <f>D39</f>
        <v>5365000</v>
      </c>
    </row>
    <row r="48" spans="1:4" ht="15" customHeight="1" x14ac:dyDescent="0.25">
      <c r="A48" s="90" t="s">
        <v>851</v>
      </c>
      <c r="B48" s="90"/>
      <c r="C48" s="89">
        <f>SUM(C44:C47)</f>
        <v>79653292</v>
      </c>
    </row>
    <row r="49" spans="1:3" ht="15" customHeight="1" x14ac:dyDescent="0.25">
      <c r="A49" s="90"/>
      <c r="B49" s="90"/>
      <c r="C49" s="89"/>
    </row>
    <row r="53" spans="1:3" x14ac:dyDescent="0.25">
      <c r="A53" s="87" t="s">
        <v>968</v>
      </c>
      <c r="B53" s="87" t="s">
        <v>7</v>
      </c>
      <c r="C53" s="87" t="s">
        <v>969</v>
      </c>
    </row>
    <row r="54" spans="1:3" x14ac:dyDescent="0.25">
      <c r="A54" s="88"/>
      <c r="B54" s="88"/>
      <c r="C54" s="88"/>
    </row>
    <row r="55" spans="1:3" x14ac:dyDescent="0.25">
      <c r="A55" s="42">
        <v>1</v>
      </c>
      <c r="B55" s="1" t="str" cm="1">
        <f t="array" ref="B55:C55">C4:D4</f>
        <v>ANGS. HANABANK</v>
      </c>
      <c r="C55" s="8">
        <v>9505052</v>
      </c>
    </row>
    <row r="56" spans="1:3" x14ac:dyDescent="0.25">
      <c r="A56" s="34">
        <v>2</v>
      </c>
      <c r="B56" s="1" t="str" cm="1">
        <f t="array" ref="B56:C56">C5:D5</f>
        <v>BUNGA HANABANK RC</v>
      </c>
      <c r="C56" s="8">
        <v>4000000</v>
      </c>
    </row>
    <row r="57" spans="1:3" x14ac:dyDescent="0.25">
      <c r="A57" s="42">
        <v>3</v>
      </c>
      <c r="B57" s="1" t="str" cm="1">
        <f t="array" ref="B57:C57">C6:D6</f>
        <v>KUR BNI</v>
      </c>
      <c r="C57" s="8">
        <v>11742515</v>
      </c>
    </row>
    <row r="58" spans="1:3" x14ac:dyDescent="0.25">
      <c r="A58" s="34">
        <v>4</v>
      </c>
      <c r="B58" s="1" t="str" cm="1">
        <f t="array" ref="B58:C58">C8:D8</f>
        <v>OR BARITO</v>
      </c>
      <c r="C58" s="8">
        <v>7000000</v>
      </c>
    </row>
    <row r="59" spans="1:3" x14ac:dyDescent="0.25">
      <c r="A59" s="42">
        <v>5</v>
      </c>
      <c r="B59" s="1" t="str" cm="1">
        <f t="array" ref="B59:C59">C9:D9</f>
        <v>PATTY CASH</v>
      </c>
      <c r="C59" s="8">
        <v>20000000</v>
      </c>
    </row>
    <row r="60" spans="1:3" x14ac:dyDescent="0.25">
      <c r="A60" s="34">
        <v>6</v>
      </c>
      <c r="B60" s="1" t="str" cm="1">
        <f t="array" ref="B60:C60">C18:D18</f>
        <v>REMBES COVER BAN SEREP RUBICON</v>
      </c>
      <c r="C60" s="8">
        <v>300010</v>
      </c>
    </row>
    <row r="61" spans="1:3" x14ac:dyDescent="0.25">
      <c r="A61" s="42">
        <v>7</v>
      </c>
      <c r="B61" s="1" t="str" cm="1">
        <f t="array" ref="B61:C61">C20:D20</f>
        <v>SENTER</v>
      </c>
      <c r="C61" s="8">
        <v>812500</v>
      </c>
    </row>
    <row r="62" spans="1:3" x14ac:dyDescent="0.25">
      <c r="A62" s="34">
        <v>8</v>
      </c>
      <c r="B62" s="32" t="str" cm="1">
        <f t="array" ref="B62:C62">C27:D27</f>
        <v>FB BOOSTER NATALI</v>
      </c>
      <c r="C62" s="8">
        <v>300000</v>
      </c>
    </row>
    <row r="63" spans="1:3" x14ac:dyDescent="0.25">
      <c r="A63" s="42">
        <v>9</v>
      </c>
      <c r="B63" s="32" t="str" cm="1">
        <f t="array" ref="B63:C63">C28:D28</f>
        <v>FB BOOSTER DIAN</v>
      </c>
      <c r="C63" s="8">
        <v>300000</v>
      </c>
    </row>
    <row r="64" spans="1:3" x14ac:dyDescent="0.25">
      <c r="A64" s="42">
        <v>10</v>
      </c>
      <c r="B64" s="1" t="str" cm="1">
        <f t="array" ref="B64:C64">C36:D36</f>
        <v>IKLAN IG DETAILING</v>
      </c>
      <c r="C64" s="8">
        <v>500000</v>
      </c>
    </row>
    <row r="65" spans="1:3" x14ac:dyDescent="0.25">
      <c r="A65" s="42">
        <v>11</v>
      </c>
      <c r="B65" s="50" t="str" cm="1">
        <f t="array" ref="B65:C65">C37:D37</f>
        <v>MONITOR MSI PRO MP252 24.5 FHD IPS 100 H2 1 MS BLAC</v>
      </c>
      <c r="C65" s="8">
        <v>1285000</v>
      </c>
    </row>
    <row r="66" spans="1:3" x14ac:dyDescent="0.25">
      <c r="A66" s="34">
        <v>12</v>
      </c>
      <c r="B66" s="50" t="str" cm="1">
        <f t="array" ref="B66:C66">C38:D38</f>
        <v>HARDISK EXTERNAL 8+13 WD MYBOOK</v>
      </c>
      <c r="C66" s="8">
        <v>3580000</v>
      </c>
    </row>
    <row r="67" spans="1:3" x14ac:dyDescent="0.25">
      <c r="A67" s="92" t="s">
        <v>851</v>
      </c>
      <c r="B67" s="93"/>
      <c r="C67" s="89">
        <f>SUM(C55:C66)</f>
        <v>59325077</v>
      </c>
    </row>
    <row r="68" spans="1:3" x14ac:dyDescent="0.25">
      <c r="A68" s="95"/>
      <c r="B68" s="96"/>
      <c r="C68" s="89"/>
    </row>
  </sheetData>
  <mergeCells count="42">
    <mergeCell ref="A1:A2"/>
    <mergeCell ref="B1:B2"/>
    <mergeCell ref="C1:C2"/>
    <mergeCell ref="D1:D2"/>
    <mergeCell ref="A3:A9"/>
    <mergeCell ref="B3:B9"/>
    <mergeCell ref="A10:C11"/>
    <mergeCell ref="D10:D11"/>
    <mergeCell ref="A15:A16"/>
    <mergeCell ref="B15:B16"/>
    <mergeCell ref="C15:C16"/>
    <mergeCell ref="D15:D16"/>
    <mergeCell ref="D29:D30"/>
    <mergeCell ref="A42:A43"/>
    <mergeCell ref="B42:B43"/>
    <mergeCell ref="C42:C43"/>
    <mergeCell ref="A17:A20"/>
    <mergeCell ref="B17:B20"/>
    <mergeCell ref="A21:C22"/>
    <mergeCell ref="D21:D22"/>
    <mergeCell ref="A25:A26"/>
    <mergeCell ref="B25:B26"/>
    <mergeCell ref="C25:C26"/>
    <mergeCell ref="D25:D26"/>
    <mergeCell ref="D39:D40"/>
    <mergeCell ref="D34:D35"/>
    <mergeCell ref="A67:B68"/>
    <mergeCell ref="C67:C68"/>
    <mergeCell ref="A27:A28"/>
    <mergeCell ref="B27:B28"/>
    <mergeCell ref="A29:C30"/>
    <mergeCell ref="A48:B49"/>
    <mergeCell ref="C48:C49"/>
    <mergeCell ref="A53:A54"/>
    <mergeCell ref="B53:B54"/>
    <mergeCell ref="C53:C54"/>
    <mergeCell ref="A36:A38"/>
    <mergeCell ref="B36:B38"/>
    <mergeCell ref="A39:C40"/>
    <mergeCell ref="A34:A35"/>
    <mergeCell ref="B34:B35"/>
    <mergeCell ref="C34:C35"/>
  </mergeCells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A0035-E950-44F4-932B-47B38D015ED4}">
  <dimension ref="A1:D63"/>
  <sheetViews>
    <sheetView topLeftCell="A10" workbookViewId="0">
      <selection activeCell="C5" sqref="C5"/>
    </sheetView>
  </sheetViews>
  <sheetFormatPr defaultRowHeight="15" x14ac:dyDescent="0.25"/>
  <cols>
    <col min="1" max="1" width="4.42578125" customWidth="1"/>
    <col min="2" max="2" width="40.7109375" customWidth="1"/>
    <col min="3" max="3" width="36.28515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98">
        <v>1</v>
      </c>
      <c r="B3" s="98" t="s">
        <v>966</v>
      </c>
      <c r="C3" s="1" t="s">
        <v>7</v>
      </c>
      <c r="D3" s="8">
        <v>15000000</v>
      </c>
    </row>
    <row r="4" spans="1:4" x14ac:dyDescent="0.25">
      <c r="A4" s="99"/>
      <c r="B4" s="99"/>
      <c r="C4" s="1" t="s">
        <v>1730</v>
      </c>
      <c r="D4" s="8">
        <v>8200000</v>
      </c>
    </row>
    <row r="5" spans="1:4" x14ac:dyDescent="0.25">
      <c r="A5" s="38"/>
      <c r="B5" s="38"/>
      <c r="C5" s="1" t="s">
        <v>1731</v>
      </c>
      <c r="D5" s="8">
        <v>11394845</v>
      </c>
    </row>
    <row r="6" spans="1:4" ht="15" customHeight="1" x14ac:dyDescent="0.25">
      <c r="A6" s="90" t="s">
        <v>851</v>
      </c>
      <c r="B6" s="90"/>
      <c r="C6" s="90"/>
      <c r="D6" s="89">
        <f>SUM(D3:D5)</f>
        <v>34594845</v>
      </c>
    </row>
    <row r="7" spans="1:4" ht="15" customHeight="1" x14ac:dyDescent="0.25">
      <c r="A7" s="90"/>
      <c r="B7" s="90"/>
      <c r="C7" s="90"/>
      <c r="D7" s="89"/>
    </row>
    <row r="11" spans="1:4" x14ac:dyDescent="0.25">
      <c r="A11" s="87" t="s">
        <v>968</v>
      </c>
      <c r="B11" s="87" t="s">
        <v>965</v>
      </c>
      <c r="C11" s="87" t="s">
        <v>5</v>
      </c>
      <c r="D11" s="87" t="s">
        <v>969</v>
      </c>
    </row>
    <row r="12" spans="1:4" x14ac:dyDescent="0.25">
      <c r="A12" s="88"/>
      <c r="B12" s="88"/>
      <c r="C12" s="88"/>
      <c r="D12" s="88"/>
    </row>
    <row r="13" spans="1:4" x14ac:dyDescent="0.25">
      <c r="A13" s="91">
        <v>1</v>
      </c>
      <c r="B13" s="91" t="s">
        <v>967</v>
      </c>
      <c r="C13" s="1" t="s">
        <v>1732</v>
      </c>
      <c r="D13" s="8">
        <v>12928501</v>
      </c>
    </row>
    <row r="14" spans="1:4" x14ac:dyDescent="0.25">
      <c r="A14" s="91"/>
      <c r="B14" s="91"/>
      <c r="C14" s="1" t="s">
        <v>1733</v>
      </c>
      <c r="D14" s="8">
        <v>350000</v>
      </c>
    </row>
    <row r="15" spans="1:4" x14ac:dyDescent="0.25">
      <c r="A15" s="92" t="s">
        <v>851</v>
      </c>
      <c r="B15" s="93"/>
      <c r="C15" s="94"/>
      <c r="D15" s="89">
        <f>SUM(D13:D14)</f>
        <v>13278501</v>
      </c>
    </row>
    <row r="16" spans="1:4" x14ac:dyDescent="0.25">
      <c r="A16" s="95"/>
      <c r="B16" s="96"/>
      <c r="C16" s="97"/>
      <c r="D16" s="89"/>
    </row>
    <row r="19" spans="1:4" x14ac:dyDescent="0.25">
      <c r="A19" s="87" t="s">
        <v>968</v>
      </c>
      <c r="B19" s="87" t="s">
        <v>965</v>
      </c>
      <c r="C19" s="87" t="s">
        <v>5</v>
      </c>
      <c r="D19" s="87" t="s">
        <v>969</v>
      </c>
    </row>
    <row r="20" spans="1:4" x14ac:dyDescent="0.25">
      <c r="A20" s="88"/>
      <c r="B20" s="88"/>
      <c r="C20" s="88"/>
      <c r="D20" s="88"/>
    </row>
    <row r="21" spans="1:4" x14ac:dyDescent="0.25">
      <c r="A21" s="91">
        <v>1</v>
      </c>
      <c r="B21" s="91" t="s">
        <v>1047</v>
      </c>
      <c r="C21" s="32" t="s">
        <v>1048</v>
      </c>
      <c r="D21" s="8">
        <v>300000</v>
      </c>
    </row>
    <row r="22" spans="1:4" x14ac:dyDescent="0.25">
      <c r="A22" s="91"/>
      <c r="B22" s="91"/>
      <c r="C22" s="32" t="s">
        <v>1734</v>
      </c>
      <c r="D22" s="8">
        <v>999000</v>
      </c>
    </row>
    <row r="23" spans="1:4" x14ac:dyDescent="0.25">
      <c r="A23" s="91"/>
      <c r="B23" s="91"/>
      <c r="C23" s="32" t="s">
        <v>1707</v>
      </c>
      <c r="D23" s="8">
        <v>300000</v>
      </c>
    </row>
    <row r="24" spans="1:4" x14ac:dyDescent="0.25">
      <c r="A24" s="91"/>
      <c r="B24" s="91"/>
      <c r="C24" s="31" t="s">
        <v>1735</v>
      </c>
      <c r="D24" s="8">
        <v>559000</v>
      </c>
    </row>
    <row r="25" spans="1:4" x14ac:dyDescent="0.25">
      <c r="A25" s="92" t="s">
        <v>851</v>
      </c>
      <c r="B25" s="93"/>
      <c r="C25" s="94"/>
      <c r="D25" s="89">
        <f>SUM(D21:D24)</f>
        <v>2158000</v>
      </c>
    </row>
    <row r="26" spans="1:4" x14ac:dyDescent="0.25">
      <c r="A26" s="95"/>
      <c r="B26" s="96"/>
      <c r="C26" s="97"/>
      <c r="D26" s="89"/>
    </row>
    <row r="30" spans="1:4" x14ac:dyDescent="0.25">
      <c r="A30" s="87" t="s">
        <v>968</v>
      </c>
      <c r="B30" s="87" t="s">
        <v>965</v>
      </c>
      <c r="C30" s="87" t="s">
        <v>5</v>
      </c>
      <c r="D30" s="87" t="s">
        <v>969</v>
      </c>
    </row>
    <row r="31" spans="1:4" x14ac:dyDescent="0.25">
      <c r="A31" s="88"/>
      <c r="B31" s="88"/>
      <c r="C31" s="88"/>
      <c r="D31" s="88"/>
    </row>
    <row r="32" spans="1:4" x14ac:dyDescent="0.25">
      <c r="A32" s="91">
        <v>1</v>
      </c>
      <c r="B32" s="91" t="s">
        <v>1708</v>
      </c>
      <c r="C32" s="1" t="s">
        <v>1709</v>
      </c>
      <c r="D32" s="8">
        <v>500000</v>
      </c>
    </row>
    <row r="33" spans="1:4" x14ac:dyDescent="0.25">
      <c r="A33" s="91"/>
      <c r="B33" s="91"/>
      <c r="C33" s="1" t="s">
        <v>1710</v>
      </c>
      <c r="D33" s="8">
        <v>1285000</v>
      </c>
    </row>
    <row r="34" spans="1:4" x14ac:dyDescent="0.25">
      <c r="A34" s="91"/>
      <c r="B34" s="91"/>
      <c r="C34" s="1" t="s">
        <v>1711</v>
      </c>
      <c r="D34" s="8">
        <v>3580000</v>
      </c>
    </row>
    <row r="35" spans="1:4" x14ac:dyDescent="0.25">
      <c r="A35" s="92" t="s">
        <v>851</v>
      </c>
      <c r="B35" s="93"/>
      <c r="C35" s="94"/>
      <c r="D35" s="89">
        <f>SUM(D32:D34)</f>
        <v>5365000</v>
      </c>
    </row>
    <row r="36" spans="1:4" x14ac:dyDescent="0.25">
      <c r="A36" s="95"/>
      <c r="B36" s="96"/>
      <c r="C36" s="97"/>
      <c r="D36" s="89"/>
    </row>
    <row r="38" spans="1:4" x14ac:dyDescent="0.25">
      <c r="A38" s="87" t="s">
        <v>968</v>
      </c>
      <c r="B38" s="87" t="s">
        <v>965</v>
      </c>
      <c r="C38" s="87" t="s">
        <v>969</v>
      </c>
    </row>
    <row r="39" spans="1:4" x14ac:dyDescent="0.25">
      <c r="A39" s="88"/>
      <c r="B39" s="88"/>
      <c r="C39" s="88"/>
    </row>
    <row r="40" spans="1:4" ht="22.5" customHeight="1" x14ac:dyDescent="0.25">
      <c r="A40" s="30">
        <v>1</v>
      </c>
      <c r="B40" s="30" t="s">
        <v>966</v>
      </c>
      <c r="C40" s="8">
        <f>D6</f>
        <v>34594845</v>
      </c>
    </row>
    <row r="41" spans="1:4" ht="21.75" customHeight="1" x14ac:dyDescent="0.25">
      <c r="A41" s="30">
        <v>2</v>
      </c>
      <c r="B41" s="30" t="s">
        <v>967</v>
      </c>
      <c r="C41" s="8">
        <f>D15</f>
        <v>13278501</v>
      </c>
    </row>
    <row r="42" spans="1:4" ht="19.5" customHeight="1" x14ac:dyDescent="0.25">
      <c r="A42" s="30">
        <v>3</v>
      </c>
      <c r="B42" s="30" t="s">
        <v>1047</v>
      </c>
      <c r="C42" s="8">
        <f>D25</f>
        <v>2158000</v>
      </c>
    </row>
    <row r="43" spans="1:4" ht="15" customHeight="1" x14ac:dyDescent="0.25">
      <c r="A43" s="90" t="s">
        <v>851</v>
      </c>
      <c r="B43" s="90"/>
      <c r="C43" s="89">
        <f>SUM(C40:C42)</f>
        <v>50031346</v>
      </c>
    </row>
    <row r="44" spans="1:4" ht="15" customHeight="1" x14ac:dyDescent="0.25">
      <c r="A44" s="90"/>
      <c r="B44" s="90"/>
      <c r="C44" s="89"/>
    </row>
    <row r="48" spans="1:4" x14ac:dyDescent="0.25">
      <c r="A48" s="87" t="s">
        <v>968</v>
      </c>
      <c r="B48" s="87" t="s">
        <v>7</v>
      </c>
      <c r="C48" s="87" t="s">
        <v>969</v>
      </c>
    </row>
    <row r="49" spans="1:3" x14ac:dyDescent="0.25">
      <c r="A49" s="88"/>
      <c r="B49" s="88"/>
      <c r="C49" s="88"/>
    </row>
    <row r="50" spans="1:3" x14ac:dyDescent="0.25">
      <c r="A50" s="42">
        <v>1</v>
      </c>
      <c r="B50" s="1" t="str" cm="1">
        <f t="array" ref="B50:C50">C4:D4</f>
        <v>PIAYA PEMBUATAN RAK BARANG CAR +DETAILING</v>
      </c>
      <c r="C50" s="8">
        <v>8200000</v>
      </c>
    </row>
    <row r="51" spans="1:3" x14ac:dyDescent="0.25">
      <c r="A51" s="34">
        <v>2</v>
      </c>
      <c r="B51" s="1" t="e" cm="1">
        <f t="array" ref="B51">#REF!</f>
        <v>#REF!</v>
      </c>
      <c r="C51" s="8"/>
    </row>
    <row r="52" spans="1:3" x14ac:dyDescent="0.25">
      <c r="A52" s="42">
        <v>3</v>
      </c>
      <c r="B52" s="1" t="e" cm="1">
        <f t="array" ref="B52">#REF!</f>
        <v>#REF!</v>
      </c>
      <c r="C52" s="8"/>
    </row>
    <row r="53" spans="1:3" x14ac:dyDescent="0.25">
      <c r="A53" s="34">
        <v>4</v>
      </c>
      <c r="B53" s="1" t="e" cm="1">
        <f t="array" ref="B53">#REF!</f>
        <v>#REF!</v>
      </c>
      <c r="C53" s="8"/>
    </row>
    <row r="54" spans="1:3" x14ac:dyDescent="0.25">
      <c r="A54" s="42">
        <v>5</v>
      </c>
      <c r="B54" s="1" t="e" cm="1">
        <f t="array" ref="B54">#REF!</f>
        <v>#REF!</v>
      </c>
      <c r="C54" s="8"/>
    </row>
    <row r="55" spans="1:3" x14ac:dyDescent="0.25">
      <c r="A55" s="34">
        <v>6</v>
      </c>
      <c r="B55" s="1" t="str" cm="1">
        <f t="array" ref="B55:C55">C14:D14</f>
        <v>BIAYA CAT TOYOTA FJ CRUISER</v>
      </c>
      <c r="C55" s="8">
        <v>350000</v>
      </c>
    </row>
    <row r="56" spans="1:3" x14ac:dyDescent="0.25">
      <c r="A56" s="42">
        <v>7</v>
      </c>
      <c r="B56" s="1" t="e" cm="1">
        <f t="array" ref="B56">#REF!</f>
        <v>#REF!</v>
      </c>
      <c r="C56" s="8"/>
    </row>
    <row r="57" spans="1:3" x14ac:dyDescent="0.25">
      <c r="A57" s="34">
        <v>8</v>
      </c>
      <c r="B57" s="32" t="str" cm="1">
        <f t="array" ref="B57:C57">C21:D21</f>
        <v>FB BOOSTER NATALI</v>
      </c>
      <c r="C57" s="8">
        <v>300000</v>
      </c>
    </row>
    <row r="58" spans="1:3" x14ac:dyDescent="0.25">
      <c r="A58" s="42">
        <v>9</v>
      </c>
      <c r="B58" s="32" t="str" cm="1">
        <f t="array" ref="B58:C58">C23:D23</f>
        <v>FB BOOSTER DIAN</v>
      </c>
      <c r="C58" s="8">
        <v>300000</v>
      </c>
    </row>
    <row r="59" spans="1:3" x14ac:dyDescent="0.25">
      <c r="A59" s="42">
        <v>10</v>
      </c>
      <c r="B59" s="1" t="str" cm="1">
        <f t="array" ref="B59:C59">C32:D32</f>
        <v>IKLAN IG DETAILING</v>
      </c>
      <c r="C59" s="8">
        <v>500000</v>
      </c>
    </row>
    <row r="60" spans="1:3" x14ac:dyDescent="0.25">
      <c r="A60" s="42">
        <v>11</v>
      </c>
      <c r="B60" s="50" t="str" cm="1">
        <f t="array" ref="B60:C60">C33:D33</f>
        <v>MONITOR MSI PRO MP252 24.5 FHD IPS 100 H2 1 MS BLAC</v>
      </c>
      <c r="C60" s="8">
        <v>1285000</v>
      </c>
    </row>
    <row r="61" spans="1:3" x14ac:dyDescent="0.25">
      <c r="A61" s="34">
        <v>12</v>
      </c>
      <c r="B61" s="50" t="str" cm="1">
        <f t="array" ref="B61:C61">C34:D34</f>
        <v>HARDISK EXTERNAL 8+13 WD MYBOOK</v>
      </c>
      <c r="C61" s="8">
        <v>3580000</v>
      </c>
    </row>
    <row r="62" spans="1:3" x14ac:dyDescent="0.25">
      <c r="A62" s="92" t="s">
        <v>851</v>
      </c>
      <c r="B62" s="93"/>
      <c r="C62" s="89">
        <f>SUM(C50:C61)</f>
        <v>14515000</v>
      </c>
    </row>
    <row r="63" spans="1:3" x14ac:dyDescent="0.25">
      <c r="A63" s="95"/>
      <c r="B63" s="96"/>
      <c r="C63" s="89"/>
    </row>
  </sheetData>
  <mergeCells count="42">
    <mergeCell ref="A1:A2"/>
    <mergeCell ref="B1:B2"/>
    <mergeCell ref="C1:C2"/>
    <mergeCell ref="D1:D2"/>
    <mergeCell ref="A3:A4"/>
    <mergeCell ref="B3:B4"/>
    <mergeCell ref="A6:C7"/>
    <mergeCell ref="D6:D7"/>
    <mergeCell ref="A11:A12"/>
    <mergeCell ref="B11:B12"/>
    <mergeCell ref="C11:C12"/>
    <mergeCell ref="D11:D12"/>
    <mergeCell ref="D15:D16"/>
    <mergeCell ref="A19:A20"/>
    <mergeCell ref="B19:B20"/>
    <mergeCell ref="C19:C20"/>
    <mergeCell ref="D19:D20"/>
    <mergeCell ref="B21:B24"/>
    <mergeCell ref="A21:A24"/>
    <mergeCell ref="A13:A14"/>
    <mergeCell ref="B13:B14"/>
    <mergeCell ref="A15:C16"/>
    <mergeCell ref="D35:D36"/>
    <mergeCell ref="A38:A39"/>
    <mergeCell ref="B38:B39"/>
    <mergeCell ref="C38:C39"/>
    <mergeCell ref="A25:C26"/>
    <mergeCell ref="D25:D26"/>
    <mergeCell ref="A30:A31"/>
    <mergeCell ref="B30:B31"/>
    <mergeCell ref="C30:C31"/>
    <mergeCell ref="D30:D31"/>
    <mergeCell ref="A62:B63"/>
    <mergeCell ref="C62:C63"/>
    <mergeCell ref="A32:A34"/>
    <mergeCell ref="B32:B34"/>
    <mergeCell ref="A35:C36"/>
    <mergeCell ref="A43:B44"/>
    <mergeCell ref="C43:C44"/>
    <mergeCell ref="A48:A49"/>
    <mergeCell ref="B48:B49"/>
    <mergeCell ref="C48:C49"/>
  </mergeCells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689A-DB7B-449C-8031-36790D1A6568}">
  <dimension ref="A1:D70"/>
  <sheetViews>
    <sheetView workbookViewId="0">
      <selection activeCell="D9" sqref="D9"/>
    </sheetView>
  </sheetViews>
  <sheetFormatPr defaultRowHeight="15" x14ac:dyDescent="0.25"/>
  <cols>
    <col min="1" max="1" width="4.42578125" customWidth="1"/>
    <col min="2" max="2" width="40.7109375" customWidth="1"/>
    <col min="3" max="3" width="36.28515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98">
        <v>1</v>
      </c>
      <c r="B3" s="98" t="s">
        <v>966</v>
      </c>
      <c r="C3" s="1" t="s">
        <v>1761</v>
      </c>
      <c r="D3" s="8">
        <v>4725000</v>
      </c>
    </row>
    <row r="4" spans="1:4" x14ac:dyDescent="0.25">
      <c r="A4" s="99"/>
      <c r="B4" s="99"/>
      <c r="C4" s="1" t="s">
        <v>1241</v>
      </c>
      <c r="D4" s="8">
        <v>10844376</v>
      </c>
    </row>
    <row r="5" spans="1:4" x14ac:dyDescent="0.25">
      <c r="A5" s="99"/>
      <c r="B5" s="99"/>
      <c r="C5" s="1" t="s">
        <v>1762</v>
      </c>
      <c r="D5" s="8">
        <v>1502500</v>
      </c>
    </row>
    <row r="6" spans="1:4" x14ac:dyDescent="0.25">
      <c r="A6" s="99"/>
      <c r="B6" s="99"/>
      <c r="C6" s="1" t="s">
        <v>1763</v>
      </c>
      <c r="D6" s="8">
        <v>4542584</v>
      </c>
    </row>
    <row r="7" spans="1:4" x14ac:dyDescent="0.25">
      <c r="A7" s="99"/>
      <c r="B7" s="99"/>
      <c r="C7" s="1" t="s">
        <v>1764</v>
      </c>
      <c r="D7" s="8">
        <v>2450000</v>
      </c>
    </row>
    <row r="8" spans="1:4" x14ac:dyDescent="0.25">
      <c r="A8" s="99"/>
      <c r="B8" s="99"/>
      <c r="C8" s="1" t="s">
        <v>7</v>
      </c>
      <c r="D8" s="8">
        <v>25000000</v>
      </c>
    </row>
    <row r="9" spans="1:4" x14ac:dyDescent="0.25">
      <c r="A9" s="99"/>
      <c r="B9" s="99"/>
      <c r="C9" s="1" t="s">
        <v>1765</v>
      </c>
      <c r="D9" s="8">
        <v>3525000</v>
      </c>
    </row>
    <row r="10" spans="1:4" x14ac:dyDescent="0.25">
      <c r="A10" s="100"/>
      <c r="B10" s="100"/>
      <c r="C10" s="1" t="s">
        <v>1773</v>
      </c>
      <c r="D10" s="8">
        <v>2160000</v>
      </c>
    </row>
    <row r="11" spans="1:4" ht="15" customHeight="1" x14ac:dyDescent="0.25">
      <c r="A11" s="90" t="s">
        <v>851</v>
      </c>
      <c r="B11" s="90"/>
      <c r="C11" s="90"/>
      <c r="D11" s="89">
        <f>SUM(D3:D10)</f>
        <v>54749460</v>
      </c>
    </row>
    <row r="12" spans="1:4" ht="15" customHeight="1" x14ac:dyDescent="0.25">
      <c r="A12" s="90"/>
      <c r="B12" s="90"/>
      <c r="C12" s="90"/>
      <c r="D12" s="89"/>
    </row>
    <row r="16" spans="1:4" x14ac:dyDescent="0.25">
      <c r="A16" s="87" t="s">
        <v>968</v>
      </c>
      <c r="B16" s="87" t="s">
        <v>965</v>
      </c>
      <c r="C16" s="87" t="s">
        <v>5</v>
      </c>
      <c r="D16" s="87" t="s">
        <v>969</v>
      </c>
    </row>
    <row r="17" spans="1:4" x14ac:dyDescent="0.25">
      <c r="A17" s="88"/>
      <c r="B17" s="88"/>
      <c r="C17" s="88"/>
      <c r="D17" s="88"/>
    </row>
    <row r="18" spans="1:4" x14ac:dyDescent="0.25">
      <c r="A18" s="91">
        <v>1</v>
      </c>
      <c r="B18" s="91" t="s">
        <v>967</v>
      </c>
      <c r="C18" s="32" t="s">
        <v>1766</v>
      </c>
      <c r="D18" s="8">
        <v>3900000</v>
      </c>
    </row>
    <row r="19" spans="1:4" x14ac:dyDescent="0.25">
      <c r="A19" s="91"/>
      <c r="B19" s="91"/>
      <c r="C19" s="32" t="s">
        <v>1767</v>
      </c>
      <c r="D19" s="8">
        <v>1300000</v>
      </c>
    </row>
    <row r="20" spans="1:4" x14ac:dyDescent="0.25">
      <c r="A20" s="91"/>
      <c r="B20" s="91"/>
      <c r="C20" s="31" t="s">
        <v>1768</v>
      </c>
      <c r="D20" s="8">
        <v>2265000</v>
      </c>
    </row>
    <row r="21" spans="1:4" x14ac:dyDescent="0.25">
      <c r="A21" s="91"/>
      <c r="B21" s="91"/>
      <c r="C21" s="31" t="s">
        <v>1769</v>
      </c>
      <c r="D21" s="8">
        <v>17959600</v>
      </c>
    </row>
    <row r="22" spans="1:4" x14ac:dyDescent="0.25">
      <c r="A22" s="91"/>
      <c r="B22" s="91"/>
      <c r="C22" s="31" t="s">
        <v>1770</v>
      </c>
      <c r="D22" s="8">
        <v>77200000</v>
      </c>
    </row>
    <row r="23" spans="1:4" x14ac:dyDescent="0.25">
      <c r="A23" s="91"/>
      <c r="B23" s="91"/>
      <c r="C23" s="31" t="s">
        <v>1771</v>
      </c>
      <c r="D23" s="8">
        <v>450000</v>
      </c>
    </row>
    <row r="24" spans="1:4" x14ac:dyDescent="0.25">
      <c r="A24" s="91"/>
      <c r="B24" s="91"/>
      <c r="C24" s="31" t="s">
        <v>1772</v>
      </c>
      <c r="D24" s="8">
        <v>12600000</v>
      </c>
    </row>
    <row r="25" spans="1:4" x14ac:dyDescent="0.25">
      <c r="A25" s="92" t="s">
        <v>851</v>
      </c>
      <c r="B25" s="93"/>
      <c r="C25" s="94"/>
      <c r="D25" s="89">
        <f>SUM(D18:D24)</f>
        <v>115674600</v>
      </c>
    </row>
    <row r="26" spans="1:4" x14ac:dyDescent="0.25">
      <c r="A26" s="95"/>
      <c r="B26" s="96"/>
      <c r="C26" s="97"/>
      <c r="D26" s="89"/>
    </row>
    <row r="29" spans="1:4" x14ac:dyDescent="0.25">
      <c r="A29" s="87" t="s">
        <v>968</v>
      </c>
      <c r="B29" s="87" t="s">
        <v>965</v>
      </c>
      <c r="C29" s="87" t="s">
        <v>5</v>
      </c>
      <c r="D29" s="87" t="s">
        <v>969</v>
      </c>
    </row>
    <row r="30" spans="1:4" x14ac:dyDescent="0.25">
      <c r="A30" s="88"/>
      <c r="B30" s="88"/>
      <c r="C30" s="88"/>
      <c r="D30" s="88"/>
    </row>
    <row r="31" spans="1:4" x14ac:dyDescent="0.25">
      <c r="A31" s="91">
        <v>1</v>
      </c>
      <c r="B31" s="91" t="s">
        <v>1047</v>
      </c>
      <c r="C31" s="32" t="s">
        <v>1048</v>
      </c>
      <c r="D31" s="8">
        <v>300000</v>
      </c>
    </row>
    <row r="32" spans="1:4" x14ac:dyDescent="0.25">
      <c r="A32" s="91"/>
      <c r="B32" s="91"/>
      <c r="C32" s="32" t="s">
        <v>1707</v>
      </c>
      <c r="D32" s="8">
        <v>300000</v>
      </c>
    </row>
    <row r="33" spans="1:4" x14ac:dyDescent="0.25">
      <c r="A33" s="92" t="s">
        <v>851</v>
      </c>
      <c r="B33" s="93"/>
      <c r="C33" s="94"/>
      <c r="D33" s="89">
        <f>SUM(D31:D32)</f>
        <v>600000</v>
      </c>
    </row>
    <row r="34" spans="1:4" x14ac:dyDescent="0.25">
      <c r="A34" s="95"/>
      <c r="B34" s="96"/>
      <c r="C34" s="97"/>
      <c r="D34" s="89"/>
    </row>
    <row r="38" spans="1:4" x14ac:dyDescent="0.25">
      <c r="A38" s="87" t="s">
        <v>968</v>
      </c>
      <c r="B38" s="87" t="s">
        <v>965</v>
      </c>
      <c r="C38" s="87" t="s">
        <v>5</v>
      </c>
      <c r="D38" s="87" t="s">
        <v>969</v>
      </c>
    </row>
    <row r="39" spans="1:4" x14ac:dyDescent="0.25">
      <c r="A39" s="88"/>
      <c r="B39" s="88"/>
      <c r="C39" s="88"/>
      <c r="D39" s="88"/>
    </row>
    <row r="40" spans="1:4" x14ac:dyDescent="0.25">
      <c r="A40" s="91">
        <v>1</v>
      </c>
      <c r="B40" s="91" t="s">
        <v>1708</v>
      </c>
      <c r="C40" s="1"/>
      <c r="D40" s="8"/>
    </row>
    <row r="41" spans="1:4" x14ac:dyDescent="0.25">
      <c r="A41" s="91"/>
      <c r="B41" s="91"/>
      <c r="C41" s="1"/>
      <c r="D41" s="8"/>
    </row>
    <row r="42" spans="1:4" x14ac:dyDescent="0.25">
      <c r="A42" s="91"/>
      <c r="B42" s="91"/>
      <c r="C42" s="1"/>
      <c r="D42" s="8"/>
    </row>
    <row r="43" spans="1:4" x14ac:dyDescent="0.25">
      <c r="A43" s="92" t="s">
        <v>851</v>
      </c>
      <c r="B43" s="93"/>
      <c r="C43" s="94"/>
      <c r="D43" s="89">
        <f>SUM(D40:D42)</f>
        <v>0</v>
      </c>
    </row>
    <row r="44" spans="1:4" x14ac:dyDescent="0.25">
      <c r="A44" s="95"/>
      <c r="B44" s="96"/>
      <c r="C44" s="97"/>
      <c r="D44" s="89"/>
    </row>
    <row r="46" spans="1:4" x14ac:dyDescent="0.25">
      <c r="A46" s="87" t="s">
        <v>968</v>
      </c>
      <c r="B46" s="87" t="s">
        <v>965</v>
      </c>
      <c r="C46" s="87" t="s">
        <v>969</v>
      </c>
    </row>
    <row r="47" spans="1:4" x14ac:dyDescent="0.25">
      <c r="A47" s="88"/>
      <c r="B47" s="88"/>
      <c r="C47" s="88"/>
    </row>
    <row r="48" spans="1:4" ht="22.5" customHeight="1" x14ac:dyDescent="0.25">
      <c r="A48" s="30">
        <v>1</v>
      </c>
      <c r="B48" s="30" t="s">
        <v>966</v>
      </c>
      <c r="C48" s="8">
        <f>D11</f>
        <v>54749460</v>
      </c>
    </row>
    <row r="49" spans="1:3" ht="21.75" customHeight="1" x14ac:dyDescent="0.25">
      <c r="A49" s="30">
        <v>2</v>
      </c>
      <c r="B49" s="30" t="s">
        <v>967</v>
      </c>
      <c r="C49" s="8">
        <f>D25</f>
        <v>115674600</v>
      </c>
    </row>
    <row r="50" spans="1:3" ht="19.5" customHeight="1" x14ac:dyDescent="0.25">
      <c r="A50" s="30">
        <v>3</v>
      </c>
      <c r="B50" s="30" t="s">
        <v>1047</v>
      </c>
      <c r="C50" s="8">
        <f>D33</f>
        <v>600000</v>
      </c>
    </row>
    <row r="51" spans="1:3" ht="15" customHeight="1" x14ac:dyDescent="0.25">
      <c r="A51" s="90" t="s">
        <v>851</v>
      </c>
      <c r="B51" s="90"/>
      <c r="C51" s="89">
        <f>SUM(C48:C50)</f>
        <v>171024060</v>
      </c>
    </row>
    <row r="52" spans="1:3" ht="15" customHeight="1" x14ac:dyDescent="0.25">
      <c r="A52" s="90"/>
      <c r="B52" s="90"/>
      <c r="C52" s="89"/>
    </row>
    <row r="56" spans="1:3" x14ac:dyDescent="0.25">
      <c r="A56" s="87" t="s">
        <v>968</v>
      </c>
      <c r="B56" s="87" t="s">
        <v>7</v>
      </c>
      <c r="C56" s="87" t="s">
        <v>969</v>
      </c>
    </row>
    <row r="57" spans="1:3" x14ac:dyDescent="0.25">
      <c r="A57" s="88"/>
      <c r="B57" s="88"/>
      <c r="C57" s="88"/>
    </row>
    <row r="58" spans="1:3" ht="18.75" x14ac:dyDescent="0.25">
      <c r="A58" s="51">
        <v>1</v>
      </c>
      <c r="B58" s="1" t="str" cm="1">
        <f t="array" ref="B58:C58">C3:D3</f>
        <v>BUNGA CIMB BMW X5</v>
      </c>
      <c r="C58" s="8">
        <v>4725000</v>
      </c>
    </row>
    <row r="59" spans="1:3" x14ac:dyDescent="0.25">
      <c r="A59" s="42">
        <v>2</v>
      </c>
      <c r="B59" s="1" t="str" cm="1">
        <f t="array" ref="B59:C59">C4:D4</f>
        <v>PLN, PDAM, BPJS, INDIEHOME</v>
      </c>
      <c r="C59" s="8">
        <v>10844376</v>
      </c>
    </row>
    <row r="60" spans="1:3" ht="18.75" x14ac:dyDescent="0.25">
      <c r="A60" s="51">
        <v>3</v>
      </c>
      <c r="B60" s="1" t="str" cm="1">
        <f t="array" ref="B60:C60">C6:D6</f>
        <v xml:space="preserve">ANGSURAN PAJAK PPH 25 </v>
      </c>
      <c r="C60" s="8">
        <v>4542584</v>
      </c>
    </row>
    <row r="61" spans="1:3" x14ac:dyDescent="0.25">
      <c r="A61" s="42">
        <v>4</v>
      </c>
      <c r="B61" s="1" t="str" cm="1">
        <f t="array" ref="B61:C61">C7:D7</f>
        <v>FEE KONSULTAN PAJAK MASA SEPT 2024</v>
      </c>
      <c r="C61" s="8">
        <v>2450000</v>
      </c>
    </row>
    <row r="62" spans="1:3" ht="18.75" x14ac:dyDescent="0.25">
      <c r="A62" s="51">
        <v>5</v>
      </c>
      <c r="B62" s="1" t="str" cm="1">
        <f t="array" ref="B62:C62">C8:D8</f>
        <v>PATTY CASH</v>
      </c>
      <c r="C62" s="8">
        <v>25000000</v>
      </c>
    </row>
    <row r="63" spans="1:3" x14ac:dyDescent="0.25">
      <c r="A63" s="42">
        <v>6</v>
      </c>
      <c r="B63" s="1" t="str" cm="1">
        <f t="array" ref="B63:C63">C10:D10</f>
        <v>ADAM GRAPHENE SPRAY</v>
      </c>
      <c r="C63" s="8">
        <v>2160000</v>
      </c>
    </row>
    <row r="64" spans="1:3" ht="18.75" x14ac:dyDescent="0.25">
      <c r="A64" s="51">
        <v>7</v>
      </c>
      <c r="B64" s="1" t="str" cm="1">
        <f t="array" ref="B64:C64">C19:D19</f>
        <v>BIAYA BUAT KUNCI SEREP FORTUNER VRZ</v>
      </c>
      <c r="C64" s="8">
        <v>1300000</v>
      </c>
    </row>
    <row r="65" spans="1:3" x14ac:dyDescent="0.25">
      <c r="A65" s="42">
        <v>8</v>
      </c>
      <c r="B65" s="1" t="str" cm="1">
        <f t="array" ref="B65:C65">C20:D20</f>
        <v>BIAYA SERVICE FORTUNER VRZ</v>
      </c>
      <c r="C65" s="8">
        <v>2265000</v>
      </c>
    </row>
    <row r="66" spans="1:3" ht="18.75" x14ac:dyDescent="0.25">
      <c r="A66" s="51">
        <v>9</v>
      </c>
      <c r="B66" s="1" t="str" cm="1">
        <f t="array" ref="B66:C66">C23:D23</f>
        <v>BIAYA PDR MINI COOPER ORANGE B1807 BIU</v>
      </c>
      <c r="C66" s="8">
        <v>450000</v>
      </c>
    </row>
    <row r="67" spans="1:3" x14ac:dyDescent="0.25">
      <c r="A67" s="42">
        <v>10</v>
      </c>
      <c r="B67" s="32" t="str" cm="1">
        <f t="array" ref="B67:C67">C31:D31</f>
        <v>FB BOOSTER NATALI</v>
      </c>
      <c r="C67" s="8">
        <v>300000</v>
      </c>
    </row>
    <row r="68" spans="1:3" ht="18.75" x14ac:dyDescent="0.25">
      <c r="A68" s="51">
        <v>11</v>
      </c>
      <c r="B68" s="32" t="str" cm="1">
        <f t="array" ref="B68:C68">C32:D32</f>
        <v>FB BOOSTER DIAN</v>
      </c>
      <c r="C68" s="8">
        <v>300000</v>
      </c>
    </row>
    <row r="69" spans="1:3" x14ac:dyDescent="0.25">
      <c r="A69" s="92" t="s">
        <v>851</v>
      </c>
      <c r="B69" s="93"/>
      <c r="C69" s="89">
        <f>SUM(C58:C68)</f>
        <v>54336960</v>
      </c>
    </row>
    <row r="70" spans="1:3" x14ac:dyDescent="0.25">
      <c r="A70" s="95"/>
      <c r="B70" s="96"/>
      <c r="C70" s="89"/>
    </row>
  </sheetData>
  <mergeCells count="42">
    <mergeCell ref="A1:A2"/>
    <mergeCell ref="B1:B2"/>
    <mergeCell ref="C1:C2"/>
    <mergeCell ref="D1:D2"/>
    <mergeCell ref="B3:B10"/>
    <mergeCell ref="A3:A10"/>
    <mergeCell ref="B18:B24"/>
    <mergeCell ref="A18:A24"/>
    <mergeCell ref="A11:C12"/>
    <mergeCell ref="D11:D12"/>
    <mergeCell ref="A16:A17"/>
    <mergeCell ref="B16:B17"/>
    <mergeCell ref="C16:C17"/>
    <mergeCell ref="D16:D17"/>
    <mergeCell ref="A25:C26"/>
    <mergeCell ref="D25:D26"/>
    <mergeCell ref="A29:A30"/>
    <mergeCell ref="B29:B30"/>
    <mergeCell ref="C29:C30"/>
    <mergeCell ref="D29:D30"/>
    <mergeCell ref="D43:D44"/>
    <mergeCell ref="A46:A47"/>
    <mergeCell ref="B46:B47"/>
    <mergeCell ref="C46:C47"/>
    <mergeCell ref="A31:A32"/>
    <mergeCell ref="B31:B32"/>
    <mergeCell ref="A33:C34"/>
    <mergeCell ref="D33:D34"/>
    <mergeCell ref="A38:A39"/>
    <mergeCell ref="B38:B39"/>
    <mergeCell ref="C38:C39"/>
    <mergeCell ref="D38:D39"/>
    <mergeCell ref="A69:B70"/>
    <mergeCell ref="C69:C70"/>
    <mergeCell ref="A40:A42"/>
    <mergeCell ref="B40:B42"/>
    <mergeCell ref="A43:C44"/>
    <mergeCell ref="A51:B52"/>
    <mergeCell ref="C51:C52"/>
    <mergeCell ref="A56:A57"/>
    <mergeCell ref="B56:B57"/>
    <mergeCell ref="C56:C57"/>
  </mergeCells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589D-4F23-4471-9F71-1652A01FEABF}">
  <dimension ref="A1:D66"/>
  <sheetViews>
    <sheetView topLeftCell="A53" workbookViewId="0">
      <selection activeCell="D69" sqref="D69"/>
    </sheetView>
  </sheetViews>
  <sheetFormatPr defaultRowHeight="15" x14ac:dyDescent="0.25"/>
  <cols>
    <col min="1" max="1" width="4.42578125" customWidth="1"/>
    <col min="2" max="2" width="40.7109375" customWidth="1"/>
    <col min="3" max="3" width="36.28515625" customWidth="1"/>
    <col min="4" max="4" width="21.5703125" customWidth="1"/>
    <col min="6" max="6" width="4.28515625" customWidth="1"/>
    <col min="7" max="7" width="18.5703125" customWidth="1"/>
    <col min="8" max="8" width="27.140625" customWidth="1"/>
    <col min="9" max="9" width="18.140625" customWidth="1"/>
  </cols>
  <sheetData>
    <row r="1" spans="1:4" x14ac:dyDescent="0.25">
      <c r="A1" s="87" t="s">
        <v>968</v>
      </c>
      <c r="B1" s="87" t="s">
        <v>965</v>
      </c>
      <c r="C1" s="87" t="s">
        <v>5</v>
      </c>
      <c r="D1" s="87" t="s">
        <v>969</v>
      </c>
    </row>
    <row r="2" spans="1:4" x14ac:dyDescent="0.25">
      <c r="A2" s="88"/>
      <c r="B2" s="88"/>
      <c r="C2" s="88"/>
      <c r="D2" s="88"/>
    </row>
    <row r="3" spans="1:4" x14ac:dyDescent="0.25">
      <c r="A3" s="98">
        <v>1</v>
      </c>
      <c r="B3" s="98" t="s">
        <v>966</v>
      </c>
      <c r="C3" s="1" t="s">
        <v>1038</v>
      </c>
      <c r="D3" s="8">
        <v>8000000</v>
      </c>
    </row>
    <row r="4" spans="1:4" x14ac:dyDescent="0.25">
      <c r="A4" s="99"/>
      <c r="B4" s="99"/>
      <c r="C4" s="1" t="s">
        <v>1075</v>
      </c>
      <c r="D4" s="8">
        <v>30000000</v>
      </c>
    </row>
    <row r="5" spans="1:4" x14ac:dyDescent="0.25">
      <c r="A5" s="99"/>
      <c r="B5" s="99"/>
      <c r="C5" s="1" t="s">
        <v>1801</v>
      </c>
      <c r="D5" s="8">
        <v>21606288</v>
      </c>
    </row>
    <row r="6" spans="1:4" x14ac:dyDescent="0.25">
      <c r="A6" s="99"/>
      <c r="B6" s="99"/>
      <c r="C6" s="1" t="s">
        <v>1802</v>
      </c>
      <c r="D6" s="8">
        <v>14775715</v>
      </c>
    </row>
    <row r="7" spans="1:4" x14ac:dyDescent="0.25">
      <c r="A7" s="99"/>
      <c r="B7" s="99"/>
      <c r="C7" s="1" t="s">
        <v>1803</v>
      </c>
      <c r="D7" s="8">
        <v>4271250</v>
      </c>
    </row>
    <row r="8" spans="1:4" x14ac:dyDescent="0.25">
      <c r="A8" s="99"/>
      <c r="B8" s="99"/>
      <c r="C8" s="1" t="s">
        <v>1804</v>
      </c>
      <c r="D8" s="8">
        <v>4694375</v>
      </c>
    </row>
    <row r="9" spans="1:4" x14ac:dyDescent="0.25">
      <c r="A9" s="38"/>
      <c r="B9" s="38"/>
      <c r="C9" s="1" t="s">
        <v>7</v>
      </c>
      <c r="D9" s="8">
        <v>25000000</v>
      </c>
    </row>
    <row r="10" spans="1:4" x14ac:dyDescent="0.25">
      <c r="A10" s="38"/>
      <c r="B10" s="38"/>
      <c r="C10" s="1" t="s">
        <v>1811</v>
      </c>
      <c r="D10" s="8">
        <v>2200000</v>
      </c>
    </row>
    <row r="11" spans="1:4" x14ac:dyDescent="0.25">
      <c r="A11" s="90" t="s">
        <v>851</v>
      </c>
      <c r="B11" s="90"/>
      <c r="C11" s="90"/>
      <c r="D11" s="89">
        <f>SUM(D3:D10)</f>
        <v>110547628</v>
      </c>
    </row>
    <row r="12" spans="1:4" ht="15" customHeight="1" x14ac:dyDescent="0.25">
      <c r="A12" s="90"/>
      <c r="B12" s="90"/>
      <c r="C12" s="90"/>
      <c r="D12" s="89"/>
    </row>
    <row r="16" spans="1:4" x14ac:dyDescent="0.25">
      <c r="A16" s="87" t="s">
        <v>968</v>
      </c>
      <c r="B16" s="87" t="s">
        <v>965</v>
      </c>
      <c r="C16" s="87" t="s">
        <v>5</v>
      </c>
      <c r="D16" s="87" t="s">
        <v>969</v>
      </c>
    </row>
    <row r="17" spans="1:4" x14ac:dyDescent="0.25">
      <c r="A17" s="88"/>
      <c r="B17" s="88"/>
      <c r="C17" s="88"/>
      <c r="D17" s="88"/>
    </row>
    <row r="18" spans="1:4" x14ac:dyDescent="0.25">
      <c r="A18" s="91">
        <v>1</v>
      </c>
      <c r="B18" s="91" t="s">
        <v>967</v>
      </c>
      <c r="C18" s="32" t="s">
        <v>1805</v>
      </c>
      <c r="D18" s="8">
        <v>2800000</v>
      </c>
    </row>
    <row r="19" spans="1:4" x14ac:dyDescent="0.25">
      <c r="A19" s="91"/>
      <c r="B19" s="91"/>
      <c r="C19" s="32" t="s">
        <v>1806</v>
      </c>
      <c r="D19" s="8">
        <v>1495322</v>
      </c>
    </row>
    <row r="20" spans="1:4" x14ac:dyDescent="0.25">
      <c r="A20" s="91"/>
      <c r="B20" s="91"/>
      <c r="C20" s="31" t="s">
        <v>1807</v>
      </c>
      <c r="D20" s="8">
        <v>3300000</v>
      </c>
    </row>
    <row r="21" spans="1:4" x14ac:dyDescent="0.25">
      <c r="A21" s="91"/>
      <c r="B21" s="91"/>
      <c r="C21" s="31" t="s">
        <v>1808</v>
      </c>
      <c r="D21" s="8">
        <v>1100000</v>
      </c>
    </row>
    <row r="22" spans="1:4" x14ac:dyDescent="0.25">
      <c r="A22" s="91"/>
      <c r="B22" s="91"/>
      <c r="C22" s="31" t="s">
        <v>1809</v>
      </c>
      <c r="D22" s="8">
        <v>7850000</v>
      </c>
    </row>
    <row r="23" spans="1:4" x14ac:dyDescent="0.25">
      <c r="A23" s="91"/>
      <c r="B23" s="91"/>
      <c r="C23" s="31" t="s">
        <v>1810</v>
      </c>
      <c r="D23" s="8">
        <v>7000000</v>
      </c>
    </row>
    <row r="24" spans="1:4" x14ac:dyDescent="0.25">
      <c r="A24" s="92" t="s">
        <v>851</v>
      </c>
      <c r="B24" s="93"/>
      <c r="C24" s="94"/>
      <c r="D24" s="89">
        <f>SUM(D18:D23)</f>
        <v>23545322</v>
      </c>
    </row>
    <row r="25" spans="1:4" x14ac:dyDescent="0.25">
      <c r="A25" s="95"/>
      <c r="B25" s="96"/>
      <c r="C25" s="97"/>
      <c r="D25" s="89"/>
    </row>
    <row r="28" spans="1:4" x14ac:dyDescent="0.25">
      <c r="A28" s="87" t="s">
        <v>968</v>
      </c>
      <c r="B28" s="87" t="s">
        <v>965</v>
      </c>
      <c r="C28" s="87" t="s">
        <v>5</v>
      </c>
      <c r="D28" s="87" t="s">
        <v>969</v>
      </c>
    </row>
    <row r="29" spans="1:4" x14ac:dyDescent="0.25">
      <c r="A29" s="88"/>
      <c r="B29" s="88"/>
      <c r="C29" s="88"/>
      <c r="D29" s="88"/>
    </row>
    <row r="30" spans="1:4" x14ac:dyDescent="0.25">
      <c r="A30" s="91">
        <v>1</v>
      </c>
      <c r="B30" s="91" t="s">
        <v>1047</v>
      </c>
      <c r="C30" s="32"/>
      <c r="D30" s="8"/>
    </row>
    <row r="31" spans="1:4" x14ac:dyDescent="0.25">
      <c r="A31" s="91"/>
      <c r="B31" s="91"/>
      <c r="C31" s="32"/>
      <c r="D31" s="8"/>
    </row>
    <row r="32" spans="1:4" x14ac:dyDescent="0.25">
      <c r="A32" s="92" t="s">
        <v>851</v>
      </c>
      <c r="B32" s="93"/>
      <c r="C32" s="94"/>
      <c r="D32" s="89">
        <f>SUM(D30:D31)</f>
        <v>0</v>
      </c>
    </row>
    <row r="33" spans="1:4" x14ac:dyDescent="0.25">
      <c r="A33" s="95"/>
      <c r="B33" s="96"/>
      <c r="C33" s="97"/>
      <c r="D33" s="89"/>
    </row>
    <row r="37" spans="1:4" x14ac:dyDescent="0.25">
      <c r="A37" s="87" t="s">
        <v>968</v>
      </c>
      <c r="B37" s="87" t="s">
        <v>965</v>
      </c>
      <c r="C37" s="87" t="s">
        <v>5</v>
      </c>
      <c r="D37" s="87" t="s">
        <v>969</v>
      </c>
    </row>
    <row r="38" spans="1:4" x14ac:dyDescent="0.25">
      <c r="A38" s="88"/>
      <c r="B38" s="88"/>
      <c r="C38" s="88"/>
      <c r="D38" s="88"/>
    </row>
    <row r="39" spans="1:4" x14ac:dyDescent="0.25">
      <c r="A39" s="91">
        <v>1</v>
      </c>
      <c r="B39" s="91" t="s">
        <v>1708</v>
      </c>
      <c r="C39" s="1"/>
      <c r="D39" s="8"/>
    </row>
    <row r="40" spans="1:4" x14ac:dyDescent="0.25">
      <c r="A40" s="91"/>
      <c r="B40" s="91"/>
      <c r="C40" s="1"/>
      <c r="D40" s="8"/>
    </row>
    <row r="41" spans="1:4" x14ac:dyDescent="0.25">
      <c r="A41" s="91"/>
      <c r="B41" s="91"/>
      <c r="C41" s="1"/>
      <c r="D41" s="8"/>
    </row>
    <row r="42" spans="1:4" x14ac:dyDescent="0.25">
      <c r="A42" s="92" t="s">
        <v>851</v>
      </c>
      <c r="B42" s="93"/>
      <c r="C42" s="94"/>
      <c r="D42" s="89">
        <f>SUM(D39:D41)</f>
        <v>0</v>
      </c>
    </row>
    <row r="43" spans="1:4" x14ac:dyDescent="0.25">
      <c r="A43" s="95"/>
      <c r="B43" s="96"/>
      <c r="C43" s="97"/>
      <c r="D43" s="89"/>
    </row>
    <row r="45" spans="1:4" x14ac:dyDescent="0.25">
      <c r="A45" s="87" t="s">
        <v>968</v>
      </c>
      <c r="B45" s="87" t="s">
        <v>965</v>
      </c>
      <c r="C45" s="87" t="s">
        <v>969</v>
      </c>
    </row>
    <row r="46" spans="1:4" x14ac:dyDescent="0.25">
      <c r="A46" s="88"/>
      <c r="B46" s="88"/>
      <c r="C46" s="88"/>
    </row>
    <row r="47" spans="1:4" ht="22.5" customHeight="1" x14ac:dyDescent="0.25">
      <c r="A47" s="30">
        <v>1</v>
      </c>
      <c r="B47" s="30" t="s">
        <v>966</v>
      </c>
      <c r="C47" s="8">
        <f>D11</f>
        <v>110547628</v>
      </c>
    </row>
    <row r="48" spans="1:4" ht="21.75" customHeight="1" x14ac:dyDescent="0.25">
      <c r="A48" s="30">
        <v>2</v>
      </c>
      <c r="B48" s="30" t="s">
        <v>967</v>
      </c>
      <c r="C48" s="8">
        <f>D24</f>
        <v>23545322</v>
      </c>
    </row>
    <row r="49" spans="1:3" ht="19.5" hidden="1" customHeight="1" x14ac:dyDescent="0.25">
      <c r="A49" s="30">
        <v>3</v>
      </c>
      <c r="B49" s="30" t="s">
        <v>1047</v>
      </c>
      <c r="C49" s="8">
        <f>D32</f>
        <v>0</v>
      </c>
    </row>
    <row r="50" spans="1:3" ht="15" customHeight="1" x14ac:dyDescent="0.25">
      <c r="A50" s="90" t="s">
        <v>851</v>
      </c>
      <c r="B50" s="90"/>
      <c r="C50" s="89">
        <f>SUM(C47:C49)</f>
        <v>134092950</v>
      </c>
    </row>
    <row r="51" spans="1:3" ht="15" customHeight="1" x14ac:dyDescent="0.25">
      <c r="A51" s="90"/>
      <c r="B51" s="90"/>
      <c r="C51" s="89"/>
    </row>
    <row r="55" spans="1:3" x14ac:dyDescent="0.25">
      <c r="A55" s="87" t="s">
        <v>968</v>
      </c>
      <c r="B55" s="87" t="s">
        <v>7</v>
      </c>
      <c r="C55" s="87" t="s">
        <v>969</v>
      </c>
    </row>
    <row r="56" spans="1:3" x14ac:dyDescent="0.25">
      <c r="A56" s="88"/>
      <c r="B56" s="88"/>
      <c r="C56" s="88"/>
    </row>
    <row r="57" spans="1:3" ht="18.75" x14ac:dyDescent="0.25">
      <c r="A57" s="51">
        <v>1</v>
      </c>
      <c r="B57" s="1" t="str" cm="1">
        <f t="array" ref="B57:C57">C3:D3</f>
        <v>KOPERASI PANCA MERTA</v>
      </c>
      <c r="C57" s="8">
        <v>8000000</v>
      </c>
    </row>
    <row r="58" spans="1:3" x14ac:dyDescent="0.25">
      <c r="A58" s="42">
        <v>2</v>
      </c>
      <c r="B58" s="1" t="str" cm="1">
        <f t="array" ref="B58:C58">C5:D5</f>
        <v>KPR BCA</v>
      </c>
      <c r="C58" s="8">
        <v>21606288</v>
      </c>
    </row>
    <row r="59" spans="1:3" ht="18.75" x14ac:dyDescent="0.25">
      <c r="A59" s="51">
        <v>3</v>
      </c>
      <c r="B59" s="1" t="str" cm="1">
        <f t="array" ref="B59:C59">C6:D6</f>
        <v>ANGS. LAVAYA</v>
      </c>
      <c r="C59" s="8">
        <v>14775715</v>
      </c>
    </row>
    <row r="60" spans="1:3" x14ac:dyDescent="0.25">
      <c r="A60" s="42">
        <v>4</v>
      </c>
      <c r="B60" s="1" t="str" cm="1">
        <f t="array" ref="B60:C60">C7:D7</f>
        <v>BUNGA CIMB PORSCHE MACAN</v>
      </c>
      <c r="C60" s="8">
        <v>4271250</v>
      </c>
    </row>
    <row r="61" spans="1:3" ht="18.75" x14ac:dyDescent="0.25">
      <c r="A61" s="51">
        <v>5</v>
      </c>
      <c r="B61" s="1" t="str" cm="1">
        <f t="array" ref="B61:C61">C8:D8</f>
        <v>BUNGA CIMB LEXUS NX 300</v>
      </c>
      <c r="C61" s="8">
        <v>4694375</v>
      </c>
    </row>
    <row r="62" spans="1:3" x14ac:dyDescent="0.25">
      <c r="A62" s="42">
        <v>6</v>
      </c>
      <c r="B62" s="1" t="str" cm="1">
        <f t="array" ref="B62:C62">C9:D9</f>
        <v>PATTY CASH</v>
      </c>
      <c r="C62" s="8">
        <v>25000000</v>
      </c>
    </row>
    <row r="63" spans="1:3" ht="18.75" x14ac:dyDescent="0.25">
      <c r="A63" s="51">
        <v>7</v>
      </c>
      <c r="B63" s="1" t="str" cm="1">
        <f t="array" ref="B63:C63">C18:D18</f>
        <v>REMBES KACA FILM MINI (B 2848 CBE)</v>
      </c>
      <c r="C63" s="8">
        <v>2800000</v>
      </c>
    </row>
    <row r="64" spans="1:3" x14ac:dyDescent="0.25">
      <c r="A64" s="42">
        <v>8</v>
      </c>
      <c r="B64" s="1" t="str" cm="1">
        <f t="array" ref="B64:C64">C19:D19</f>
        <v>REMBES PART MINI ORANGE (B 1807 BIU)</v>
      </c>
      <c r="C64" s="8">
        <v>1495322</v>
      </c>
    </row>
    <row r="65" spans="1:3" x14ac:dyDescent="0.25">
      <c r="A65" s="92" t="s">
        <v>851</v>
      </c>
      <c r="B65" s="93"/>
      <c r="C65" s="89">
        <f>SUM(C57:C64)</f>
        <v>82642950</v>
      </c>
    </row>
    <row r="66" spans="1:3" x14ac:dyDescent="0.25">
      <c r="A66" s="95"/>
      <c r="B66" s="96"/>
      <c r="C66" s="89"/>
    </row>
  </sheetData>
  <mergeCells count="42">
    <mergeCell ref="A65:B66"/>
    <mergeCell ref="C65:C66"/>
    <mergeCell ref="A39:A41"/>
    <mergeCell ref="B39:B41"/>
    <mergeCell ref="A42:C43"/>
    <mergeCell ref="A50:B51"/>
    <mergeCell ref="C50:C51"/>
    <mergeCell ref="A55:A56"/>
    <mergeCell ref="B55:B56"/>
    <mergeCell ref="C55:C56"/>
    <mergeCell ref="D42:D43"/>
    <mergeCell ref="A45:A46"/>
    <mergeCell ref="B45:B46"/>
    <mergeCell ref="C45:C46"/>
    <mergeCell ref="A30:A31"/>
    <mergeCell ref="B30:B31"/>
    <mergeCell ref="A32:C33"/>
    <mergeCell ref="D32:D33"/>
    <mergeCell ref="A37:A38"/>
    <mergeCell ref="B37:B38"/>
    <mergeCell ref="C37:C38"/>
    <mergeCell ref="D37:D38"/>
    <mergeCell ref="A18:A23"/>
    <mergeCell ref="B18:B23"/>
    <mergeCell ref="A24:C25"/>
    <mergeCell ref="D24:D25"/>
    <mergeCell ref="A28:A29"/>
    <mergeCell ref="B28:B29"/>
    <mergeCell ref="C28:C29"/>
    <mergeCell ref="D28:D29"/>
    <mergeCell ref="A11:C12"/>
    <mergeCell ref="D11:D12"/>
    <mergeCell ref="A16:A17"/>
    <mergeCell ref="B16:B17"/>
    <mergeCell ref="C16:C17"/>
    <mergeCell ref="D16:D17"/>
    <mergeCell ref="A1:A2"/>
    <mergeCell ref="B1:B2"/>
    <mergeCell ref="C1:C2"/>
    <mergeCell ref="D1:D2"/>
    <mergeCell ref="A3:A8"/>
    <mergeCell ref="B3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</vt:i4>
      </vt:variant>
    </vt:vector>
  </HeadingPairs>
  <TitlesOfParts>
    <vt:vector size="29" baseType="lpstr">
      <vt:lpstr>Jan&amp;Feb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PENGAJUAN DANA 05juli </vt:lpstr>
      <vt:lpstr>PENGAJUAN DANA 12juli</vt:lpstr>
      <vt:lpstr>PENGAJUAN DANA 20juli</vt:lpstr>
      <vt:lpstr>PENGAJUAN DANA 29JULI</vt:lpstr>
      <vt:lpstr>PENGAJUAN DANA 2AGUSTUS</vt:lpstr>
      <vt:lpstr>PENGAJUAN DANA 9AGUSTUS</vt:lpstr>
      <vt:lpstr>PENGAJUAN DANA 16AGUSTUS </vt:lpstr>
      <vt:lpstr>PENGAJUAN DANA 23AGUSTUS</vt:lpstr>
      <vt:lpstr>PENGAJUAN DANA 30AGUSTUS</vt:lpstr>
      <vt:lpstr>PENGAJUAN DANA 19 SEPTEMBER 202</vt:lpstr>
      <vt:lpstr>PENGAJUAN DANA 27 SEPTEMBER </vt:lpstr>
      <vt:lpstr>PENGAJUAN DANA 03 OKTOBER 2024</vt:lpstr>
      <vt:lpstr>PENGAJUAN DANA 11 OKTOBER </vt:lpstr>
      <vt:lpstr>PENGAJUAN DANA 17 OKTOBER 2024</vt:lpstr>
      <vt:lpstr>PENGAJUAN DANA 24 OKTOBER </vt:lpstr>
      <vt:lpstr>PENGAJUAN DANA 01 NOV 2024  </vt:lpstr>
      <vt:lpstr>PENGAJUAN DANA 07 NOV 2024 </vt:lpstr>
      <vt:lpstr>PENGAJUAN DANA 14 NOV 2024</vt:lpstr>
      <vt:lpstr>MEI!Print_Area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Celebrity Car</dc:creator>
  <cp:lastModifiedBy>Celebrity Car</cp:lastModifiedBy>
  <cp:lastPrinted>2024-11-14T01:14:07Z</cp:lastPrinted>
  <dcterms:created xsi:type="dcterms:W3CDTF">2015-06-05T18:17:20Z</dcterms:created>
  <dcterms:modified xsi:type="dcterms:W3CDTF">2024-11-16T02:52:51Z</dcterms:modified>
</cp:coreProperties>
</file>