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  <sheet state="visible" name="Import" sheetId="2" r:id="rId5"/>
    <sheet state="visible" name="bargraph" sheetId="3" r:id="rId6"/>
    <sheet state="visible" name="count of income" sheetId="4" r:id="rId7"/>
    <sheet state="visible" name="distribution" sheetId="5" r:id="rId8"/>
    <sheet state="visible" name="Sheet6" sheetId="6" r:id="rId9"/>
  </sheets>
  <definedNames>
    <definedName name="MIDDLE_ELEMENT">LAMBDA(IF(ISBLANK(#REF!), MEDIAN(FILTER(#REF!, #REF!&lt;&gt;""), 1), #REF!))</definedName>
  </definedNames>
  <calcPr/>
  <pivotCaches>
    <pivotCache cacheId="0" r:id="rId10"/>
    <pivotCache cacheId="1" r:id="rId11"/>
    <pivotCache cacheId="2" r:id="rId12"/>
    <pivotCache cacheId="3" r:id="rId13"/>
    <pivotCache cacheId="4" r:id="rId14"/>
  </pivotCaches>
</workbook>
</file>

<file path=xl/sharedStrings.xml><?xml version="1.0" encoding="utf-8"?>
<sst xmlns="http://schemas.openxmlformats.org/spreadsheetml/2006/main" count="24883" uniqueCount="1147">
  <si>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</si>
  <si>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</si>
  <si>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</si>
  <si>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</si>
  <si>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</si>
  <si>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</si>
  <si>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</si>
  <si>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</si>
  <si>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</si>
  <si>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</si>
  <si>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</si>
  <si>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</si>
  <si>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</si>
  <si>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12496</t>
  </si>
  <si>
    <t>Married</t>
  </si>
  <si>
    <t>Female</t>
  </si>
  <si>
    <t>40000</t>
  </si>
  <si>
    <t>1</t>
  </si>
  <si>
    <t>Bachelors</t>
  </si>
  <si>
    <t>Skilled Manual</t>
  </si>
  <si>
    <t>Yes</t>
  </si>
  <si>
    <t>0</t>
  </si>
  <si>
    <t>0-1 Miles</t>
  </si>
  <si>
    <t>Europe</t>
  </si>
  <si>
    <t>42</t>
  </si>
  <si>
    <t>No</t>
  </si>
  <si>
    <t>24107</t>
  </si>
  <si>
    <t>Male</t>
  </si>
  <si>
    <t>30000</t>
  </si>
  <si>
    <t>3</t>
  </si>
  <si>
    <t>Partial College</t>
  </si>
  <si>
    <t>Clerical</t>
  </si>
  <si>
    <t>43</t>
  </si>
  <si>
    <t>14177</t>
  </si>
  <si>
    <t>80000</t>
  </si>
  <si>
    <t>5</t>
  </si>
  <si>
    <t>Professional</t>
  </si>
  <si>
    <t>2</t>
  </si>
  <si>
    <t>2-5 Miles</t>
  </si>
  <si>
    <t>60</t>
  </si>
  <si>
    <t>24381</t>
  </si>
  <si>
    <t>Single</t>
  </si>
  <si>
    <t>70000</t>
  </si>
  <si>
    <t>5-10 Miles</t>
  </si>
  <si>
    <t>Pacific</t>
  </si>
  <si>
    <t>41</t>
  </si>
  <si>
    <t>25597</t>
  </si>
  <si>
    <t>36</t>
  </si>
  <si>
    <t>13507</t>
  </si>
  <si>
    <t>10000</t>
  </si>
  <si>
    <t>Manual</t>
  </si>
  <si>
    <t>1-2 Miles</t>
  </si>
  <si>
    <t>50</t>
  </si>
  <si>
    <t>27974</t>
  </si>
  <si>
    <t>160000</t>
  </si>
  <si>
    <t>High School</t>
  </si>
  <si>
    <t>Management</t>
  </si>
  <si>
    <t>4</t>
  </si>
  <si>
    <t>33</t>
  </si>
  <si>
    <t>19364</t>
  </si>
  <si>
    <t>22155</t>
  </si>
  <si>
    <t>20000</t>
  </si>
  <si>
    <t>Partial High School</t>
  </si>
  <si>
    <t>58</t>
  </si>
  <si>
    <t>19280</t>
  </si>
  <si>
    <t>22173</t>
  </si>
  <si>
    <t>54</t>
  </si>
  <si>
    <t>12697</t>
  </si>
  <si>
    <t>90000</t>
  </si>
  <si>
    <t>10+ Miles</t>
  </si>
  <si>
    <t>11434</t>
  </si>
  <si>
    <t>170000</t>
  </si>
  <si>
    <t>55</t>
  </si>
  <si>
    <t>25323</t>
  </si>
  <si>
    <t>35</t>
  </si>
  <si>
    <t>23542</t>
  </si>
  <si>
    <t>60000</t>
  </si>
  <si>
    <t>45</t>
  </si>
  <si>
    <t>20870</t>
  </si>
  <si>
    <t>38</t>
  </si>
  <si>
    <t>23316</t>
  </si>
  <si>
    <t>59</t>
  </si>
  <si>
    <t>12610</t>
  </si>
  <si>
    <t>47</t>
  </si>
  <si>
    <t>27183</t>
  </si>
  <si>
    <t>25940</t>
  </si>
  <si>
    <t>25598</t>
  </si>
  <si>
    <t>Graduate Degree</t>
  </si>
  <si>
    <t>21564</t>
  </si>
  <si>
    <t>19193</t>
  </si>
  <si>
    <t>26412</t>
  </si>
  <si>
    <t>56</t>
  </si>
  <si>
    <t>27184</t>
  </si>
  <si>
    <t>34</t>
  </si>
  <si>
    <t>12590</t>
  </si>
  <si>
    <t>63</t>
  </si>
  <si>
    <t>17841</t>
  </si>
  <si>
    <t>29</t>
  </si>
  <si>
    <t>18283</t>
  </si>
  <si>
    <t>100000</t>
  </si>
  <si>
    <t>40</t>
  </si>
  <si>
    <t>18299</t>
  </si>
  <si>
    <t>44</t>
  </si>
  <si>
    <t>16466</t>
  </si>
  <si>
    <t>32</t>
  </si>
  <si>
    <t>19273</t>
  </si>
  <si>
    <t>22400</t>
  </si>
  <si>
    <t>26</t>
  </si>
  <si>
    <t>20942</t>
  </si>
  <si>
    <t>31</t>
  </si>
  <si>
    <t>18484</t>
  </si>
  <si>
    <t>12291</t>
  </si>
  <si>
    <t>62</t>
  </si>
  <si>
    <t>28380</t>
  </si>
  <si>
    <t>17891</t>
  </si>
  <si>
    <t>27832</t>
  </si>
  <si>
    <t>30</t>
  </si>
  <si>
    <t>26863</t>
  </si>
  <si>
    <t>28</t>
  </si>
  <si>
    <t>16259</t>
  </si>
  <si>
    <t>27803</t>
  </si>
  <si>
    <t>14347</t>
  </si>
  <si>
    <t>65</t>
  </si>
  <si>
    <t>17703</t>
  </si>
  <si>
    <t>17185</t>
  </si>
  <si>
    <t>48</t>
  </si>
  <si>
    <t>29380</t>
  </si>
  <si>
    <t>23986</t>
  </si>
  <si>
    <t>66</t>
  </si>
  <si>
    <t>24466</t>
  </si>
  <si>
    <t>46</t>
  </si>
  <si>
    <t>29097</t>
  </si>
  <si>
    <t>52</t>
  </si>
  <si>
    <t>19487</t>
  </si>
  <si>
    <t>14939</t>
  </si>
  <si>
    <t>39</t>
  </si>
  <si>
    <t>13826</t>
  </si>
  <si>
    <t>20619</t>
  </si>
  <si>
    <t>12558</t>
  </si>
  <si>
    <t>24871</t>
  </si>
  <si>
    <t>17319</t>
  </si>
  <si>
    <t>28906</t>
  </si>
  <si>
    <t>12808</t>
  </si>
  <si>
    <t>20567</t>
  </si>
  <si>
    <t>130000</t>
  </si>
  <si>
    <t>61</t>
  </si>
  <si>
    <t>25502</t>
  </si>
  <si>
    <t>15580</t>
  </si>
  <si>
    <t>24185</t>
  </si>
  <si>
    <t>19291</t>
  </si>
  <si>
    <t>16713</t>
  </si>
  <si>
    <t>16185</t>
  </si>
  <si>
    <t>14927</t>
  </si>
  <si>
    <t>37</t>
  </si>
  <si>
    <t>29337</t>
  </si>
  <si>
    <t>68</t>
  </si>
  <si>
    <t>29355</t>
  </si>
  <si>
    <t>25303</t>
  </si>
  <si>
    <t>14813</t>
  </si>
  <si>
    <t>16438</t>
  </si>
  <si>
    <t>14238</t>
  </si>
  <si>
    <t>120000</t>
  </si>
  <si>
    <t>16200</t>
  </si>
  <si>
    <t>24857</t>
  </si>
  <si>
    <t>26956</t>
  </si>
  <si>
    <t>14517</t>
  </si>
  <si>
    <t>12678</t>
  </si>
  <si>
    <t>16188</t>
  </si>
  <si>
    <t>27969</t>
  </si>
  <si>
    <t>15752</t>
  </si>
  <si>
    <t>27745</t>
  </si>
  <si>
    <t>20828</t>
  </si>
  <si>
    <t>19461</t>
  </si>
  <si>
    <t>26941</t>
  </si>
  <si>
    <t>28412</t>
  </si>
  <si>
    <t>24485</t>
  </si>
  <si>
    <t>16514</t>
  </si>
  <si>
    <t>17191</t>
  </si>
  <si>
    <t>51</t>
  </si>
  <si>
    <t>19608</t>
  </si>
  <si>
    <t>24119</t>
  </si>
  <si>
    <t>25458</t>
  </si>
  <si>
    <t>26886</t>
  </si>
  <si>
    <t>28436</t>
  </si>
  <si>
    <t>19562</t>
  </si>
  <si>
    <t>15608</t>
  </si>
  <si>
    <t>16487</t>
  </si>
  <si>
    <t>17197</t>
  </si>
  <si>
    <t>12507</t>
  </si>
  <si>
    <t>23940</t>
  </si>
  <si>
    <t>19441</t>
  </si>
  <si>
    <t>26852</t>
  </si>
  <si>
    <t>12274</t>
  </si>
  <si>
    <t>20236</t>
  </si>
  <si>
    <t>24149</t>
  </si>
  <si>
    <t>49</t>
  </si>
  <si>
    <t>26139</t>
  </si>
  <si>
    <t>18491</t>
  </si>
  <si>
    <t>22707</t>
  </si>
  <si>
    <t>20430</t>
  </si>
  <si>
    <t>27494</t>
  </si>
  <si>
    <t>53</t>
  </si>
  <si>
    <t>26829</t>
  </si>
  <si>
    <t>28395</t>
  </si>
  <si>
    <t>21006</t>
  </si>
  <si>
    <t>14682</t>
  </si>
  <si>
    <t>17650</t>
  </si>
  <si>
    <t>29191</t>
  </si>
  <si>
    <t>15030</t>
  </si>
  <si>
    <t>24140</t>
  </si>
  <si>
    <t>22496</t>
  </si>
  <si>
    <t>24065</t>
  </si>
  <si>
    <t>19914</t>
  </si>
  <si>
    <t>12871</t>
  </si>
  <si>
    <t>22988</t>
  </si>
  <si>
    <t>15922</t>
  </si>
  <si>
    <t>150000</t>
  </si>
  <si>
    <t>12344</t>
  </si>
  <si>
    <t>23627</t>
  </si>
  <si>
    <t>27775</t>
  </si>
  <si>
    <t>29301</t>
  </si>
  <si>
    <t>12716</t>
  </si>
  <si>
    <t>12472</t>
  </si>
  <si>
    <t>20970</t>
  </si>
  <si>
    <t>26818</t>
  </si>
  <si>
    <t>12993</t>
  </si>
  <si>
    <t>14192</t>
  </si>
  <si>
    <t>19477</t>
  </si>
  <si>
    <t>26796</t>
  </si>
  <si>
    <t>21094</t>
  </si>
  <si>
    <t>12234</t>
  </si>
  <si>
    <t>28683</t>
  </si>
  <si>
    <t>17994</t>
  </si>
  <si>
    <t>24273</t>
  </si>
  <si>
    <t>26547</t>
  </si>
  <si>
    <t>22500</t>
  </si>
  <si>
    <t>23993</t>
  </si>
  <si>
    <t>14832</t>
  </si>
  <si>
    <t>16614</t>
  </si>
  <si>
    <t>20877</t>
  </si>
  <si>
    <t>20729</t>
  </si>
  <si>
    <t>22464</t>
  </si>
  <si>
    <t>19475</t>
  </si>
  <si>
    <t>19675</t>
  </si>
  <si>
    <t>12728</t>
  </si>
  <si>
    <t>27</t>
  </si>
  <si>
    <t>26154</t>
  </si>
  <si>
    <t>29117</t>
  </si>
  <si>
    <t>17845</t>
  </si>
  <si>
    <t>25058</t>
  </si>
  <si>
    <t>23426</t>
  </si>
  <si>
    <t>14798</t>
  </si>
  <si>
    <t>12664</t>
  </si>
  <si>
    <t>23979</t>
  </si>
  <si>
    <t>25605</t>
  </si>
  <si>
    <t>20797</t>
  </si>
  <si>
    <t>21980</t>
  </si>
  <si>
    <t>25460</t>
  </si>
  <si>
    <t>29181</t>
  </si>
  <si>
    <t>24279</t>
  </si>
  <si>
    <t>22402</t>
  </si>
  <si>
    <t>25</t>
  </si>
  <si>
    <t>15465</t>
  </si>
  <si>
    <t>26757</t>
  </si>
  <si>
    <t>14233</t>
  </si>
  <si>
    <t>14058</t>
  </si>
  <si>
    <t>12273</t>
  </si>
  <si>
    <t>17203</t>
  </si>
  <si>
    <t>18144</t>
  </si>
  <si>
    <t>23963</t>
  </si>
  <si>
    <t>17907</t>
  </si>
  <si>
    <t>19442</t>
  </si>
  <si>
    <t>50000</t>
  </si>
  <si>
    <t>17504</t>
  </si>
  <si>
    <t>12253</t>
  </si>
  <si>
    <t>27304</t>
  </si>
  <si>
    <t>110000</t>
  </si>
  <si>
    <t>14191</t>
  </si>
  <si>
    <t>12212</t>
  </si>
  <si>
    <t>25529</t>
  </si>
  <si>
    <t>22170</t>
  </si>
  <si>
    <t>19445</t>
  </si>
  <si>
    <t>15265</t>
  </si>
  <si>
    <t>28918</t>
  </si>
  <si>
    <t>15799</t>
  </si>
  <si>
    <t>11047</t>
  </si>
  <si>
    <t>18151</t>
  </si>
  <si>
    <t>20606</t>
  </si>
  <si>
    <t>19482</t>
  </si>
  <si>
    <t>16489</t>
  </si>
  <si>
    <t>26944</t>
  </si>
  <si>
    <t>15682</t>
  </si>
  <si>
    <t>26032</t>
  </si>
  <si>
    <t>17843</t>
  </si>
  <si>
    <t>25559</t>
  </si>
  <si>
    <t>16209</t>
  </si>
  <si>
    <t>11147</t>
  </si>
  <si>
    <t>67</t>
  </si>
  <si>
    <t>15214</t>
  </si>
  <si>
    <t>11453</t>
  </si>
  <si>
    <t>24584</t>
  </si>
  <si>
    <t>12585</t>
  </si>
  <si>
    <t>18626</t>
  </si>
  <si>
    <t>29298</t>
  </si>
  <si>
    <t>24842</t>
  </si>
  <si>
    <t>15657</t>
  </si>
  <si>
    <t>11415</t>
  </si>
  <si>
    <t>28729</t>
  </si>
  <si>
    <t>22633</t>
  </si>
  <si>
    <t>25649</t>
  </si>
  <si>
    <t>14669</t>
  </si>
  <si>
    <t>19299</t>
  </si>
  <si>
    <t>20946</t>
  </si>
  <si>
    <t>11451</t>
  </si>
  <si>
    <t>25553</t>
  </si>
  <si>
    <t>27951</t>
  </si>
  <si>
    <t>25026</t>
  </si>
  <si>
    <t>13673</t>
  </si>
  <si>
    <t>16043</t>
  </si>
  <si>
    <t>22399</t>
  </si>
  <si>
    <t>27696</t>
  </si>
  <si>
    <t>25313</t>
  </si>
  <si>
    <t>13813</t>
  </si>
  <si>
    <t>18711</t>
  </si>
  <si>
    <t>19650</t>
  </si>
  <si>
    <t>14135</t>
  </si>
  <si>
    <t>12833</t>
  </si>
  <si>
    <t>26849</t>
  </si>
  <si>
    <t>20962</t>
  </si>
  <si>
    <t>28915</t>
  </si>
  <si>
    <t>57</t>
  </si>
  <si>
    <t>22830</t>
  </si>
  <si>
    <t>14777</t>
  </si>
  <si>
    <t>12591</t>
  </si>
  <si>
    <t>24174</t>
  </si>
  <si>
    <t>24611</t>
  </si>
  <si>
    <t>11340</t>
  </si>
  <si>
    <t>70</t>
  </si>
  <si>
    <t>25693</t>
  </si>
  <si>
    <t>25555</t>
  </si>
  <si>
    <t>22006</t>
  </si>
  <si>
    <t>20060</t>
  </si>
  <si>
    <t>17702</t>
  </si>
  <si>
    <t>12503</t>
  </si>
  <si>
    <t>23908</t>
  </si>
  <si>
    <t>22527</t>
  </si>
  <si>
    <t>19057</t>
  </si>
  <si>
    <t>18494</t>
  </si>
  <si>
    <t>11249</t>
  </si>
  <si>
    <t>21568</t>
  </si>
  <si>
    <t>13981</t>
  </si>
  <si>
    <t>23432</t>
  </si>
  <si>
    <t>22931</t>
  </si>
  <si>
    <t>78</t>
  </si>
  <si>
    <t>18172</t>
  </si>
  <si>
    <t>12666</t>
  </si>
  <si>
    <t>20598</t>
  </si>
  <si>
    <t>21375</t>
  </si>
  <si>
    <t>20839</t>
  </si>
  <si>
    <t>21738</t>
  </si>
  <si>
    <t>14164</t>
  </si>
  <si>
    <t>14193</t>
  </si>
  <si>
    <t>12705</t>
  </si>
  <si>
    <t>22672</t>
  </si>
  <si>
    <t>26219</t>
  </si>
  <si>
    <t>28468</t>
  </si>
  <si>
    <t>23419</t>
  </si>
  <si>
    <t>17964</t>
  </si>
  <si>
    <t>20919</t>
  </si>
  <si>
    <t>20927</t>
  </si>
  <si>
    <t>13133</t>
  </si>
  <si>
    <t>19626</t>
  </si>
  <si>
    <t>21039</t>
  </si>
  <si>
    <t>12231</t>
  </si>
  <si>
    <t>25665</t>
  </si>
  <si>
    <t>24061</t>
  </si>
  <si>
    <t>26879</t>
  </si>
  <si>
    <t>12284</t>
  </si>
  <si>
    <t>26654</t>
  </si>
  <si>
    <t>14545</t>
  </si>
  <si>
    <t>24201</t>
  </si>
  <si>
    <t>20625</t>
  </si>
  <si>
    <t>16390</t>
  </si>
  <si>
    <t>14804</t>
  </si>
  <si>
    <t>12629</t>
  </si>
  <si>
    <t>14696</t>
  </si>
  <si>
    <t>22005</t>
  </si>
  <si>
    <t>14544</t>
  </si>
  <si>
    <t>14312</t>
  </si>
  <si>
    <t>29120</t>
  </si>
  <si>
    <t>24187</t>
  </si>
  <si>
    <t>15758</t>
  </si>
  <si>
    <t>29094</t>
  </si>
  <si>
    <t>28319</t>
  </si>
  <si>
    <t>16406</t>
  </si>
  <si>
    <t>20923</t>
  </si>
  <si>
    <t>11378</t>
  </si>
  <si>
    <t>20851</t>
  </si>
  <si>
    <t>21557</t>
  </si>
  <si>
    <t>26663</t>
  </si>
  <si>
    <t>11896</t>
  </si>
  <si>
    <t>14189</t>
  </si>
  <si>
    <t>13136</t>
  </si>
  <si>
    <t>69</t>
  </si>
  <si>
    <t>25906</t>
  </si>
  <si>
    <t>17926</t>
  </si>
  <si>
    <t>26928</t>
  </si>
  <si>
    <t>20897</t>
  </si>
  <si>
    <t>28207</t>
  </si>
  <si>
    <t>25923</t>
  </si>
  <si>
    <t>11000</t>
  </si>
  <si>
    <t>20974</t>
  </si>
  <si>
    <t>28758</t>
  </si>
  <si>
    <t>11381</t>
  </si>
  <si>
    <t>17522</t>
  </si>
  <si>
    <t>21207</t>
  </si>
  <si>
    <t>28102</t>
  </si>
  <si>
    <t>23105</t>
  </si>
  <si>
    <t>18740</t>
  </si>
  <si>
    <t>21213</t>
  </si>
  <si>
    <t>17352</t>
  </si>
  <si>
    <t>64</t>
  </si>
  <si>
    <t>14154</t>
  </si>
  <si>
    <t>19066</t>
  </si>
  <si>
    <t>11386</t>
  </si>
  <si>
    <t>20228</t>
  </si>
  <si>
    <t>16675</t>
  </si>
  <si>
    <t>16410</t>
  </si>
  <si>
    <t>27760</t>
  </si>
  <si>
    <t>22930</t>
  </si>
  <si>
    <t>23780</t>
  </si>
  <si>
    <t>20994</t>
  </si>
  <si>
    <t>28379</t>
  </si>
  <si>
    <t>14865</t>
  </si>
  <si>
    <t>12663</t>
  </si>
  <si>
    <t>24898</t>
  </si>
  <si>
    <t>19508</t>
  </si>
  <si>
    <t>11489</t>
  </si>
  <si>
    <t>18160</t>
  </si>
  <si>
    <t>25241</t>
  </si>
  <si>
    <t>24369</t>
  </si>
  <si>
    <t>27165</t>
  </si>
  <si>
    <t>29424</t>
  </si>
  <si>
    <t>15926</t>
  </si>
  <si>
    <t>14554</t>
  </si>
  <si>
    <t>16468</t>
  </si>
  <si>
    <t>19174</t>
  </si>
  <si>
    <t>19183</t>
  </si>
  <si>
    <t>13683</t>
  </si>
  <si>
    <t>17848</t>
  </si>
  <si>
    <t>17894</t>
  </si>
  <si>
    <t>25651</t>
  </si>
  <si>
    <t>22936</t>
  </si>
  <si>
    <t>23915</t>
  </si>
  <si>
    <t>24121</t>
  </si>
  <si>
    <t>27878</t>
  </si>
  <si>
    <t>13572</t>
  </si>
  <si>
    <t>27941</t>
  </si>
  <si>
    <t>26354</t>
  </si>
  <si>
    <t>14785</t>
  </si>
  <si>
    <t>17238</t>
  </si>
  <si>
    <t>23608</t>
  </si>
  <si>
    <t>22538</t>
  </si>
  <si>
    <t>12332</t>
  </si>
  <si>
    <t>17230</t>
  </si>
  <si>
    <t>13082</t>
  </si>
  <si>
    <t>22518</t>
  </si>
  <si>
    <t>13687</t>
  </si>
  <si>
    <t>23571</t>
  </si>
  <si>
    <t>19305</t>
  </si>
  <si>
    <t>22636</t>
  </si>
  <si>
    <t>17310</t>
  </si>
  <si>
    <t>12133</t>
  </si>
  <si>
    <t>25918</t>
  </si>
  <si>
    <t>25752</t>
  </si>
  <si>
    <t>17324</t>
  </si>
  <si>
    <t>22918</t>
  </si>
  <si>
    <t>12510</t>
  </si>
  <si>
    <t>25512</t>
  </si>
  <si>
    <t>16179</t>
  </si>
  <si>
    <t>15628</t>
  </si>
  <si>
    <t>89</t>
  </si>
  <si>
    <t>20977</t>
  </si>
  <si>
    <t>18140</t>
  </si>
  <si>
    <t>20417</t>
  </si>
  <si>
    <t>18267</t>
  </si>
  <si>
    <t>13620</t>
  </si>
  <si>
    <t>22974</t>
  </si>
  <si>
    <t>13586</t>
  </si>
  <si>
    <t>17978</t>
  </si>
  <si>
    <t>12581</t>
  </si>
  <si>
    <t>18018</t>
  </si>
  <si>
    <t>28957</t>
  </si>
  <si>
    <t>13690</t>
  </si>
  <si>
    <t>12568</t>
  </si>
  <si>
    <t>13122</t>
  </si>
  <si>
    <t>21184</t>
  </si>
  <si>
    <t>26150</t>
  </si>
  <si>
    <t>24151</t>
  </si>
  <si>
    <t>23962</t>
  </si>
  <si>
    <t>17793</t>
  </si>
  <si>
    <t>14926</t>
  </si>
  <si>
    <t>16163</t>
  </si>
  <si>
    <t>21365</t>
  </si>
  <si>
    <t>27771</t>
  </si>
  <si>
    <t>26167</t>
  </si>
  <si>
    <t>25792</t>
  </si>
  <si>
    <t>11555</t>
  </si>
  <si>
    <t>80</t>
  </si>
  <si>
    <t>22381</t>
  </si>
  <si>
    <t>17882</t>
  </si>
  <si>
    <t>22174</t>
  </si>
  <si>
    <t>22439</t>
  </si>
  <si>
    <t>18012</t>
  </si>
  <si>
    <t>27582</t>
  </si>
  <si>
    <t>12744</t>
  </si>
  <si>
    <t>22821</t>
  </si>
  <si>
    <t>20171</t>
  </si>
  <si>
    <t>11116</t>
  </si>
  <si>
    <t>20053</t>
  </si>
  <si>
    <t>25266</t>
  </si>
  <si>
    <t>17960</t>
  </si>
  <si>
    <t>13961</t>
  </si>
  <si>
    <t>11897</t>
  </si>
  <si>
    <t>11139</t>
  </si>
  <si>
    <t>11576</t>
  </si>
  <si>
    <t>19255</t>
  </si>
  <si>
    <t>18153</t>
  </si>
  <si>
    <t>14547</t>
  </si>
  <si>
    <t>24901</t>
  </si>
  <si>
    <t>27169</t>
  </si>
  <si>
    <t>14805</t>
  </si>
  <si>
    <t>15822</t>
  </si>
  <si>
    <t>19389</t>
  </si>
  <si>
    <t>17048</t>
  </si>
  <si>
    <t>22204</t>
  </si>
  <si>
    <t>12718</t>
  </si>
  <si>
    <t>15019</t>
  </si>
  <si>
    <t>28488</t>
  </si>
  <si>
    <t>21891</t>
  </si>
  <si>
    <t>27814</t>
  </si>
  <si>
    <t>22175</t>
  </si>
  <si>
    <t>29447</t>
  </si>
  <si>
    <t>19784</t>
  </si>
  <si>
    <t>27824</t>
  </si>
  <si>
    <t>24093</t>
  </si>
  <si>
    <t>19618</t>
  </si>
  <si>
    <t>21561</t>
  </si>
  <si>
    <t>11061</t>
  </si>
  <si>
    <t>26651</t>
  </si>
  <si>
    <t>21108</t>
  </si>
  <si>
    <t>12731</t>
  </si>
  <si>
    <t>25307</t>
  </si>
  <si>
    <t>14278</t>
  </si>
  <si>
    <t>20711</t>
  </si>
  <si>
    <t>11383</t>
  </si>
  <si>
    <t>12497</t>
  </si>
  <si>
    <t>16559</t>
  </si>
  <si>
    <t>11585</t>
  </si>
  <si>
    <t>20277</t>
  </si>
  <si>
    <t>26765</t>
  </si>
  <si>
    <t>12389</t>
  </si>
  <si>
    <t>13585</t>
  </si>
  <si>
    <t>26385</t>
  </si>
  <si>
    <t>12236</t>
  </si>
  <si>
    <t>21560</t>
  </si>
  <si>
    <t>21554</t>
  </si>
  <si>
    <t>13662</t>
  </si>
  <si>
    <t>13089</t>
  </si>
  <si>
    <t>14791</t>
  </si>
  <si>
    <t>19331</t>
  </si>
  <si>
    <t>17754</t>
  </si>
  <si>
    <t>11149</t>
  </si>
  <si>
    <t>16549</t>
  </si>
  <si>
    <t>24305</t>
  </si>
  <si>
    <t>18253</t>
  </si>
  <si>
    <t>20147</t>
  </si>
  <si>
    <t>15612</t>
  </si>
  <si>
    <t>28323</t>
  </si>
  <si>
    <t>22634</t>
  </si>
  <si>
    <t>15665</t>
  </si>
  <si>
    <t>27585</t>
  </si>
  <si>
    <t>19748</t>
  </si>
  <si>
    <t>21974</t>
  </si>
  <si>
    <t>14032</t>
  </si>
  <si>
    <t>22610</t>
  </si>
  <si>
    <t>26984</t>
  </si>
  <si>
    <t>18294</t>
  </si>
  <si>
    <t>28564</t>
  </si>
  <si>
    <t>28521</t>
  </si>
  <si>
    <t>15450</t>
  </si>
  <si>
    <t>25681</t>
  </si>
  <si>
    <t>19491</t>
  </si>
  <si>
    <t>26415</t>
  </si>
  <si>
    <t>12821</t>
  </si>
  <si>
    <t>15629</t>
  </si>
  <si>
    <t>27835</t>
  </si>
  <si>
    <t>11738</t>
  </si>
  <si>
    <t>North America</t>
  </si>
  <si>
    <t>25065</t>
  </si>
  <si>
    <t>26238</t>
  </si>
  <si>
    <t>23707</t>
  </si>
  <si>
    <t>27650</t>
  </si>
  <si>
    <t>24981</t>
  </si>
  <si>
    <t>20678</t>
  </si>
  <si>
    <t>15302</t>
  </si>
  <si>
    <t>26012</t>
  </si>
  <si>
    <t>26575</t>
  </si>
  <si>
    <t>15559</t>
  </si>
  <si>
    <t>19235</t>
  </si>
  <si>
    <t>15275</t>
  </si>
  <si>
    <t>20339</t>
  </si>
  <si>
    <t>25405</t>
  </si>
  <si>
    <t>15940</t>
  </si>
  <si>
    <t>25074</t>
  </si>
  <si>
    <t>24738</t>
  </si>
  <si>
    <t>16337</t>
  </si>
  <si>
    <t>24357</t>
  </si>
  <si>
    <t>18613</t>
  </si>
  <si>
    <t>12207</t>
  </si>
  <si>
    <t>18052</t>
  </si>
  <si>
    <t>13353</t>
  </si>
  <si>
    <t>19399</t>
  </si>
  <si>
    <t>16154</t>
  </si>
  <si>
    <t>22219</t>
  </si>
  <si>
    <t>17269</t>
  </si>
  <si>
    <t>23586</t>
  </si>
  <si>
    <t>15740</t>
  </si>
  <si>
    <t>27638</t>
  </si>
  <si>
    <t>18976</t>
  </si>
  <si>
    <t>19413</t>
  </si>
  <si>
    <t>13283</t>
  </si>
  <si>
    <t>17471</t>
  </si>
  <si>
    <t>16791</t>
  </si>
  <si>
    <t>15382</t>
  </si>
  <si>
    <t>11641</t>
  </si>
  <si>
    <t>11935</t>
  </si>
  <si>
    <t>13233</t>
  </si>
  <si>
    <t>25909</t>
  </si>
  <si>
    <t>14092</t>
  </si>
  <si>
    <t>29143</t>
  </si>
  <si>
    <t>24941</t>
  </si>
  <si>
    <t>24637</t>
  </si>
  <si>
    <t>23893</t>
  </si>
  <si>
    <t>13907</t>
  </si>
  <si>
    <t>14900</t>
  </si>
  <si>
    <t>11262</t>
  </si>
  <si>
    <t>22294</t>
  </si>
  <si>
    <t>12195</t>
  </si>
  <si>
    <t>25375</t>
  </si>
  <si>
    <t>11143</t>
  </si>
  <si>
    <t>25898</t>
  </si>
  <si>
    <t>24397</t>
  </si>
  <si>
    <t>19758</t>
  </si>
  <si>
    <t>15529</t>
  </si>
  <si>
    <t>19884</t>
  </si>
  <si>
    <t>18674</t>
  </si>
  <si>
    <t>13453</t>
  </si>
  <si>
    <t>14063</t>
  </si>
  <si>
    <t>27393</t>
  </si>
  <si>
    <t>14417</t>
  </si>
  <si>
    <t>17533</t>
  </si>
  <si>
    <t>73</t>
  </si>
  <si>
    <t>18580</t>
  </si>
  <si>
    <t>17025</t>
  </si>
  <si>
    <t>25293</t>
  </si>
  <si>
    <t>24725</t>
  </si>
  <si>
    <t>23200</t>
  </si>
  <si>
    <t>15895</t>
  </si>
  <si>
    <t>18577</t>
  </si>
  <si>
    <t>27218</t>
  </si>
  <si>
    <t>18560</t>
  </si>
  <si>
    <t>25006</t>
  </si>
  <si>
    <t>17369</t>
  </si>
  <si>
    <t>14495</t>
  </si>
  <si>
    <t>18847</t>
  </si>
  <si>
    <t>14754</t>
  </si>
  <si>
    <t>23378</t>
  </si>
  <si>
    <t>26452</t>
  </si>
  <si>
    <t>20370</t>
  </si>
  <si>
    <t>20528</t>
  </si>
  <si>
    <t>23549</t>
  </si>
  <si>
    <t>21751</t>
  </si>
  <si>
    <t>21266</t>
  </si>
  <si>
    <t>13388</t>
  </si>
  <si>
    <t>18752</t>
  </si>
  <si>
    <t>16917</t>
  </si>
  <si>
    <t>15313</t>
  </si>
  <si>
    <t>25329</t>
  </si>
  <si>
    <t>20380</t>
  </si>
  <si>
    <t>23089</t>
  </si>
  <si>
    <t>13749</t>
  </si>
  <si>
    <t>24943</t>
  </si>
  <si>
    <t>28667</t>
  </si>
  <si>
    <t>15194</t>
  </si>
  <si>
    <t>17436</t>
  </si>
  <si>
    <t>18935</t>
  </si>
  <si>
    <t>16871</t>
  </si>
  <si>
    <t>12100</t>
  </si>
  <si>
    <t>23158</t>
  </si>
  <si>
    <t>18545</t>
  </si>
  <si>
    <t>18391</t>
  </si>
  <si>
    <t>19812</t>
  </si>
  <si>
    <t>27660</t>
  </si>
  <si>
    <t>18058</t>
  </si>
  <si>
    <t>20343</t>
  </si>
  <si>
    <t>28997</t>
  </si>
  <si>
    <t>24398</t>
  </si>
  <si>
    <t>19002</t>
  </si>
  <si>
    <t>28609</t>
  </si>
  <si>
    <t>29231</t>
  </si>
  <si>
    <t>18858</t>
  </si>
  <si>
    <t>25261</t>
  </si>
  <si>
    <t>17458</t>
  </si>
  <si>
    <t>11644</t>
  </si>
  <si>
    <t>16145</t>
  </si>
  <si>
    <t>16890</t>
  </si>
  <si>
    <t>25983</t>
  </si>
  <si>
    <t>14633</t>
  </si>
  <si>
    <t>22994</t>
  </si>
  <si>
    <t>22983</t>
  </si>
  <si>
    <t>25184</t>
  </si>
  <si>
    <t>14469</t>
  </si>
  <si>
    <t>11538</t>
  </si>
  <si>
    <t>16245</t>
  </si>
  <si>
    <t>17858</t>
  </si>
  <si>
    <t>25347</t>
  </si>
  <si>
    <t>15814</t>
  </si>
  <si>
    <t>11259</t>
  </si>
  <si>
    <t>11200</t>
  </si>
  <si>
    <t>25101</t>
  </si>
  <si>
    <t>21801</t>
  </si>
  <si>
    <t>25943</t>
  </si>
  <si>
    <t>22127</t>
  </si>
  <si>
    <t>20414</t>
  </si>
  <si>
    <t>23672</t>
  </si>
  <si>
    <t>29255</t>
  </si>
  <si>
    <t>28815</t>
  </si>
  <si>
    <t>27753</t>
  </si>
  <si>
    <t>27643</t>
  </si>
  <si>
    <t>13754</t>
  </si>
  <si>
    <t>22088</t>
  </si>
  <si>
    <t>27388</t>
  </si>
  <si>
    <t>24745</t>
  </si>
  <si>
    <t>29237</t>
  </si>
  <si>
    <t>15272</t>
  </si>
  <si>
    <t>18949</t>
  </si>
  <si>
    <t>74</t>
  </si>
  <si>
    <t>14507</t>
  </si>
  <si>
    <t>25886</t>
  </si>
  <si>
    <t>21441</t>
  </si>
  <si>
    <t>21741</t>
  </si>
  <si>
    <t>14572</t>
  </si>
  <si>
    <t>23368</t>
  </si>
  <si>
    <t>16217</t>
  </si>
  <si>
    <t>16247</t>
  </si>
  <si>
    <t>22010</t>
  </si>
  <si>
    <t>25872</t>
  </si>
  <si>
    <t>19164</t>
  </si>
  <si>
    <t>18435</t>
  </si>
  <si>
    <t>14284</t>
  </si>
  <si>
    <t>11287</t>
  </si>
  <si>
    <t>13066</t>
  </si>
  <si>
    <t>29106</t>
  </si>
  <si>
    <t>26236</t>
  </si>
  <si>
    <t>17531</t>
  </si>
  <si>
    <t>12964</t>
  </si>
  <si>
    <t>19133</t>
  </si>
  <si>
    <t>24643</t>
  </si>
  <si>
    <t>21599</t>
  </si>
  <si>
    <t>22976</t>
  </si>
  <si>
    <t>27637</t>
  </si>
  <si>
    <t>11890</t>
  </si>
  <si>
    <t>28580</t>
  </si>
  <si>
    <t>14443</t>
  </si>
  <si>
    <t>17864</t>
  </si>
  <si>
    <t>20505</t>
  </si>
  <si>
    <t>14592</t>
  </si>
  <si>
    <t>22227</t>
  </si>
  <si>
    <t>21471</t>
  </si>
  <si>
    <t>22252</t>
  </si>
  <si>
    <t>21260</t>
  </si>
  <si>
    <t>11817</t>
  </si>
  <si>
    <t>19223</t>
  </si>
  <si>
    <t>18517</t>
  </si>
  <si>
    <t>21717</t>
  </si>
  <si>
    <t>13760</t>
  </si>
  <si>
    <t>18145</t>
  </si>
  <si>
    <t>21770</t>
  </si>
  <si>
    <t>11165</t>
  </si>
  <si>
    <t>16377</t>
  </si>
  <si>
    <t>26248</t>
  </si>
  <si>
    <t>23461</t>
  </si>
  <si>
    <t>29133</t>
  </si>
  <si>
    <t>27673</t>
  </si>
  <si>
    <t>12774</t>
  </si>
  <si>
    <t>18910</t>
  </si>
  <si>
    <t>11699</t>
  </si>
  <si>
    <t>16725</t>
  </si>
  <si>
    <t>28269</t>
  </si>
  <si>
    <t>23144</t>
  </si>
  <si>
    <t>23376</t>
  </si>
  <si>
    <t>25970</t>
  </si>
  <si>
    <t>28068</t>
  </si>
  <si>
    <t>18390</t>
  </si>
  <si>
    <t>29112</t>
  </si>
  <si>
    <t>14090</t>
  </si>
  <si>
    <t>27040</t>
  </si>
  <si>
    <t>23479</t>
  </si>
  <si>
    <t>16795</t>
  </si>
  <si>
    <t>22014</t>
  </si>
  <si>
    <t>13314</t>
  </si>
  <si>
    <t>11619</t>
  </si>
  <si>
    <t>29132</t>
  </si>
  <si>
    <t>11199</t>
  </si>
  <si>
    <t>20296</t>
  </si>
  <si>
    <t>17546</t>
  </si>
  <si>
    <t>18069</t>
  </si>
  <si>
    <t>23712</t>
  </si>
  <si>
    <t>23358</t>
  </si>
  <si>
    <t>20518</t>
  </si>
  <si>
    <t>28026</t>
  </si>
  <si>
    <t>11669</t>
  </si>
  <si>
    <t>16020</t>
  </si>
  <si>
    <t>27090</t>
  </si>
  <si>
    <t>27198</t>
  </si>
  <si>
    <t>19661</t>
  </si>
  <si>
    <t>26327</t>
  </si>
  <si>
    <t>26341</t>
  </si>
  <si>
    <t>24958</t>
  </si>
  <si>
    <t>13287</t>
  </si>
  <si>
    <t>14493</t>
  </si>
  <si>
    <t>26678</t>
  </si>
  <si>
    <t>23275</t>
  </si>
  <si>
    <t>11270</t>
  </si>
  <si>
    <t>20084</t>
  </si>
  <si>
    <t>16144</t>
  </si>
  <si>
    <t>27731</t>
  </si>
  <si>
    <t>11886</t>
  </si>
  <si>
    <t>24324</t>
  </si>
  <si>
    <t>22220</t>
  </si>
  <si>
    <t>26625</t>
  </si>
  <si>
    <t>23027</t>
  </si>
  <si>
    <t>16867</t>
  </si>
  <si>
    <t>14514</t>
  </si>
  <si>
    <t>19634</t>
  </si>
  <si>
    <t>18504</t>
  </si>
  <si>
    <t>28799</t>
  </si>
  <si>
    <t>11225</t>
  </si>
  <si>
    <t>17657</t>
  </si>
  <si>
    <t>14913</t>
  </si>
  <si>
    <t>14077</t>
  </si>
  <si>
    <t>13296</t>
  </si>
  <si>
    <t>20535</t>
  </si>
  <si>
    <t>12452</t>
  </si>
  <si>
    <t>28043</t>
  </si>
  <si>
    <t>12957</t>
  </si>
  <si>
    <t>15412</t>
  </si>
  <si>
    <t>20514</t>
  </si>
  <si>
    <t>20758</t>
  </si>
  <si>
    <t>11801</t>
  </si>
  <si>
    <t>22211</t>
  </si>
  <si>
    <t>28087</t>
  </si>
  <si>
    <t>23668</t>
  </si>
  <si>
    <t>27441</t>
  </si>
  <si>
    <t>27261</t>
  </si>
  <si>
    <t>18649</t>
  </si>
  <si>
    <t>21714</t>
  </si>
  <si>
    <t>23217</t>
  </si>
  <si>
    <t>23797</t>
  </si>
  <si>
    <t>13216</t>
  </si>
  <si>
    <t>20657</t>
  </si>
  <si>
    <t>12882</t>
  </si>
  <si>
    <t>25908</t>
  </si>
  <si>
    <t>16753</t>
  </si>
  <si>
    <t>14608</t>
  </si>
  <si>
    <t>24979</t>
  </si>
  <si>
    <t>13313</t>
  </si>
  <si>
    <t>18952</t>
  </si>
  <si>
    <t>17699</t>
  </si>
  <si>
    <t>14657</t>
  </si>
  <si>
    <t>11540</t>
  </si>
  <si>
    <t>11783</t>
  </si>
  <si>
    <t>14602</t>
  </si>
  <si>
    <t>29030</t>
  </si>
  <si>
    <t>26490</t>
  </si>
  <si>
    <t>13151</t>
  </si>
  <si>
    <t>17260</t>
  </si>
  <si>
    <t>15372</t>
  </si>
  <si>
    <t>18105</t>
  </si>
  <si>
    <t>19660</t>
  </si>
  <si>
    <t>16112</t>
  </si>
  <si>
    <t>20698</t>
  </si>
  <si>
    <t>20076</t>
  </si>
  <si>
    <t>24496</t>
  </si>
  <si>
    <t>15468</t>
  </si>
  <si>
    <t>28031</t>
  </si>
  <si>
    <t>26270</t>
  </si>
  <si>
    <t>22221</t>
  </si>
  <si>
    <t>28228</t>
  </si>
  <si>
    <t>18363</t>
  </si>
  <si>
    <t>23256</t>
  </si>
  <si>
    <t>12768</t>
  </si>
  <si>
    <t>20361</t>
  </si>
  <si>
    <t>21306</t>
  </si>
  <si>
    <t>13382</t>
  </si>
  <si>
    <t>20310</t>
  </si>
  <si>
    <t>22971</t>
  </si>
  <si>
    <t>15287</t>
  </si>
  <si>
    <t>15532</t>
  </si>
  <si>
    <t>11255</t>
  </si>
  <si>
    <t>28090</t>
  </si>
  <si>
    <t>15255</t>
  </si>
  <si>
    <t>13154</t>
  </si>
  <si>
    <t>26778</t>
  </si>
  <si>
    <t>23248</t>
  </si>
  <si>
    <t>21417</t>
  </si>
  <si>
    <t>17668</t>
  </si>
  <si>
    <t>27994</t>
  </si>
  <si>
    <t>20376</t>
  </si>
  <si>
    <t>25954</t>
  </si>
  <si>
    <t>15749</t>
  </si>
  <si>
    <t>25899</t>
  </si>
  <si>
    <t>13351</t>
  </si>
  <si>
    <t>23333</t>
  </si>
  <si>
    <t>21660</t>
  </si>
  <si>
    <t>17012</t>
  </si>
  <si>
    <t>24514</t>
  </si>
  <si>
    <t>27505</t>
  </si>
  <si>
    <t>29243</t>
  </si>
  <si>
    <t>26582</t>
  </si>
  <si>
    <t>14271</t>
  </si>
  <si>
    <t>23041</t>
  </si>
  <si>
    <t>29048</t>
  </si>
  <si>
    <t>24433</t>
  </si>
  <si>
    <t>15501</t>
  </si>
  <si>
    <t>13911</t>
  </si>
  <si>
    <t>20421</t>
  </si>
  <si>
    <t>16009</t>
  </si>
  <si>
    <t>18411</t>
  </si>
  <si>
    <t>19163</t>
  </si>
  <si>
    <t>18572</t>
  </si>
  <si>
    <t>27540</t>
  </si>
  <si>
    <t>19889</t>
  </si>
  <si>
    <t>12922</t>
  </si>
  <si>
    <t>18891</t>
  </si>
  <si>
    <t>16773</t>
  </si>
  <si>
    <t>19143</t>
  </si>
  <si>
    <t>23882</t>
  </si>
  <si>
    <t>11233</t>
  </si>
  <si>
    <t>12056</t>
  </si>
  <si>
    <t>15555</t>
  </si>
  <si>
    <t>18423</t>
  </si>
  <si>
    <t>22743</t>
  </si>
  <si>
    <t>25343</t>
  </si>
  <si>
    <t>13390</t>
  </si>
  <si>
    <t>17482</t>
  </si>
  <si>
    <t>13176</t>
  </si>
  <si>
    <t>20504</t>
  </si>
  <si>
    <t>12205</t>
  </si>
  <si>
    <t>16751</t>
  </si>
  <si>
    <t>21613</t>
  </si>
  <si>
    <t>24801</t>
  </si>
  <si>
    <t>17519</t>
  </si>
  <si>
    <t>18347</t>
  </si>
  <si>
    <t>29052</t>
  </si>
  <si>
    <t>11745</t>
  </si>
  <si>
    <t>19147</t>
  </si>
  <si>
    <t>19217</t>
  </si>
  <si>
    <t>15839</t>
  </si>
  <si>
    <t>13714</t>
  </si>
  <si>
    <t>22330</t>
  </si>
  <si>
    <t>18783</t>
  </si>
  <si>
    <t>25041</t>
  </si>
  <si>
    <t>22046</t>
  </si>
  <si>
    <t>28052</t>
  </si>
  <si>
    <t>26693</t>
  </si>
  <si>
    <t>24955</t>
  </si>
  <si>
    <t>26065</t>
  </si>
  <si>
    <t>13942</t>
  </si>
  <si>
    <t>11219</t>
  </si>
  <si>
    <t>22118</t>
  </si>
  <si>
    <t>23197</t>
  </si>
  <si>
    <t>14883</t>
  </si>
  <si>
    <t>27279</t>
  </si>
  <si>
    <t>18322</t>
  </si>
  <si>
    <t>15879</t>
  </si>
  <si>
    <t>28278</t>
  </si>
  <si>
    <t>71</t>
  </si>
  <si>
    <t>24416</t>
  </si>
  <si>
    <t>28066</t>
  </si>
  <si>
    <t>11275</t>
  </si>
  <si>
    <t>72</t>
  </si>
  <si>
    <t>14872</t>
  </si>
  <si>
    <t>16151</t>
  </si>
  <si>
    <t>19731</t>
  </si>
  <si>
    <t>23801</t>
  </si>
  <si>
    <t>11807</t>
  </si>
  <si>
    <t>11622</t>
  </si>
  <si>
    <t>26597</t>
  </si>
  <si>
    <t>27074</t>
  </si>
  <si>
    <t>19228</t>
  </si>
  <si>
    <t>13415</t>
  </si>
  <si>
    <t>17000</t>
  </si>
  <si>
    <t>14569</t>
  </si>
  <si>
    <t>13873</t>
  </si>
  <si>
    <t>20401</t>
  </si>
  <si>
    <t>21583</t>
  </si>
  <si>
    <t>12029</t>
  </si>
  <si>
    <t>18066</t>
  </si>
  <si>
    <t>28192</t>
  </si>
  <si>
    <t>16122</t>
  </si>
  <si>
    <t>18607</t>
  </si>
  <si>
    <t>28858</t>
  </si>
  <si>
    <t>14432</t>
  </si>
  <si>
    <t>26305</t>
  </si>
  <si>
    <t>22050</t>
  </si>
  <si>
    <t>25394</t>
  </si>
  <si>
    <t>19747</t>
  </si>
  <si>
    <t>23195</t>
  </si>
  <si>
    <t>21695</t>
  </si>
  <si>
    <t>13934</t>
  </si>
  <si>
    <t>13337</t>
  </si>
  <si>
    <t>27190</t>
  </si>
  <si>
    <t>28657</t>
  </si>
  <si>
    <t>21713</t>
  </si>
  <si>
    <t>21752</t>
  </si>
  <si>
    <t>27273</t>
  </si>
  <si>
    <t>22719</t>
  </si>
  <si>
    <t>22042</t>
  </si>
  <si>
    <t>21451</t>
  </si>
  <si>
    <t>20754</t>
  </si>
  <si>
    <t>12153</t>
  </si>
  <si>
    <t>16895</t>
  </si>
  <si>
    <t>26728</t>
  </si>
  <si>
    <t>11090</t>
  </si>
  <si>
    <t>15862</t>
  </si>
  <si>
    <t>26495</t>
  </si>
  <si>
    <t>11823</t>
  </si>
  <si>
    <t>23449</t>
  </si>
  <si>
    <t>23459</t>
  </si>
  <si>
    <t>19543</t>
  </si>
  <si>
    <t>14914</t>
  </si>
  <si>
    <t>12033</t>
  </si>
  <si>
    <t>11941</t>
  </si>
  <si>
    <t>14389</t>
  </si>
  <si>
    <t>18050</t>
  </si>
  <si>
    <t>19856</t>
  </si>
  <si>
    <t>11663</t>
  </si>
  <si>
    <t>27740</t>
  </si>
  <si>
    <t>23455</t>
  </si>
  <si>
    <t>15292</t>
  </si>
  <si>
    <t>21587</t>
  </si>
  <si>
    <t>23513</t>
  </si>
  <si>
    <t>24322</t>
  </si>
  <si>
    <t>26298</t>
  </si>
  <si>
    <t>25419</t>
  </si>
  <si>
    <t>13343</t>
  </si>
  <si>
    <t>11303</t>
  </si>
  <si>
    <t>21693</t>
  </si>
  <si>
    <t>28056</t>
  </si>
  <si>
    <t>11788</t>
  </si>
  <si>
    <t>22296</t>
  </si>
  <si>
    <t>15319</t>
  </si>
  <si>
    <t>17654</t>
  </si>
  <si>
    <t>14662</t>
  </si>
  <si>
    <t>17541</t>
  </si>
  <si>
    <t>13886</t>
  </si>
  <si>
    <t>13073</t>
  </si>
  <si>
    <t>21940</t>
  </si>
  <si>
    <t>20196</t>
  </si>
  <si>
    <t>23491</t>
  </si>
  <si>
    <t>16651</t>
  </si>
  <si>
    <t>16813</t>
  </si>
  <si>
    <t>16007</t>
  </si>
  <si>
    <t>27434</t>
  </si>
  <si>
    <t>27756</t>
  </si>
  <si>
    <t>23818</t>
  </si>
  <si>
    <t>19012</t>
  </si>
  <si>
    <t>18329</t>
  </si>
  <si>
    <t>29037</t>
  </si>
  <si>
    <t>26576</t>
  </si>
  <si>
    <t>12192</t>
  </si>
  <si>
    <t>14887</t>
  </si>
  <si>
    <t>11734</t>
  </si>
  <si>
    <t>17462</t>
  </si>
  <si>
    <t>20659</t>
  </si>
  <si>
    <t>28004</t>
  </si>
  <si>
    <t>19741</t>
  </si>
  <si>
    <t>17450</t>
  </si>
  <si>
    <t>17337</t>
  </si>
  <si>
    <t>18594</t>
  </si>
  <si>
    <t>15982</t>
  </si>
  <si>
    <t>28625</t>
  </si>
  <si>
    <t>11269</t>
  </si>
  <si>
    <t>25148</t>
  </si>
  <si>
    <t>13920</t>
  </si>
  <si>
    <t>23704</t>
  </si>
  <si>
    <t>28972</t>
  </si>
  <si>
    <t>22730</t>
  </si>
  <si>
    <t>29134</t>
  </si>
  <si>
    <t>14332</t>
  </si>
  <si>
    <t>19117</t>
  </si>
  <si>
    <t>22864</t>
  </si>
  <si>
    <t>11292</t>
  </si>
  <si>
    <t>13466</t>
  </si>
  <si>
    <t>23731</t>
  </si>
  <si>
    <t>28672</t>
  </si>
  <si>
    <t>11809</t>
  </si>
  <si>
    <t>19664</t>
  </si>
  <si>
    <t>12121</t>
  </si>
  <si>
    <t>Unknown</t>
  </si>
  <si>
    <t>Buyers</t>
  </si>
  <si>
    <t>0-20k</t>
  </si>
  <si>
    <t>20k-40k</t>
  </si>
  <si>
    <t>40k-60k</t>
  </si>
  <si>
    <t>60k-80k</t>
  </si>
  <si>
    <t>80k-100k</t>
  </si>
  <si>
    <t>100k and above</t>
  </si>
  <si>
    <t>Frequency</t>
  </si>
  <si>
    <t>COUNTA of Purchased Bike</t>
  </si>
  <si>
    <t>Bike Purchased</t>
  </si>
  <si>
    <t>10000-30000</t>
  </si>
  <si>
    <t>40000-60000</t>
  </si>
  <si>
    <t>70000-90000</t>
  </si>
  <si>
    <t>100000-120000</t>
  </si>
  <si>
    <t>130000-150000</t>
  </si>
  <si>
    <t>160000-180000</t>
  </si>
  <si>
    <t>Grand Total</t>
  </si>
  <si>
    <t>Age 1</t>
  </si>
  <si>
    <t>COUNTA of Income</t>
  </si>
  <si>
    <t>MIN</t>
  </si>
  <si>
    <t>Q1</t>
  </si>
  <si>
    <t>MEDIAN</t>
  </si>
  <si>
    <t>Q3</t>
  </si>
  <si>
    <t>MAX</t>
  </si>
  <si>
    <t>Bike Buyers</t>
  </si>
  <si>
    <t>20-29</t>
  </si>
  <si>
    <t>30-39</t>
  </si>
  <si>
    <t>40-49</t>
  </si>
  <si>
    <t>50-59</t>
  </si>
  <si>
    <t>60-69</t>
  </si>
  <si>
    <t>70-79</t>
  </si>
  <si>
    <t>80-89</t>
  </si>
  <si>
    <t>90-100</t>
  </si>
  <si>
    <t>COUNTA of Age</t>
  </si>
  <si>
    <t>Comprehensive Analysis of Bike Purchases: Insights, Patterns, and Influencing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</si>
</sst>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9.0"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i/>
      <sz val="20.0"/>
      <color rgb="FFFFFFFF"/>
      <name val="Merriweath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4" xfId="0" applyFont="1" applyNumberForma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4" numFmtId="4" xfId="0" applyFont="1" applyNumberFormat="1"/>
    <xf borderId="0" fillId="0" fontId="4" numFmtId="0" xfId="0" applyFont="1"/>
    <xf borderId="0" fillId="2" fontId="2" numFmtId="0" xfId="0" applyFont="1"/>
    <xf borderId="0" fillId="3" fontId="5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FF0000"/>
                </a:solidFill>
                <a:latin typeface="Verdana"/>
              </a:defRPr>
            </a:pPr>
            <a:r>
              <a:rPr b="0" i="1">
                <a:solidFill>
                  <a:srgbClr val="FF0000"/>
                </a:solidFill>
                <a:latin typeface="Verdana"/>
              </a:rPr>
              <a:t>Comparison of Bike Purchases between Male and Female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bargraph!$G$1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bargraph!$F$2:$F$4</c:f>
            </c:strRef>
          </c:cat>
          <c:val>
            <c:numRef>
              <c:f>bargraph!$G$2:$G$4</c:f>
              <c:numCache/>
            </c:numRef>
          </c:val>
        </c:ser>
        <c:axId val="2118969009"/>
        <c:axId val="1525870219"/>
      </c:barChart>
      <c:catAx>
        <c:axId val="21189690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525870219"/>
      </c:catAx>
      <c:valAx>
        <c:axId val="1525870219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118969009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0000FF"/>
                </a:solidFill>
                <a:latin typeface="Verdana"/>
              </a:defRPr>
            </a:pPr>
            <a:r>
              <a:rPr b="0" i="1">
                <a:solidFill>
                  <a:srgbClr val="0000FF"/>
                </a:solidFill>
                <a:latin typeface="Verdana"/>
              </a:rPr>
              <a:t>Income Distribution of Bike Buyers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bargraph!$B$30</c:f>
            </c:strRef>
          </c:tx>
          <c:dPt>
            <c:idx val="0"/>
            <c:explosion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bargraph!$A$31:$A$36</c:f>
            </c:strRef>
          </c:cat>
          <c:val>
            <c:numRef>
              <c:f>bargraph!$B$31:$B$36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Verdana"/>
              </a:defRPr>
            </a:pPr>
            <a:r>
              <a:rPr b="0" i="1">
                <a:solidFill>
                  <a:schemeClr val="accent2"/>
                </a:solidFill>
                <a:latin typeface="Verdana"/>
              </a:rPr>
              <a:t>Distribution of Bike Purchases by Region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bargraph!$B$100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explosion val="0"/>
            <c:spPr>
              <a:solidFill>
                <a:srgbClr val="0C343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bargraph!$A$101:$A$104</c:f>
            </c:strRef>
          </c:cat>
          <c:val>
            <c:numRef>
              <c:f>bargraph!$B$101:$B$104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34F5C"/>
              </a:solidFill>
              <a:latin typeface="Roboto"/>
            </a:defRPr>
          </a:pPr>
        </a:p>
      </c:txPr>
    </c:legend>
    <c:plotVisOnly val="1"/>
  </c:chart>
  <c:spPr>
    <a:solidFill>
      <a:srgbClr val="D9D9D9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Verdana"/>
              </a:defRPr>
            </a:pPr>
            <a:r>
              <a:rPr b="0" i="1">
                <a:solidFill>
                  <a:schemeClr val="accent2"/>
                </a:solidFill>
                <a:latin typeface="Verdana"/>
              </a:rPr>
              <a:t>Income Distribution and Bike Purchases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bargraph!$H$81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bargraph!$G$82:$G$87</c:f>
            </c:strRef>
          </c:cat>
          <c:val>
            <c:numRef>
              <c:f>bargraph!$H$82:$H$87</c:f>
              <c:numCache/>
            </c:numRef>
          </c:val>
        </c:ser>
        <c:axId val="91365035"/>
        <c:axId val="807167912"/>
      </c:barChart>
      <c:catAx>
        <c:axId val="913650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 i="0">
                    <a:solidFill>
                      <a:srgbClr val="000000"/>
                    </a:solidFill>
                    <a:latin typeface="Verdana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Verdana"/>
              </a:defRPr>
            </a:pPr>
          </a:p>
        </c:txPr>
        <c:crossAx val="807167912"/>
      </c:catAx>
      <c:valAx>
        <c:axId val="807167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 i="0">
                    <a:solidFill>
                      <a:srgbClr val="000000"/>
                    </a:solidFill>
                    <a:latin typeface="Verdana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Verdana"/>
              </a:defRPr>
            </a:pPr>
          </a:p>
        </c:txPr>
        <c:crossAx val="9136503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EFEFE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Verdana"/>
              </a:defRPr>
            </a:pPr>
            <a:r>
              <a:rPr b="0" i="1">
                <a:solidFill>
                  <a:schemeClr val="accent2"/>
                </a:solidFill>
                <a:latin typeface="Verdana"/>
              </a:rPr>
              <a:t>Relationship between Income and 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'count of income'!$D$1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dPt>
            <c:idx val="34"/>
            <c:marker>
              <c:symbol val="none"/>
            </c:marker>
          </c:dPt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'count of income'!$C$2:$C$54</c:f>
            </c:numRef>
          </c:xVal>
          <c:yVal>
            <c:numRef>
              <c:f>'count of income'!$D$2:$D$54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148956"/>
        <c:axId val="1089899320"/>
      </c:scatterChart>
      <c:valAx>
        <c:axId val="13271489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089899320"/>
      </c:valAx>
      <c:valAx>
        <c:axId val="10898993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Count of 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32714895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EFEFE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Roboto"/>
              </a:defRPr>
            </a:pPr>
            <a:r>
              <a:rPr b="0" i="1">
                <a:solidFill>
                  <a:schemeClr val="accent2"/>
                </a:solidFill>
                <a:latin typeface="Roboto"/>
              </a:rPr>
              <a:t>Comparison of Bike Purchases Across Marital Status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distribution!$B$1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distribution!$A$2:$A$4</c:f>
            </c:strRef>
          </c:cat>
          <c:val>
            <c:numRef>
              <c:f>distribution!$B$2:$B$4</c:f>
              <c:numCache/>
            </c:numRef>
          </c:val>
        </c:ser>
        <c:axId val="1072575837"/>
        <c:axId val="977562934"/>
      </c:barChart>
      <c:catAx>
        <c:axId val="10725758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977562934"/>
      </c:catAx>
      <c:valAx>
        <c:axId val="9775629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Bike Purchased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072575837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EFEFE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Roboto"/>
              </a:defRPr>
            </a:pPr>
            <a:r>
              <a:rPr b="0" i="1">
                <a:solidFill>
                  <a:schemeClr val="accent2"/>
                </a:solidFill>
                <a:latin typeface="Roboto"/>
              </a:rPr>
              <a:t>Comparison of Bike Purchases between Male and Female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distribution!$B$13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distribution!$A$14:$A$16</c:f>
            </c:strRef>
          </c:cat>
          <c:val>
            <c:numRef>
              <c:f>distribution!$B$14:$B$16</c:f>
              <c:numCache/>
            </c:numRef>
          </c:val>
        </c:ser>
        <c:axId val="692658720"/>
        <c:axId val="1828295914"/>
      </c:barChart>
      <c:catAx>
        <c:axId val="6926587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28295914"/>
      </c:catAx>
      <c:valAx>
        <c:axId val="18282959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Bike Purchased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92658720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Verdana"/>
              </a:defRPr>
            </a:pPr>
            <a:r>
              <a:rPr b="0" i="1">
                <a:solidFill>
                  <a:schemeClr val="accent2"/>
                </a:solidFill>
                <a:latin typeface="Verdana"/>
              </a:rPr>
              <a:t>Distribution of Bike Purchases by Region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bargraph!$B$100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explosion val="0"/>
            <c:spPr>
              <a:solidFill>
                <a:srgbClr val="0C343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bargraph!$A$101:$A$104</c:f>
            </c:strRef>
          </c:cat>
          <c:val>
            <c:numRef>
              <c:f>bargraph!$B$101:$B$104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34F5C"/>
              </a:solidFill>
              <a:latin typeface="Roboto"/>
            </a:defRPr>
          </a:pPr>
        </a:p>
      </c:txPr>
    </c:legend>
    <c:plotVisOnly val="1"/>
  </c:chart>
  <c:spPr>
    <a:solidFill>
      <a:srgbClr val="EFEFE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FF0000"/>
                </a:solidFill>
                <a:latin typeface="Verdana"/>
              </a:defRPr>
            </a:pPr>
            <a:r>
              <a:rPr b="0" i="1">
                <a:solidFill>
                  <a:srgbClr val="FF0000"/>
                </a:solidFill>
                <a:latin typeface="Verdana"/>
              </a:rPr>
              <a:t>Comparison of Bike Purchases between Male and Female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bargraph!$G$1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bargraph!$F$2:$F$4</c:f>
            </c:strRef>
          </c:cat>
          <c:val>
            <c:numRef>
              <c:f>bargraph!$G$2:$G$4</c:f>
              <c:numCache/>
            </c:numRef>
          </c:val>
        </c:ser>
        <c:axId val="2017712374"/>
        <c:axId val="1114076672"/>
      </c:barChart>
      <c:catAx>
        <c:axId val="20177123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114076672"/>
      </c:catAx>
      <c:valAx>
        <c:axId val="1114076672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017712374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EFEFE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Verdana"/>
              </a:defRPr>
            </a:pPr>
            <a:r>
              <a:rPr b="0" i="1">
                <a:solidFill>
                  <a:schemeClr val="accent2"/>
                </a:solidFill>
                <a:latin typeface="Verdana"/>
              </a:rPr>
              <a:t>Income Distribution and Bike Purchases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bargraph!$H$81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bargraph!$G$82:$G$87</c:f>
            </c:strRef>
          </c:cat>
          <c:val>
            <c:numRef>
              <c:f>bargraph!$H$82:$H$87</c:f>
              <c:numCache/>
            </c:numRef>
          </c:val>
        </c:ser>
        <c:axId val="253632424"/>
        <c:axId val="217194616"/>
      </c:barChart>
      <c:catAx>
        <c:axId val="25363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 i="0">
                    <a:solidFill>
                      <a:srgbClr val="000000"/>
                    </a:solidFill>
                    <a:latin typeface="Verdana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Verdana"/>
              </a:defRPr>
            </a:pPr>
          </a:p>
        </c:txPr>
        <c:crossAx val="217194616"/>
      </c:catAx>
      <c:valAx>
        <c:axId val="217194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Verdana"/>
                  </a:defRPr>
                </a:pPr>
                <a:r>
                  <a:rPr b="0" i="0">
                    <a:solidFill>
                      <a:srgbClr val="000000"/>
                    </a:solidFill>
                    <a:latin typeface="Verdana"/>
                  </a:rPr>
                  <a:t>Bike Purchased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Verdana"/>
              </a:defRPr>
            </a:pPr>
          </a:p>
        </c:txPr>
        <c:crossAx val="25363242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Verdana"/>
            </a:defRPr>
          </a:pPr>
        </a:p>
      </c:txPr>
    </c:legend>
    <c:plotVisOnly val="1"/>
  </c:chart>
  <c:spPr>
    <a:solidFill>
      <a:srgbClr val="EFEFE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Verdana"/>
              </a:defRPr>
            </a:pPr>
            <a:r>
              <a:rPr b="0" i="1">
                <a:solidFill>
                  <a:schemeClr val="accent2"/>
                </a:solidFill>
                <a:latin typeface="Verdana"/>
              </a:rPr>
              <a:t>Distribution of Bike Purchases by Region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bargraph!$B$100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explosion val="0"/>
            <c:spPr>
              <a:solidFill>
                <a:srgbClr val="0C343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bargraph!$A$101:$A$104</c:f>
            </c:strRef>
          </c:cat>
          <c:val>
            <c:numRef>
              <c:f>bargraph!$B$101:$B$104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34F5C"/>
              </a:solidFill>
              <a:latin typeface="Roboto"/>
            </a:defRPr>
          </a:pPr>
        </a:p>
      </c:txPr>
    </c:legend>
    <c:plotVisOnly val="1"/>
  </c:chart>
  <c:spPr>
    <a:solidFill>
      <a:srgbClr val="EFEFE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chemeClr val="accent2"/>
                </a:solidFill>
                <a:latin typeface="Verdana"/>
              </a:defRPr>
            </a:pPr>
            <a:r>
              <a:rPr b="0" i="1">
                <a:solidFill>
                  <a:schemeClr val="accent2"/>
                </a:solidFill>
                <a:latin typeface="Verdana"/>
              </a:rPr>
              <a:t>Relationship between Income and 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'count of income'!$D$1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A86E8"/>
              </a:solidFill>
              <a:ln cmpd="sng">
                <a:solidFill>
                  <a:srgbClr val="4A86E8"/>
                </a:solidFill>
              </a:ln>
            </c:spPr>
          </c:marker>
          <c:dPt>
            <c:idx val="34"/>
            <c:marker>
              <c:symbol val="none"/>
            </c:marker>
          </c:dPt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'count of income'!$C$2:$C$54</c:f>
            </c:numRef>
          </c:xVal>
          <c:yVal>
            <c:numRef>
              <c:f>'count of income'!$D$2:$D$54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957673"/>
        <c:axId val="459093417"/>
      </c:scatterChart>
      <c:valAx>
        <c:axId val="8999576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459093417"/>
      </c:valAx>
      <c:valAx>
        <c:axId val="459093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Count of 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89995767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1209675</xdr:colOff>
      <xdr:row>4</xdr:row>
      <xdr:rowOff>19050</xdr:rowOff>
    </xdr:from>
    <xdr:ext cx="6315075" cy="3895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1362075</xdr:colOff>
      <xdr:row>28</xdr:row>
      <xdr:rowOff>200025</xdr:rowOff>
    </xdr:from>
    <xdr:ext cx="3448050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209550</xdr:colOff>
      <xdr:row>97</xdr:row>
      <xdr:rowOff>123825</xdr:rowOff>
    </xdr:from>
    <xdr:ext cx="4219575" cy="2590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1219200</xdr:colOff>
      <xdr:row>83</xdr:row>
      <xdr:rowOff>152400</xdr:rowOff>
    </xdr:from>
    <xdr:ext cx="3819525" cy="23622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</xdr:colOff>
      <xdr:row>55</xdr:row>
      <xdr:rowOff>161925</xdr:rowOff>
    </xdr:from>
    <xdr:ext cx="3943350" cy="24003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685800</xdr:colOff>
      <xdr:row>0</xdr:row>
      <xdr:rowOff>38100</xdr:rowOff>
    </xdr:from>
    <xdr:ext cx="2924175" cy="18002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685800</xdr:colOff>
      <xdr:row>10</xdr:row>
      <xdr:rowOff>95250</xdr:rowOff>
    </xdr:from>
    <xdr:ext cx="2771775" cy="17145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28575</xdr:colOff>
      <xdr:row>44</xdr:row>
      <xdr:rowOff>171450</xdr:rowOff>
    </xdr:from>
    <xdr:ext cx="3105150" cy="19145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914400</xdr:colOff>
      <xdr:row>1</xdr:row>
      <xdr:rowOff>200025</xdr:rowOff>
    </xdr:from>
    <xdr:ext cx="3924300" cy="26193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14</xdr:row>
      <xdr:rowOff>190500</xdr:rowOff>
    </xdr:from>
    <xdr:ext cx="7734300" cy="32385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19050</xdr:colOff>
      <xdr:row>11</xdr:row>
      <xdr:rowOff>190500</xdr:rowOff>
    </xdr:from>
    <xdr:ext cx="3838575" cy="20193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9525</xdr:colOff>
      <xdr:row>21</xdr:row>
      <xdr:rowOff>171450</xdr:rowOff>
    </xdr:from>
    <xdr:ext cx="3848100" cy="184785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1:M976" sheet="Import"/>
  </cacheSource>
  <cacheFields>
    <cacheField name="Income" numFmtId="4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90000.0"/>
        <n v="60000.0"/>
        <n v="100000.0"/>
        <n v="170000.0"/>
        <n v="130000.0"/>
        <n v="120000.0"/>
        <n v="150000.0"/>
        <n v="50000.0"/>
        <n v="110000.0"/>
      </sharedItems>
    </cacheField>
    <cacheField name="Children">
      <sharedItems containsMixedTypes="1" containsNumber="1" containsInteger="1">
        <s v="1"/>
        <s v="3"/>
        <s v="5"/>
        <s v="0"/>
        <s v="2"/>
        <s v="4"/>
        <n v="0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  <s v="Unknown"/>
      </sharedItems>
    </cacheField>
    <cacheField name="Cars" numFmtId="0">
      <sharedItems>
        <s v="0"/>
        <s v="1"/>
        <s v="2"/>
        <s v="4"/>
        <s v="3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>
        <s v="42"/>
        <s v="43"/>
        <s v="60"/>
        <s v="41"/>
        <s v="36"/>
        <s v="50"/>
        <s v="33"/>
        <s v="58"/>
        <s v="54"/>
        <s v="35"/>
        <s v="45"/>
        <s v="38"/>
        <s v="59"/>
        <s v="47"/>
        <s v="55"/>
        <s v="56"/>
        <s v="34"/>
        <s v="63"/>
        <s v="29"/>
        <s v="40"/>
        <s v="44"/>
        <s v="32"/>
        <s v="26"/>
        <s v="31"/>
        <s v="62"/>
        <s v="30"/>
        <s v="28"/>
        <s v="65"/>
        <s v="48"/>
        <s v="66"/>
        <s v="46"/>
        <s v="52"/>
        <s v="39"/>
        <s v="61"/>
        <s v="37"/>
        <s v="68"/>
        <s v="51"/>
        <s v="49"/>
        <s v="53"/>
        <s v="27"/>
        <s v="25"/>
        <s v="67"/>
        <s v="57"/>
        <s v="70"/>
        <s v="78"/>
        <s v="69"/>
        <s v="64"/>
        <s v="89"/>
        <s v="80"/>
        <s v="73"/>
        <s v="71"/>
        <s v="72"/>
      </sharedItems>
    </cacheField>
    <cacheField name="Purchased Bike" numFmtId="0">
      <sharedItems>
        <s v="No"/>
        <s v="Ye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976" sheet="count of income"/>
  </cacheSource>
  <cacheFields>
    <cacheField name="Income" numFmtId="4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90000.0"/>
        <n v="60000.0"/>
        <n v="100000.0"/>
        <n v="170000.0"/>
        <n v="130000.0"/>
        <n v="120000.0"/>
        <n v="150000.0"/>
        <n v="50000.0"/>
        <n v="110000.0"/>
      </sharedItems>
    </cacheField>
    <cacheField name="Age" numFmtId="0">
      <sharedItems>
        <s v="42"/>
        <s v="43"/>
        <s v="60"/>
        <s v="41"/>
        <s v="36"/>
        <s v="50"/>
        <s v="33"/>
        <s v="58"/>
        <s v="54"/>
        <s v="35"/>
        <s v="45"/>
        <s v="38"/>
        <s v="59"/>
        <s v="47"/>
        <s v="55"/>
        <s v="56"/>
        <s v="34"/>
        <s v="63"/>
        <s v="29"/>
        <s v="40"/>
        <s v="44"/>
        <s v="32"/>
        <s v="26"/>
        <s v="31"/>
        <s v="62"/>
        <s v="30"/>
        <s v="28"/>
        <s v="65"/>
        <s v="48"/>
        <s v="66"/>
        <s v="46"/>
        <s v="52"/>
        <s v="39"/>
        <s v="61"/>
        <s v="37"/>
        <s v="68"/>
        <s v="51"/>
        <s v="49"/>
        <s v="53"/>
        <s v="27"/>
        <s v="25"/>
        <s v="67"/>
        <s v="57"/>
        <s v="70"/>
        <s v="78"/>
        <s v="69"/>
        <s v="64"/>
        <s v="89"/>
        <s v="80"/>
        <s v="73"/>
        <s v="71"/>
        <s v="72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L1:M976" sheet="Import"/>
  </cacheSource>
  <cacheFields>
    <cacheField name="Age" numFmtId="0">
      <sharedItems>
        <s v="42"/>
        <s v="43"/>
        <s v="60"/>
        <s v="41"/>
        <s v="36"/>
        <s v="50"/>
        <s v="33"/>
        <s v="58"/>
        <s v="54"/>
        <s v="35"/>
        <s v="45"/>
        <s v="38"/>
        <s v="59"/>
        <s v="47"/>
        <s v="55"/>
        <s v="56"/>
        <s v="34"/>
        <s v="63"/>
        <s v="29"/>
        <s v="40"/>
        <s v="44"/>
        <s v="32"/>
        <s v="26"/>
        <s v="31"/>
        <s v="62"/>
        <s v="30"/>
        <s v="28"/>
        <s v="65"/>
        <s v="48"/>
        <s v="66"/>
        <s v="46"/>
        <s v="52"/>
        <s v="39"/>
        <s v="61"/>
        <s v="37"/>
        <s v="68"/>
        <s v="51"/>
        <s v="49"/>
        <s v="53"/>
        <s v="27"/>
        <s v="25"/>
        <s v="67"/>
        <s v="57"/>
        <s v="70"/>
        <s v="78"/>
        <s v="69"/>
        <s v="64"/>
        <s v="89"/>
        <s v="80"/>
        <s v="73"/>
        <s v="71"/>
        <s v="72"/>
      </sharedItems>
    </cacheField>
    <cacheField name="Purchased Bike" numFmtId="0">
      <sharedItems>
        <s v="No"/>
        <s v="Yes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M976" sheet="Import"/>
  </cacheSource>
  <cacheFields>
    <cacheField name="Marital Status" numFmtId="0">
      <sharedItems>
        <s v="Married"/>
        <s v="Single"/>
        <s v="Unknown"/>
      </sharedItems>
    </cacheField>
    <cacheField name="Gender" numFmtId="0">
      <sharedItems>
        <s v="Female"/>
        <s v="Male"/>
        <s v="Unknown"/>
      </sharedItems>
    </cacheField>
    <cacheField name="Income" numFmtId="4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90000.0"/>
        <n v="60000.0"/>
        <n v="100000.0"/>
        <n v="170000.0"/>
        <n v="130000.0"/>
        <n v="120000.0"/>
        <n v="150000.0"/>
        <n v="50000.0"/>
        <n v="110000.0"/>
      </sharedItems>
    </cacheField>
    <cacheField name="Children">
      <sharedItems containsMixedTypes="1" containsNumber="1" containsInteger="1">
        <s v="1"/>
        <s v="3"/>
        <s v="5"/>
        <s v="0"/>
        <s v="2"/>
        <s v="4"/>
        <n v="0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  <s v="Unknown"/>
      </sharedItems>
    </cacheField>
    <cacheField name="Cars" numFmtId="0">
      <sharedItems>
        <s v="0"/>
        <s v="1"/>
        <s v="2"/>
        <s v="4"/>
        <s v="3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>
        <s v="42"/>
        <s v="43"/>
        <s v="60"/>
        <s v="41"/>
        <s v="36"/>
        <s v="50"/>
        <s v="33"/>
        <s v="58"/>
        <s v="54"/>
        <s v="35"/>
        <s v="45"/>
        <s v="38"/>
        <s v="59"/>
        <s v="47"/>
        <s v="55"/>
        <s v="56"/>
        <s v="34"/>
        <s v="63"/>
        <s v="29"/>
        <s v="40"/>
        <s v="44"/>
        <s v="32"/>
        <s v="26"/>
        <s v="31"/>
        <s v="62"/>
        <s v="30"/>
        <s v="28"/>
        <s v="65"/>
        <s v="48"/>
        <s v="66"/>
        <s v="46"/>
        <s v="52"/>
        <s v="39"/>
        <s v="61"/>
        <s v="37"/>
        <s v="68"/>
        <s v="51"/>
        <s v="49"/>
        <s v="53"/>
        <s v="27"/>
        <s v="25"/>
        <s v="67"/>
        <s v="57"/>
        <s v="70"/>
        <s v="78"/>
        <s v="69"/>
        <s v="64"/>
        <s v="89"/>
        <s v="80"/>
        <s v="73"/>
        <s v="71"/>
        <s v="72"/>
      </sharedItems>
    </cacheField>
    <cacheField name="Purchased Bike" numFmtId="0">
      <sharedItems>
        <s v="No"/>
        <s v="Yes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D1:L976" sheet="Import"/>
  </cacheSource>
  <cacheFields>
    <cacheField name="Income" numFmtId="4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90000.0"/>
        <n v="60000.0"/>
        <n v="100000.0"/>
        <n v="170000.0"/>
        <n v="130000.0"/>
        <n v="120000.0"/>
        <n v="150000.0"/>
        <n v="50000.0"/>
        <n v="110000.0"/>
      </sharedItems>
    </cacheField>
    <cacheField name="Children">
      <sharedItems containsMixedTypes="1" containsNumber="1" containsInteger="1">
        <s v="1"/>
        <s v="3"/>
        <s v="5"/>
        <s v="0"/>
        <s v="2"/>
        <s v="4"/>
        <n v="0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  <s v="Unknown"/>
      </sharedItems>
    </cacheField>
    <cacheField name="Cars" numFmtId="0">
      <sharedItems>
        <s v="0"/>
        <s v="1"/>
        <s v="2"/>
        <s v="4"/>
        <s v="3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>
        <s v="42"/>
        <s v="43"/>
        <s v="60"/>
        <s v="41"/>
        <s v="36"/>
        <s v="50"/>
        <s v="33"/>
        <s v="58"/>
        <s v="54"/>
        <s v="35"/>
        <s v="45"/>
        <s v="38"/>
        <s v="59"/>
        <s v="47"/>
        <s v="55"/>
        <s v="56"/>
        <s v="34"/>
        <s v="63"/>
        <s v="29"/>
        <s v="40"/>
        <s v="44"/>
        <s v="32"/>
        <s v="26"/>
        <s v="31"/>
        <s v="62"/>
        <s v="30"/>
        <s v="28"/>
        <s v="65"/>
        <s v="48"/>
        <s v="66"/>
        <s v="46"/>
        <s v="52"/>
        <s v="39"/>
        <s v="61"/>
        <s v="37"/>
        <s v="68"/>
        <s v="51"/>
        <s v="49"/>
        <s v="53"/>
        <s v="27"/>
        <s v="25"/>
        <s v="67"/>
        <s v="57"/>
        <s v="70"/>
        <s v="78"/>
        <s v="69"/>
        <s v="64"/>
        <s v="89"/>
        <s v="80"/>
        <s v="73"/>
        <s v="71"/>
        <s v="7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bargraph" cacheId="0" dataCaption="" compact="0" compactData="0">
  <location ref="D78:E95" firstHeaderRow="0" firstDataRow="1" firstDataCol="0"/>
  <pivotFields>
    <pivotField name="Income" axis="axisRow" compact="0" numFmtId="4" outline="0" multipleItemSelectionAllowed="1" showAll="0" sortType="ascending">
      <items>
        <item x="4"/>
        <item x="6"/>
        <item x="1"/>
        <item x="0"/>
        <item x="14"/>
        <item x="8"/>
        <item x="3"/>
        <item x="2"/>
        <item x="7"/>
        <item x="9"/>
        <item x="15"/>
        <item x="12"/>
        <item x="11"/>
        <item x="13"/>
        <item x="5"/>
        <item x="10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</pivotFields>
  <rowFields>
    <field x="0"/>
  </rowFields>
  <dataFields>
    <dataField name="COUNTA of Purchased Bike" fld="9" subtotal="count" baseField="0"/>
  </dataFields>
</pivotTableDefinition>
</file>

<file path=xl/pivotTables/pivotTable2.xml><?xml version="1.0" encoding="utf-8"?>
<pivotTableDefinition xmlns="http://schemas.openxmlformats.org/spreadsheetml/2006/main" name="count of income" cacheId="1" dataCaption="" compact="0" compactData="0">
  <location ref="C1:D54" firstHeaderRow="0" firstDataRow="1" firstDataCol="0"/>
  <pivotFields>
    <pivotField name="Incom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ge 1" axis="axisRow" compact="0" outline="0" multipleItemSelectionAllowed="1" showAll="0" sortType="ascending">
      <items>
        <item x="40"/>
        <item x="22"/>
        <item x="39"/>
        <item x="26"/>
        <item x="18"/>
        <item x="25"/>
        <item x="23"/>
        <item x="21"/>
        <item x="6"/>
        <item x="16"/>
        <item x="9"/>
        <item x="4"/>
        <item x="34"/>
        <item x="11"/>
        <item x="32"/>
        <item x="19"/>
        <item x="3"/>
        <item x="0"/>
        <item x="1"/>
        <item x="20"/>
        <item x="10"/>
        <item x="30"/>
        <item x="13"/>
        <item x="28"/>
        <item x="37"/>
        <item x="5"/>
        <item x="36"/>
        <item x="31"/>
        <item x="38"/>
        <item x="8"/>
        <item x="14"/>
        <item x="15"/>
        <item x="42"/>
        <item x="7"/>
        <item x="12"/>
        <item x="2"/>
        <item x="33"/>
        <item x="24"/>
        <item x="17"/>
        <item x="46"/>
        <item x="27"/>
        <item x="29"/>
        <item x="41"/>
        <item x="35"/>
        <item x="45"/>
        <item x="43"/>
        <item x="50"/>
        <item x="51"/>
        <item x="49"/>
        <item x="44"/>
        <item x="48"/>
        <item x="47"/>
        <item t="default"/>
      </items>
    </pivotField>
  </pivotFields>
  <rowFields>
    <field x="1"/>
  </rowFields>
  <dataFields>
    <dataField name="COUNTA of Income" fld="0" subtotal="count" baseField="0"/>
  </dataFields>
</pivotTableDefinition>
</file>

<file path=xl/pivotTables/pivotTable3.xml><?xml version="1.0" encoding="utf-8"?>
<pivotTableDefinition xmlns="http://schemas.openxmlformats.org/spreadsheetml/2006/main" name="distribution" cacheId="2" dataCaption="" compact="0" compactData="0">
  <location ref="A22:B75" firstHeaderRow="0" firstDataRow="1" firstDataCol="0"/>
  <pivotFields>
    <pivotField name="Age" axis="axisRow" compact="0" outline="0" multipleItemSelectionAllowed="1" showAll="0" sortType="ascending">
      <items>
        <item x="40"/>
        <item x="22"/>
        <item x="39"/>
        <item x="26"/>
        <item x="18"/>
        <item x="25"/>
        <item x="23"/>
        <item x="21"/>
        <item x="6"/>
        <item x="16"/>
        <item x="9"/>
        <item x="4"/>
        <item x="34"/>
        <item x="11"/>
        <item x="32"/>
        <item x="19"/>
        <item x="3"/>
        <item x="0"/>
        <item x="1"/>
        <item x="20"/>
        <item x="10"/>
        <item x="30"/>
        <item x="13"/>
        <item x="28"/>
        <item x="37"/>
        <item x="5"/>
        <item x="36"/>
        <item x="31"/>
        <item x="38"/>
        <item x="8"/>
        <item x="14"/>
        <item x="15"/>
        <item x="42"/>
        <item x="7"/>
        <item x="12"/>
        <item x="2"/>
        <item x="33"/>
        <item x="24"/>
        <item x="17"/>
        <item x="46"/>
        <item x="27"/>
        <item x="29"/>
        <item x="41"/>
        <item x="35"/>
        <item x="45"/>
        <item x="43"/>
        <item x="50"/>
        <item x="51"/>
        <item x="49"/>
        <item x="44"/>
        <item x="48"/>
        <item x="47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</pivotFields>
  <rowFields>
    <field x="0"/>
  </rowFields>
  <dataFields>
    <dataField name="COUNTA of Purchased Bike" fld="1" subtotal="count" baseField="0"/>
  </dataFields>
</pivotTableDefinition>
</file>

<file path=xl/pivotTables/pivotTable4.xml><?xml version="1.0" encoding="utf-8"?>
<pivotTableDefinition xmlns="http://schemas.openxmlformats.org/spreadsheetml/2006/main" name="distribution 2" cacheId="3" dataCaption="" compact="0" compactData="0">
  <location ref="E60:I65" firstHeaderRow="0" firstDataRow="1" firstDataCol="1"/>
  <pivotFields>
    <pivotField name="Marital Status" axis="axisRow" compact="0" outline="0" multipleItemSelectionAllowed="1" showAll="0" sortType="ascending">
      <items>
        <item x="0"/>
        <item x="1"/>
        <item x="2"/>
        <item t="default"/>
      </items>
    </pivotField>
    <pivotField name="Gender" axis="axisCol" compact="0" outline="0" multipleItemSelectionAllowed="1" showAll="0" sortType="ascending">
      <items>
        <item x="0"/>
        <item x="1"/>
        <item x="2"/>
        <item t="default"/>
      </items>
    </pivotField>
    <pivotField name="Incom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</pivotFields>
  <rowFields>
    <field x="0"/>
  </rowFields>
  <colFields>
    <field x="1"/>
  </colFields>
  <dataFields>
    <dataField name="COUNTA of Purchased Bike" fld="11" subtotal="count" baseField="0"/>
  </dataFields>
</pivotTableDefinition>
</file>

<file path=xl/pivotTables/pivotTable5.xml><?xml version="1.0" encoding="utf-8"?>
<pivotTableDefinition xmlns="http://schemas.openxmlformats.org/spreadsheetml/2006/main" name="distribution 3" cacheId="4" dataCaption="" compact="0" compactData="0">
  <location ref="C90:D107" firstHeaderRow="0" firstDataRow="1" firstDataCol="0"/>
  <pivotFields>
    <pivotField name="Income" axis="axisRow" compact="0" numFmtId="4" outline="0" multipleItemSelectionAllowed="1" showAll="0" sortType="ascending">
      <items>
        <item x="4"/>
        <item x="6"/>
        <item x="1"/>
        <item x="0"/>
        <item x="14"/>
        <item x="8"/>
        <item x="3"/>
        <item x="2"/>
        <item x="7"/>
        <item x="9"/>
        <item x="15"/>
        <item x="12"/>
        <item x="11"/>
        <item x="13"/>
        <item x="5"/>
        <item x="10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x="2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>
    <field x="0"/>
  </rowFields>
  <dataFields>
    <dataField name="COUNTA of Age" fld="8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pivotTable" Target="../pivotTables/pivotTable5.xm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15.75" customHeight="1">
      <c r="A3" s="2" t="s">
        <v>26</v>
      </c>
      <c r="B3" s="1" t="s">
        <v>14</v>
      </c>
      <c r="C3" s="1" t="s">
        <v>27</v>
      </c>
      <c r="D3" s="2" t="s">
        <v>28</v>
      </c>
      <c r="E3" s="2" t="s">
        <v>29</v>
      </c>
      <c r="F3" s="1" t="s">
        <v>30</v>
      </c>
      <c r="G3" s="1" t="s">
        <v>31</v>
      </c>
      <c r="H3" s="1" t="s">
        <v>20</v>
      </c>
      <c r="I3" s="2" t="s">
        <v>17</v>
      </c>
      <c r="J3" s="1" t="s">
        <v>22</v>
      </c>
      <c r="K3" s="1" t="s">
        <v>23</v>
      </c>
      <c r="L3" s="2" t="s">
        <v>32</v>
      </c>
      <c r="M3" s="1" t="s">
        <v>25</v>
      </c>
    </row>
    <row r="4" ht="15.75" customHeight="1">
      <c r="A4" s="2" t="s">
        <v>33</v>
      </c>
      <c r="B4" s="1" t="s">
        <v>14</v>
      </c>
      <c r="C4" s="1" t="s">
        <v>27</v>
      </c>
      <c r="D4" s="2" t="s">
        <v>34</v>
      </c>
      <c r="E4" s="2" t="s">
        <v>35</v>
      </c>
      <c r="F4" s="1" t="s">
        <v>30</v>
      </c>
      <c r="G4" s="1" t="s">
        <v>36</v>
      </c>
      <c r="H4" s="1" t="s">
        <v>25</v>
      </c>
      <c r="I4" s="2" t="s">
        <v>37</v>
      </c>
      <c r="J4" s="1" t="s">
        <v>38</v>
      </c>
      <c r="K4" s="1" t="s">
        <v>23</v>
      </c>
      <c r="L4" s="2" t="s">
        <v>39</v>
      </c>
      <c r="M4" s="1" t="s">
        <v>25</v>
      </c>
    </row>
    <row r="5" ht="15.75" customHeight="1">
      <c r="A5" s="2" t="s">
        <v>40</v>
      </c>
      <c r="B5" s="1" t="s">
        <v>41</v>
      </c>
      <c r="D5" s="2" t="s">
        <v>42</v>
      </c>
      <c r="E5" s="2" t="s">
        <v>21</v>
      </c>
      <c r="F5" s="1" t="s">
        <v>18</v>
      </c>
      <c r="G5" s="1" t="s">
        <v>36</v>
      </c>
      <c r="H5" s="1" t="s">
        <v>20</v>
      </c>
      <c r="I5" s="2" t="s">
        <v>17</v>
      </c>
      <c r="J5" s="1" t="s">
        <v>43</v>
      </c>
      <c r="K5" s="1" t="s">
        <v>44</v>
      </c>
      <c r="L5" s="2" t="s">
        <v>45</v>
      </c>
      <c r="M5" s="1" t="s">
        <v>20</v>
      </c>
    </row>
    <row r="6" ht="15.75" customHeight="1">
      <c r="A6" s="2" t="s">
        <v>46</v>
      </c>
      <c r="B6" s="1" t="s">
        <v>41</v>
      </c>
      <c r="C6" s="1" t="s">
        <v>27</v>
      </c>
      <c r="D6" s="2" t="s">
        <v>28</v>
      </c>
      <c r="E6" s="2" t="s">
        <v>21</v>
      </c>
      <c r="F6" s="1" t="s">
        <v>18</v>
      </c>
      <c r="G6" s="1" t="s">
        <v>31</v>
      </c>
      <c r="H6" s="1" t="s">
        <v>25</v>
      </c>
      <c r="I6" s="2" t="s">
        <v>21</v>
      </c>
      <c r="J6" s="1" t="s">
        <v>22</v>
      </c>
      <c r="K6" s="1" t="s">
        <v>23</v>
      </c>
      <c r="L6" s="2" t="s">
        <v>47</v>
      </c>
      <c r="M6" s="1" t="s">
        <v>20</v>
      </c>
    </row>
    <row r="7" ht="15.75" customHeight="1">
      <c r="A7" s="2" t="s">
        <v>48</v>
      </c>
      <c r="B7" s="1" t="s">
        <v>14</v>
      </c>
      <c r="C7" s="1" t="s">
        <v>15</v>
      </c>
      <c r="D7" s="2" t="s">
        <v>49</v>
      </c>
      <c r="E7" s="2" t="s">
        <v>37</v>
      </c>
      <c r="F7" s="1" t="s">
        <v>30</v>
      </c>
      <c r="G7" s="1" t="s">
        <v>50</v>
      </c>
      <c r="H7" s="1" t="s">
        <v>20</v>
      </c>
      <c r="I7" s="2" t="s">
        <v>21</v>
      </c>
      <c r="J7" s="1" t="s">
        <v>51</v>
      </c>
      <c r="K7" s="1" t="s">
        <v>23</v>
      </c>
      <c r="L7" s="2" t="s">
        <v>52</v>
      </c>
      <c r="M7" s="1" t="s">
        <v>25</v>
      </c>
    </row>
    <row r="8" ht="15.75" customHeight="1">
      <c r="A8" s="2" t="s">
        <v>53</v>
      </c>
      <c r="B8" s="1" t="s">
        <v>41</v>
      </c>
      <c r="C8" s="1" t="s">
        <v>27</v>
      </c>
      <c r="D8" s="2" t="s">
        <v>54</v>
      </c>
      <c r="E8" s="2" t="s">
        <v>37</v>
      </c>
      <c r="F8" s="1" t="s">
        <v>55</v>
      </c>
      <c r="G8" s="1" t="s">
        <v>56</v>
      </c>
      <c r="I8" s="2" t="s">
        <v>57</v>
      </c>
      <c r="J8" s="1" t="s">
        <v>22</v>
      </c>
      <c r="K8" s="1" t="s">
        <v>44</v>
      </c>
      <c r="L8" s="2" t="s">
        <v>58</v>
      </c>
      <c r="M8" s="1" t="s">
        <v>20</v>
      </c>
    </row>
    <row r="9" ht="15.75" customHeight="1">
      <c r="A9" s="2" t="s">
        <v>59</v>
      </c>
      <c r="B9" s="1" t="s">
        <v>14</v>
      </c>
      <c r="C9" s="1" t="s">
        <v>27</v>
      </c>
      <c r="D9" s="2" t="s">
        <v>16</v>
      </c>
      <c r="E9" s="2" t="s">
        <v>17</v>
      </c>
      <c r="F9" s="1" t="s">
        <v>18</v>
      </c>
      <c r="G9" s="1" t="s">
        <v>19</v>
      </c>
      <c r="H9" s="1" t="s">
        <v>20</v>
      </c>
      <c r="I9" s="2" t="s">
        <v>21</v>
      </c>
      <c r="J9" s="1" t="s">
        <v>22</v>
      </c>
      <c r="K9" s="1" t="s">
        <v>23</v>
      </c>
      <c r="L9" s="2" t="s">
        <v>32</v>
      </c>
      <c r="M9" s="1" t="s">
        <v>20</v>
      </c>
    </row>
    <row r="10" ht="15.75" customHeight="1">
      <c r="A10" s="2" t="s">
        <v>60</v>
      </c>
      <c r="C10" s="1" t="s">
        <v>27</v>
      </c>
      <c r="D10" s="2" t="s">
        <v>61</v>
      </c>
      <c r="E10" s="2" t="s">
        <v>37</v>
      </c>
      <c r="F10" s="1" t="s">
        <v>62</v>
      </c>
      <c r="G10" s="1" t="s">
        <v>31</v>
      </c>
      <c r="H10" s="1" t="s">
        <v>20</v>
      </c>
      <c r="I10" s="2" t="s">
        <v>37</v>
      </c>
      <c r="J10" s="1" t="s">
        <v>43</v>
      </c>
      <c r="K10" s="1" t="s">
        <v>44</v>
      </c>
      <c r="L10" s="2" t="s">
        <v>63</v>
      </c>
      <c r="M10" s="1" t="s">
        <v>25</v>
      </c>
    </row>
    <row r="11" ht="15.75" customHeight="1">
      <c r="A11" s="2" t="s">
        <v>64</v>
      </c>
      <c r="B11" s="1" t="s">
        <v>14</v>
      </c>
      <c r="C11" s="1" t="s">
        <v>27</v>
      </c>
      <c r="E11" s="2" t="s">
        <v>37</v>
      </c>
      <c r="F11" s="1" t="s">
        <v>30</v>
      </c>
      <c r="G11" s="1" t="s">
        <v>50</v>
      </c>
      <c r="H11" s="1" t="s">
        <v>20</v>
      </c>
      <c r="I11" s="2" t="s">
        <v>17</v>
      </c>
      <c r="J11" s="1" t="s">
        <v>22</v>
      </c>
      <c r="K11" s="1" t="s">
        <v>23</v>
      </c>
      <c r="M11" s="1" t="s">
        <v>20</v>
      </c>
    </row>
    <row r="12" ht="15.75" customHeight="1">
      <c r="A12" s="2" t="s">
        <v>65</v>
      </c>
      <c r="B12" s="1" t="s">
        <v>14</v>
      </c>
      <c r="C12" s="1" t="s">
        <v>15</v>
      </c>
      <c r="D12" s="2" t="s">
        <v>28</v>
      </c>
      <c r="E12" s="2" t="s">
        <v>29</v>
      </c>
      <c r="F12" s="1" t="s">
        <v>55</v>
      </c>
      <c r="G12" s="1" t="s">
        <v>19</v>
      </c>
      <c r="H12" s="1" t="s">
        <v>25</v>
      </c>
      <c r="I12" s="2" t="s">
        <v>37</v>
      </c>
      <c r="J12" s="1" t="s">
        <v>51</v>
      </c>
      <c r="K12" s="1" t="s">
        <v>44</v>
      </c>
      <c r="L12" s="2" t="s">
        <v>66</v>
      </c>
      <c r="M12" s="1" t="s">
        <v>20</v>
      </c>
    </row>
    <row r="13" ht="15.75" customHeight="1">
      <c r="A13" s="2" t="s">
        <v>67</v>
      </c>
      <c r="B13" s="1" t="s">
        <v>41</v>
      </c>
      <c r="C13" s="1" t="s">
        <v>15</v>
      </c>
      <c r="D13" s="2" t="s">
        <v>68</v>
      </c>
      <c r="E13" s="2" t="s">
        <v>21</v>
      </c>
      <c r="F13" s="1" t="s">
        <v>18</v>
      </c>
      <c r="G13" s="1" t="s">
        <v>36</v>
      </c>
      <c r="H13" s="1" t="s">
        <v>25</v>
      </c>
      <c r="I13" s="2" t="s">
        <v>57</v>
      </c>
      <c r="J13" s="1" t="s">
        <v>69</v>
      </c>
      <c r="K13" s="1" t="s">
        <v>44</v>
      </c>
      <c r="L13" s="2" t="s">
        <v>47</v>
      </c>
      <c r="M13" s="1" t="s">
        <v>25</v>
      </c>
    </row>
    <row r="14" ht="15.75" customHeight="1">
      <c r="A14" s="2" t="s">
        <v>70</v>
      </c>
      <c r="B14" s="1" t="s">
        <v>14</v>
      </c>
      <c r="C14" s="1" t="s">
        <v>27</v>
      </c>
      <c r="D14" s="2" t="s">
        <v>71</v>
      </c>
      <c r="E14" s="2" t="s">
        <v>35</v>
      </c>
      <c r="F14" s="1" t="s">
        <v>30</v>
      </c>
      <c r="G14" s="1" t="s">
        <v>36</v>
      </c>
      <c r="H14" s="1" t="s">
        <v>20</v>
      </c>
      <c r="J14" s="1" t="s">
        <v>22</v>
      </c>
      <c r="K14" s="1" t="s">
        <v>23</v>
      </c>
      <c r="L14" s="2" t="s">
        <v>72</v>
      </c>
      <c r="M14" s="1" t="s">
        <v>25</v>
      </c>
    </row>
    <row r="15" ht="15.75" customHeight="1">
      <c r="A15" s="2" t="s">
        <v>73</v>
      </c>
      <c r="B15" s="1" t="s">
        <v>14</v>
      </c>
      <c r="C15" s="1" t="s">
        <v>27</v>
      </c>
      <c r="D15" s="2" t="s">
        <v>16</v>
      </c>
      <c r="E15" s="2" t="s">
        <v>37</v>
      </c>
      <c r="F15" s="1" t="s">
        <v>30</v>
      </c>
      <c r="G15" s="1" t="s">
        <v>31</v>
      </c>
      <c r="H15" s="1" t="s">
        <v>20</v>
      </c>
      <c r="I15" s="2" t="s">
        <v>17</v>
      </c>
      <c r="J15" s="1" t="s">
        <v>51</v>
      </c>
      <c r="K15" s="1" t="s">
        <v>23</v>
      </c>
      <c r="L15" s="2" t="s">
        <v>74</v>
      </c>
      <c r="M15" s="1" t="s">
        <v>20</v>
      </c>
    </row>
    <row r="16" ht="15.75" customHeight="1">
      <c r="A16" s="2" t="s">
        <v>75</v>
      </c>
      <c r="B16" s="1" t="s">
        <v>41</v>
      </c>
      <c r="C16" s="1" t="s">
        <v>27</v>
      </c>
      <c r="D16" s="2" t="s">
        <v>76</v>
      </c>
      <c r="E16" s="2" t="s">
        <v>17</v>
      </c>
      <c r="F16" s="1" t="s">
        <v>30</v>
      </c>
      <c r="G16" s="1" t="s">
        <v>19</v>
      </c>
      <c r="H16" s="1" t="s">
        <v>25</v>
      </c>
      <c r="I16" s="2" t="s">
        <v>17</v>
      </c>
      <c r="J16" s="1" t="s">
        <v>22</v>
      </c>
      <c r="K16" s="1" t="s">
        <v>44</v>
      </c>
      <c r="L16" s="2" t="s">
        <v>77</v>
      </c>
      <c r="M16" s="1" t="s">
        <v>20</v>
      </c>
    </row>
    <row r="17" ht="15.75" customHeight="1">
      <c r="A17" s="2" t="s">
        <v>78</v>
      </c>
      <c r="B17" s="1" t="s">
        <v>41</v>
      </c>
      <c r="C17" s="1" t="s">
        <v>15</v>
      </c>
      <c r="D17" s="2" t="s">
        <v>49</v>
      </c>
      <c r="E17" s="2" t="s">
        <v>37</v>
      </c>
      <c r="F17" s="1" t="s">
        <v>55</v>
      </c>
      <c r="G17" s="1" t="s">
        <v>50</v>
      </c>
      <c r="H17" s="1" t="s">
        <v>20</v>
      </c>
      <c r="I17" s="2" t="s">
        <v>17</v>
      </c>
      <c r="J17" s="1" t="s">
        <v>22</v>
      </c>
      <c r="K17" s="1" t="s">
        <v>23</v>
      </c>
      <c r="L17" s="2" t="s">
        <v>79</v>
      </c>
      <c r="M17" s="1" t="s">
        <v>20</v>
      </c>
    </row>
    <row r="18" ht="15.75" customHeight="1">
      <c r="A18" s="2" t="s">
        <v>80</v>
      </c>
      <c r="B18" s="1" t="s">
        <v>41</v>
      </c>
      <c r="C18" s="1" t="s">
        <v>27</v>
      </c>
      <c r="D18" s="2" t="s">
        <v>28</v>
      </c>
      <c r="E18" s="2" t="s">
        <v>29</v>
      </c>
      <c r="F18" s="1" t="s">
        <v>30</v>
      </c>
      <c r="G18" s="1" t="s">
        <v>31</v>
      </c>
      <c r="H18" s="1" t="s">
        <v>25</v>
      </c>
      <c r="I18" s="2" t="s">
        <v>37</v>
      </c>
      <c r="J18" s="1" t="s">
        <v>51</v>
      </c>
      <c r="K18" s="1" t="s">
        <v>44</v>
      </c>
      <c r="L18" s="2" t="s">
        <v>81</v>
      </c>
      <c r="M18" s="1" t="s">
        <v>20</v>
      </c>
    </row>
    <row r="19" ht="15.75" customHeight="1">
      <c r="A19" s="2" t="s">
        <v>82</v>
      </c>
      <c r="B19" s="1" t="s">
        <v>14</v>
      </c>
      <c r="C19" s="1" t="s">
        <v>15</v>
      </c>
      <c r="D19" s="2" t="s">
        <v>28</v>
      </c>
      <c r="E19" s="2" t="s">
        <v>17</v>
      </c>
      <c r="F19" s="1" t="s">
        <v>18</v>
      </c>
      <c r="G19" s="1" t="s">
        <v>31</v>
      </c>
      <c r="H19" s="1" t="s">
        <v>20</v>
      </c>
      <c r="I19" s="2" t="s">
        <v>21</v>
      </c>
      <c r="J19" s="1" t="s">
        <v>22</v>
      </c>
      <c r="K19" s="1" t="s">
        <v>23</v>
      </c>
      <c r="L19" s="2" t="s">
        <v>83</v>
      </c>
      <c r="M19" s="1" t="s">
        <v>25</v>
      </c>
    </row>
    <row r="20" ht="15.75" customHeight="1">
      <c r="A20" s="2" t="s">
        <v>84</v>
      </c>
      <c r="B20" s="1" t="s">
        <v>41</v>
      </c>
      <c r="C20" s="1" t="s">
        <v>27</v>
      </c>
      <c r="D20" s="2" t="s">
        <v>16</v>
      </c>
      <c r="E20" s="2" t="s">
        <v>37</v>
      </c>
      <c r="F20" s="1" t="s">
        <v>30</v>
      </c>
      <c r="G20" s="1" t="s">
        <v>31</v>
      </c>
      <c r="H20" s="1" t="s">
        <v>20</v>
      </c>
      <c r="I20" s="2" t="s">
        <v>17</v>
      </c>
      <c r="J20" s="1" t="s">
        <v>51</v>
      </c>
      <c r="K20" s="1" t="s">
        <v>23</v>
      </c>
      <c r="L20" s="2" t="s">
        <v>74</v>
      </c>
      <c r="M20" s="1" t="s">
        <v>20</v>
      </c>
    </row>
    <row r="21" ht="15.75" customHeight="1">
      <c r="A21" s="2" t="s">
        <v>85</v>
      </c>
      <c r="B21" s="1" t="s">
        <v>41</v>
      </c>
      <c r="C21" s="1" t="s">
        <v>27</v>
      </c>
      <c r="D21" s="2" t="s">
        <v>61</v>
      </c>
      <c r="E21" s="2" t="s">
        <v>37</v>
      </c>
      <c r="F21" s="1" t="s">
        <v>62</v>
      </c>
      <c r="G21" s="1" t="s">
        <v>31</v>
      </c>
      <c r="H21" s="1" t="s">
        <v>20</v>
      </c>
      <c r="I21" s="2" t="s">
        <v>37</v>
      </c>
      <c r="J21" s="1" t="s">
        <v>43</v>
      </c>
      <c r="K21" s="1" t="s">
        <v>44</v>
      </c>
      <c r="L21" s="2" t="s">
        <v>72</v>
      </c>
      <c r="M21" s="1" t="s">
        <v>20</v>
      </c>
    </row>
    <row r="22" ht="15.75" customHeight="1">
      <c r="A22" s="2" t="s">
        <v>86</v>
      </c>
      <c r="B22" s="1" t="s">
        <v>14</v>
      </c>
      <c r="C22" s="1" t="s">
        <v>15</v>
      </c>
      <c r="D22" s="2" t="s">
        <v>16</v>
      </c>
      <c r="E22" s="2" t="s">
        <v>21</v>
      </c>
      <c r="F22" s="1" t="s">
        <v>87</v>
      </c>
      <c r="G22" s="1" t="s">
        <v>31</v>
      </c>
      <c r="H22" s="1" t="s">
        <v>20</v>
      </c>
      <c r="I22" s="2" t="s">
        <v>21</v>
      </c>
      <c r="J22" s="1" t="s">
        <v>22</v>
      </c>
      <c r="K22" s="1" t="s">
        <v>23</v>
      </c>
      <c r="L22" s="2" t="s">
        <v>47</v>
      </c>
      <c r="M22" s="1" t="s">
        <v>20</v>
      </c>
    </row>
    <row r="23" ht="15.75" customHeight="1">
      <c r="A23" s="2" t="s">
        <v>88</v>
      </c>
      <c r="B23" s="1" t="s">
        <v>41</v>
      </c>
      <c r="C23" s="1" t="s">
        <v>15</v>
      </c>
      <c r="D23" s="2" t="s">
        <v>34</v>
      </c>
      <c r="E23" s="2" t="s">
        <v>21</v>
      </c>
      <c r="F23" s="1" t="s">
        <v>18</v>
      </c>
      <c r="G23" s="1" t="s">
        <v>36</v>
      </c>
      <c r="H23" s="1" t="s">
        <v>20</v>
      </c>
      <c r="I23" s="2" t="s">
        <v>57</v>
      </c>
      <c r="J23" s="1" t="s">
        <v>69</v>
      </c>
      <c r="K23" s="1" t="s">
        <v>44</v>
      </c>
      <c r="L23" s="2" t="s">
        <v>74</v>
      </c>
      <c r="M23" s="1" t="s">
        <v>25</v>
      </c>
    </row>
    <row r="24" ht="15.75" customHeight="1">
      <c r="A24" s="2" t="s">
        <v>89</v>
      </c>
      <c r="B24" s="1" t="s">
        <v>41</v>
      </c>
      <c r="C24" s="1" t="s">
        <v>27</v>
      </c>
      <c r="D24" s="2" t="s">
        <v>16</v>
      </c>
      <c r="E24" s="2" t="s">
        <v>37</v>
      </c>
      <c r="F24" s="1" t="s">
        <v>30</v>
      </c>
      <c r="G24" s="1" t="s">
        <v>31</v>
      </c>
      <c r="H24" s="1" t="s">
        <v>20</v>
      </c>
      <c r="I24" s="2" t="s">
        <v>21</v>
      </c>
      <c r="J24" s="1" t="s">
        <v>51</v>
      </c>
      <c r="K24" s="1" t="s">
        <v>23</v>
      </c>
      <c r="L24" s="2" t="s">
        <v>74</v>
      </c>
      <c r="M24" s="1" t="s">
        <v>20</v>
      </c>
    </row>
    <row r="25" ht="15.75" customHeight="1">
      <c r="A25" s="2" t="s">
        <v>90</v>
      </c>
      <c r="B25" s="1" t="s">
        <v>14</v>
      </c>
      <c r="C25" s="1" t="s">
        <v>15</v>
      </c>
      <c r="D25" s="2" t="s">
        <v>34</v>
      </c>
      <c r="E25" s="2" t="s">
        <v>35</v>
      </c>
      <c r="F25" s="1" t="s">
        <v>55</v>
      </c>
      <c r="G25" s="1" t="s">
        <v>56</v>
      </c>
      <c r="H25" s="1" t="s">
        <v>25</v>
      </c>
      <c r="I25" s="2" t="s">
        <v>29</v>
      </c>
      <c r="J25" s="1" t="s">
        <v>43</v>
      </c>
      <c r="K25" s="1" t="s">
        <v>23</v>
      </c>
      <c r="L25" s="2" t="s">
        <v>91</v>
      </c>
      <c r="M25" s="1" t="s">
        <v>25</v>
      </c>
    </row>
    <row r="26" ht="15.75" customHeight="1">
      <c r="A26" s="2" t="s">
        <v>92</v>
      </c>
      <c r="B26" s="1" t="s">
        <v>41</v>
      </c>
      <c r="C26" s="1" t="s">
        <v>27</v>
      </c>
      <c r="D26" s="2" t="s">
        <v>16</v>
      </c>
      <c r="E26" s="2" t="s">
        <v>37</v>
      </c>
      <c r="F26" s="1" t="s">
        <v>30</v>
      </c>
      <c r="G26" s="1" t="s">
        <v>31</v>
      </c>
      <c r="H26" s="1" t="s">
        <v>25</v>
      </c>
      <c r="I26" s="2" t="s">
        <v>17</v>
      </c>
      <c r="J26" s="1" t="s">
        <v>22</v>
      </c>
      <c r="K26" s="1" t="s">
        <v>23</v>
      </c>
      <c r="L26" s="2" t="s">
        <v>93</v>
      </c>
      <c r="M26" s="1" t="s">
        <v>25</v>
      </c>
    </row>
    <row r="27" ht="15.75" customHeight="1">
      <c r="A27" s="2" t="s">
        <v>94</v>
      </c>
      <c r="B27" s="1" t="s">
        <v>41</v>
      </c>
      <c r="C27" s="1" t="s">
        <v>27</v>
      </c>
      <c r="D27" s="2" t="s">
        <v>28</v>
      </c>
      <c r="E27" s="2" t="s">
        <v>17</v>
      </c>
      <c r="F27" s="1" t="s">
        <v>18</v>
      </c>
      <c r="G27" s="1" t="s">
        <v>31</v>
      </c>
      <c r="H27" s="1" t="s">
        <v>20</v>
      </c>
      <c r="I27" s="2" t="s">
        <v>21</v>
      </c>
      <c r="J27" s="1" t="s">
        <v>22</v>
      </c>
      <c r="K27" s="1" t="s">
        <v>23</v>
      </c>
      <c r="L27" s="2" t="s">
        <v>95</v>
      </c>
      <c r="M27" s="1" t="s">
        <v>25</v>
      </c>
    </row>
    <row r="28" ht="15.75" customHeight="1">
      <c r="A28" s="2" t="s">
        <v>96</v>
      </c>
      <c r="B28" s="1" t="s">
        <v>41</v>
      </c>
      <c r="C28" s="1" t="s">
        <v>27</v>
      </c>
      <c r="D28" s="2" t="s">
        <v>28</v>
      </c>
      <c r="E28" s="2" t="s">
        <v>21</v>
      </c>
      <c r="F28" s="1" t="s">
        <v>30</v>
      </c>
      <c r="G28" s="1" t="s">
        <v>31</v>
      </c>
      <c r="H28" s="1" t="s">
        <v>25</v>
      </c>
      <c r="I28" s="2" t="s">
        <v>17</v>
      </c>
      <c r="J28" s="1" t="s">
        <v>22</v>
      </c>
      <c r="K28" s="1" t="s">
        <v>23</v>
      </c>
      <c r="L28" s="2" t="s">
        <v>97</v>
      </c>
      <c r="M28" s="1" t="s">
        <v>20</v>
      </c>
    </row>
    <row r="29" ht="15.75" customHeight="1">
      <c r="A29" s="2" t="s">
        <v>98</v>
      </c>
      <c r="C29" s="1" t="s">
        <v>15</v>
      </c>
      <c r="D29" s="2" t="s">
        <v>99</v>
      </c>
      <c r="E29" s="2" t="s">
        <v>21</v>
      </c>
      <c r="F29" s="1" t="s">
        <v>18</v>
      </c>
      <c r="G29" s="1" t="s">
        <v>36</v>
      </c>
      <c r="H29" s="1" t="s">
        <v>25</v>
      </c>
      <c r="I29" s="2" t="s">
        <v>17</v>
      </c>
      <c r="J29" s="1" t="s">
        <v>43</v>
      </c>
      <c r="K29" s="1" t="s">
        <v>44</v>
      </c>
      <c r="L29" s="2" t="s">
        <v>100</v>
      </c>
      <c r="M29" s="1" t="s">
        <v>25</v>
      </c>
    </row>
    <row r="30" ht="15.75" customHeight="1">
      <c r="A30" s="2" t="s">
        <v>101</v>
      </c>
      <c r="B30" s="1" t="s">
        <v>14</v>
      </c>
      <c r="C30" s="1" t="s">
        <v>27</v>
      </c>
      <c r="D30" s="2" t="s">
        <v>42</v>
      </c>
      <c r="E30" s="2" t="s">
        <v>35</v>
      </c>
      <c r="F30" s="1" t="s">
        <v>30</v>
      </c>
      <c r="G30" s="1" t="s">
        <v>19</v>
      </c>
      <c r="H30" s="1" t="s">
        <v>20</v>
      </c>
      <c r="I30" s="2" t="s">
        <v>37</v>
      </c>
      <c r="J30" s="1" t="s">
        <v>43</v>
      </c>
      <c r="K30" s="1" t="s">
        <v>44</v>
      </c>
      <c r="L30" s="2" t="s">
        <v>102</v>
      </c>
      <c r="M30" s="1" t="s">
        <v>25</v>
      </c>
    </row>
    <row r="31" ht="15.75" customHeight="1">
      <c r="A31" s="2" t="s">
        <v>103</v>
      </c>
      <c r="B31" s="1" t="s">
        <v>41</v>
      </c>
      <c r="C31" s="1" t="s">
        <v>15</v>
      </c>
      <c r="D31" s="2" t="s">
        <v>61</v>
      </c>
      <c r="E31" s="2" t="s">
        <v>21</v>
      </c>
      <c r="F31" s="1" t="s">
        <v>62</v>
      </c>
      <c r="G31" s="1" t="s">
        <v>50</v>
      </c>
      <c r="H31" s="1" t="s">
        <v>25</v>
      </c>
      <c r="I31" s="2" t="s">
        <v>37</v>
      </c>
      <c r="J31" s="1" t="s">
        <v>22</v>
      </c>
      <c r="K31" s="1" t="s">
        <v>23</v>
      </c>
      <c r="L31" s="2" t="s">
        <v>104</v>
      </c>
      <c r="M31" s="1" t="s">
        <v>20</v>
      </c>
    </row>
    <row r="32" ht="15.75" customHeight="1">
      <c r="A32" s="2" t="s">
        <v>105</v>
      </c>
      <c r="B32" s="1" t="s">
        <v>14</v>
      </c>
      <c r="C32" s="1" t="s">
        <v>15</v>
      </c>
      <c r="D32" s="2" t="s">
        <v>61</v>
      </c>
      <c r="E32" s="2" t="s">
        <v>37</v>
      </c>
      <c r="F32" s="1" t="s">
        <v>30</v>
      </c>
      <c r="G32" s="1" t="s">
        <v>50</v>
      </c>
      <c r="H32" s="1" t="s">
        <v>20</v>
      </c>
      <c r="I32" s="2" t="s">
        <v>21</v>
      </c>
      <c r="J32" s="1" t="s">
        <v>22</v>
      </c>
      <c r="K32" s="1" t="s">
        <v>23</v>
      </c>
      <c r="L32" s="2" t="s">
        <v>95</v>
      </c>
      <c r="M32" s="1" t="s">
        <v>25</v>
      </c>
    </row>
    <row r="33" ht="15.75" customHeight="1">
      <c r="A33" s="2" t="s">
        <v>106</v>
      </c>
      <c r="B33" s="1" t="s">
        <v>14</v>
      </c>
      <c r="C33" s="1" t="s">
        <v>27</v>
      </c>
      <c r="D33" s="2" t="s">
        <v>49</v>
      </c>
      <c r="E33" s="2" t="s">
        <v>21</v>
      </c>
      <c r="F33" s="1" t="s">
        <v>30</v>
      </c>
      <c r="G33" s="1" t="s">
        <v>50</v>
      </c>
      <c r="H33" s="1" t="s">
        <v>25</v>
      </c>
      <c r="I33" s="2" t="s">
        <v>17</v>
      </c>
      <c r="J33" s="1" t="s">
        <v>22</v>
      </c>
      <c r="K33" s="1" t="s">
        <v>44</v>
      </c>
      <c r="L33" s="2" t="s">
        <v>107</v>
      </c>
      <c r="M33" s="1" t="s">
        <v>20</v>
      </c>
    </row>
    <row r="34" ht="15.75" customHeight="1">
      <c r="A34" s="2" t="s">
        <v>108</v>
      </c>
      <c r="B34" s="1" t="s">
        <v>41</v>
      </c>
      <c r="C34" s="1" t="s">
        <v>15</v>
      </c>
      <c r="D34" s="2" t="s">
        <v>61</v>
      </c>
      <c r="E34" s="2" t="s">
        <v>21</v>
      </c>
      <c r="F34" s="1" t="s">
        <v>55</v>
      </c>
      <c r="G34" s="1" t="s">
        <v>50</v>
      </c>
      <c r="H34" s="1" t="s">
        <v>25</v>
      </c>
      <c r="I34" s="2" t="s">
        <v>17</v>
      </c>
      <c r="J34" s="1" t="s">
        <v>43</v>
      </c>
      <c r="K34" s="1" t="s">
        <v>23</v>
      </c>
      <c r="L34" s="2" t="s">
        <v>109</v>
      </c>
      <c r="M34" s="1" t="s">
        <v>25</v>
      </c>
    </row>
    <row r="35" ht="15.75" customHeight="1">
      <c r="A35" s="2" t="s">
        <v>110</v>
      </c>
      <c r="B35" s="1" t="s">
        <v>41</v>
      </c>
      <c r="C35" s="1" t="s">
        <v>27</v>
      </c>
      <c r="D35" s="2" t="s">
        <v>34</v>
      </c>
      <c r="E35" s="2" t="s">
        <v>37</v>
      </c>
      <c r="F35" s="1" t="s">
        <v>55</v>
      </c>
      <c r="G35" s="1" t="s">
        <v>19</v>
      </c>
      <c r="H35" s="1" t="s">
        <v>25</v>
      </c>
      <c r="I35" s="2" t="s">
        <v>37</v>
      </c>
      <c r="J35" s="1" t="s">
        <v>51</v>
      </c>
      <c r="K35" s="1" t="s">
        <v>44</v>
      </c>
      <c r="L35" s="2" t="s">
        <v>52</v>
      </c>
      <c r="M35" s="1" t="s">
        <v>20</v>
      </c>
    </row>
    <row r="36" ht="15.75" customHeight="1">
      <c r="A36" s="2" t="s">
        <v>111</v>
      </c>
      <c r="B36" s="1" t="s">
        <v>41</v>
      </c>
      <c r="C36" s="1" t="s">
        <v>27</v>
      </c>
      <c r="D36" s="2" t="s">
        <v>68</v>
      </c>
      <c r="E36" s="2" t="s">
        <v>35</v>
      </c>
      <c r="F36" s="1" t="s">
        <v>30</v>
      </c>
      <c r="G36" s="1" t="s">
        <v>36</v>
      </c>
      <c r="H36" s="1" t="s">
        <v>25</v>
      </c>
      <c r="I36" s="2" t="s">
        <v>37</v>
      </c>
      <c r="J36" s="1" t="s">
        <v>38</v>
      </c>
      <c r="K36" s="1" t="s">
        <v>23</v>
      </c>
      <c r="L36" s="2" t="s">
        <v>112</v>
      </c>
      <c r="M36" s="1" t="s">
        <v>20</v>
      </c>
    </row>
    <row r="37" ht="15.75" customHeight="1">
      <c r="A37" s="2" t="s">
        <v>113</v>
      </c>
      <c r="B37" s="1" t="s">
        <v>41</v>
      </c>
      <c r="C37" s="1" t="s">
        <v>15</v>
      </c>
      <c r="D37" s="2" t="s">
        <v>49</v>
      </c>
      <c r="E37" s="2" t="s">
        <v>35</v>
      </c>
      <c r="F37" s="1" t="s">
        <v>62</v>
      </c>
      <c r="G37" s="1" t="s">
        <v>50</v>
      </c>
      <c r="H37" s="1" t="s">
        <v>25</v>
      </c>
      <c r="I37" s="2" t="s">
        <v>37</v>
      </c>
      <c r="J37" s="1" t="s">
        <v>22</v>
      </c>
      <c r="K37" s="1" t="s">
        <v>23</v>
      </c>
      <c r="L37" s="2" t="s">
        <v>45</v>
      </c>
      <c r="M37" s="1" t="s">
        <v>25</v>
      </c>
    </row>
    <row r="38" ht="15.75" customHeight="1">
      <c r="A38" s="2" t="s">
        <v>114</v>
      </c>
      <c r="B38" s="1" t="s">
        <v>14</v>
      </c>
      <c r="C38" s="1" t="s">
        <v>15</v>
      </c>
      <c r="D38" s="2" t="s">
        <v>49</v>
      </c>
      <c r="E38" s="2" t="s">
        <v>37</v>
      </c>
      <c r="F38" s="1" t="s">
        <v>30</v>
      </c>
      <c r="G38" s="1" t="s">
        <v>50</v>
      </c>
      <c r="H38" s="1" t="s">
        <v>20</v>
      </c>
      <c r="I38" s="2" t="s">
        <v>17</v>
      </c>
      <c r="J38" s="1" t="s">
        <v>22</v>
      </c>
      <c r="K38" s="1" t="s">
        <v>23</v>
      </c>
      <c r="L38" s="2" t="s">
        <v>52</v>
      </c>
      <c r="M38" s="1" t="s">
        <v>20</v>
      </c>
    </row>
    <row r="39" ht="15.75" customHeight="1">
      <c r="A39" s="2" t="s">
        <v>115</v>
      </c>
      <c r="B39" s="1" t="s">
        <v>41</v>
      </c>
      <c r="C39" s="1" t="s">
        <v>15</v>
      </c>
      <c r="D39" s="2" t="s">
        <v>28</v>
      </c>
      <c r="E39" s="2" t="s">
        <v>21</v>
      </c>
      <c r="F39" s="1" t="s">
        <v>30</v>
      </c>
      <c r="G39" s="1" t="s">
        <v>31</v>
      </c>
      <c r="H39" s="1" t="s">
        <v>25</v>
      </c>
      <c r="I39" s="2" t="s">
        <v>17</v>
      </c>
      <c r="J39" s="1" t="s">
        <v>38</v>
      </c>
      <c r="K39" s="1" t="s">
        <v>23</v>
      </c>
      <c r="L39" s="2" t="s">
        <v>116</v>
      </c>
      <c r="M39" s="1" t="s">
        <v>25</v>
      </c>
    </row>
    <row r="40" ht="15.75" customHeight="1">
      <c r="A40" s="2" t="s">
        <v>117</v>
      </c>
      <c r="B40" s="1" t="s">
        <v>41</v>
      </c>
      <c r="C40" s="1" t="s">
        <v>27</v>
      </c>
      <c r="D40" s="2" t="s">
        <v>61</v>
      </c>
      <c r="E40" s="2" t="s">
        <v>21</v>
      </c>
      <c r="F40" s="1" t="s">
        <v>55</v>
      </c>
      <c r="G40" s="1" t="s">
        <v>50</v>
      </c>
      <c r="H40" s="1" t="s">
        <v>25</v>
      </c>
      <c r="I40" s="2" t="s">
        <v>17</v>
      </c>
      <c r="J40" s="1" t="s">
        <v>38</v>
      </c>
      <c r="K40" s="1" t="s">
        <v>23</v>
      </c>
      <c r="L40" s="2" t="s">
        <v>118</v>
      </c>
      <c r="M40" s="1" t="s">
        <v>25</v>
      </c>
    </row>
    <row r="41" ht="15.75" customHeight="1">
      <c r="A41" s="2" t="s">
        <v>119</v>
      </c>
      <c r="B41" s="1" t="s">
        <v>41</v>
      </c>
      <c r="C41" s="1" t="s">
        <v>15</v>
      </c>
      <c r="D41" s="2" t="s">
        <v>49</v>
      </c>
      <c r="E41" s="2" t="s">
        <v>57</v>
      </c>
      <c r="F41" s="1" t="s">
        <v>62</v>
      </c>
      <c r="G41" s="1" t="s">
        <v>50</v>
      </c>
      <c r="H41" s="1" t="s">
        <v>20</v>
      </c>
      <c r="I41" s="2" t="s">
        <v>37</v>
      </c>
      <c r="J41" s="1" t="s">
        <v>22</v>
      </c>
      <c r="K41" s="1" t="s">
        <v>23</v>
      </c>
      <c r="L41" s="2" t="s">
        <v>100</v>
      </c>
      <c r="M41" s="1" t="s">
        <v>20</v>
      </c>
    </row>
    <row r="42" ht="15.75" customHeight="1">
      <c r="A42" s="2" t="s">
        <v>120</v>
      </c>
      <c r="B42" s="1" t="s">
        <v>41</v>
      </c>
      <c r="C42" s="1" t="s">
        <v>15</v>
      </c>
      <c r="D42" s="2" t="s">
        <v>28</v>
      </c>
      <c r="E42" s="2" t="s">
        <v>37</v>
      </c>
      <c r="F42" s="1" t="s">
        <v>30</v>
      </c>
      <c r="G42" s="1" t="s">
        <v>31</v>
      </c>
      <c r="H42" s="1" t="s">
        <v>25</v>
      </c>
      <c r="I42" s="2" t="s">
        <v>21</v>
      </c>
      <c r="J42" s="1" t="s">
        <v>22</v>
      </c>
      <c r="K42" s="1" t="s">
        <v>23</v>
      </c>
      <c r="L42" s="2" t="s">
        <v>32</v>
      </c>
      <c r="M42" s="1" t="s">
        <v>25</v>
      </c>
    </row>
    <row r="43" ht="15.75" customHeight="1">
      <c r="A43" s="2" t="s">
        <v>121</v>
      </c>
      <c r="B43" s="1" t="s">
        <v>41</v>
      </c>
      <c r="C43" s="1" t="s">
        <v>15</v>
      </c>
      <c r="D43" s="2" t="s">
        <v>16</v>
      </c>
      <c r="E43" s="2" t="s">
        <v>37</v>
      </c>
      <c r="F43" s="1" t="s">
        <v>18</v>
      </c>
      <c r="G43" s="1" t="s">
        <v>56</v>
      </c>
      <c r="H43" s="1" t="s">
        <v>20</v>
      </c>
      <c r="I43" s="2" t="s">
        <v>37</v>
      </c>
      <c r="J43" s="1" t="s">
        <v>43</v>
      </c>
      <c r="K43" s="1" t="s">
        <v>44</v>
      </c>
      <c r="L43" s="2" t="s">
        <v>122</v>
      </c>
      <c r="M43" s="1" t="s">
        <v>20</v>
      </c>
    </row>
    <row r="44" ht="15.75" customHeight="1">
      <c r="A44" s="2" t="s">
        <v>123</v>
      </c>
      <c r="B44" s="1" t="s">
        <v>14</v>
      </c>
      <c r="C44" s="1" t="s">
        <v>15</v>
      </c>
      <c r="D44" s="2" t="s">
        <v>49</v>
      </c>
      <c r="E44" s="2" t="s">
        <v>17</v>
      </c>
      <c r="F44" s="1" t="s">
        <v>87</v>
      </c>
      <c r="G44" s="1" t="s">
        <v>50</v>
      </c>
      <c r="H44" s="1" t="s">
        <v>20</v>
      </c>
      <c r="I44" s="2" t="s">
        <v>21</v>
      </c>
      <c r="J44" s="1" t="s">
        <v>22</v>
      </c>
      <c r="K44" s="1" t="s">
        <v>23</v>
      </c>
      <c r="L44" s="2" t="s">
        <v>100</v>
      </c>
      <c r="M44" s="1" t="s">
        <v>25</v>
      </c>
    </row>
    <row r="45" ht="15.75" customHeight="1">
      <c r="A45" s="2" t="s">
        <v>124</v>
      </c>
      <c r="B45" s="1" t="s">
        <v>14</v>
      </c>
      <c r="C45" s="1" t="s">
        <v>15</v>
      </c>
      <c r="D45" s="2" t="s">
        <v>71</v>
      </c>
      <c r="E45" s="2" t="s">
        <v>57</v>
      </c>
      <c r="F45" s="1" t="s">
        <v>30</v>
      </c>
      <c r="G45" s="1" t="s">
        <v>36</v>
      </c>
      <c r="H45" s="1" t="s">
        <v>25</v>
      </c>
      <c r="I45" s="2" t="s">
        <v>29</v>
      </c>
      <c r="J45" s="1" t="s">
        <v>43</v>
      </c>
      <c r="K45" s="1" t="s">
        <v>23</v>
      </c>
      <c r="L45" s="2" t="s">
        <v>125</v>
      </c>
      <c r="M45" s="1" t="s">
        <v>20</v>
      </c>
    </row>
    <row r="46" ht="15.75" customHeight="1">
      <c r="A46" s="2" t="s">
        <v>126</v>
      </c>
      <c r="B46" s="1" t="s">
        <v>14</v>
      </c>
      <c r="C46" s="1" t="s">
        <v>15</v>
      </c>
      <c r="D46" s="2" t="s">
        <v>61</v>
      </c>
      <c r="E46" s="2" t="s">
        <v>29</v>
      </c>
      <c r="F46" s="1" t="s">
        <v>55</v>
      </c>
      <c r="G46" s="1" t="s">
        <v>50</v>
      </c>
      <c r="H46" s="1" t="s">
        <v>20</v>
      </c>
      <c r="I46" s="2" t="s">
        <v>21</v>
      </c>
      <c r="J46" s="1" t="s">
        <v>22</v>
      </c>
      <c r="K46" s="1" t="s">
        <v>23</v>
      </c>
      <c r="L46" s="2" t="s">
        <v>45</v>
      </c>
      <c r="M46" s="1" t="s">
        <v>20</v>
      </c>
    </row>
    <row r="47" ht="15.75" customHeight="1">
      <c r="A47" s="2" t="s">
        <v>127</v>
      </c>
      <c r="B47" s="1" t="s">
        <v>14</v>
      </c>
      <c r="C47" s="1" t="s">
        <v>15</v>
      </c>
      <c r="D47" s="2" t="s">
        <v>61</v>
      </c>
      <c r="E47" s="2" t="s">
        <v>17</v>
      </c>
      <c r="F47" s="1" t="s">
        <v>18</v>
      </c>
      <c r="G47" s="1" t="s">
        <v>31</v>
      </c>
      <c r="H47" s="1" t="s">
        <v>20</v>
      </c>
      <c r="I47" s="2" t="s">
        <v>21</v>
      </c>
      <c r="J47" s="1" t="s">
        <v>22</v>
      </c>
      <c r="K47" s="1" t="s">
        <v>23</v>
      </c>
      <c r="L47" s="2" t="s">
        <v>128</v>
      </c>
      <c r="M47" s="1" t="s">
        <v>20</v>
      </c>
    </row>
    <row r="48" ht="15.75" customHeight="1">
      <c r="A48" s="2" t="s">
        <v>129</v>
      </c>
      <c r="B48" s="1" t="s">
        <v>14</v>
      </c>
      <c r="C48" s="1" t="s">
        <v>15</v>
      </c>
      <c r="D48" s="2" t="s">
        <v>76</v>
      </c>
      <c r="E48" s="2" t="s">
        <v>17</v>
      </c>
      <c r="F48" s="1" t="s">
        <v>30</v>
      </c>
      <c r="G48" s="1" t="s">
        <v>19</v>
      </c>
      <c r="H48" s="1" t="s">
        <v>20</v>
      </c>
      <c r="I48" s="2" t="s">
        <v>17</v>
      </c>
      <c r="J48" s="1" t="s">
        <v>43</v>
      </c>
      <c r="K48" s="1" t="s">
        <v>44</v>
      </c>
      <c r="L48" s="2" t="s">
        <v>130</v>
      </c>
      <c r="M48" s="1" t="s">
        <v>20</v>
      </c>
    </row>
    <row r="49" ht="15.75" customHeight="1">
      <c r="A49" s="2" t="s">
        <v>131</v>
      </c>
      <c r="B49" s="1" t="s">
        <v>41</v>
      </c>
      <c r="C49" s="1" t="s">
        <v>15</v>
      </c>
      <c r="D49" s="2" t="s">
        <v>16</v>
      </c>
      <c r="E49" s="2" t="s">
        <v>37</v>
      </c>
      <c r="F49" s="1" t="s">
        <v>30</v>
      </c>
      <c r="G49" s="1" t="s">
        <v>19</v>
      </c>
      <c r="H49" s="1" t="s">
        <v>20</v>
      </c>
      <c r="I49" s="2" t="s">
        <v>37</v>
      </c>
      <c r="J49" s="1" t="s">
        <v>43</v>
      </c>
      <c r="K49" s="1" t="s">
        <v>44</v>
      </c>
      <c r="L49" s="2" t="s">
        <v>132</v>
      </c>
      <c r="M49" s="1" t="s">
        <v>20</v>
      </c>
    </row>
    <row r="50" ht="15.75" customHeight="1">
      <c r="A50" s="2" t="s">
        <v>133</v>
      </c>
      <c r="B50" s="1" t="s">
        <v>14</v>
      </c>
      <c r="C50" s="1" t="s">
        <v>27</v>
      </c>
      <c r="D50" s="2" t="s">
        <v>28</v>
      </c>
      <c r="E50" s="2" t="s">
        <v>37</v>
      </c>
      <c r="F50" s="1" t="s">
        <v>30</v>
      </c>
      <c r="G50" s="1" t="s">
        <v>31</v>
      </c>
      <c r="H50" s="1" t="s">
        <v>25</v>
      </c>
      <c r="I50" s="2" t="s">
        <v>37</v>
      </c>
      <c r="J50" s="1" t="s">
        <v>22</v>
      </c>
      <c r="K50" s="1" t="s">
        <v>23</v>
      </c>
      <c r="L50" s="2" t="s">
        <v>24</v>
      </c>
      <c r="M50" s="1" t="s">
        <v>25</v>
      </c>
    </row>
    <row r="51" ht="15.75" customHeight="1">
      <c r="A51" s="2" t="s">
        <v>134</v>
      </c>
      <c r="C51" s="1" t="s">
        <v>27</v>
      </c>
      <c r="D51" s="2" t="s">
        <v>16</v>
      </c>
      <c r="E51" s="2" t="s">
        <v>21</v>
      </c>
      <c r="F51" s="1" t="s">
        <v>18</v>
      </c>
      <c r="G51" s="1" t="s">
        <v>31</v>
      </c>
      <c r="H51" s="1" t="s">
        <v>20</v>
      </c>
      <c r="I51" s="2" t="s">
        <v>21</v>
      </c>
      <c r="J51" s="1" t="s">
        <v>22</v>
      </c>
      <c r="K51" s="1" t="s">
        <v>23</v>
      </c>
      <c r="L51" s="2" t="s">
        <v>135</v>
      </c>
      <c r="M51" s="1" t="s">
        <v>20</v>
      </c>
    </row>
    <row r="52" ht="15.75" customHeight="1">
      <c r="A52" s="2" t="s">
        <v>136</v>
      </c>
      <c r="B52" s="1" t="s">
        <v>41</v>
      </c>
      <c r="C52" s="1" t="s">
        <v>15</v>
      </c>
      <c r="D52" s="2" t="s">
        <v>28</v>
      </c>
      <c r="E52" s="2" t="s">
        <v>21</v>
      </c>
      <c r="F52" s="1" t="s">
        <v>30</v>
      </c>
      <c r="G52" s="1" t="s">
        <v>31</v>
      </c>
      <c r="H52" s="1" t="s">
        <v>25</v>
      </c>
      <c r="I52" s="2" t="s">
        <v>17</v>
      </c>
      <c r="J52" s="1" t="s">
        <v>22</v>
      </c>
      <c r="K52" s="1" t="s">
        <v>23</v>
      </c>
      <c r="L52" s="2" t="s">
        <v>118</v>
      </c>
      <c r="M52" s="1" t="s">
        <v>25</v>
      </c>
    </row>
    <row r="53" ht="15.75" customHeight="1">
      <c r="A53" s="2" t="s">
        <v>137</v>
      </c>
      <c r="B53" s="1" t="s">
        <v>41</v>
      </c>
      <c r="C53" s="1" t="s">
        <v>27</v>
      </c>
      <c r="D53" s="2" t="s">
        <v>34</v>
      </c>
      <c r="E53" s="2" t="s">
        <v>21</v>
      </c>
      <c r="F53" s="1" t="s">
        <v>18</v>
      </c>
      <c r="G53" s="1" t="s">
        <v>36</v>
      </c>
      <c r="H53" s="1" t="s">
        <v>25</v>
      </c>
      <c r="I53" s="2" t="s">
        <v>57</v>
      </c>
      <c r="J53" s="1" t="s">
        <v>69</v>
      </c>
      <c r="K53" s="1" t="s">
        <v>44</v>
      </c>
      <c r="L53" s="2" t="s">
        <v>74</v>
      </c>
      <c r="M53" s="1" t="s">
        <v>25</v>
      </c>
    </row>
    <row r="54" ht="15.75" customHeight="1">
      <c r="A54" s="2" t="s">
        <v>138</v>
      </c>
      <c r="B54" s="1" t="s">
        <v>14</v>
      </c>
      <c r="C54" s="1" t="s">
        <v>15</v>
      </c>
      <c r="D54" s="2" t="s">
        <v>61</v>
      </c>
      <c r="E54" s="2" t="s">
        <v>17</v>
      </c>
      <c r="F54" s="1" t="s">
        <v>18</v>
      </c>
      <c r="G54" s="1" t="s">
        <v>31</v>
      </c>
      <c r="H54" s="1" t="s">
        <v>20</v>
      </c>
      <c r="I54" s="2" t="s">
        <v>21</v>
      </c>
      <c r="J54" s="1" t="s">
        <v>22</v>
      </c>
      <c r="K54" s="1" t="s">
        <v>23</v>
      </c>
      <c r="L54" s="2" t="s">
        <v>122</v>
      </c>
      <c r="M54" s="1" t="s">
        <v>25</v>
      </c>
    </row>
    <row r="55" ht="15.75" customHeight="1">
      <c r="A55" s="2" t="s">
        <v>139</v>
      </c>
      <c r="B55" s="1" t="s">
        <v>41</v>
      </c>
      <c r="C55" s="1" t="s">
        <v>15</v>
      </c>
      <c r="D55" s="2" t="s">
        <v>68</v>
      </c>
      <c r="E55" s="2" t="s">
        <v>57</v>
      </c>
      <c r="F55" s="1" t="s">
        <v>55</v>
      </c>
      <c r="G55" s="1" t="s">
        <v>56</v>
      </c>
      <c r="H55" s="1" t="s">
        <v>25</v>
      </c>
      <c r="I55" s="2" t="s">
        <v>29</v>
      </c>
      <c r="J55" s="1" t="s">
        <v>43</v>
      </c>
      <c r="K55" s="1" t="s">
        <v>23</v>
      </c>
      <c r="L55" s="2" t="s">
        <v>91</v>
      </c>
      <c r="M55" s="1" t="s">
        <v>25</v>
      </c>
    </row>
    <row r="56" ht="15.75" customHeight="1">
      <c r="A56" s="2" t="s">
        <v>140</v>
      </c>
      <c r="B56" s="1" t="s">
        <v>41</v>
      </c>
      <c r="C56" s="1" t="s">
        <v>15</v>
      </c>
      <c r="D56" s="2" t="s">
        <v>42</v>
      </c>
      <c r="E56" s="2" t="s">
        <v>21</v>
      </c>
      <c r="F56" s="1" t="s">
        <v>18</v>
      </c>
      <c r="G56" s="1" t="s">
        <v>36</v>
      </c>
      <c r="H56" s="1" t="s">
        <v>25</v>
      </c>
      <c r="I56" s="2" t="s">
        <v>17</v>
      </c>
      <c r="J56" s="1" t="s">
        <v>43</v>
      </c>
      <c r="K56" s="1" t="s">
        <v>44</v>
      </c>
      <c r="L56" s="2" t="s">
        <v>24</v>
      </c>
      <c r="M56" s="1" t="s">
        <v>25</v>
      </c>
    </row>
    <row r="57" ht="15.75" customHeight="1">
      <c r="A57" s="2" t="s">
        <v>141</v>
      </c>
      <c r="B57" s="1" t="s">
        <v>14</v>
      </c>
      <c r="C57" s="1" t="s">
        <v>27</v>
      </c>
      <c r="D57" s="2" t="s">
        <v>34</v>
      </c>
      <c r="E57" s="2" t="s">
        <v>57</v>
      </c>
      <c r="F57" s="1" t="s">
        <v>55</v>
      </c>
      <c r="G57" s="1" t="s">
        <v>36</v>
      </c>
      <c r="H57" s="1" t="s">
        <v>20</v>
      </c>
      <c r="I57" s="2" t="s">
        <v>37</v>
      </c>
      <c r="J57" s="1" t="s">
        <v>69</v>
      </c>
      <c r="K57" s="1" t="s">
        <v>23</v>
      </c>
      <c r="L57" s="2" t="s">
        <v>66</v>
      </c>
      <c r="M57" s="1" t="s">
        <v>25</v>
      </c>
    </row>
    <row r="58" ht="15.75" customHeight="1">
      <c r="A58" s="2" t="s">
        <v>142</v>
      </c>
      <c r="B58" s="1" t="s">
        <v>14</v>
      </c>
      <c r="C58" s="1" t="s">
        <v>27</v>
      </c>
      <c r="D58" s="2" t="s">
        <v>16</v>
      </c>
      <c r="E58" s="2" t="s">
        <v>21</v>
      </c>
      <c r="F58" s="1" t="s">
        <v>18</v>
      </c>
      <c r="G58" s="1" t="s">
        <v>31</v>
      </c>
      <c r="H58" s="1" t="s">
        <v>20</v>
      </c>
      <c r="I58" s="2" t="s">
        <v>21</v>
      </c>
      <c r="J58" s="1" t="s">
        <v>22</v>
      </c>
      <c r="K58" s="1" t="s">
        <v>23</v>
      </c>
      <c r="L58" s="2" t="s">
        <v>79</v>
      </c>
      <c r="M58" s="1" t="s">
        <v>20</v>
      </c>
    </row>
    <row r="59" ht="15.75" customHeight="1">
      <c r="A59" s="2" t="s">
        <v>143</v>
      </c>
      <c r="B59" s="1" t="s">
        <v>14</v>
      </c>
      <c r="C59" s="1" t="s">
        <v>27</v>
      </c>
      <c r="D59" s="2" t="s">
        <v>144</v>
      </c>
      <c r="E59" s="2" t="s">
        <v>57</v>
      </c>
      <c r="F59" s="1" t="s">
        <v>30</v>
      </c>
      <c r="G59" s="1" t="s">
        <v>36</v>
      </c>
      <c r="H59" s="1" t="s">
        <v>25</v>
      </c>
      <c r="I59" s="2" t="s">
        <v>57</v>
      </c>
      <c r="J59" s="1" t="s">
        <v>43</v>
      </c>
      <c r="K59" s="1" t="s">
        <v>23</v>
      </c>
      <c r="L59" s="2" t="s">
        <v>145</v>
      </c>
      <c r="M59" s="1" t="s">
        <v>20</v>
      </c>
    </row>
    <row r="60" ht="15.75" customHeight="1">
      <c r="A60" s="2" t="s">
        <v>146</v>
      </c>
      <c r="B60" s="1" t="s">
        <v>14</v>
      </c>
      <c r="C60" s="1" t="s">
        <v>15</v>
      </c>
      <c r="D60" s="2" t="s">
        <v>16</v>
      </c>
      <c r="E60" s="2" t="s">
        <v>17</v>
      </c>
      <c r="F60" s="1" t="s">
        <v>18</v>
      </c>
      <c r="G60" s="1" t="s">
        <v>19</v>
      </c>
      <c r="H60" s="1" t="s">
        <v>20</v>
      </c>
      <c r="I60" s="2" t="s">
        <v>21</v>
      </c>
      <c r="J60" s="1" t="s">
        <v>22</v>
      </c>
      <c r="K60" s="1" t="s">
        <v>23</v>
      </c>
      <c r="L60" s="2" t="s">
        <v>32</v>
      </c>
      <c r="M60" s="1" t="s">
        <v>20</v>
      </c>
    </row>
    <row r="61" ht="15.75" customHeight="1">
      <c r="A61" s="2" t="s">
        <v>147</v>
      </c>
      <c r="B61" s="1" t="s">
        <v>14</v>
      </c>
      <c r="C61" s="1" t="s">
        <v>27</v>
      </c>
      <c r="D61" s="2" t="s">
        <v>76</v>
      </c>
      <c r="E61" s="2" t="s">
        <v>37</v>
      </c>
      <c r="F61" s="1" t="s">
        <v>18</v>
      </c>
      <c r="G61" s="1" t="s">
        <v>36</v>
      </c>
      <c r="H61" s="1" t="s">
        <v>20</v>
      </c>
      <c r="I61" s="2" t="s">
        <v>17</v>
      </c>
      <c r="J61" s="1" t="s">
        <v>38</v>
      </c>
      <c r="K61" s="1" t="s">
        <v>44</v>
      </c>
      <c r="L61" s="2" t="s">
        <v>79</v>
      </c>
      <c r="M61" s="1" t="s">
        <v>20</v>
      </c>
    </row>
    <row r="62" ht="15.75" customHeight="1">
      <c r="A62" s="2" t="s">
        <v>148</v>
      </c>
      <c r="B62" s="1" t="s">
        <v>41</v>
      </c>
      <c r="C62" s="1" t="s">
        <v>15</v>
      </c>
      <c r="D62" s="2" t="s">
        <v>49</v>
      </c>
      <c r="E62" s="2" t="s">
        <v>17</v>
      </c>
      <c r="F62" s="1" t="s">
        <v>55</v>
      </c>
      <c r="G62" s="1" t="s">
        <v>50</v>
      </c>
      <c r="H62" s="1" t="s">
        <v>25</v>
      </c>
      <c r="I62" s="2" t="s">
        <v>17</v>
      </c>
      <c r="J62" s="1" t="s">
        <v>51</v>
      </c>
      <c r="K62" s="1" t="s">
        <v>23</v>
      </c>
      <c r="L62" s="2" t="s">
        <v>77</v>
      </c>
      <c r="M62" s="1" t="s">
        <v>25</v>
      </c>
    </row>
    <row r="63" ht="15.75" customHeight="1">
      <c r="A63" s="2" t="s">
        <v>149</v>
      </c>
      <c r="B63" s="1" t="s">
        <v>41</v>
      </c>
      <c r="C63" s="1" t="s">
        <v>15</v>
      </c>
      <c r="D63" s="2" t="s">
        <v>49</v>
      </c>
      <c r="E63" s="2" t="s">
        <v>37</v>
      </c>
      <c r="F63" s="1" t="s">
        <v>55</v>
      </c>
      <c r="G63" s="1" t="s">
        <v>50</v>
      </c>
      <c r="H63" s="1" t="s">
        <v>20</v>
      </c>
      <c r="I63" s="2" t="s">
        <v>21</v>
      </c>
      <c r="J63" s="1" t="s">
        <v>22</v>
      </c>
      <c r="K63" s="1" t="s">
        <v>23</v>
      </c>
      <c r="L63" s="2" t="s">
        <v>74</v>
      </c>
      <c r="M63" s="1" t="s">
        <v>25</v>
      </c>
    </row>
    <row r="64" ht="15.75" customHeight="1">
      <c r="A64" s="2" t="s">
        <v>150</v>
      </c>
      <c r="B64" s="1" t="s">
        <v>14</v>
      </c>
      <c r="C64" s="1" t="s">
        <v>27</v>
      </c>
      <c r="D64" s="2" t="s">
        <v>16</v>
      </c>
      <c r="E64" s="2" t="s">
        <v>37</v>
      </c>
      <c r="F64" s="1" t="s">
        <v>18</v>
      </c>
      <c r="G64" s="1" t="s">
        <v>56</v>
      </c>
      <c r="H64" s="1" t="s">
        <v>20</v>
      </c>
      <c r="I64" s="2" t="s">
        <v>17</v>
      </c>
      <c r="J64" s="1" t="s">
        <v>22</v>
      </c>
      <c r="K64" s="1" t="s">
        <v>44</v>
      </c>
      <c r="L64" s="2" t="s">
        <v>132</v>
      </c>
      <c r="M64" s="1" t="s">
        <v>20</v>
      </c>
    </row>
    <row r="65" ht="15.75" customHeight="1">
      <c r="A65" s="2" t="s">
        <v>151</v>
      </c>
      <c r="B65" s="1" t="s">
        <v>41</v>
      </c>
      <c r="C65" s="1" t="s">
        <v>27</v>
      </c>
      <c r="D65" s="2" t="s">
        <v>76</v>
      </c>
      <c r="E65" s="2" t="s">
        <v>57</v>
      </c>
      <c r="F65" s="1" t="s">
        <v>18</v>
      </c>
      <c r="G65" s="1" t="s">
        <v>36</v>
      </c>
      <c r="H65" s="1" t="s">
        <v>20</v>
      </c>
      <c r="I65" s="2" t="s">
        <v>29</v>
      </c>
      <c r="J65" s="1" t="s">
        <v>69</v>
      </c>
      <c r="K65" s="1" t="s">
        <v>44</v>
      </c>
      <c r="L65" s="2" t="s">
        <v>45</v>
      </c>
      <c r="M65" s="1" t="s">
        <v>25</v>
      </c>
    </row>
    <row r="66" ht="15.75" customHeight="1">
      <c r="A66" s="2" t="s">
        <v>152</v>
      </c>
      <c r="B66" s="1" t="s">
        <v>14</v>
      </c>
      <c r="C66" s="1" t="s">
        <v>15</v>
      </c>
      <c r="D66" s="2" t="s">
        <v>28</v>
      </c>
      <c r="E66" s="2" t="s">
        <v>17</v>
      </c>
      <c r="F66" s="1" t="s">
        <v>18</v>
      </c>
      <c r="G66" s="1" t="s">
        <v>31</v>
      </c>
      <c r="H66" s="1" t="s">
        <v>20</v>
      </c>
      <c r="I66" s="2" t="s">
        <v>21</v>
      </c>
      <c r="J66" s="1" t="s">
        <v>22</v>
      </c>
      <c r="K66" s="1" t="s">
        <v>23</v>
      </c>
      <c r="L66" s="2" t="s">
        <v>153</v>
      </c>
      <c r="M66" s="1" t="s">
        <v>20</v>
      </c>
    </row>
    <row r="67" ht="15.75" customHeight="1">
      <c r="A67" s="2" t="s">
        <v>154</v>
      </c>
      <c r="B67" s="1" t="s">
        <v>41</v>
      </c>
      <c r="C67" s="1" t="s">
        <v>27</v>
      </c>
      <c r="D67" s="2" t="s">
        <v>28</v>
      </c>
      <c r="E67" s="2" t="s">
        <v>37</v>
      </c>
      <c r="F67" s="1" t="s">
        <v>30</v>
      </c>
      <c r="G67" s="1" t="s">
        <v>31</v>
      </c>
      <c r="H67" s="1" t="s">
        <v>20</v>
      </c>
      <c r="I67" s="2" t="s">
        <v>37</v>
      </c>
      <c r="J67" s="1" t="s">
        <v>43</v>
      </c>
      <c r="K67" s="1" t="s">
        <v>44</v>
      </c>
      <c r="L67" s="2" t="s">
        <v>155</v>
      </c>
      <c r="M67" s="1" t="s">
        <v>25</v>
      </c>
    </row>
    <row r="68" ht="15.75" customHeight="1">
      <c r="A68" s="2" t="s">
        <v>156</v>
      </c>
      <c r="B68" s="1" t="s">
        <v>14</v>
      </c>
      <c r="C68" s="1" t="s">
        <v>15</v>
      </c>
      <c r="D68" s="2" t="s">
        <v>16</v>
      </c>
      <c r="E68" s="2" t="s">
        <v>21</v>
      </c>
      <c r="F68" s="1" t="s">
        <v>87</v>
      </c>
      <c r="G68" s="1" t="s">
        <v>31</v>
      </c>
      <c r="H68" s="1" t="s">
        <v>20</v>
      </c>
      <c r="I68" s="2" t="s">
        <v>21</v>
      </c>
      <c r="J68" s="1" t="s">
        <v>22</v>
      </c>
      <c r="K68" s="1" t="s">
        <v>23</v>
      </c>
      <c r="L68" s="2" t="s">
        <v>153</v>
      </c>
      <c r="M68" s="1" t="s">
        <v>20</v>
      </c>
    </row>
    <row r="69" ht="15.75" customHeight="1">
      <c r="A69" s="2" t="s">
        <v>157</v>
      </c>
      <c r="B69" s="1" t="s">
        <v>41</v>
      </c>
      <c r="C69" s="1" t="s">
        <v>27</v>
      </c>
      <c r="D69" s="2" t="s">
        <v>28</v>
      </c>
      <c r="E69" s="2" t="s">
        <v>21</v>
      </c>
      <c r="F69" s="1" t="s">
        <v>55</v>
      </c>
      <c r="G69" s="1" t="s">
        <v>50</v>
      </c>
      <c r="H69" s="1" t="s">
        <v>20</v>
      </c>
      <c r="I69" s="2" t="s">
        <v>17</v>
      </c>
      <c r="J69" s="1" t="s">
        <v>38</v>
      </c>
      <c r="K69" s="1" t="s">
        <v>23</v>
      </c>
      <c r="L69" s="2" t="s">
        <v>58</v>
      </c>
      <c r="M69" s="1" t="s">
        <v>20</v>
      </c>
    </row>
    <row r="70" ht="15.75" customHeight="1">
      <c r="A70" s="2" t="s">
        <v>158</v>
      </c>
      <c r="B70" s="1" t="s">
        <v>41</v>
      </c>
      <c r="C70" s="1" t="s">
        <v>15</v>
      </c>
      <c r="D70" s="2" t="s">
        <v>61</v>
      </c>
      <c r="E70" s="2" t="s">
        <v>57</v>
      </c>
      <c r="F70" s="1" t="s">
        <v>55</v>
      </c>
      <c r="G70" s="1" t="s">
        <v>50</v>
      </c>
      <c r="H70" s="1" t="s">
        <v>20</v>
      </c>
      <c r="I70" s="2" t="s">
        <v>17</v>
      </c>
      <c r="J70" s="1" t="s">
        <v>22</v>
      </c>
      <c r="K70" s="1" t="s">
        <v>23</v>
      </c>
      <c r="L70" s="2" t="s">
        <v>32</v>
      </c>
      <c r="M70" s="1" t="s">
        <v>20</v>
      </c>
    </row>
    <row r="71" ht="15.75" customHeight="1">
      <c r="A71" s="2" t="s">
        <v>159</v>
      </c>
      <c r="B71" s="1" t="s">
        <v>14</v>
      </c>
      <c r="C71" s="1" t="s">
        <v>15</v>
      </c>
      <c r="D71" s="2" t="s">
        <v>49</v>
      </c>
      <c r="E71" s="2" t="s">
        <v>21</v>
      </c>
      <c r="F71" s="1" t="s">
        <v>62</v>
      </c>
      <c r="G71" s="1" t="s">
        <v>50</v>
      </c>
      <c r="H71" s="1" t="s">
        <v>25</v>
      </c>
      <c r="I71" s="2" t="s">
        <v>37</v>
      </c>
      <c r="J71" s="1" t="s">
        <v>22</v>
      </c>
      <c r="K71" s="1" t="s">
        <v>23</v>
      </c>
      <c r="L71" s="2" t="s">
        <v>116</v>
      </c>
      <c r="M71" s="1" t="s">
        <v>25</v>
      </c>
    </row>
    <row r="72" ht="15.75" customHeight="1">
      <c r="A72" s="2" t="s">
        <v>160</v>
      </c>
      <c r="B72" s="1" t="s">
        <v>14</v>
      </c>
      <c r="C72" s="1" t="s">
        <v>27</v>
      </c>
      <c r="D72" s="2" t="s">
        <v>161</v>
      </c>
      <c r="E72" s="2" t="s">
        <v>21</v>
      </c>
      <c r="F72" s="1" t="s">
        <v>62</v>
      </c>
      <c r="G72" s="1" t="s">
        <v>36</v>
      </c>
      <c r="H72" s="1" t="s">
        <v>20</v>
      </c>
      <c r="I72" s="2" t="s">
        <v>57</v>
      </c>
      <c r="J72" s="1" t="s">
        <v>69</v>
      </c>
      <c r="K72" s="1" t="s">
        <v>44</v>
      </c>
      <c r="L72" s="2" t="s">
        <v>47</v>
      </c>
      <c r="M72" s="1" t="s">
        <v>20</v>
      </c>
    </row>
    <row r="73" ht="15.75" customHeight="1">
      <c r="A73" s="2" t="s">
        <v>162</v>
      </c>
      <c r="B73" s="1" t="s">
        <v>41</v>
      </c>
      <c r="C73" s="1" t="s">
        <v>15</v>
      </c>
      <c r="D73" s="2" t="s">
        <v>49</v>
      </c>
      <c r="E73" s="2" t="s">
        <v>21</v>
      </c>
      <c r="F73" s="1" t="s">
        <v>62</v>
      </c>
      <c r="G73" s="1" t="s">
        <v>50</v>
      </c>
      <c r="H73" s="1" t="s">
        <v>25</v>
      </c>
      <c r="I73" s="2" t="s">
        <v>37</v>
      </c>
      <c r="J73" s="1" t="s">
        <v>22</v>
      </c>
      <c r="K73" s="1" t="s">
        <v>23</v>
      </c>
      <c r="L73" s="2" t="s">
        <v>74</v>
      </c>
      <c r="M73" s="1" t="s">
        <v>25</v>
      </c>
    </row>
    <row r="74" ht="15.75" customHeight="1">
      <c r="A74" s="2" t="s">
        <v>163</v>
      </c>
      <c r="B74" s="1" t="s">
        <v>14</v>
      </c>
      <c r="C74" s="1" t="s">
        <v>15</v>
      </c>
      <c r="D74" s="2" t="s">
        <v>144</v>
      </c>
      <c r="E74" s="2" t="s">
        <v>29</v>
      </c>
      <c r="F74" s="1" t="s">
        <v>55</v>
      </c>
      <c r="G74" s="1" t="s">
        <v>36</v>
      </c>
      <c r="H74" s="1" t="s">
        <v>20</v>
      </c>
      <c r="I74" s="2" t="s">
        <v>57</v>
      </c>
      <c r="J74" s="1" t="s">
        <v>22</v>
      </c>
      <c r="K74" s="1" t="s">
        <v>23</v>
      </c>
      <c r="L74" s="2" t="s">
        <v>132</v>
      </c>
      <c r="M74" s="1" t="s">
        <v>25</v>
      </c>
    </row>
    <row r="75" ht="15.75" customHeight="1">
      <c r="A75" s="2" t="s">
        <v>164</v>
      </c>
      <c r="B75" s="1" t="s">
        <v>41</v>
      </c>
      <c r="C75" s="1" t="s">
        <v>15</v>
      </c>
      <c r="D75" s="2" t="s">
        <v>61</v>
      </c>
      <c r="E75" s="2" t="s">
        <v>21</v>
      </c>
      <c r="F75" s="1" t="s">
        <v>30</v>
      </c>
      <c r="G75" s="1" t="s">
        <v>50</v>
      </c>
      <c r="H75" s="1" t="s">
        <v>25</v>
      </c>
      <c r="I75" s="2" t="s">
        <v>17</v>
      </c>
      <c r="J75" s="1" t="s">
        <v>38</v>
      </c>
      <c r="K75" s="1" t="s">
        <v>23</v>
      </c>
      <c r="L75" s="2" t="s">
        <v>47</v>
      </c>
      <c r="M75" s="1" t="s">
        <v>20</v>
      </c>
    </row>
    <row r="76" ht="15.75" customHeight="1">
      <c r="A76" s="2" t="s">
        <v>165</v>
      </c>
      <c r="B76" s="1" t="s">
        <v>14</v>
      </c>
      <c r="C76" s="1" t="s">
        <v>15</v>
      </c>
      <c r="D76" s="2" t="s">
        <v>61</v>
      </c>
      <c r="E76" s="2" t="s">
        <v>29</v>
      </c>
      <c r="F76" s="1" t="s">
        <v>55</v>
      </c>
      <c r="G76" s="1" t="s">
        <v>19</v>
      </c>
      <c r="H76" s="1" t="s">
        <v>25</v>
      </c>
      <c r="I76" s="2" t="s">
        <v>37</v>
      </c>
      <c r="J76" s="1" t="s">
        <v>51</v>
      </c>
      <c r="K76" s="1" t="s">
        <v>44</v>
      </c>
      <c r="L76" s="2" t="s">
        <v>112</v>
      </c>
      <c r="M76" s="1" t="s">
        <v>25</v>
      </c>
    </row>
    <row r="77" ht="15.75" customHeight="1">
      <c r="A77" s="2" t="s">
        <v>166</v>
      </c>
      <c r="B77" s="1" t="s">
        <v>41</v>
      </c>
      <c r="C77" s="1" t="s">
        <v>15</v>
      </c>
      <c r="D77" s="2" t="s">
        <v>144</v>
      </c>
      <c r="E77" s="2" t="s">
        <v>57</v>
      </c>
      <c r="F77" s="1" t="s">
        <v>55</v>
      </c>
      <c r="G77" s="1" t="s">
        <v>56</v>
      </c>
      <c r="H77" s="1" t="s">
        <v>20</v>
      </c>
      <c r="I77" s="2" t="s">
        <v>57</v>
      </c>
      <c r="J77" s="1" t="s">
        <v>22</v>
      </c>
      <c r="K77" s="1" t="s">
        <v>44</v>
      </c>
      <c r="L77" s="2" t="s">
        <v>109</v>
      </c>
      <c r="M77" s="1" t="s">
        <v>25</v>
      </c>
    </row>
    <row r="78" ht="15.75" customHeight="1">
      <c r="A78" s="2" t="s">
        <v>167</v>
      </c>
      <c r="B78" s="1" t="s">
        <v>41</v>
      </c>
      <c r="C78" s="1" t="s">
        <v>15</v>
      </c>
      <c r="D78" s="2" t="s">
        <v>61</v>
      </c>
      <c r="E78" s="2" t="s">
        <v>21</v>
      </c>
      <c r="F78" s="1" t="s">
        <v>62</v>
      </c>
      <c r="G78" s="1" t="s">
        <v>50</v>
      </c>
      <c r="H78" s="1" t="s">
        <v>25</v>
      </c>
      <c r="I78" s="2" t="s">
        <v>37</v>
      </c>
      <c r="J78" s="1" t="s">
        <v>51</v>
      </c>
      <c r="K78" s="1" t="s">
        <v>23</v>
      </c>
      <c r="L78" s="2" t="s">
        <v>107</v>
      </c>
      <c r="M78" s="1" t="s">
        <v>25</v>
      </c>
    </row>
    <row r="79" ht="15.75" customHeight="1">
      <c r="A79" s="2" t="s">
        <v>168</v>
      </c>
      <c r="B79" s="1" t="s">
        <v>14</v>
      </c>
      <c r="C79" s="1" t="s">
        <v>27</v>
      </c>
      <c r="D79" s="2" t="s">
        <v>34</v>
      </c>
      <c r="E79" s="2" t="s">
        <v>21</v>
      </c>
      <c r="F79" s="1" t="s">
        <v>18</v>
      </c>
      <c r="G79" s="1" t="s">
        <v>36</v>
      </c>
      <c r="H79" s="1" t="s">
        <v>20</v>
      </c>
      <c r="I79" s="2" t="s">
        <v>37</v>
      </c>
      <c r="J79" s="1" t="s">
        <v>69</v>
      </c>
      <c r="K79" s="1" t="s">
        <v>44</v>
      </c>
      <c r="L79" s="2" t="s">
        <v>97</v>
      </c>
      <c r="M79" s="1" t="s">
        <v>20</v>
      </c>
    </row>
    <row r="80" ht="15.75" customHeight="1">
      <c r="A80" s="2" t="s">
        <v>169</v>
      </c>
      <c r="B80" s="1" t="s">
        <v>14</v>
      </c>
      <c r="C80" s="1" t="s">
        <v>27</v>
      </c>
      <c r="D80" s="2" t="s">
        <v>34</v>
      </c>
      <c r="E80" s="2" t="s">
        <v>37</v>
      </c>
      <c r="F80" s="1" t="s">
        <v>55</v>
      </c>
      <c r="G80" s="1" t="s">
        <v>19</v>
      </c>
      <c r="H80" s="1" t="s">
        <v>25</v>
      </c>
      <c r="I80" s="2" t="s">
        <v>37</v>
      </c>
      <c r="J80" s="1" t="s">
        <v>51</v>
      </c>
      <c r="K80" s="1" t="s">
        <v>44</v>
      </c>
      <c r="L80" s="2" t="s">
        <v>52</v>
      </c>
      <c r="M80" s="1" t="s">
        <v>20</v>
      </c>
    </row>
    <row r="81" ht="15.75" customHeight="1">
      <c r="A81" s="2" t="s">
        <v>170</v>
      </c>
      <c r="B81" s="1" t="s">
        <v>41</v>
      </c>
      <c r="C81" s="1" t="s">
        <v>27</v>
      </c>
      <c r="D81" s="2" t="s">
        <v>16</v>
      </c>
      <c r="E81" s="2" t="s">
        <v>37</v>
      </c>
      <c r="F81" s="1" t="s">
        <v>18</v>
      </c>
      <c r="G81" s="1" t="s">
        <v>56</v>
      </c>
      <c r="H81" s="1" t="s">
        <v>20</v>
      </c>
      <c r="I81" s="2" t="s">
        <v>37</v>
      </c>
      <c r="J81" s="1" t="s">
        <v>43</v>
      </c>
      <c r="K81" s="1" t="s">
        <v>44</v>
      </c>
      <c r="L81" s="2" t="s">
        <v>95</v>
      </c>
      <c r="M81" s="1" t="s">
        <v>20</v>
      </c>
    </row>
    <row r="82" ht="15.75" customHeight="1">
      <c r="A82" s="2" t="s">
        <v>171</v>
      </c>
      <c r="B82" s="1" t="s">
        <v>14</v>
      </c>
      <c r="C82" s="1" t="s">
        <v>15</v>
      </c>
      <c r="D82" s="2" t="s">
        <v>28</v>
      </c>
      <c r="E82" s="2" t="s">
        <v>57</v>
      </c>
      <c r="F82" s="1" t="s">
        <v>87</v>
      </c>
      <c r="G82" s="1" t="s">
        <v>31</v>
      </c>
      <c r="H82" s="1" t="s">
        <v>20</v>
      </c>
      <c r="I82" s="2" t="s">
        <v>21</v>
      </c>
      <c r="J82" s="1" t="s">
        <v>22</v>
      </c>
      <c r="K82" s="1" t="s">
        <v>23</v>
      </c>
      <c r="L82" s="2" t="s">
        <v>77</v>
      </c>
      <c r="M82" s="1" t="s">
        <v>20</v>
      </c>
    </row>
    <row r="83" ht="15.75" customHeight="1">
      <c r="A83" s="2" t="s">
        <v>172</v>
      </c>
      <c r="B83" s="1" t="s">
        <v>41</v>
      </c>
      <c r="C83" s="1" t="s">
        <v>15</v>
      </c>
      <c r="D83" s="2" t="s">
        <v>49</v>
      </c>
      <c r="E83" s="2" t="s">
        <v>57</v>
      </c>
      <c r="F83" s="1" t="s">
        <v>62</v>
      </c>
      <c r="G83" s="1" t="s">
        <v>50</v>
      </c>
      <c r="H83" s="1" t="s">
        <v>20</v>
      </c>
      <c r="I83" s="2" t="s">
        <v>37</v>
      </c>
      <c r="J83" s="1" t="s">
        <v>22</v>
      </c>
      <c r="K83" s="1" t="s">
        <v>23</v>
      </c>
      <c r="L83" s="2" t="s">
        <v>100</v>
      </c>
      <c r="M83" s="1" t="s">
        <v>25</v>
      </c>
    </row>
    <row r="84" ht="15.75" customHeight="1">
      <c r="A84" s="2" t="s">
        <v>173</v>
      </c>
      <c r="B84" s="1" t="s">
        <v>14</v>
      </c>
      <c r="C84" s="1" t="s">
        <v>27</v>
      </c>
      <c r="D84" s="2" t="s">
        <v>28</v>
      </c>
      <c r="E84" s="2" t="s">
        <v>21</v>
      </c>
      <c r="F84" s="1" t="s">
        <v>18</v>
      </c>
      <c r="G84" s="1" t="s">
        <v>31</v>
      </c>
      <c r="H84" s="1" t="s">
        <v>20</v>
      </c>
      <c r="I84" s="2" t="s">
        <v>21</v>
      </c>
      <c r="J84" s="1" t="s">
        <v>22</v>
      </c>
      <c r="K84" s="1" t="s">
        <v>23</v>
      </c>
      <c r="L84" s="2" t="s">
        <v>83</v>
      </c>
      <c r="M84" s="1" t="s">
        <v>20</v>
      </c>
    </row>
    <row r="85" ht="15.75" customHeight="1">
      <c r="A85" s="2" t="s">
        <v>174</v>
      </c>
      <c r="B85" s="1" t="s">
        <v>41</v>
      </c>
      <c r="C85" s="1" t="s">
        <v>27</v>
      </c>
      <c r="D85" s="2" t="s">
        <v>61</v>
      </c>
      <c r="E85" s="2" t="s">
        <v>21</v>
      </c>
      <c r="F85" s="1" t="s">
        <v>55</v>
      </c>
      <c r="G85" s="1" t="s">
        <v>50</v>
      </c>
      <c r="H85" s="1" t="s">
        <v>25</v>
      </c>
      <c r="I85" s="2" t="s">
        <v>17</v>
      </c>
      <c r="J85" s="1" t="s">
        <v>38</v>
      </c>
      <c r="K85" s="1" t="s">
        <v>23</v>
      </c>
      <c r="L85" s="2" t="s">
        <v>97</v>
      </c>
      <c r="M85" s="1" t="s">
        <v>25</v>
      </c>
    </row>
    <row r="86" ht="15.75" customHeight="1">
      <c r="A86" s="2" t="s">
        <v>175</v>
      </c>
      <c r="B86" s="1" t="s">
        <v>41</v>
      </c>
      <c r="C86" s="1" t="s">
        <v>27</v>
      </c>
      <c r="D86" s="2" t="s">
        <v>16</v>
      </c>
      <c r="E86" s="2" t="s">
        <v>37</v>
      </c>
      <c r="F86" s="1" t="s">
        <v>18</v>
      </c>
      <c r="G86" s="1" t="s">
        <v>56</v>
      </c>
      <c r="H86" s="1" t="s">
        <v>25</v>
      </c>
      <c r="I86" s="2" t="s">
        <v>17</v>
      </c>
      <c r="J86" s="1" t="s">
        <v>43</v>
      </c>
      <c r="K86" s="1" t="s">
        <v>44</v>
      </c>
      <c r="L86" s="2" t="s">
        <v>132</v>
      </c>
      <c r="M86" s="1" t="s">
        <v>20</v>
      </c>
    </row>
    <row r="87" ht="15.75" customHeight="1">
      <c r="A87" s="2" t="s">
        <v>176</v>
      </c>
      <c r="B87" s="1" t="s">
        <v>41</v>
      </c>
      <c r="C87" s="1" t="s">
        <v>27</v>
      </c>
      <c r="D87" s="2" t="s">
        <v>49</v>
      </c>
      <c r="E87" s="2" t="s">
        <v>21</v>
      </c>
      <c r="F87" s="1" t="s">
        <v>30</v>
      </c>
      <c r="G87" s="1" t="s">
        <v>50</v>
      </c>
      <c r="H87" s="1" t="s">
        <v>20</v>
      </c>
      <c r="I87" s="2" t="s">
        <v>17</v>
      </c>
      <c r="J87" s="1" t="s">
        <v>51</v>
      </c>
      <c r="K87" s="1" t="s">
        <v>44</v>
      </c>
      <c r="L87" s="2" t="s">
        <v>107</v>
      </c>
      <c r="M87" s="1" t="s">
        <v>20</v>
      </c>
    </row>
    <row r="88" ht="15.75" customHeight="1">
      <c r="A88" s="2" t="s">
        <v>177</v>
      </c>
      <c r="B88" s="1" t="s">
        <v>41</v>
      </c>
      <c r="C88" s="1" t="s">
        <v>27</v>
      </c>
      <c r="D88" s="2" t="s">
        <v>144</v>
      </c>
      <c r="E88" s="2" t="s">
        <v>29</v>
      </c>
      <c r="F88" s="1" t="s">
        <v>30</v>
      </c>
      <c r="G88" s="1" t="s">
        <v>36</v>
      </c>
      <c r="H88" s="1" t="s">
        <v>25</v>
      </c>
      <c r="I88" s="2" t="s">
        <v>29</v>
      </c>
      <c r="J88" s="1" t="s">
        <v>22</v>
      </c>
      <c r="K88" s="1" t="s">
        <v>23</v>
      </c>
      <c r="L88" s="2" t="s">
        <v>178</v>
      </c>
      <c r="M88" s="1" t="s">
        <v>20</v>
      </c>
    </row>
    <row r="89" ht="15.75" customHeight="1">
      <c r="A89" s="2" t="s">
        <v>179</v>
      </c>
      <c r="B89" s="1" t="s">
        <v>14</v>
      </c>
      <c r="C89" s="1" t="s">
        <v>27</v>
      </c>
      <c r="D89" s="2" t="s">
        <v>34</v>
      </c>
      <c r="E89" s="2" t="s">
        <v>35</v>
      </c>
      <c r="F89" s="1" t="s">
        <v>18</v>
      </c>
      <c r="G89" s="1" t="s">
        <v>36</v>
      </c>
      <c r="H89" s="1" t="s">
        <v>20</v>
      </c>
      <c r="I89" s="2" t="s">
        <v>57</v>
      </c>
      <c r="J89" s="1" t="s">
        <v>51</v>
      </c>
      <c r="K89" s="1" t="s">
        <v>44</v>
      </c>
      <c r="L89" s="2" t="s">
        <v>100</v>
      </c>
      <c r="M89" s="1" t="s">
        <v>25</v>
      </c>
    </row>
    <row r="90" ht="15.75" customHeight="1">
      <c r="A90" s="2" t="s">
        <v>180</v>
      </c>
      <c r="B90" s="1" t="s">
        <v>41</v>
      </c>
      <c r="C90" s="1" t="s">
        <v>27</v>
      </c>
      <c r="D90" s="2" t="s">
        <v>28</v>
      </c>
      <c r="E90" s="2" t="s">
        <v>21</v>
      </c>
      <c r="F90" s="1" t="s">
        <v>30</v>
      </c>
      <c r="G90" s="1" t="s">
        <v>31</v>
      </c>
      <c r="H90" s="1" t="s">
        <v>25</v>
      </c>
      <c r="I90" s="2" t="s">
        <v>17</v>
      </c>
      <c r="J90" s="1" t="s">
        <v>38</v>
      </c>
      <c r="K90" s="1" t="s">
        <v>23</v>
      </c>
      <c r="L90" s="2" t="s">
        <v>97</v>
      </c>
      <c r="M90" s="1" t="s">
        <v>25</v>
      </c>
    </row>
    <row r="91" ht="15.75" customHeight="1">
      <c r="A91" s="2" t="s">
        <v>181</v>
      </c>
      <c r="B91" s="1" t="s">
        <v>14</v>
      </c>
      <c r="C91" s="1" t="s">
        <v>27</v>
      </c>
      <c r="D91" s="2" t="s">
        <v>61</v>
      </c>
      <c r="E91" s="2" t="s">
        <v>17</v>
      </c>
      <c r="F91" s="1" t="s">
        <v>55</v>
      </c>
      <c r="G91" s="1" t="s">
        <v>50</v>
      </c>
      <c r="H91" s="1" t="s">
        <v>25</v>
      </c>
      <c r="I91" s="2" t="s">
        <v>17</v>
      </c>
      <c r="J91" s="1" t="s">
        <v>51</v>
      </c>
      <c r="K91" s="1" t="s">
        <v>23</v>
      </c>
      <c r="L91" s="2" t="s">
        <v>100</v>
      </c>
      <c r="M91" s="1" t="s">
        <v>20</v>
      </c>
    </row>
    <row r="92" ht="15.75" customHeight="1">
      <c r="A92" s="2" t="s">
        <v>182</v>
      </c>
      <c r="B92" s="1" t="s">
        <v>41</v>
      </c>
      <c r="C92" s="1" t="s">
        <v>15</v>
      </c>
      <c r="D92" s="2" t="s">
        <v>28</v>
      </c>
      <c r="E92" s="2" t="s">
        <v>21</v>
      </c>
      <c r="F92" s="1" t="s">
        <v>30</v>
      </c>
      <c r="G92" s="1" t="s">
        <v>31</v>
      </c>
      <c r="H92" s="1" t="s">
        <v>25</v>
      </c>
      <c r="I92" s="2" t="s">
        <v>17</v>
      </c>
      <c r="J92" s="1" t="s">
        <v>22</v>
      </c>
      <c r="K92" s="1" t="s">
        <v>23</v>
      </c>
      <c r="L92" s="2" t="s">
        <v>97</v>
      </c>
      <c r="M92" s="1" t="s">
        <v>20</v>
      </c>
    </row>
    <row r="93" ht="15.75" customHeight="1">
      <c r="A93" s="2" t="s">
        <v>183</v>
      </c>
      <c r="B93" s="1" t="s">
        <v>41</v>
      </c>
      <c r="C93" s="1" t="s">
        <v>27</v>
      </c>
      <c r="D93" s="2" t="s">
        <v>28</v>
      </c>
      <c r="E93" s="2" t="s">
        <v>21</v>
      </c>
      <c r="F93" s="1" t="s">
        <v>30</v>
      </c>
      <c r="G93" s="1" t="s">
        <v>31</v>
      </c>
      <c r="H93" s="1" t="s">
        <v>25</v>
      </c>
      <c r="I93" s="2" t="s">
        <v>17</v>
      </c>
      <c r="J93" s="1" t="s">
        <v>22</v>
      </c>
      <c r="K93" s="1" t="s">
        <v>23</v>
      </c>
      <c r="L93" s="2" t="s">
        <v>116</v>
      </c>
      <c r="M93" s="1" t="s">
        <v>20</v>
      </c>
    </row>
    <row r="94" ht="15.75" customHeight="1">
      <c r="A94" s="2" t="s">
        <v>184</v>
      </c>
      <c r="B94" s="1" t="s">
        <v>41</v>
      </c>
      <c r="C94" s="1" t="s">
        <v>15</v>
      </c>
      <c r="D94" s="2" t="s">
        <v>76</v>
      </c>
      <c r="E94" s="2" t="s">
        <v>37</v>
      </c>
      <c r="F94" s="1" t="s">
        <v>18</v>
      </c>
      <c r="G94" s="1" t="s">
        <v>36</v>
      </c>
      <c r="H94" s="1" t="s">
        <v>20</v>
      </c>
      <c r="I94" s="2" t="s">
        <v>17</v>
      </c>
      <c r="J94" s="1" t="s">
        <v>38</v>
      </c>
      <c r="K94" s="1" t="s">
        <v>44</v>
      </c>
      <c r="L94" s="2" t="s">
        <v>153</v>
      </c>
      <c r="M94" s="1" t="s">
        <v>20</v>
      </c>
    </row>
    <row r="95" ht="15.75" customHeight="1">
      <c r="A95" s="2" t="s">
        <v>185</v>
      </c>
      <c r="B95" s="1" t="s">
        <v>41</v>
      </c>
      <c r="C95" s="1" t="s">
        <v>15</v>
      </c>
      <c r="D95" s="2" t="s">
        <v>28</v>
      </c>
      <c r="E95" s="2" t="s">
        <v>21</v>
      </c>
      <c r="F95" s="1" t="s">
        <v>30</v>
      </c>
      <c r="G95" s="1" t="s">
        <v>31</v>
      </c>
      <c r="H95" s="1" t="s">
        <v>25</v>
      </c>
      <c r="I95" s="2" t="s">
        <v>17</v>
      </c>
      <c r="J95" s="1" t="s">
        <v>38</v>
      </c>
      <c r="K95" s="1" t="s">
        <v>23</v>
      </c>
      <c r="L95" s="2" t="s">
        <v>58</v>
      </c>
      <c r="M95" s="1" t="s">
        <v>25</v>
      </c>
    </row>
    <row r="96" ht="15.75" customHeight="1">
      <c r="A96" s="2" t="s">
        <v>186</v>
      </c>
      <c r="B96" s="1" t="s">
        <v>41</v>
      </c>
      <c r="C96" s="1" t="s">
        <v>15</v>
      </c>
      <c r="D96" s="2" t="s">
        <v>28</v>
      </c>
      <c r="E96" s="2" t="s">
        <v>29</v>
      </c>
      <c r="F96" s="1" t="s">
        <v>55</v>
      </c>
      <c r="G96" s="1" t="s">
        <v>19</v>
      </c>
      <c r="H96" s="1" t="s">
        <v>20</v>
      </c>
      <c r="I96" s="2" t="s">
        <v>37</v>
      </c>
      <c r="J96" s="1" t="s">
        <v>43</v>
      </c>
      <c r="K96" s="1" t="s">
        <v>44</v>
      </c>
      <c r="L96" s="2" t="s">
        <v>72</v>
      </c>
      <c r="M96" s="1" t="s">
        <v>25</v>
      </c>
    </row>
    <row r="97" ht="15.75" customHeight="1">
      <c r="A97" s="2" t="s">
        <v>187</v>
      </c>
      <c r="B97" s="1" t="s">
        <v>41</v>
      </c>
      <c r="C97" s="1" t="s">
        <v>15</v>
      </c>
      <c r="D97" s="2" t="s">
        <v>68</v>
      </c>
      <c r="E97" s="2" t="s">
        <v>35</v>
      </c>
      <c r="F97" s="1" t="s">
        <v>30</v>
      </c>
      <c r="G97" s="1" t="s">
        <v>36</v>
      </c>
      <c r="H97" s="1" t="s">
        <v>20</v>
      </c>
      <c r="I97" s="2" t="s">
        <v>37</v>
      </c>
      <c r="J97" s="1" t="s">
        <v>69</v>
      </c>
      <c r="K97" s="1" t="s">
        <v>23</v>
      </c>
      <c r="L97" s="2" t="s">
        <v>112</v>
      </c>
      <c r="M97" s="1" t="s">
        <v>25</v>
      </c>
    </row>
    <row r="98" ht="15.75" customHeight="1">
      <c r="A98" s="2" t="s">
        <v>188</v>
      </c>
      <c r="B98" s="1" t="s">
        <v>14</v>
      </c>
      <c r="C98" s="1" t="s">
        <v>27</v>
      </c>
      <c r="D98" s="2" t="s">
        <v>28</v>
      </c>
      <c r="E98" s="2" t="s">
        <v>17</v>
      </c>
      <c r="F98" s="1" t="s">
        <v>30</v>
      </c>
      <c r="G98" s="1" t="s">
        <v>31</v>
      </c>
      <c r="H98" s="1" t="s">
        <v>20</v>
      </c>
      <c r="I98" s="2" t="s">
        <v>17</v>
      </c>
      <c r="J98" s="1" t="s">
        <v>22</v>
      </c>
      <c r="K98" s="1" t="s">
        <v>23</v>
      </c>
      <c r="L98" s="2" t="s">
        <v>32</v>
      </c>
      <c r="M98" s="1" t="s">
        <v>25</v>
      </c>
    </row>
    <row r="99" ht="15.75" customHeight="1">
      <c r="A99" s="2" t="s">
        <v>189</v>
      </c>
      <c r="B99" s="1" t="s">
        <v>14</v>
      </c>
      <c r="C99" s="1" t="s">
        <v>27</v>
      </c>
      <c r="D99" s="2" t="s">
        <v>16</v>
      </c>
      <c r="E99" s="2" t="s">
        <v>17</v>
      </c>
      <c r="F99" s="1" t="s">
        <v>18</v>
      </c>
      <c r="G99" s="1" t="s">
        <v>19</v>
      </c>
      <c r="H99" s="1" t="s">
        <v>20</v>
      </c>
      <c r="I99" s="2" t="s">
        <v>17</v>
      </c>
      <c r="J99" s="1" t="s">
        <v>22</v>
      </c>
      <c r="K99" s="1" t="s">
        <v>23</v>
      </c>
      <c r="L99" s="2" t="s">
        <v>102</v>
      </c>
      <c r="M99" s="1" t="s">
        <v>20</v>
      </c>
    </row>
    <row r="100" ht="15.75" customHeight="1">
      <c r="A100" s="2" t="s">
        <v>190</v>
      </c>
      <c r="C100" s="1" t="s">
        <v>27</v>
      </c>
      <c r="D100" s="2" t="s">
        <v>16</v>
      </c>
      <c r="E100" s="2" t="s">
        <v>21</v>
      </c>
      <c r="F100" s="1" t="s">
        <v>87</v>
      </c>
      <c r="G100" s="1" t="s">
        <v>31</v>
      </c>
      <c r="H100" s="1" t="s">
        <v>20</v>
      </c>
      <c r="I100" s="2" t="s">
        <v>21</v>
      </c>
      <c r="J100" s="1" t="s">
        <v>22</v>
      </c>
      <c r="K100" s="1" t="s">
        <v>23</v>
      </c>
      <c r="M100" s="1" t="s">
        <v>20</v>
      </c>
    </row>
    <row r="101" ht="15.75" customHeight="1">
      <c r="A101" s="2" t="s">
        <v>191</v>
      </c>
      <c r="B101" s="1" t="s">
        <v>14</v>
      </c>
      <c r="C101" s="1" t="s">
        <v>15</v>
      </c>
      <c r="D101" s="2" t="s">
        <v>61</v>
      </c>
      <c r="E101" s="2" t="s">
        <v>29</v>
      </c>
      <c r="F101" s="1" t="s">
        <v>55</v>
      </c>
      <c r="G101" s="1" t="s">
        <v>50</v>
      </c>
      <c r="H101" s="1" t="s">
        <v>20</v>
      </c>
      <c r="I101" s="2" t="s">
        <v>37</v>
      </c>
      <c r="J101" s="1" t="s">
        <v>22</v>
      </c>
      <c r="K101" s="1" t="s">
        <v>23</v>
      </c>
      <c r="L101" s="2" t="s">
        <v>32</v>
      </c>
      <c r="M101" s="1" t="s">
        <v>25</v>
      </c>
    </row>
    <row r="102" ht="15.75" customHeight="1">
      <c r="A102" s="2" t="s">
        <v>192</v>
      </c>
      <c r="B102" s="1" t="s">
        <v>41</v>
      </c>
      <c r="C102" s="1" t="s">
        <v>27</v>
      </c>
      <c r="D102" s="2" t="s">
        <v>49</v>
      </c>
      <c r="E102" s="2" t="s">
        <v>37</v>
      </c>
      <c r="F102" s="1" t="s">
        <v>55</v>
      </c>
      <c r="G102" s="1" t="s">
        <v>50</v>
      </c>
      <c r="H102" s="1" t="s">
        <v>20</v>
      </c>
      <c r="I102" s="2" t="s">
        <v>21</v>
      </c>
      <c r="J102" s="1" t="s">
        <v>22</v>
      </c>
      <c r="K102" s="1" t="s">
        <v>23</v>
      </c>
      <c r="L102" s="2" t="s">
        <v>74</v>
      </c>
      <c r="M102" s="1" t="s">
        <v>25</v>
      </c>
    </row>
    <row r="103" ht="15.75" customHeight="1">
      <c r="A103" s="2" t="s">
        <v>193</v>
      </c>
      <c r="B103" s="1" t="s">
        <v>41</v>
      </c>
      <c r="C103" s="1" t="s">
        <v>27</v>
      </c>
      <c r="D103" s="2" t="s">
        <v>76</v>
      </c>
      <c r="E103" s="2" t="s">
        <v>29</v>
      </c>
      <c r="F103" s="1" t="s">
        <v>18</v>
      </c>
      <c r="G103" s="1" t="s">
        <v>36</v>
      </c>
      <c r="H103" s="1" t="s">
        <v>25</v>
      </c>
      <c r="I103" s="2" t="s">
        <v>37</v>
      </c>
      <c r="J103" s="1" t="s">
        <v>22</v>
      </c>
      <c r="K103" s="1" t="s">
        <v>44</v>
      </c>
      <c r="L103" s="2" t="s">
        <v>32</v>
      </c>
      <c r="M103" s="1" t="s">
        <v>20</v>
      </c>
    </row>
    <row r="104" ht="15.75" customHeight="1">
      <c r="A104" s="2" t="s">
        <v>194</v>
      </c>
      <c r="B104" s="1" t="s">
        <v>14</v>
      </c>
      <c r="C104" s="1" t="s">
        <v>27</v>
      </c>
      <c r="D104" s="2" t="s">
        <v>49</v>
      </c>
      <c r="E104" s="2" t="s">
        <v>37</v>
      </c>
      <c r="F104" s="1" t="s">
        <v>30</v>
      </c>
      <c r="G104" s="1" t="s">
        <v>50</v>
      </c>
      <c r="H104" s="1" t="s">
        <v>20</v>
      </c>
      <c r="I104" s="2" t="s">
        <v>21</v>
      </c>
      <c r="J104" s="1" t="s">
        <v>51</v>
      </c>
      <c r="K104" s="1" t="s">
        <v>23</v>
      </c>
      <c r="L104" s="2" t="s">
        <v>195</v>
      </c>
      <c r="M104" s="1" t="s">
        <v>25</v>
      </c>
    </row>
    <row r="105" ht="15.75" customHeight="1">
      <c r="A105" s="2" t="s">
        <v>196</v>
      </c>
      <c r="B105" s="1" t="s">
        <v>41</v>
      </c>
      <c r="C105" s="1" t="s">
        <v>27</v>
      </c>
      <c r="D105" s="2" t="s">
        <v>76</v>
      </c>
      <c r="E105" s="2" t="s">
        <v>17</v>
      </c>
      <c r="F105" s="1" t="s">
        <v>30</v>
      </c>
      <c r="G105" s="1" t="s">
        <v>19</v>
      </c>
      <c r="H105" s="1" t="s">
        <v>20</v>
      </c>
      <c r="I105" s="2" t="s">
        <v>17</v>
      </c>
      <c r="J105" s="1" t="s">
        <v>43</v>
      </c>
      <c r="K105" s="1" t="s">
        <v>44</v>
      </c>
      <c r="L105" s="2" t="s">
        <v>77</v>
      </c>
      <c r="M105" s="1" t="s">
        <v>25</v>
      </c>
    </row>
    <row r="106" ht="15.75" customHeight="1">
      <c r="A106" s="2" t="s">
        <v>197</v>
      </c>
      <c r="B106" s="1" t="s">
        <v>41</v>
      </c>
      <c r="C106" s="1" t="s">
        <v>15</v>
      </c>
      <c r="D106" s="2" t="s">
        <v>42</v>
      </c>
      <c r="E106" s="2" t="s">
        <v>37</v>
      </c>
      <c r="F106" s="1" t="s">
        <v>55</v>
      </c>
      <c r="G106" s="1" t="s">
        <v>36</v>
      </c>
      <c r="H106" s="1" t="s">
        <v>20</v>
      </c>
      <c r="I106" s="2" t="s">
        <v>37</v>
      </c>
      <c r="J106" s="1" t="s">
        <v>43</v>
      </c>
      <c r="K106" s="1" t="s">
        <v>44</v>
      </c>
      <c r="L106" s="2" t="s">
        <v>195</v>
      </c>
      <c r="M106" s="1" t="s">
        <v>20</v>
      </c>
    </row>
    <row r="107" ht="15.75" customHeight="1">
      <c r="A107" s="2" t="s">
        <v>198</v>
      </c>
      <c r="B107" s="1" t="s">
        <v>41</v>
      </c>
      <c r="C107" s="1" t="s">
        <v>15</v>
      </c>
      <c r="D107" s="2" t="s">
        <v>28</v>
      </c>
      <c r="E107" s="2" t="s">
        <v>21</v>
      </c>
      <c r="F107" s="1" t="s">
        <v>30</v>
      </c>
      <c r="G107" s="1" t="s">
        <v>31</v>
      </c>
      <c r="H107" s="1" t="s">
        <v>25</v>
      </c>
      <c r="I107" s="2" t="s">
        <v>17</v>
      </c>
      <c r="J107" s="1" t="s">
        <v>38</v>
      </c>
      <c r="K107" s="1" t="s">
        <v>23</v>
      </c>
      <c r="L107" s="2" t="s">
        <v>116</v>
      </c>
      <c r="M107" s="1" t="s">
        <v>25</v>
      </c>
    </row>
    <row r="108" ht="15.75" customHeight="1">
      <c r="A108" s="2" t="s">
        <v>199</v>
      </c>
      <c r="B108" s="1" t="s">
        <v>14</v>
      </c>
      <c r="C108" s="1" t="s">
        <v>27</v>
      </c>
      <c r="D108" s="2" t="s">
        <v>42</v>
      </c>
      <c r="E108" s="2" t="s">
        <v>37</v>
      </c>
      <c r="F108" s="1" t="s">
        <v>30</v>
      </c>
      <c r="G108" s="1" t="s">
        <v>19</v>
      </c>
      <c r="H108" s="1" t="s">
        <v>20</v>
      </c>
      <c r="I108" s="2" t="s">
        <v>37</v>
      </c>
      <c r="J108" s="1" t="s">
        <v>43</v>
      </c>
      <c r="K108" s="1" t="s">
        <v>44</v>
      </c>
      <c r="L108" s="2" t="s">
        <v>132</v>
      </c>
      <c r="M108" s="1" t="s">
        <v>20</v>
      </c>
    </row>
    <row r="109" ht="15.75" customHeight="1">
      <c r="A109" s="2" t="s">
        <v>200</v>
      </c>
      <c r="B109" s="1" t="s">
        <v>41</v>
      </c>
      <c r="C109" s="1" t="s">
        <v>15</v>
      </c>
      <c r="D109" s="2" t="s">
        <v>16</v>
      </c>
      <c r="E109" s="2" t="s">
        <v>37</v>
      </c>
      <c r="F109" s="1" t="s">
        <v>30</v>
      </c>
      <c r="G109" s="1" t="s">
        <v>19</v>
      </c>
      <c r="H109" s="1" t="s">
        <v>25</v>
      </c>
      <c r="I109" s="2" t="s">
        <v>37</v>
      </c>
      <c r="J109" s="1" t="s">
        <v>51</v>
      </c>
      <c r="K109" s="1" t="s">
        <v>44</v>
      </c>
      <c r="L109" s="2" t="s">
        <v>201</v>
      </c>
      <c r="M109" s="1" t="s">
        <v>20</v>
      </c>
    </row>
    <row r="110" ht="15.75" customHeight="1">
      <c r="A110" s="2" t="s">
        <v>202</v>
      </c>
      <c r="B110" s="1" t="s">
        <v>14</v>
      </c>
      <c r="C110" s="1" t="s">
        <v>15</v>
      </c>
      <c r="D110" s="2" t="s">
        <v>16</v>
      </c>
      <c r="E110" s="2" t="s">
        <v>21</v>
      </c>
      <c r="F110" s="1" t="s">
        <v>18</v>
      </c>
      <c r="G110" s="1" t="s">
        <v>31</v>
      </c>
      <c r="H110" s="1" t="s">
        <v>20</v>
      </c>
      <c r="I110" s="2" t="s">
        <v>21</v>
      </c>
      <c r="J110" s="1" t="s">
        <v>22</v>
      </c>
      <c r="K110" s="1" t="s">
        <v>23</v>
      </c>
      <c r="L110" s="2" t="s">
        <v>79</v>
      </c>
      <c r="M110" s="1" t="s">
        <v>20</v>
      </c>
    </row>
    <row r="111" ht="15.75" customHeight="1">
      <c r="A111" s="2" t="s">
        <v>203</v>
      </c>
      <c r="B111" s="1" t="s">
        <v>41</v>
      </c>
      <c r="C111" s="1" t="s">
        <v>27</v>
      </c>
      <c r="D111" s="2" t="s">
        <v>16</v>
      </c>
      <c r="E111" s="2" t="s">
        <v>21</v>
      </c>
      <c r="F111" s="1" t="s">
        <v>18</v>
      </c>
      <c r="G111" s="1" t="s">
        <v>36</v>
      </c>
      <c r="H111" s="1" t="s">
        <v>25</v>
      </c>
      <c r="I111" s="2" t="s">
        <v>21</v>
      </c>
      <c r="J111" s="1" t="s">
        <v>22</v>
      </c>
      <c r="K111" s="1" t="s">
        <v>23</v>
      </c>
      <c r="L111" s="2" t="s">
        <v>135</v>
      </c>
      <c r="M111" s="1" t="s">
        <v>20</v>
      </c>
    </row>
    <row r="112" ht="15.75" customHeight="1">
      <c r="A112" s="2" t="s">
        <v>204</v>
      </c>
      <c r="B112" s="1" t="s">
        <v>41</v>
      </c>
      <c r="C112" s="1" t="s">
        <v>15</v>
      </c>
      <c r="E112" s="2" t="s">
        <v>17</v>
      </c>
      <c r="F112" s="1" t="s">
        <v>30</v>
      </c>
      <c r="G112" s="1" t="s">
        <v>50</v>
      </c>
      <c r="H112" s="1" t="s">
        <v>25</v>
      </c>
      <c r="I112" s="2" t="s">
        <v>21</v>
      </c>
      <c r="J112" s="1" t="s">
        <v>22</v>
      </c>
      <c r="K112" s="1" t="s">
        <v>23</v>
      </c>
      <c r="L112" s="2" t="s">
        <v>130</v>
      </c>
      <c r="M112" s="1" t="s">
        <v>20</v>
      </c>
    </row>
    <row r="113" ht="15.75" customHeight="1">
      <c r="A113" s="2" t="s">
        <v>205</v>
      </c>
      <c r="B113" s="1" t="s">
        <v>41</v>
      </c>
      <c r="C113" s="1" t="s">
        <v>15</v>
      </c>
      <c r="D113" s="2" t="s">
        <v>42</v>
      </c>
      <c r="E113" s="2" t="s">
        <v>21</v>
      </c>
      <c r="F113" s="1" t="s">
        <v>18</v>
      </c>
      <c r="G113" s="1" t="s">
        <v>36</v>
      </c>
      <c r="H113" s="1" t="s">
        <v>25</v>
      </c>
      <c r="I113" s="2" t="s">
        <v>17</v>
      </c>
      <c r="J113" s="1" t="s">
        <v>43</v>
      </c>
      <c r="K113" s="1" t="s">
        <v>44</v>
      </c>
      <c r="L113" s="2" t="s">
        <v>79</v>
      </c>
      <c r="M113" s="1" t="s">
        <v>25</v>
      </c>
    </row>
    <row r="114" ht="15.75" customHeight="1">
      <c r="A114" s="2" t="s">
        <v>206</v>
      </c>
      <c r="B114" s="1" t="s">
        <v>41</v>
      </c>
      <c r="C114" s="1" t="s">
        <v>15</v>
      </c>
      <c r="D114" s="2" t="s">
        <v>16</v>
      </c>
      <c r="E114" s="2" t="s">
        <v>37</v>
      </c>
      <c r="F114" s="1" t="s">
        <v>30</v>
      </c>
      <c r="G114" s="1" t="s">
        <v>31</v>
      </c>
      <c r="H114" s="1" t="s">
        <v>20</v>
      </c>
      <c r="I114" s="2" t="s">
        <v>37</v>
      </c>
      <c r="J114" s="1" t="s">
        <v>51</v>
      </c>
      <c r="K114" s="1" t="s">
        <v>23</v>
      </c>
      <c r="L114" s="2" t="s">
        <v>74</v>
      </c>
      <c r="M114" s="1" t="s">
        <v>25</v>
      </c>
    </row>
    <row r="115" ht="15.75" customHeight="1">
      <c r="A115" s="2" t="s">
        <v>207</v>
      </c>
      <c r="B115" s="1" t="s">
        <v>41</v>
      </c>
      <c r="C115" s="1" t="s">
        <v>15</v>
      </c>
      <c r="D115" s="2" t="s">
        <v>144</v>
      </c>
      <c r="E115" s="2" t="s">
        <v>17</v>
      </c>
      <c r="F115" s="1" t="s">
        <v>87</v>
      </c>
      <c r="G115" s="1" t="s">
        <v>56</v>
      </c>
      <c r="H115" s="1" t="s">
        <v>25</v>
      </c>
      <c r="I115" s="2" t="s">
        <v>17</v>
      </c>
      <c r="J115" s="1" t="s">
        <v>22</v>
      </c>
      <c r="K115" s="1" t="s">
        <v>44</v>
      </c>
      <c r="L115" s="2" t="s">
        <v>47</v>
      </c>
      <c r="M115" s="1" t="s">
        <v>20</v>
      </c>
    </row>
    <row r="116" ht="15.75" customHeight="1">
      <c r="A116" s="2" t="s">
        <v>208</v>
      </c>
      <c r="B116" s="1" t="s">
        <v>14</v>
      </c>
      <c r="C116" s="1" t="s">
        <v>27</v>
      </c>
      <c r="D116" s="2" t="s">
        <v>61</v>
      </c>
      <c r="E116" s="2" t="s">
        <v>21</v>
      </c>
      <c r="F116" s="1" t="s">
        <v>18</v>
      </c>
      <c r="G116" s="1" t="s">
        <v>31</v>
      </c>
      <c r="H116" s="1" t="s">
        <v>20</v>
      </c>
      <c r="I116" s="2" t="s">
        <v>21</v>
      </c>
      <c r="J116" s="1" t="s">
        <v>22</v>
      </c>
      <c r="K116" s="1" t="s">
        <v>44</v>
      </c>
      <c r="L116" s="2" t="s">
        <v>107</v>
      </c>
      <c r="M116" s="1" t="s">
        <v>20</v>
      </c>
    </row>
    <row r="117" ht="15.75" customHeight="1">
      <c r="A117" s="2" t="s">
        <v>209</v>
      </c>
      <c r="B117" s="1" t="s">
        <v>41</v>
      </c>
      <c r="C117" s="1" t="s">
        <v>27</v>
      </c>
      <c r="D117" s="2" t="s">
        <v>49</v>
      </c>
      <c r="E117" s="2" t="s">
        <v>21</v>
      </c>
      <c r="F117" s="1" t="s">
        <v>87</v>
      </c>
      <c r="G117" s="1" t="s">
        <v>50</v>
      </c>
      <c r="H117" s="1" t="s">
        <v>25</v>
      </c>
      <c r="I117" s="2" t="s">
        <v>21</v>
      </c>
      <c r="J117" s="1" t="s">
        <v>22</v>
      </c>
      <c r="K117" s="1" t="s">
        <v>23</v>
      </c>
      <c r="L117" s="2" t="s">
        <v>116</v>
      </c>
      <c r="M117" s="1" t="s">
        <v>20</v>
      </c>
    </row>
    <row r="118" ht="15.75" customHeight="1">
      <c r="A118" s="2" t="s">
        <v>210</v>
      </c>
      <c r="B118" s="1" t="s">
        <v>14</v>
      </c>
      <c r="C118" s="1" t="s">
        <v>15</v>
      </c>
      <c r="D118" s="2" t="s">
        <v>28</v>
      </c>
      <c r="E118" s="2" t="s">
        <v>17</v>
      </c>
      <c r="F118" s="1" t="s">
        <v>18</v>
      </c>
      <c r="G118" s="1" t="s">
        <v>19</v>
      </c>
      <c r="H118" s="1" t="s">
        <v>20</v>
      </c>
      <c r="I118" s="2" t="s">
        <v>37</v>
      </c>
      <c r="J118" s="1" t="s">
        <v>22</v>
      </c>
      <c r="K118" s="1" t="s">
        <v>23</v>
      </c>
      <c r="L118" s="2" t="s">
        <v>24</v>
      </c>
      <c r="M118" s="1" t="s">
        <v>25</v>
      </c>
    </row>
    <row r="119" ht="15.75" customHeight="1">
      <c r="A119" s="2" t="s">
        <v>211</v>
      </c>
      <c r="B119" s="1" t="s">
        <v>41</v>
      </c>
      <c r="C119" s="1" t="s">
        <v>15</v>
      </c>
      <c r="D119" s="2" t="s">
        <v>61</v>
      </c>
      <c r="F119" s="1" t="s">
        <v>55</v>
      </c>
      <c r="G119" s="1" t="s">
        <v>50</v>
      </c>
      <c r="H119" s="1" t="s">
        <v>20</v>
      </c>
      <c r="I119" s="2" t="s">
        <v>21</v>
      </c>
      <c r="J119" s="1" t="s">
        <v>22</v>
      </c>
      <c r="K119" s="1" t="s">
        <v>23</v>
      </c>
      <c r="L119" s="2" t="s">
        <v>100</v>
      </c>
      <c r="M119" s="1" t="s">
        <v>20</v>
      </c>
    </row>
    <row r="120" ht="15.75" customHeight="1">
      <c r="A120" s="2" t="s">
        <v>212</v>
      </c>
      <c r="B120" s="1" t="s">
        <v>14</v>
      </c>
      <c r="C120" s="1" t="s">
        <v>27</v>
      </c>
      <c r="D120" s="2" t="s">
        <v>34</v>
      </c>
      <c r="E120" s="2" t="s">
        <v>35</v>
      </c>
      <c r="F120" s="1" t="s">
        <v>18</v>
      </c>
      <c r="G120" s="1" t="s">
        <v>56</v>
      </c>
      <c r="H120" s="1" t="s">
        <v>20</v>
      </c>
      <c r="I120" s="2" t="s">
        <v>37</v>
      </c>
      <c r="J120" s="1" t="s">
        <v>38</v>
      </c>
      <c r="K120" s="1" t="s">
        <v>23</v>
      </c>
      <c r="L120" s="2" t="s">
        <v>112</v>
      </c>
      <c r="M120" s="1" t="s">
        <v>25</v>
      </c>
    </row>
    <row r="121" ht="15.75" customHeight="1">
      <c r="A121" s="2" t="s">
        <v>213</v>
      </c>
      <c r="B121" s="1" t="s">
        <v>41</v>
      </c>
      <c r="C121" s="1" t="s">
        <v>15</v>
      </c>
      <c r="D121" s="2" t="s">
        <v>28</v>
      </c>
      <c r="E121" s="2" t="s">
        <v>21</v>
      </c>
      <c r="F121" s="1" t="s">
        <v>30</v>
      </c>
      <c r="G121" s="1" t="s">
        <v>31</v>
      </c>
      <c r="H121" s="1" t="s">
        <v>25</v>
      </c>
      <c r="I121" s="2" t="s">
        <v>17</v>
      </c>
      <c r="J121" s="1" t="s">
        <v>38</v>
      </c>
      <c r="K121" s="1" t="s">
        <v>23</v>
      </c>
      <c r="L121" s="2" t="s">
        <v>97</v>
      </c>
      <c r="M121" s="1" t="s">
        <v>25</v>
      </c>
    </row>
    <row r="122" ht="15.75" customHeight="1">
      <c r="A122" s="2" t="s">
        <v>214</v>
      </c>
      <c r="B122" s="1" t="s">
        <v>14</v>
      </c>
      <c r="C122" s="1" t="s">
        <v>15</v>
      </c>
      <c r="D122" s="2" t="s">
        <v>16</v>
      </c>
      <c r="E122" s="2" t="s">
        <v>37</v>
      </c>
      <c r="F122" s="1" t="s">
        <v>18</v>
      </c>
      <c r="G122" s="1" t="s">
        <v>56</v>
      </c>
      <c r="H122" s="1" t="s">
        <v>20</v>
      </c>
      <c r="I122" s="2" t="s">
        <v>37</v>
      </c>
      <c r="J122" s="1" t="s">
        <v>43</v>
      </c>
      <c r="K122" s="1" t="s">
        <v>44</v>
      </c>
      <c r="L122" s="2" t="s">
        <v>128</v>
      </c>
      <c r="M122" s="1" t="s">
        <v>20</v>
      </c>
    </row>
    <row r="123" ht="15.75" customHeight="1">
      <c r="A123" s="2" t="s">
        <v>215</v>
      </c>
      <c r="B123" s="1" t="s">
        <v>14</v>
      </c>
      <c r="C123" s="1" t="s">
        <v>27</v>
      </c>
      <c r="D123" s="2" t="s">
        <v>216</v>
      </c>
      <c r="E123" s="2" t="s">
        <v>37</v>
      </c>
      <c r="F123" s="1" t="s">
        <v>55</v>
      </c>
      <c r="G123" s="1" t="s">
        <v>36</v>
      </c>
      <c r="H123" s="1" t="s">
        <v>20</v>
      </c>
      <c r="I123" s="2" t="s">
        <v>57</v>
      </c>
      <c r="J123" s="1" t="s">
        <v>22</v>
      </c>
      <c r="K123" s="1" t="s">
        <v>23</v>
      </c>
      <c r="L123" s="2" t="s">
        <v>125</v>
      </c>
      <c r="M123" s="1" t="s">
        <v>25</v>
      </c>
    </row>
    <row r="124" ht="15.75" customHeight="1">
      <c r="A124" s="2" t="s">
        <v>217</v>
      </c>
      <c r="B124" s="1" t="s">
        <v>41</v>
      </c>
      <c r="C124" s="1" t="s">
        <v>15</v>
      </c>
      <c r="D124" s="2" t="s">
        <v>34</v>
      </c>
      <c r="E124" s="2" t="s">
        <v>21</v>
      </c>
      <c r="F124" s="1" t="s">
        <v>18</v>
      </c>
      <c r="G124" s="1" t="s">
        <v>36</v>
      </c>
      <c r="H124" s="1" t="s">
        <v>25</v>
      </c>
      <c r="I124" s="2" t="s">
        <v>29</v>
      </c>
      <c r="J124" s="1" t="s">
        <v>69</v>
      </c>
      <c r="K124" s="1" t="s">
        <v>44</v>
      </c>
      <c r="L124" s="2" t="s">
        <v>109</v>
      </c>
      <c r="M124" s="1" t="s">
        <v>25</v>
      </c>
    </row>
    <row r="125" ht="15.75" customHeight="1">
      <c r="A125" s="2" t="s">
        <v>218</v>
      </c>
      <c r="B125" s="1" t="s">
        <v>41</v>
      </c>
      <c r="C125" s="1" t="s">
        <v>15</v>
      </c>
      <c r="D125" s="2" t="s">
        <v>99</v>
      </c>
      <c r="E125" s="2" t="s">
        <v>29</v>
      </c>
      <c r="F125" s="1" t="s">
        <v>30</v>
      </c>
      <c r="G125" s="1" t="s">
        <v>56</v>
      </c>
      <c r="H125" s="1" t="s">
        <v>25</v>
      </c>
      <c r="I125" s="2" t="s">
        <v>57</v>
      </c>
      <c r="J125" s="1" t="s">
        <v>43</v>
      </c>
      <c r="K125" s="1" t="s">
        <v>23</v>
      </c>
      <c r="L125" s="2" t="s">
        <v>91</v>
      </c>
      <c r="M125" s="1" t="s">
        <v>25</v>
      </c>
    </row>
    <row r="126" ht="15.75" customHeight="1">
      <c r="A126" s="2" t="s">
        <v>219</v>
      </c>
      <c r="B126" s="1" t="s">
        <v>41</v>
      </c>
      <c r="C126" s="1" t="s">
        <v>15</v>
      </c>
      <c r="D126" s="2" t="s">
        <v>16</v>
      </c>
      <c r="E126" s="2" t="s">
        <v>21</v>
      </c>
      <c r="F126" s="1" t="s">
        <v>18</v>
      </c>
      <c r="G126" s="1" t="s">
        <v>31</v>
      </c>
      <c r="H126" s="1" t="s">
        <v>25</v>
      </c>
      <c r="I126" s="2" t="s">
        <v>21</v>
      </c>
      <c r="J126" s="1" t="s">
        <v>22</v>
      </c>
      <c r="K126" s="1" t="s">
        <v>23</v>
      </c>
      <c r="L126" s="2" t="s">
        <v>79</v>
      </c>
      <c r="M126" s="1" t="s">
        <v>20</v>
      </c>
    </row>
    <row r="127" ht="15.75" customHeight="1">
      <c r="A127" s="2" t="s">
        <v>220</v>
      </c>
      <c r="B127" s="1" t="s">
        <v>14</v>
      </c>
      <c r="C127" s="1" t="s">
        <v>27</v>
      </c>
      <c r="D127" s="2" t="s">
        <v>34</v>
      </c>
      <c r="E127" s="2" t="s">
        <v>35</v>
      </c>
      <c r="F127" s="1" t="s">
        <v>18</v>
      </c>
      <c r="G127" s="1" t="s">
        <v>36</v>
      </c>
      <c r="H127" s="1" t="s">
        <v>20</v>
      </c>
      <c r="I127" s="2" t="s">
        <v>57</v>
      </c>
      <c r="J127" s="1" t="s">
        <v>51</v>
      </c>
      <c r="K127" s="1" t="s">
        <v>44</v>
      </c>
      <c r="L127" s="2" t="s">
        <v>100</v>
      </c>
      <c r="M127" s="1" t="s">
        <v>25</v>
      </c>
    </row>
    <row r="128" ht="15.75" customHeight="1">
      <c r="A128" s="2" t="s">
        <v>221</v>
      </c>
      <c r="B128" s="1" t="s">
        <v>41</v>
      </c>
      <c r="C128" s="1" t="s">
        <v>27</v>
      </c>
      <c r="D128" s="2" t="s">
        <v>28</v>
      </c>
      <c r="E128" s="2" t="s">
        <v>21</v>
      </c>
      <c r="F128" s="1" t="s">
        <v>30</v>
      </c>
      <c r="G128" s="1" t="s">
        <v>31</v>
      </c>
      <c r="H128" s="1" t="s">
        <v>20</v>
      </c>
      <c r="I128" s="2" t="s">
        <v>17</v>
      </c>
      <c r="J128" s="1" t="s">
        <v>38</v>
      </c>
      <c r="K128" s="1" t="s">
        <v>23</v>
      </c>
      <c r="L128" s="2" t="s">
        <v>104</v>
      </c>
      <c r="M128" s="1" t="s">
        <v>25</v>
      </c>
    </row>
    <row r="129" ht="15.75" customHeight="1">
      <c r="A129" s="2" t="s">
        <v>222</v>
      </c>
      <c r="B129" s="1" t="s">
        <v>14</v>
      </c>
      <c r="C129" s="1" t="s">
        <v>27</v>
      </c>
      <c r="D129" s="2" t="s">
        <v>28</v>
      </c>
      <c r="E129" s="2" t="s">
        <v>17</v>
      </c>
      <c r="F129" s="1" t="s">
        <v>18</v>
      </c>
      <c r="G129" s="1" t="s">
        <v>31</v>
      </c>
      <c r="H129" s="1" t="s">
        <v>20</v>
      </c>
      <c r="I129" s="2" t="s">
        <v>17</v>
      </c>
      <c r="J129" s="1" t="s">
        <v>38</v>
      </c>
      <c r="K129" s="1" t="s">
        <v>23</v>
      </c>
      <c r="L129" s="2" t="s">
        <v>135</v>
      </c>
      <c r="M129" s="1" t="s">
        <v>25</v>
      </c>
    </row>
    <row r="130" ht="15.75" customHeight="1">
      <c r="A130" s="2" t="s">
        <v>223</v>
      </c>
      <c r="B130" s="1" t="s">
        <v>41</v>
      </c>
      <c r="C130" s="1" t="s">
        <v>27</v>
      </c>
      <c r="D130" s="2" t="s">
        <v>49</v>
      </c>
      <c r="E130" s="2" t="s">
        <v>37</v>
      </c>
      <c r="F130" s="1" t="s">
        <v>30</v>
      </c>
      <c r="G130" s="1" t="s">
        <v>50</v>
      </c>
      <c r="H130" s="1" t="s">
        <v>20</v>
      </c>
      <c r="I130" s="2" t="s">
        <v>17</v>
      </c>
      <c r="J130" s="1" t="s">
        <v>22</v>
      </c>
      <c r="K130" s="1" t="s">
        <v>23</v>
      </c>
      <c r="L130" s="2" t="s">
        <v>132</v>
      </c>
      <c r="M130" s="1" t="s">
        <v>20</v>
      </c>
    </row>
    <row r="131" ht="15.75" customHeight="1">
      <c r="A131" s="2" t="s">
        <v>224</v>
      </c>
      <c r="B131" s="1" t="s">
        <v>41</v>
      </c>
      <c r="C131" s="1" t="s">
        <v>27</v>
      </c>
      <c r="D131" s="2" t="s">
        <v>49</v>
      </c>
      <c r="E131" s="2" t="s">
        <v>29</v>
      </c>
      <c r="F131" s="1" t="s">
        <v>55</v>
      </c>
      <c r="G131" s="1" t="s">
        <v>50</v>
      </c>
      <c r="H131" s="1" t="s">
        <v>20</v>
      </c>
      <c r="I131" s="2" t="s">
        <v>17</v>
      </c>
      <c r="J131" s="1" t="s">
        <v>22</v>
      </c>
      <c r="K131" s="1" t="s">
        <v>23</v>
      </c>
      <c r="L131" s="2" t="s">
        <v>135</v>
      </c>
      <c r="M131" s="1" t="s">
        <v>20</v>
      </c>
    </row>
    <row r="132" ht="15.75" customHeight="1">
      <c r="A132" s="2" t="s">
        <v>225</v>
      </c>
      <c r="B132" s="1" t="s">
        <v>14</v>
      </c>
      <c r="C132" s="1" t="s">
        <v>27</v>
      </c>
      <c r="D132" s="2" t="s">
        <v>76</v>
      </c>
      <c r="E132" s="2" t="s">
        <v>37</v>
      </c>
      <c r="F132" s="1" t="s">
        <v>18</v>
      </c>
      <c r="G132" s="1" t="s">
        <v>36</v>
      </c>
      <c r="H132" s="1" t="s">
        <v>20</v>
      </c>
      <c r="I132" s="2" t="s">
        <v>17</v>
      </c>
      <c r="J132" s="1" t="s">
        <v>38</v>
      </c>
      <c r="K132" s="1" t="s">
        <v>44</v>
      </c>
      <c r="L132" s="2" t="s">
        <v>153</v>
      </c>
      <c r="M132" s="1" t="s">
        <v>25</v>
      </c>
    </row>
    <row r="133" ht="15.75" customHeight="1">
      <c r="A133" s="2" t="s">
        <v>226</v>
      </c>
      <c r="B133" s="1" t="s">
        <v>14</v>
      </c>
      <c r="C133" s="1" t="s">
        <v>27</v>
      </c>
      <c r="D133" s="2" t="s">
        <v>68</v>
      </c>
      <c r="E133" s="2" t="s">
        <v>57</v>
      </c>
      <c r="F133" s="1" t="s">
        <v>55</v>
      </c>
      <c r="G133" s="1" t="s">
        <v>56</v>
      </c>
      <c r="H133" s="1" t="s">
        <v>20</v>
      </c>
      <c r="I133" s="2" t="s">
        <v>29</v>
      </c>
      <c r="J133" s="1" t="s">
        <v>43</v>
      </c>
      <c r="K133" s="1" t="s">
        <v>23</v>
      </c>
      <c r="L133" s="2" t="s">
        <v>91</v>
      </c>
      <c r="M133" s="1" t="s">
        <v>20</v>
      </c>
    </row>
    <row r="134" ht="15.75" customHeight="1">
      <c r="A134" s="2" t="s">
        <v>227</v>
      </c>
      <c r="B134" s="1" t="s">
        <v>14</v>
      </c>
      <c r="C134" s="1" t="s">
        <v>27</v>
      </c>
      <c r="D134" s="2" t="s">
        <v>16</v>
      </c>
      <c r="E134" s="2" t="s">
        <v>21</v>
      </c>
      <c r="F134" s="1" t="s">
        <v>18</v>
      </c>
      <c r="G134" s="1" t="s">
        <v>36</v>
      </c>
      <c r="H134" s="1" t="s">
        <v>20</v>
      </c>
      <c r="I134" s="2" t="s">
        <v>21</v>
      </c>
      <c r="J134" s="1" t="s">
        <v>22</v>
      </c>
      <c r="K134" s="1" t="s">
        <v>23</v>
      </c>
      <c r="L134" s="2" t="s">
        <v>100</v>
      </c>
      <c r="M134" s="1" t="s">
        <v>20</v>
      </c>
    </row>
    <row r="135" ht="15.75" customHeight="1">
      <c r="A135" s="2" t="s">
        <v>228</v>
      </c>
      <c r="B135" s="1" t="s">
        <v>41</v>
      </c>
      <c r="C135" s="1" t="s">
        <v>27</v>
      </c>
      <c r="D135" s="2" t="s">
        <v>16</v>
      </c>
      <c r="E135" s="2" t="s">
        <v>37</v>
      </c>
      <c r="F135" s="1" t="s">
        <v>18</v>
      </c>
      <c r="G135" s="1" t="s">
        <v>56</v>
      </c>
      <c r="H135" s="1" t="s">
        <v>20</v>
      </c>
      <c r="I135" s="2" t="s">
        <v>37</v>
      </c>
      <c r="J135" s="1" t="s">
        <v>43</v>
      </c>
      <c r="K135" s="1" t="s">
        <v>44</v>
      </c>
      <c r="L135" s="2" t="s">
        <v>122</v>
      </c>
      <c r="M135" s="1" t="s">
        <v>20</v>
      </c>
    </row>
    <row r="136" ht="15.75" customHeight="1">
      <c r="A136" s="2" t="s">
        <v>229</v>
      </c>
      <c r="B136" s="1" t="s">
        <v>41</v>
      </c>
      <c r="C136" s="1" t="s">
        <v>15</v>
      </c>
      <c r="D136" s="2" t="s">
        <v>28</v>
      </c>
      <c r="E136" s="2" t="s">
        <v>37</v>
      </c>
      <c r="F136" s="1" t="s">
        <v>30</v>
      </c>
      <c r="G136" s="1" t="s">
        <v>31</v>
      </c>
      <c r="H136" s="1" t="s">
        <v>20</v>
      </c>
      <c r="I136" s="2" t="s">
        <v>37</v>
      </c>
      <c r="J136" s="1" t="s">
        <v>22</v>
      </c>
      <c r="K136" s="1" t="s">
        <v>23</v>
      </c>
      <c r="L136" s="2" t="s">
        <v>24</v>
      </c>
      <c r="M136" s="1" t="s">
        <v>25</v>
      </c>
    </row>
    <row r="137" ht="15.75" customHeight="1">
      <c r="A137" s="2" t="s">
        <v>230</v>
      </c>
      <c r="B137" s="1" t="s">
        <v>14</v>
      </c>
      <c r="C137" s="1" t="s">
        <v>27</v>
      </c>
      <c r="D137" s="2" t="s">
        <v>49</v>
      </c>
      <c r="E137" s="2" t="s">
        <v>37</v>
      </c>
      <c r="F137" s="1" t="s">
        <v>30</v>
      </c>
      <c r="G137" s="1" t="s">
        <v>50</v>
      </c>
      <c r="H137" s="1" t="s">
        <v>20</v>
      </c>
      <c r="I137" s="2" t="s">
        <v>17</v>
      </c>
      <c r="J137" s="1" t="s">
        <v>38</v>
      </c>
      <c r="K137" s="1" t="s">
        <v>23</v>
      </c>
      <c r="L137" s="2" t="s">
        <v>132</v>
      </c>
      <c r="M137" s="1" t="s">
        <v>25</v>
      </c>
    </row>
    <row r="138" ht="15.75" customHeight="1">
      <c r="A138" s="2" t="s">
        <v>231</v>
      </c>
      <c r="B138" s="1" t="s">
        <v>41</v>
      </c>
      <c r="C138" s="1" t="s">
        <v>15</v>
      </c>
      <c r="D138" s="2" t="s">
        <v>49</v>
      </c>
      <c r="E138" s="2" t="s">
        <v>17</v>
      </c>
      <c r="F138" s="1" t="s">
        <v>55</v>
      </c>
      <c r="G138" s="1" t="s">
        <v>50</v>
      </c>
      <c r="H138" s="1" t="s">
        <v>25</v>
      </c>
      <c r="I138" s="2" t="s">
        <v>17</v>
      </c>
      <c r="J138" s="1" t="s">
        <v>43</v>
      </c>
      <c r="K138" s="1" t="s">
        <v>23</v>
      </c>
      <c r="L138" s="2" t="s">
        <v>74</v>
      </c>
      <c r="M138" s="1" t="s">
        <v>20</v>
      </c>
    </row>
    <row r="139" ht="15.75" customHeight="1">
      <c r="A139" s="2" t="s">
        <v>232</v>
      </c>
      <c r="B139" s="1" t="s">
        <v>41</v>
      </c>
      <c r="C139" s="1" t="s">
        <v>27</v>
      </c>
      <c r="D139" s="2" t="s">
        <v>61</v>
      </c>
      <c r="E139" s="2" t="s">
        <v>37</v>
      </c>
      <c r="F139" s="1" t="s">
        <v>55</v>
      </c>
      <c r="G139" s="1" t="s">
        <v>50</v>
      </c>
      <c r="H139" s="1" t="s">
        <v>20</v>
      </c>
      <c r="I139" s="2" t="s">
        <v>37</v>
      </c>
      <c r="J139" s="1" t="s">
        <v>22</v>
      </c>
      <c r="K139" s="1" t="s">
        <v>23</v>
      </c>
      <c r="L139" s="2" t="s">
        <v>24</v>
      </c>
      <c r="M139" s="1" t="s">
        <v>25</v>
      </c>
    </row>
    <row r="140" ht="15.75" customHeight="1">
      <c r="A140" s="2" t="s">
        <v>233</v>
      </c>
      <c r="B140" s="1" t="s">
        <v>14</v>
      </c>
      <c r="C140" s="1" t="s">
        <v>15</v>
      </c>
      <c r="D140" s="2" t="s">
        <v>61</v>
      </c>
      <c r="E140" s="2" t="s">
        <v>37</v>
      </c>
      <c r="F140" s="1" t="s">
        <v>62</v>
      </c>
      <c r="G140" s="1" t="s">
        <v>31</v>
      </c>
      <c r="H140" s="1" t="s">
        <v>20</v>
      </c>
      <c r="I140" s="2" t="s">
        <v>37</v>
      </c>
      <c r="J140" s="1" t="s">
        <v>43</v>
      </c>
      <c r="K140" s="1" t="s">
        <v>44</v>
      </c>
      <c r="L140" s="2" t="s">
        <v>72</v>
      </c>
      <c r="M140" s="1" t="s">
        <v>20</v>
      </c>
    </row>
    <row r="141" ht="15.75" customHeight="1">
      <c r="A141" s="2" t="s">
        <v>234</v>
      </c>
      <c r="B141" s="1" t="s">
        <v>41</v>
      </c>
      <c r="C141" s="1" t="s">
        <v>15</v>
      </c>
      <c r="D141" s="2" t="s">
        <v>28</v>
      </c>
      <c r="E141" s="2" t="s">
        <v>37</v>
      </c>
      <c r="F141" s="1" t="s">
        <v>30</v>
      </c>
      <c r="G141" s="1" t="s">
        <v>31</v>
      </c>
      <c r="H141" s="1" t="s">
        <v>25</v>
      </c>
      <c r="I141" s="2" t="s">
        <v>37</v>
      </c>
      <c r="J141" s="1" t="s">
        <v>43</v>
      </c>
      <c r="K141" s="1" t="s">
        <v>44</v>
      </c>
      <c r="L141" s="2" t="s">
        <v>39</v>
      </c>
      <c r="M141" s="1" t="s">
        <v>20</v>
      </c>
    </row>
    <row r="142" ht="15.75" customHeight="1">
      <c r="A142" s="2" t="s">
        <v>235</v>
      </c>
      <c r="B142" s="1" t="s">
        <v>41</v>
      </c>
      <c r="C142" s="1" t="s">
        <v>27</v>
      </c>
      <c r="D142" s="2" t="s">
        <v>16</v>
      </c>
      <c r="E142" s="2" t="s">
        <v>21</v>
      </c>
      <c r="F142" s="1" t="s">
        <v>18</v>
      </c>
      <c r="G142" s="1" t="s">
        <v>36</v>
      </c>
      <c r="H142" s="1" t="s">
        <v>25</v>
      </c>
      <c r="I142" s="2" t="s">
        <v>21</v>
      </c>
      <c r="J142" s="1" t="s">
        <v>22</v>
      </c>
      <c r="K142" s="1" t="s">
        <v>23</v>
      </c>
      <c r="L142" s="2" t="s">
        <v>100</v>
      </c>
      <c r="M142" s="1" t="s">
        <v>20</v>
      </c>
    </row>
    <row r="143" ht="15.75" customHeight="1">
      <c r="A143" s="2" t="s">
        <v>236</v>
      </c>
      <c r="B143" s="1" t="s">
        <v>41</v>
      </c>
      <c r="C143" s="1" t="s">
        <v>15</v>
      </c>
      <c r="D143" s="2" t="s">
        <v>49</v>
      </c>
      <c r="E143" s="2" t="s">
        <v>21</v>
      </c>
      <c r="F143" s="1" t="s">
        <v>30</v>
      </c>
      <c r="G143" s="1" t="s">
        <v>50</v>
      </c>
      <c r="H143" s="1" t="s">
        <v>25</v>
      </c>
      <c r="I143" s="2" t="s">
        <v>17</v>
      </c>
      <c r="J143" s="1" t="s">
        <v>22</v>
      </c>
      <c r="K143" s="1" t="s">
        <v>44</v>
      </c>
      <c r="L143" s="2" t="s">
        <v>107</v>
      </c>
      <c r="M143" s="1" t="s">
        <v>20</v>
      </c>
    </row>
    <row r="144" ht="15.75" customHeight="1">
      <c r="A144" s="2" t="s">
        <v>237</v>
      </c>
      <c r="B144" s="1" t="s">
        <v>14</v>
      </c>
      <c r="C144" s="1" t="s">
        <v>27</v>
      </c>
      <c r="D144" s="2" t="s">
        <v>16</v>
      </c>
      <c r="E144" s="2" t="s">
        <v>17</v>
      </c>
      <c r="F144" s="1" t="s">
        <v>18</v>
      </c>
      <c r="G144" s="1" t="s">
        <v>19</v>
      </c>
      <c r="H144" s="1" t="s">
        <v>20</v>
      </c>
      <c r="I144" s="2" t="s">
        <v>21</v>
      </c>
      <c r="J144" s="1" t="s">
        <v>22</v>
      </c>
      <c r="K144" s="1" t="s">
        <v>23</v>
      </c>
      <c r="L144" s="2" t="s">
        <v>24</v>
      </c>
      <c r="M144" s="1" t="s">
        <v>20</v>
      </c>
    </row>
    <row r="145" ht="15.75" customHeight="1">
      <c r="A145" s="2" t="s">
        <v>238</v>
      </c>
      <c r="B145" s="1" t="s">
        <v>14</v>
      </c>
      <c r="C145" s="1" t="s">
        <v>15</v>
      </c>
      <c r="D145" s="2" t="s">
        <v>34</v>
      </c>
      <c r="E145" s="2" t="s">
        <v>21</v>
      </c>
      <c r="F145" s="1" t="s">
        <v>18</v>
      </c>
      <c r="G145" s="1" t="s">
        <v>36</v>
      </c>
      <c r="H145" s="1" t="s">
        <v>20</v>
      </c>
      <c r="I145" s="2" t="s">
        <v>29</v>
      </c>
      <c r="J145" s="1" t="s">
        <v>69</v>
      </c>
      <c r="K145" s="1" t="s">
        <v>44</v>
      </c>
      <c r="L145" s="2" t="s">
        <v>104</v>
      </c>
      <c r="M145" s="1" t="s">
        <v>25</v>
      </c>
    </row>
    <row r="146" ht="15.75" customHeight="1">
      <c r="A146" s="2" t="s">
        <v>239</v>
      </c>
      <c r="B146" s="1" t="s">
        <v>41</v>
      </c>
      <c r="C146" s="1" t="s">
        <v>27</v>
      </c>
      <c r="D146" s="2" t="s">
        <v>28</v>
      </c>
      <c r="E146" s="2" t="s">
        <v>17</v>
      </c>
      <c r="F146" s="1" t="s">
        <v>18</v>
      </c>
      <c r="G146" s="1" t="s">
        <v>31</v>
      </c>
      <c r="H146" s="1" t="s">
        <v>20</v>
      </c>
      <c r="I146" s="2" t="s">
        <v>21</v>
      </c>
      <c r="J146" s="1" t="s">
        <v>51</v>
      </c>
      <c r="K146" s="1" t="s">
        <v>23</v>
      </c>
      <c r="L146" s="2" t="s">
        <v>153</v>
      </c>
      <c r="M146" s="1" t="s">
        <v>20</v>
      </c>
    </row>
    <row r="147" ht="15.75" customHeight="1">
      <c r="A147" s="2" t="s">
        <v>240</v>
      </c>
      <c r="B147" s="1" t="s">
        <v>14</v>
      </c>
      <c r="C147" s="1" t="s">
        <v>15</v>
      </c>
      <c r="D147" s="2" t="s">
        <v>16</v>
      </c>
      <c r="E147" s="2" t="s">
        <v>37</v>
      </c>
      <c r="F147" s="1" t="s">
        <v>30</v>
      </c>
      <c r="G147" s="1" t="s">
        <v>31</v>
      </c>
      <c r="H147" s="1" t="s">
        <v>25</v>
      </c>
      <c r="I147" s="2" t="s">
        <v>17</v>
      </c>
      <c r="J147" s="1" t="s">
        <v>22</v>
      </c>
      <c r="K147" s="1" t="s">
        <v>23</v>
      </c>
      <c r="L147" s="2" t="s">
        <v>93</v>
      </c>
      <c r="M147" s="1" t="s">
        <v>25</v>
      </c>
    </row>
    <row r="148" ht="15.75" customHeight="1">
      <c r="A148" s="2" t="s">
        <v>241</v>
      </c>
      <c r="B148" s="1" t="s">
        <v>14</v>
      </c>
      <c r="C148" s="1" t="s">
        <v>27</v>
      </c>
      <c r="D148" s="2" t="s">
        <v>16</v>
      </c>
      <c r="E148" s="2" t="s">
        <v>21</v>
      </c>
      <c r="F148" s="1" t="s">
        <v>87</v>
      </c>
      <c r="G148" s="1" t="s">
        <v>31</v>
      </c>
      <c r="H148" s="1" t="s">
        <v>20</v>
      </c>
      <c r="I148" s="2" t="s">
        <v>21</v>
      </c>
      <c r="J148" s="1" t="s">
        <v>22</v>
      </c>
      <c r="K148" s="1" t="s">
        <v>23</v>
      </c>
      <c r="L148" s="2" t="s">
        <v>153</v>
      </c>
      <c r="M148" s="1" t="s">
        <v>20</v>
      </c>
    </row>
    <row r="149" ht="15.75" customHeight="1">
      <c r="A149" s="2" t="s">
        <v>242</v>
      </c>
      <c r="B149" s="1" t="s">
        <v>14</v>
      </c>
      <c r="C149" s="1" t="s">
        <v>15</v>
      </c>
      <c r="D149" s="2" t="s">
        <v>16</v>
      </c>
      <c r="E149" s="2" t="s">
        <v>21</v>
      </c>
      <c r="F149" s="1" t="s">
        <v>18</v>
      </c>
      <c r="G149" s="1" t="s">
        <v>36</v>
      </c>
      <c r="H149" s="1" t="s">
        <v>25</v>
      </c>
      <c r="I149" s="2" t="s">
        <v>21</v>
      </c>
      <c r="J149" s="1" t="s">
        <v>22</v>
      </c>
      <c r="K149" s="1" t="s">
        <v>23</v>
      </c>
      <c r="L149" s="2" t="s">
        <v>100</v>
      </c>
      <c r="M149" s="1" t="s">
        <v>20</v>
      </c>
    </row>
    <row r="150" ht="15.75" customHeight="1">
      <c r="A150" s="2" t="s">
        <v>243</v>
      </c>
      <c r="B150" s="1" t="s">
        <v>14</v>
      </c>
      <c r="C150" s="1" t="s">
        <v>27</v>
      </c>
      <c r="D150" s="2" t="s">
        <v>61</v>
      </c>
      <c r="E150" s="2" t="s">
        <v>57</v>
      </c>
      <c r="F150" s="1" t="s">
        <v>55</v>
      </c>
      <c r="G150" s="1" t="s">
        <v>19</v>
      </c>
      <c r="H150" s="1" t="s">
        <v>20</v>
      </c>
      <c r="I150" s="2" t="s">
        <v>37</v>
      </c>
      <c r="J150" s="1" t="s">
        <v>43</v>
      </c>
      <c r="K150" s="1" t="s">
        <v>44</v>
      </c>
      <c r="L150" s="2" t="s">
        <v>39</v>
      </c>
      <c r="M150" s="1" t="s">
        <v>25</v>
      </c>
    </row>
    <row r="151" ht="15.75" customHeight="1">
      <c r="A151" s="2" t="s">
        <v>244</v>
      </c>
      <c r="B151" s="1" t="s">
        <v>41</v>
      </c>
      <c r="C151" s="1" t="s">
        <v>27</v>
      </c>
      <c r="D151" s="2" t="s">
        <v>28</v>
      </c>
      <c r="E151" s="2" t="s">
        <v>21</v>
      </c>
      <c r="F151" s="1" t="s">
        <v>30</v>
      </c>
      <c r="G151" s="1" t="s">
        <v>31</v>
      </c>
      <c r="H151" s="1" t="s">
        <v>25</v>
      </c>
      <c r="I151" s="2" t="s">
        <v>17</v>
      </c>
      <c r="J151" s="1" t="s">
        <v>51</v>
      </c>
      <c r="K151" s="1" t="s">
        <v>23</v>
      </c>
      <c r="L151" s="2" t="s">
        <v>245</v>
      </c>
      <c r="M151" s="1" t="s">
        <v>25</v>
      </c>
    </row>
    <row r="152" ht="15.75" customHeight="1">
      <c r="A152" s="2" t="s">
        <v>246</v>
      </c>
      <c r="C152" s="1" t="s">
        <v>27</v>
      </c>
      <c r="D152" s="2" t="s">
        <v>76</v>
      </c>
      <c r="E152" s="2" t="s">
        <v>17</v>
      </c>
      <c r="F152" s="1" t="s">
        <v>30</v>
      </c>
      <c r="G152" s="1" t="s">
        <v>19</v>
      </c>
      <c r="H152" s="1" t="s">
        <v>20</v>
      </c>
      <c r="I152" s="2" t="s">
        <v>17</v>
      </c>
      <c r="J152" s="1" t="s">
        <v>43</v>
      </c>
      <c r="K152" s="1" t="s">
        <v>44</v>
      </c>
      <c r="L152" s="2" t="s">
        <v>32</v>
      </c>
      <c r="M152" s="1" t="s">
        <v>20</v>
      </c>
    </row>
    <row r="153" ht="15.75" customHeight="1">
      <c r="A153" s="2" t="s">
        <v>247</v>
      </c>
      <c r="B153" s="1" t="s">
        <v>41</v>
      </c>
      <c r="C153" s="1" t="s">
        <v>27</v>
      </c>
      <c r="D153" s="2" t="s">
        <v>99</v>
      </c>
      <c r="E153" s="2" t="s">
        <v>17</v>
      </c>
      <c r="F153" s="1" t="s">
        <v>18</v>
      </c>
      <c r="G153" s="1" t="s">
        <v>56</v>
      </c>
      <c r="H153" s="1" t="s">
        <v>25</v>
      </c>
      <c r="I153" s="2" t="s">
        <v>29</v>
      </c>
      <c r="J153" s="1" t="s">
        <v>22</v>
      </c>
      <c r="K153" s="1" t="s">
        <v>44</v>
      </c>
      <c r="L153" s="2" t="s">
        <v>125</v>
      </c>
      <c r="M153" s="1" t="s">
        <v>25</v>
      </c>
    </row>
    <row r="154" ht="15.75" customHeight="1">
      <c r="A154" s="2" t="s">
        <v>248</v>
      </c>
      <c r="B154" s="1" t="s">
        <v>41</v>
      </c>
      <c r="C154" s="1" t="s">
        <v>15</v>
      </c>
      <c r="D154" s="2" t="s">
        <v>61</v>
      </c>
      <c r="E154" s="2" t="s">
        <v>21</v>
      </c>
      <c r="F154" s="1" t="s">
        <v>62</v>
      </c>
      <c r="G154" s="1" t="s">
        <v>50</v>
      </c>
      <c r="H154" s="1" t="s">
        <v>25</v>
      </c>
      <c r="I154" s="2" t="s">
        <v>37</v>
      </c>
      <c r="J154" s="1" t="s">
        <v>51</v>
      </c>
      <c r="K154" s="1" t="s">
        <v>23</v>
      </c>
      <c r="L154" s="2" t="s">
        <v>104</v>
      </c>
      <c r="M154" s="1" t="s">
        <v>25</v>
      </c>
    </row>
    <row r="155" ht="15.75" customHeight="1">
      <c r="A155" s="2" t="s">
        <v>249</v>
      </c>
      <c r="B155" s="1" t="s">
        <v>14</v>
      </c>
      <c r="C155" s="1" t="s">
        <v>27</v>
      </c>
      <c r="D155" s="2" t="s">
        <v>99</v>
      </c>
      <c r="E155" s="2" t="s">
        <v>17</v>
      </c>
      <c r="F155" s="1" t="s">
        <v>18</v>
      </c>
      <c r="G155" s="1" t="s">
        <v>56</v>
      </c>
      <c r="H155" s="1" t="s">
        <v>20</v>
      </c>
      <c r="I155" s="2" t="s">
        <v>29</v>
      </c>
      <c r="J155" s="1" t="s">
        <v>38</v>
      </c>
      <c r="K155" s="1" t="s">
        <v>44</v>
      </c>
      <c r="L155" s="2" t="s">
        <v>83</v>
      </c>
      <c r="M155" s="1" t="s">
        <v>25</v>
      </c>
    </row>
    <row r="156" ht="15.75" customHeight="1">
      <c r="A156" s="2" t="s">
        <v>250</v>
      </c>
      <c r="B156" s="1" t="s">
        <v>41</v>
      </c>
      <c r="D156" s="2" t="s">
        <v>34</v>
      </c>
      <c r="E156" s="2" t="s">
        <v>35</v>
      </c>
      <c r="F156" s="1" t="s">
        <v>87</v>
      </c>
      <c r="G156" s="1" t="s">
        <v>56</v>
      </c>
      <c r="H156" s="1" t="s">
        <v>20</v>
      </c>
      <c r="I156" s="2" t="s">
        <v>29</v>
      </c>
      <c r="J156" s="1" t="s">
        <v>22</v>
      </c>
      <c r="K156" s="1" t="s">
        <v>44</v>
      </c>
      <c r="L156" s="2" t="s">
        <v>100</v>
      </c>
      <c r="M156" s="1" t="s">
        <v>25</v>
      </c>
    </row>
    <row r="157" ht="15.75" customHeight="1">
      <c r="A157" s="2" t="s">
        <v>251</v>
      </c>
      <c r="B157" s="1" t="s">
        <v>41</v>
      </c>
      <c r="C157" s="1" t="s">
        <v>15</v>
      </c>
      <c r="D157" s="2" t="s">
        <v>49</v>
      </c>
      <c r="E157" s="2" t="s">
        <v>57</v>
      </c>
      <c r="F157" s="1" t="s">
        <v>62</v>
      </c>
      <c r="G157" s="1" t="s">
        <v>50</v>
      </c>
      <c r="H157" s="1" t="s">
        <v>20</v>
      </c>
      <c r="I157" s="2" t="s">
        <v>37</v>
      </c>
      <c r="J157" s="1" t="s">
        <v>22</v>
      </c>
      <c r="K157" s="1" t="s">
        <v>23</v>
      </c>
      <c r="L157" s="2" t="s">
        <v>45</v>
      </c>
      <c r="M157" s="1" t="s">
        <v>20</v>
      </c>
    </row>
    <row r="158" ht="15.75" customHeight="1">
      <c r="A158" s="2" t="s">
        <v>252</v>
      </c>
      <c r="B158" s="1" t="s">
        <v>14</v>
      </c>
      <c r="C158" s="1" t="s">
        <v>15</v>
      </c>
      <c r="D158" s="2" t="s">
        <v>144</v>
      </c>
      <c r="E158" s="2" t="s">
        <v>35</v>
      </c>
      <c r="F158" s="1" t="s">
        <v>30</v>
      </c>
      <c r="G158" s="1" t="s">
        <v>36</v>
      </c>
      <c r="H158" s="1" t="s">
        <v>20</v>
      </c>
      <c r="I158" s="2" t="s">
        <v>57</v>
      </c>
      <c r="J158" s="1" t="s">
        <v>22</v>
      </c>
      <c r="K158" s="1" t="s">
        <v>23</v>
      </c>
      <c r="L158" s="2" t="s">
        <v>81</v>
      </c>
      <c r="M158" s="1" t="s">
        <v>25</v>
      </c>
    </row>
    <row r="159" ht="15.75" customHeight="1">
      <c r="A159" s="2" t="s">
        <v>253</v>
      </c>
      <c r="B159" s="1" t="s">
        <v>41</v>
      </c>
      <c r="C159" s="1" t="s">
        <v>27</v>
      </c>
      <c r="D159" s="2" t="s">
        <v>49</v>
      </c>
      <c r="E159" s="2" t="s">
        <v>37</v>
      </c>
      <c r="F159" s="1" t="s">
        <v>30</v>
      </c>
      <c r="G159" s="1" t="s">
        <v>50</v>
      </c>
      <c r="H159" s="1" t="s">
        <v>25</v>
      </c>
      <c r="I159" s="2" t="s">
        <v>21</v>
      </c>
      <c r="J159" s="1" t="s">
        <v>22</v>
      </c>
      <c r="K159" s="1" t="s">
        <v>23</v>
      </c>
      <c r="L159" s="2" t="s">
        <v>52</v>
      </c>
      <c r="M159" s="1" t="s">
        <v>25</v>
      </c>
    </row>
    <row r="160" ht="15.75" customHeight="1">
      <c r="A160" s="2" t="s">
        <v>254</v>
      </c>
      <c r="B160" s="1" t="s">
        <v>41</v>
      </c>
      <c r="C160" s="1" t="s">
        <v>15</v>
      </c>
      <c r="D160" s="2" t="s">
        <v>61</v>
      </c>
      <c r="E160" s="2" t="s">
        <v>37</v>
      </c>
      <c r="F160" s="1" t="s">
        <v>30</v>
      </c>
      <c r="G160" s="1" t="s">
        <v>50</v>
      </c>
      <c r="H160" s="1" t="s">
        <v>25</v>
      </c>
      <c r="I160" s="2" t="s">
        <v>17</v>
      </c>
      <c r="J160" s="1" t="s">
        <v>22</v>
      </c>
      <c r="K160" s="1" t="s">
        <v>23</v>
      </c>
      <c r="L160" s="2" t="s">
        <v>66</v>
      </c>
      <c r="M160" s="1" t="s">
        <v>20</v>
      </c>
    </row>
    <row r="161" ht="15.75" customHeight="1">
      <c r="A161" s="2" t="s">
        <v>255</v>
      </c>
      <c r="B161" s="1" t="s">
        <v>14</v>
      </c>
      <c r="C161" s="1" t="s">
        <v>15</v>
      </c>
      <c r="D161" s="2" t="s">
        <v>49</v>
      </c>
      <c r="E161" s="2" t="s">
        <v>17</v>
      </c>
      <c r="F161" s="1" t="s">
        <v>18</v>
      </c>
      <c r="G161" s="1" t="s">
        <v>50</v>
      </c>
      <c r="H161" s="1" t="s">
        <v>20</v>
      </c>
      <c r="I161" s="2" t="s">
        <v>21</v>
      </c>
      <c r="J161" s="1" t="s">
        <v>22</v>
      </c>
      <c r="K161" s="1" t="s">
        <v>23</v>
      </c>
      <c r="L161" s="2" t="s">
        <v>125</v>
      </c>
      <c r="M161" s="1" t="s">
        <v>25</v>
      </c>
    </row>
    <row r="162" ht="15.75" customHeight="1">
      <c r="A162" s="2" t="s">
        <v>256</v>
      </c>
      <c r="B162" s="1" t="s">
        <v>41</v>
      </c>
      <c r="C162" s="1" t="s">
        <v>15</v>
      </c>
      <c r="D162" s="2" t="s">
        <v>76</v>
      </c>
      <c r="E162" s="2" t="s">
        <v>17</v>
      </c>
      <c r="F162" s="1" t="s">
        <v>18</v>
      </c>
      <c r="G162" s="1" t="s">
        <v>36</v>
      </c>
      <c r="H162" s="1" t="s">
        <v>20</v>
      </c>
      <c r="I162" s="2" t="s">
        <v>17</v>
      </c>
      <c r="J162" s="1" t="s">
        <v>43</v>
      </c>
      <c r="K162" s="1" t="s">
        <v>44</v>
      </c>
      <c r="L162" s="2" t="s">
        <v>102</v>
      </c>
      <c r="M162" s="1" t="s">
        <v>20</v>
      </c>
    </row>
    <row r="163" ht="15.75" customHeight="1">
      <c r="A163" s="2" t="s">
        <v>257</v>
      </c>
      <c r="B163" s="1" t="s">
        <v>14</v>
      </c>
      <c r="C163" s="1" t="s">
        <v>15</v>
      </c>
      <c r="D163" s="2" t="s">
        <v>61</v>
      </c>
      <c r="E163" s="2" t="s">
        <v>37</v>
      </c>
      <c r="F163" s="1" t="s">
        <v>55</v>
      </c>
      <c r="G163" s="1" t="s">
        <v>50</v>
      </c>
      <c r="H163" s="1" t="s">
        <v>20</v>
      </c>
      <c r="I163" s="2" t="s">
        <v>21</v>
      </c>
      <c r="J163" s="1" t="s">
        <v>22</v>
      </c>
      <c r="K163" s="1" t="s">
        <v>23</v>
      </c>
      <c r="L163" s="2" t="s">
        <v>100</v>
      </c>
      <c r="M163" s="1" t="s">
        <v>20</v>
      </c>
    </row>
    <row r="164" ht="15.75" customHeight="1">
      <c r="A164" s="2" t="s">
        <v>258</v>
      </c>
      <c r="B164" s="1" t="s">
        <v>41</v>
      </c>
      <c r="C164" s="1" t="s">
        <v>15</v>
      </c>
      <c r="D164" s="2" t="s">
        <v>76</v>
      </c>
      <c r="E164" s="2" t="s">
        <v>37</v>
      </c>
      <c r="F164" s="1" t="s">
        <v>18</v>
      </c>
      <c r="G164" s="1" t="s">
        <v>36</v>
      </c>
      <c r="H164" s="1" t="s">
        <v>25</v>
      </c>
      <c r="I164" s="2" t="s">
        <v>17</v>
      </c>
      <c r="J164" s="1" t="s">
        <v>22</v>
      </c>
      <c r="K164" s="1" t="s">
        <v>44</v>
      </c>
      <c r="L164" s="2" t="s">
        <v>79</v>
      </c>
      <c r="M164" s="1" t="s">
        <v>20</v>
      </c>
    </row>
    <row r="165" ht="15.75" customHeight="1">
      <c r="A165" s="2" t="s">
        <v>259</v>
      </c>
      <c r="B165" s="1" t="s">
        <v>41</v>
      </c>
      <c r="C165" s="1" t="s">
        <v>27</v>
      </c>
      <c r="D165" s="2" t="s">
        <v>16</v>
      </c>
      <c r="E165" s="2" t="s">
        <v>37</v>
      </c>
      <c r="F165" s="1" t="s">
        <v>30</v>
      </c>
      <c r="G165" s="1" t="s">
        <v>19</v>
      </c>
      <c r="H165" s="1" t="s">
        <v>25</v>
      </c>
      <c r="I165" s="2" t="s">
        <v>37</v>
      </c>
      <c r="J165" s="1" t="s">
        <v>51</v>
      </c>
      <c r="K165" s="1" t="s">
        <v>44</v>
      </c>
      <c r="L165" s="2" t="s">
        <v>132</v>
      </c>
      <c r="M165" s="1" t="s">
        <v>25</v>
      </c>
    </row>
    <row r="166" ht="15.75" customHeight="1">
      <c r="A166" s="2" t="s">
        <v>260</v>
      </c>
      <c r="B166" s="1" t="s">
        <v>14</v>
      </c>
      <c r="C166" s="1" t="s">
        <v>27</v>
      </c>
      <c r="D166" s="2" t="s">
        <v>49</v>
      </c>
      <c r="E166" s="2" t="s">
        <v>21</v>
      </c>
      <c r="F166" s="1" t="s">
        <v>30</v>
      </c>
      <c r="G166" s="1" t="s">
        <v>50</v>
      </c>
      <c r="H166" s="1" t="s">
        <v>20</v>
      </c>
      <c r="I166" s="2" t="s">
        <v>17</v>
      </c>
      <c r="J166" s="1" t="s">
        <v>38</v>
      </c>
      <c r="K166" s="1" t="s">
        <v>44</v>
      </c>
      <c r="L166" s="2" t="s">
        <v>261</v>
      </c>
      <c r="M166" s="1" t="s">
        <v>20</v>
      </c>
    </row>
    <row r="167" ht="15.75" customHeight="1">
      <c r="A167" s="2" t="s">
        <v>262</v>
      </c>
      <c r="B167" s="1" t="s">
        <v>14</v>
      </c>
      <c r="C167" s="1" t="s">
        <v>15</v>
      </c>
      <c r="D167" s="2" t="s">
        <v>49</v>
      </c>
      <c r="E167" s="2" t="s">
        <v>21</v>
      </c>
      <c r="F167" s="1" t="s">
        <v>30</v>
      </c>
      <c r="G167" s="1" t="s">
        <v>50</v>
      </c>
      <c r="H167" s="1" t="s">
        <v>25</v>
      </c>
      <c r="I167" s="2" t="s">
        <v>17</v>
      </c>
      <c r="J167" s="1" t="s">
        <v>22</v>
      </c>
      <c r="K167" s="1" t="s">
        <v>44</v>
      </c>
      <c r="L167" s="2" t="s">
        <v>261</v>
      </c>
      <c r="M167" s="1" t="s">
        <v>25</v>
      </c>
    </row>
    <row r="168" ht="15.75" customHeight="1">
      <c r="A168" s="2" t="s">
        <v>263</v>
      </c>
      <c r="B168" s="1" t="s">
        <v>41</v>
      </c>
      <c r="C168" s="1" t="s">
        <v>27</v>
      </c>
      <c r="D168" s="2" t="s">
        <v>68</v>
      </c>
      <c r="E168" s="2" t="s">
        <v>17</v>
      </c>
      <c r="F168" s="1" t="s">
        <v>18</v>
      </c>
      <c r="G168" s="1" t="s">
        <v>36</v>
      </c>
      <c r="H168" s="1" t="s">
        <v>20</v>
      </c>
      <c r="I168" s="2" t="s">
        <v>17</v>
      </c>
      <c r="J168" s="1" t="s">
        <v>38</v>
      </c>
      <c r="K168" s="1" t="s">
        <v>44</v>
      </c>
      <c r="L168" s="2" t="s">
        <v>83</v>
      </c>
      <c r="M168" s="1" t="s">
        <v>20</v>
      </c>
    </row>
    <row r="169" ht="15.75" customHeight="1">
      <c r="A169" s="2" t="s">
        <v>264</v>
      </c>
      <c r="B169" s="1" t="s">
        <v>41</v>
      </c>
      <c r="C169" s="1" t="s">
        <v>27</v>
      </c>
      <c r="D169" s="2" t="s">
        <v>99</v>
      </c>
      <c r="E169" s="2" t="s">
        <v>21</v>
      </c>
      <c r="F169" s="1" t="s">
        <v>55</v>
      </c>
      <c r="G169" s="1" t="s">
        <v>56</v>
      </c>
      <c r="H169" s="1" t="s">
        <v>20</v>
      </c>
      <c r="I169" s="2" t="s">
        <v>29</v>
      </c>
      <c r="J169" s="1" t="s">
        <v>69</v>
      </c>
      <c r="K169" s="1" t="s">
        <v>44</v>
      </c>
      <c r="L169" s="2" t="s">
        <v>74</v>
      </c>
      <c r="M169" s="1" t="s">
        <v>25</v>
      </c>
    </row>
    <row r="170" ht="15.75" customHeight="1">
      <c r="A170" s="2" t="s">
        <v>265</v>
      </c>
      <c r="B170" s="1" t="s">
        <v>41</v>
      </c>
      <c r="C170" s="1" t="s">
        <v>27</v>
      </c>
      <c r="D170" s="2" t="s">
        <v>42</v>
      </c>
      <c r="E170" s="2" t="s">
        <v>21</v>
      </c>
      <c r="F170" s="1" t="s">
        <v>18</v>
      </c>
      <c r="G170" s="1" t="s">
        <v>36</v>
      </c>
      <c r="H170" s="1" t="s">
        <v>25</v>
      </c>
      <c r="I170" s="2" t="s">
        <v>17</v>
      </c>
      <c r="J170" s="1" t="s">
        <v>43</v>
      </c>
      <c r="K170" s="1" t="s">
        <v>44</v>
      </c>
      <c r="L170" s="2" t="s">
        <v>45</v>
      </c>
      <c r="M170" s="1" t="s">
        <v>20</v>
      </c>
    </row>
    <row r="171" ht="15.75" customHeight="1">
      <c r="A171" s="2" t="s">
        <v>266</v>
      </c>
      <c r="B171" s="1" t="s">
        <v>14</v>
      </c>
      <c r="C171" s="1" t="s">
        <v>27</v>
      </c>
      <c r="D171" s="2" t="s">
        <v>28</v>
      </c>
      <c r="E171" s="2" t="s">
        <v>17</v>
      </c>
      <c r="F171" s="1" t="s">
        <v>18</v>
      </c>
      <c r="G171" s="1" t="s">
        <v>31</v>
      </c>
      <c r="H171" s="1" t="s">
        <v>20</v>
      </c>
      <c r="I171" s="2" t="s">
        <v>21</v>
      </c>
      <c r="J171" s="1" t="s">
        <v>22</v>
      </c>
      <c r="K171" s="1" t="s">
        <v>23</v>
      </c>
      <c r="L171" s="2" t="s">
        <v>83</v>
      </c>
      <c r="M171" s="1" t="s">
        <v>25</v>
      </c>
    </row>
    <row r="172" ht="15.75" customHeight="1">
      <c r="A172" s="2" t="s">
        <v>267</v>
      </c>
      <c r="B172" s="1" t="s">
        <v>14</v>
      </c>
      <c r="C172" s="1" t="s">
        <v>15</v>
      </c>
      <c r="D172" s="2" t="s">
        <v>144</v>
      </c>
      <c r="E172" s="2" t="s">
        <v>57</v>
      </c>
      <c r="F172" s="1" t="s">
        <v>30</v>
      </c>
      <c r="G172" s="1" t="s">
        <v>36</v>
      </c>
      <c r="H172" s="1" t="s">
        <v>20</v>
      </c>
      <c r="I172" s="2" t="s">
        <v>57</v>
      </c>
      <c r="J172" s="1" t="s">
        <v>43</v>
      </c>
      <c r="K172" s="1" t="s">
        <v>23</v>
      </c>
      <c r="L172" s="2" t="s">
        <v>145</v>
      </c>
      <c r="M172" s="1" t="s">
        <v>20</v>
      </c>
    </row>
    <row r="173" ht="15.75" customHeight="1">
      <c r="A173" s="2" t="s">
        <v>268</v>
      </c>
      <c r="B173" s="1" t="s">
        <v>14</v>
      </c>
      <c r="C173" s="1" t="s">
        <v>15</v>
      </c>
      <c r="D173" s="2" t="s">
        <v>34</v>
      </c>
      <c r="E173" s="2" t="s">
        <v>35</v>
      </c>
      <c r="F173" s="1" t="s">
        <v>18</v>
      </c>
      <c r="G173" s="1" t="s">
        <v>56</v>
      </c>
      <c r="H173" s="1" t="s">
        <v>20</v>
      </c>
      <c r="I173" s="2" t="s">
        <v>37</v>
      </c>
      <c r="J173" s="1" t="s">
        <v>38</v>
      </c>
      <c r="K173" s="1" t="s">
        <v>23</v>
      </c>
      <c r="L173" s="2" t="s">
        <v>145</v>
      </c>
      <c r="M173" s="1" t="s">
        <v>25</v>
      </c>
    </row>
    <row r="174" ht="15.75" customHeight="1">
      <c r="A174" s="2" t="s">
        <v>269</v>
      </c>
      <c r="B174" s="1" t="s">
        <v>14</v>
      </c>
      <c r="C174" s="1" t="s">
        <v>27</v>
      </c>
      <c r="D174" s="2" t="s">
        <v>49</v>
      </c>
      <c r="E174" s="2" t="s">
        <v>21</v>
      </c>
      <c r="F174" s="1" t="s">
        <v>62</v>
      </c>
      <c r="G174" s="1" t="s">
        <v>50</v>
      </c>
      <c r="H174" s="1" t="s">
        <v>25</v>
      </c>
      <c r="I174" s="2" t="s">
        <v>37</v>
      </c>
      <c r="J174" s="1" t="s">
        <v>22</v>
      </c>
      <c r="K174" s="1" t="s">
        <v>23</v>
      </c>
      <c r="L174" s="2" t="s">
        <v>58</v>
      </c>
      <c r="M174" s="1" t="s">
        <v>25</v>
      </c>
    </row>
    <row r="175" ht="15.75" customHeight="1">
      <c r="A175" s="2" t="s">
        <v>270</v>
      </c>
      <c r="B175" s="1" t="s">
        <v>14</v>
      </c>
      <c r="C175" s="1" t="s">
        <v>15</v>
      </c>
      <c r="D175" s="2" t="s">
        <v>49</v>
      </c>
      <c r="E175" s="2" t="s">
        <v>21</v>
      </c>
      <c r="F175" s="1" t="s">
        <v>30</v>
      </c>
      <c r="G175" s="1" t="s">
        <v>50</v>
      </c>
      <c r="H175" s="1" t="s">
        <v>20</v>
      </c>
      <c r="I175" s="2" t="s">
        <v>17</v>
      </c>
      <c r="J175" s="1" t="s">
        <v>38</v>
      </c>
      <c r="K175" s="1" t="s">
        <v>44</v>
      </c>
      <c r="L175" s="2" t="s">
        <v>245</v>
      </c>
      <c r="M175" s="1" t="s">
        <v>25</v>
      </c>
    </row>
    <row r="176" ht="15.75" customHeight="1">
      <c r="A176" s="2" t="s">
        <v>271</v>
      </c>
      <c r="B176" s="1" t="s">
        <v>41</v>
      </c>
      <c r="C176" s="1" t="s">
        <v>27</v>
      </c>
      <c r="D176" s="2" t="s">
        <v>272</v>
      </c>
      <c r="E176" s="2" t="s">
        <v>21</v>
      </c>
      <c r="F176" s="1" t="s">
        <v>87</v>
      </c>
      <c r="G176" s="1" t="s">
        <v>19</v>
      </c>
      <c r="H176" s="1" t="s">
        <v>20</v>
      </c>
      <c r="I176" s="2" t="s">
        <v>21</v>
      </c>
      <c r="J176" s="1" t="s">
        <v>22</v>
      </c>
      <c r="K176" s="1" t="s">
        <v>23</v>
      </c>
      <c r="L176" s="2" t="s">
        <v>153</v>
      </c>
      <c r="M176" s="1" t="s">
        <v>20</v>
      </c>
    </row>
    <row r="177" ht="15.75" customHeight="1">
      <c r="A177" s="2" t="s">
        <v>273</v>
      </c>
      <c r="B177" s="1" t="s">
        <v>41</v>
      </c>
      <c r="C177" s="1" t="s">
        <v>15</v>
      </c>
      <c r="D177" s="2" t="s">
        <v>34</v>
      </c>
      <c r="E177" s="2" t="s">
        <v>37</v>
      </c>
      <c r="F177" s="1" t="s">
        <v>30</v>
      </c>
      <c r="G177" s="1" t="s">
        <v>19</v>
      </c>
      <c r="H177" s="1" t="s">
        <v>20</v>
      </c>
      <c r="I177" s="2" t="s">
        <v>37</v>
      </c>
      <c r="J177" s="1" t="s">
        <v>43</v>
      </c>
      <c r="K177" s="1" t="s">
        <v>44</v>
      </c>
      <c r="L177" s="2" t="s">
        <v>132</v>
      </c>
      <c r="M177" s="1" t="s">
        <v>20</v>
      </c>
    </row>
    <row r="178" ht="15.75" customHeight="1">
      <c r="A178" s="2" t="s">
        <v>274</v>
      </c>
      <c r="B178" s="1" t="s">
        <v>41</v>
      </c>
      <c r="C178" s="1" t="s">
        <v>15</v>
      </c>
      <c r="D178" s="2" t="s">
        <v>61</v>
      </c>
      <c r="E178" s="2" t="s">
        <v>21</v>
      </c>
      <c r="F178" s="1" t="s">
        <v>30</v>
      </c>
      <c r="G178" s="1" t="s">
        <v>50</v>
      </c>
      <c r="H178" s="1" t="s">
        <v>20</v>
      </c>
      <c r="I178" s="2" t="s">
        <v>21</v>
      </c>
      <c r="J178" s="1" t="s">
        <v>22</v>
      </c>
      <c r="K178" s="1" t="s">
        <v>44</v>
      </c>
      <c r="L178" s="2" t="s">
        <v>97</v>
      </c>
      <c r="M178" s="1" t="s">
        <v>20</v>
      </c>
    </row>
    <row r="179" ht="15.75" customHeight="1">
      <c r="A179" s="2" t="s">
        <v>275</v>
      </c>
      <c r="B179" s="1" t="s">
        <v>41</v>
      </c>
      <c r="C179" s="1" t="s">
        <v>15</v>
      </c>
      <c r="D179" s="2" t="s">
        <v>276</v>
      </c>
      <c r="E179" s="2" t="s">
        <v>37</v>
      </c>
      <c r="F179" s="1" t="s">
        <v>30</v>
      </c>
      <c r="G179" s="1" t="s">
        <v>36</v>
      </c>
      <c r="H179" s="1" t="s">
        <v>25</v>
      </c>
      <c r="I179" s="2" t="s">
        <v>29</v>
      </c>
      <c r="J179" s="1" t="s">
        <v>43</v>
      </c>
      <c r="K179" s="1" t="s">
        <v>23</v>
      </c>
      <c r="L179" s="2" t="s">
        <v>125</v>
      </c>
      <c r="M179" s="1" t="s">
        <v>25</v>
      </c>
    </row>
    <row r="180" ht="15.75" customHeight="1">
      <c r="A180" s="2" t="s">
        <v>277</v>
      </c>
      <c r="B180" s="1" t="s">
        <v>14</v>
      </c>
      <c r="C180" s="1" t="s">
        <v>27</v>
      </c>
      <c r="D180" s="2" t="s">
        <v>54</v>
      </c>
      <c r="E180" s="2" t="s">
        <v>57</v>
      </c>
      <c r="F180" s="1" t="s">
        <v>30</v>
      </c>
      <c r="G180" s="1" t="s">
        <v>36</v>
      </c>
      <c r="H180" s="1" t="s">
        <v>25</v>
      </c>
      <c r="I180" s="2" t="s">
        <v>37</v>
      </c>
      <c r="J180" s="1" t="s">
        <v>69</v>
      </c>
      <c r="K180" s="1" t="s">
        <v>23</v>
      </c>
      <c r="L180" s="2" t="s">
        <v>72</v>
      </c>
      <c r="M180" s="1" t="s">
        <v>20</v>
      </c>
    </row>
    <row r="181" ht="15.75" customHeight="1">
      <c r="A181" s="2" t="s">
        <v>278</v>
      </c>
      <c r="B181" s="1" t="s">
        <v>14</v>
      </c>
      <c r="C181" s="1" t="s">
        <v>15</v>
      </c>
      <c r="D181" s="2" t="s">
        <v>49</v>
      </c>
      <c r="E181" s="2" t="s">
        <v>21</v>
      </c>
      <c r="F181" s="1" t="s">
        <v>87</v>
      </c>
      <c r="G181" s="1" t="s">
        <v>50</v>
      </c>
      <c r="H181" s="1" t="s">
        <v>20</v>
      </c>
      <c r="I181" s="2" t="s">
        <v>21</v>
      </c>
      <c r="J181" s="1" t="s">
        <v>22</v>
      </c>
      <c r="K181" s="1" t="s">
        <v>23</v>
      </c>
      <c r="L181" s="2" t="s">
        <v>153</v>
      </c>
      <c r="M181" s="1" t="s">
        <v>20</v>
      </c>
    </row>
    <row r="182" ht="15.75" customHeight="1">
      <c r="A182" s="2" t="s">
        <v>279</v>
      </c>
      <c r="B182" s="1" t="s">
        <v>41</v>
      </c>
      <c r="C182" s="1" t="s">
        <v>27</v>
      </c>
      <c r="D182" s="2" t="s">
        <v>49</v>
      </c>
      <c r="E182" s="2" t="s">
        <v>17</v>
      </c>
      <c r="F182" s="1" t="s">
        <v>87</v>
      </c>
      <c r="G182" s="1" t="s">
        <v>50</v>
      </c>
      <c r="H182" s="1" t="s">
        <v>20</v>
      </c>
      <c r="I182" s="2" t="s">
        <v>21</v>
      </c>
      <c r="J182" s="1" t="s">
        <v>22</v>
      </c>
      <c r="K182" s="1" t="s">
        <v>23</v>
      </c>
      <c r="L182" s="2" t="s">
        <v>102</v>
      </c>
      <c r="M182" s="1" t="s">
        <v>25</v>
      </c>
    </row>
    <row r="183" ht="15.75" customHeight="1">
      <c r="A183" s="2" t="s">
        <v>280</v>
      </c>
      <c r="B183" s="1" t="s">
        <v>14</v>
      </c>
      <c r="C183" s="1" t="s">
        <v>15</v>
      </c>
      <c r="D183" s="2" t="s">
        <v>28</v>
      </c>
      <c r="E183" s="2" t="s">
        <v>29</v>
      </c>
      <c r="F183" s="1" t="s">
        <v>30</v>
      </c>
      <c r="G183" s="1" t="s">
        <v>31</v>
      </c>
      <c r="H183" s="1" t="s">
        <v>25</v>
      </c>
      <c r="I183" s="2" t="s">
        <v>37</v>
      </c>
      <c r="J183" s="1" t="s">
        <v>51</v>
      </c>
      <c r="K183" s="1" t="s">
        <v>44</v>
      </c>
      <c r="L183" s="2" t="s">
        <v>72</v>
      </c>
      <c r="M183" s="1" t="s">
        <v>20</v>
      </c>
    </row>
    <row r="184" ht="15.75" customHeight="1">
      <c r="A184" s="2" t="s">
        <v>281</v>
      </c>
      <c r="B184" s="1" t="s">
        <v>14</v>
      </c>
      <c r="C184" s="1" t="s">
        <v>15</v>
      </c>
      <c r="D184" s="2" t="s">
        <v>49</v>
      </c>
      <c r="E184" s="2" t="s">
        <v>37</v>
      </c>
      <c r="F184" s="1" t="s">
        <v>55</v>
      </c>
      <c r="G184" s="1" t="s">
        <v>50</v>
      </c>
      <c r="H184" s="1" t="s">
        <v>25</v>
      </c>
      <c r="I184" s="2" t="s">
        <v>17</v>
      </c>
      <c r="J184" s="1" t="s">
        <v>22</v>
      </c>
      <c r="K184" s="1" t="s">
        <v>23</v>
      </c>
      <c r="L184" s="2" t="s">
        <v>79</v>
      </c>
      <c r="M184" s="1" t="s">
        <v>25</v>
      </c>
    </row>
    <row r="185" ht="15.75" customHeight="1">
      <c r="A185" s="2" t="s">
        <v>282</v>
      </c>
      <c r="B185" s="1" t="s">
        <v>41</v>
      </c>
      <c r="C185" s="1" t="s">
        <v>27</v>
      </c>
      <c r="D185" s="2" t="s">
        <v>16</v>
      </c>
      <c r="E185" s="2" t="s">
        <v>37</v>
      </c>
      <c r="F185" s="1" t="s">
        <v>18</v>
      </c>
      <c r="G185" s="1" t="s">
        <v>56</v>
      </c>
      <c r="H185" s="1" t="s">
        <v>20</v>
      </c>
      <c r="I185" s="2" t="s">
        <v>37</v>
      </c>
      <c r="J185" s="1" t="s">
        <v>43</v>
      </c>
      <c r="K185" s="1" t="s">
        <v>44</v>
      </c>
      <c r="L185" s="2" t="s">
        <v>128</v>
      </c>
      <c r="M185" s="1" t="s">
        <v>20</v>
      </c>
    </row>
    <row r="186" ht="15.75" customHeight="1">
      <c r="A186" s="2" t="s">
        <v>283</v>
      </c>
      <c r="B186" s="1" t="s">
        <v>14</v>
      </c>
      <c r="C186" s="1" t="s">
        <v>15</v>
      </c>
      <c r="D186" s="2" t="s">
        <v>144</v>
      </c>
      <c r="E186" s="2" t="s">
        <v>57</v>
      </c>
      <c r="F186" s="1" t="s">
        <v>55</v>
      </c>
      <c r="G186" s="1" t="s">
        <v>56</v>
      </c>
      <c r="H186" s="1" t="s">
        <v>25</v>
      </c>
      <c r="I186" s="2" t="s">
        <v>57</v>
      </c>
      <c r="J186" s="1" t="s">
        <v>69</v>
      </c>
      <c r="K186" s="1" t="s">
        <v>23</v>
      </c>
      <c r="L186" s="2" t="s">
        <v>63</v>
      </c>
      <c r="M186" s="1" t="s">
        <v>25</v>
      </c>
    </row>
    <row r="187" ht="15.75" customHeight="1">
      <c r="A187" s="2" t="s">
        <v>284</v>
      </c>
      <c r="B187" s="1" t="s">
        <v>14</v>
      </c>
      <c r="C187" s="1" t="s">
        <v>15</v>
      </c>
      <c r="D187" s="2" t="s">
        <v>68</v>
      </c>
      <c r="E187" s="2" t="s">
        <v>17</v>
      </c>
      <c r="F187" s="1" t="s">
        <v>18</v>
      </c>
      <c r="G187" s="1" t="s">
        <v>36</v>
      </c>
      <c r="H187" s="1" t="s">
        <v>20</v>
      </c>
      <c r="I187" s="2" t="s">
        <v>17</v>
      </c>
      <c r="J187" s="1" t="s">
        <v>38</v>
      </c>
      <c r="K187" s="1" t="s">
        <v>44</v>
      </c>
      <c r="L187" s="2" t="s">
        <v>83</v>
      </c>
      <c r="M187" s="1" t="s">
        <v>20</v>
      </c>
    </row>
    <row r="188" ht="15.75" customHeight="1">
      <c r="A188" s="2" t="s">
        <v>285</v>
      </c>
      <c r="B188" s="1" t="s">
        <v>14</v>
      </c>
      <c r="C188" s="1" t="s">
        <v>15</v>
      </c>
      <c r="D188" s="2" t="s">
        <v>28</v>
      </c>
      <c r="E188" s="2" t="s">
        <v>29</v>
      </c>
      <c r="F188" s="1" t="s">
        <v>55</v>
      </c>
      <c r="G188" s="1" t="s">
        <v>19</v>
      </c>
      <c r="H188" s="1" t="s">
        <v>25</v>
      </c>
      <c r="I188" s="2" t="s">
        <v>37</v>
      </c>
      <c r="J188" s="1" t="s">
        <v>51</v>
      </c>
      <c r="K188" s="1" t="s">
        <v>44</v>
      </c>
      <c r="L188" s="2" t="s">
        <v>91</v>
      </c>
      <c r="M188" s="1" t="s">
        <v>20</v>
      </c>
    </row>
    <row r="189" ht="15.75" customHeight="1">
      <c r="A189" s="2" t="s">
        <v>286</v>
      </c>
      <c r="B189" s="1" t="s">
        <v>41</v>
      </c>
      <c r="C189" s="1" t="s">
        <v>27</v>
      </c>
      <c r="D189" s="2" t="s">
        <v>34</v>
      </c>
      <c r="E189" s="2" t="s">
        <v>35</v>
      </c>
      <c r="F189" s="1" t="s">
        <v>30</v>
      </c>
      <c r="G189" s="1" t="s">
        <v>36</v>
      </c>
      <c r="H189" s="1" t="s">
        <v>25</v>
      </c>
      <c r="I189" s="2" t="s">
        <v>37</v>
      </c>
      <c r="J189" s="1" t="s">
        <v>69</v>
      </c>
      <c r="K189" s="1" t="s">
        <v>23</v>
      </c>
      <c r="L189" s="2" t="s">
        <v>81</v>
      </c>
      <c r="M189" s="1" t="s">
        <v>25</v>
      </c>
    </row>
    <row r="190" ht="15.75" customHeight="1">
      <c r="A190" s="2" t="s">
        <v>287</v>
      </c>
      <c r="B190" s="1" t="s">
        <v>14</v>
      </c>
      <c r="C190" s="1" t="s">
        <v>15</v>
      </c>
      <c r="D190" s="2" t="s">
        <v>42</v>
      </c>
      <c r="E190" s="2" t="s">
        <v>21</v>
      </c>
      <c r="F190" s="1" t="s">
        <v>18</v>
      </c>
      <c r="G190" s="1" t="s">
        <v>36</v>
      </c>
      <c r="H190" s="1" t="s">
        <v>20</v>
      </c>
      <c r="I190" s="2" t="s">
        <v>57</v>
      </c>
      <c r="J190" s="1" t="s">
        <v>69</v>
      </c>
      <c r="K190" s="1" t="s">
        <v>44</v>
      </c>
      <c r="L190" s="2" t="s">
        <v>104</v>
      </c>
      <c r="M190" s="1" t="s">
        <v>20</v>
      </c>
    </row>
    <row r="191" ht="15.75" customHeight="1">
      <c r="A191" s="2" t="s">
        <v>288</v>
      </c>
      <c r="B191" s="1" t="s">
        <v>14</v>
      </c>
      <c r="C191" s="1" t="s">
        <v>27</v>
      </c>
      <c r="D191" s="2" t="s">
        <v>28</v>
      </c>
      <c r="E191" s="2" t="s">
        <v>17</v>
      </c>
      <c r="F191" s="1" t="s">
        <v>30</v>
      </c>
      <c r="G191" s="1" t="s">
        <v>31</v>
      </c>
      <c r="H191" s="1" t="s">
        <v>20</v>
      </c>
      <c r="I191" s="2" t="s">
        <v>17</v>
      </c>
      <c r="J191" s="1" t="s">
        <v>22</v>
      </c>
      <c r="K191" s="1" t="s">
        <v>23</v>
      </c>
      <c r="L191" s="2" t="s">
        <v>102</v>
      </c>
      <c r="M191" s="1" t="s">
        <v>20</v>
      </c>
    </row>
    <row r="192" ht="15.75" customHeight="1">
      <c r="A192" s="2" t="s">
        <v>289</v>
      </c>
      <c r="B192" s="1" t="s">
        <v>14</v>
      </c>
      <c r="C192" s="1" t="s">
        <v>27</v>
      </c>
      <c r="D192" s="2" t="s">
        <v>28</v>
      </c>
      <c r="E192" s="2" t="s">
        <v>29</v>
      </c>
      <c r="F192" s="1" t="s">
        <v>55</v>
      </c>
      <c r="G192" s="1" t="s">
        <v>19</v>
      </c>
      <c r="H192" s="1" t="s">
        <v>20</v>
      </c>
      <c r="I192" s="2" t="s">
        <v>37</v>
      </c>
      <c r="J192" s="1" t="s">
        <v>43</v>
      </c>
      <c r="K192" s="1" t="s">
        <v>44</v>
      </c>
      <c r="L192" s="2" t="s">
        <v>72</v>
      </c>
      <c r="M192" s="1" t="s">
        <v>25</v>
      </c>
    </row>
    <row r="193" ht="15.75" customHeight="1">
      <c r="A193" s="2" t="s">
        <v>290</v>
      </c>
      <c r="B193" s="1" t="s">
        <v>41</v>
      </c>
      <c r="C193" s="1" t="s">
        <v>27</v>
      </c>
      <c r="E193" s="2" t="s">
        <v>37</v>
      </c>
      <c r="F193" s="1" t="s">
        <v>55</v>
      </c>
      <c r="G193" s="1" t="s">
        <v>50</v>
      </c>
      <c r="H193" s="1" t="s">
        <v>20</v>
      </c>
      <c r="I193" s="2" t="s">
        <v>21</v>
      </c>
      <c r="J193" s="1" t="s">
        <v>22</v>
      </c>
      <c r="K193" s="1" t="s">
        <v>23</v>
      </c>
      <c r="L193" s="2" t="s">
        <v>47</v>
      </c>
      <c r="M193" s="1" t="s">
        <v>20</v>
      </c>
    </row>
    <row r="194" ht="15.75" customHeight="1">
      <c r="A194" s="2" t="s">
        <v>291</v>
      </c>
      <c r="B194" s="1" t="s">
        <v>41</v>
      </c>
      <c r="C194" s="1" t="s">
        <v>15</v>
      </c>
      <c r="D194" s="2" t="s">
        <v>34</v>
      </c>
      <c r="E194" s="2" t="s">
        <v>35</v>
      </c>
      <c r="F194" s="1" t="s">
        <v>18</v>
      </c>
      <c r="G194" s="1" t="s">
        <v>56</v>
      </c>
      <c r="H194" s="1" t="s">
        <v>20</v>
      </c>
      <c r="I194" s="2" t="s">
        <v>37</v>
      </c>
      <c r="J194" s="1" t="s">
        <v>69</v>
      </c>
      <c r="K194" s="1" t="s">
        <v>23</v>
      </c>
      <c r="L194" s="2" t="s">
        <v>112</v>
      </c>
      <c r="M194" s="1" t="s">
        <v>25</v>
      </c>
    </row>
    <row r="195" ht="15.75" customHeight="1">
      <c r="A195" s="2" t="s">
        <v>292</v>
      </c>
      <c r="B195" s="1" t="s">
        <v>14</v>
      </c>
      <c r="C195" s="1" t="s">
        <v>15</v>
      </c>
      <c r="D195" s="2" t="s">
        <v>42</v>
      </c>
      <c r="E195" s="2" t="s">
        <v>35</v>
      </c>
      <c r="F195" s="1" t="s">
        <v>18</v>
      </c>
      <c r="G195" s="1" t="s">
        <v>36</v>
      </c>
      <c r="H195" s="1" t="s">
        <v>20</v>
      </c>
      <c r="I195" s="2" t="s">
        <v>57</v>
      </c>
      <c r="J195" s="1" t="s">
        <v>69</v>
      </c>
      <c r="K195" s="1" t="s">
        <v>44</v>
      </c>
      <c r="L195" s="2" t="s">
        <v>45</v>
      </c>
      <c r="M195" s="1" t="s">
        <v>25</v>
      </c>
    </row>
    <row r="196" ht="15.75" customHeight="1">
      <c r="A196" s="2" t="s">
        <v>293</v>
      </c>
      <c r="B196" s="1" t="s">
        <v>41</v>
      </c>
      <c r="C196" s="1" t="s">
        <v>15</v>
      </c>
      <c r="D196" s="2" t="s">
        <v>49</v>
      </c>
      <c r="E196" s="2" t="s">
        <v>21</v>
      </c>
      <c r="F196" s="1" t="s">
        <v>62</v>
      </c>
      <c r="G196" s="1" t="s">
        <v>50</v>
      </c>
      <c r="H196" s="1" t="s">
        <v>25</v>
      </c>
      <c r="I196" s="2" t="s">
        <v>37</v>
      </c>
      <c r="J196" s="1" t="s">
        <v>22</v>
      </c>
      <c r="K196" s="1" t="s">
        <v>23</v>
      </c>
      <c r="L196" s="2" t="s">
        <v>104</v>
      </c>
      <c r="M196" s="1" t="s">
        <v>25</v>
      </c>
    </row>
    <row r="197" ht="15.75" customHeight="1">
      <c r="A197" s="2" t="s">
        <v>294</v>
      </c>
      <c r="B197" s="1" t="s">
        <v>41</v>
      </c>
      <c r="C197" s="1" t="s">
        <v>27</v>
      </c>
      <c r="D197" s="2" t="s">
        <v>61</v>
      </c>
      <c r="E197" s="2" t="s">
        <v>21</v>
      </c>
      <c r="F197" s="1" t="s">
        <v>18</v>
      </c>
      <c r="G197" s="1" t="s">
        <v>31</v>
      </c>
      <c r="H197" s="1" t="s">
        <v>20</v>
      </c>
      <c r="I197" s="2" t="s">
        <v>21</v>
      </c>
      <c r="J197" s="1" t="s">
        <v>22</v>
      </c>
      <c r="K197" s="1" t="s">
        <v>44</v>
      </c>
      <c r="L197" s="2" t="s">
        <v>261</v>
      </c>
      <c r="M197" s="1" t="s">
        <v>20</v>
      </c>
    </row>
    <row r="198" ht="15.75" customHeight="1">
      <c r="A198" s="2" t="s">
        <v>295</v>
      </c>
      <c r="B198" s="1" t="s">
        <v>41</v>
      </c>
      <c r="C198" s="1" t="s">
        <v>15</v>
      </c>
      <c r="D198" s="2" t="s">
        <v>272</v>
      </c>
      <c r="E198" s="2" t="s">
        <v>21</v>
      </c>
      <c r="F198" s="1" t="s">
        <v>87</v>
      </c>
      <c r="G198" s="1" t="s">
        <v>19</v>
      </c>
      <c r="H198" s="1" t="s">
        <v>20</v>
      </c>
      <c r="J198" s="1" t="s">
        <v>51</v>
      </c>
      <c r="K198" s="1" t="s">
        <v>23</v>
      </c>
      <c r="L198" s="2" t="s">
        <v>47</v>
      </c>
      <c r="M198" s="1" t="s">
        <v>25</v>
      </c>
    </row>
    <row r="199" ht="15.75" customHeight="1">
      <c r="A199" s="2" t="s">
        <v>296</v>
      </c>
      <c r="B199" s="1" t="s">
        <v>14</v>
      </c>
      <c r="C199" s="1" t="s">
        <v>27</v>
      </c>
      <c r="D199" s="2" t="s">
        <v>76</v>
      </c>
      <c r="E199" s="2" t="s">
        <v>37</v>
      </c>
      <c r="F199" s="1" t="s">
        <v>87</v>
      </c>
      <c r="G199" s="1" t="s">
        <v>56</v>
      </c>
      <c r="H199" s="1" t="s">
        <v>20</v>
      </c>
      <c r="I199" s="2" t="s">
        <v>17</v>
      </c>
      <c r="J199" s="1" t="s">
        <v>22</v>
      </c>
      <c r="K199" s="1" t="s">
        <v>44</v>
      </c>
      <c r="L199" s="2" t="s">
        <v>297</v>
      </c>
      <c r="M199" s="1" t="s">
        <v>20</v>
      </c>
    </row>
    <row r="200" ht="15.75" customHeight="1">
      <c r="A200" s="2" t="s">
        <v>298</v>
      </c>
      <c r="B200" s="1" t="s">
        <v>41</v>
      </c>
      <c r="C200" s="1" t="s">
        <v>15</v>
      </c>
      <c r="D200" s="2" t="s">
        <v>99</v>
      </c>
      <c r="E200" s="2" t="s">
        <v>21</v>
      </c>
      <c r="F200" s="1" t="s">
        <v>87</v>
      </c>
      <c r="G200" s="1" t="s">
        <v>56</v>
      </c>
      <c r="H200" s="1" t="s">
        <v>25</v>
      </c>
      <c r="I200" s="2" t="s">
        <v>17</v>
      </c>
      <c r="J200" s="1" t="s">
        <v>51</v>
      </c>
      <c r="K200" s="1" t="s">
        <v>44</v>
      </c>
      <c r="L200" s="2" t="s">
        <v>135</v>
      </c>
      <c r="M200" s="1" t="s">
        <v>20</v>
      </c>
    </row>
    <row r="201" ht="15.75" customHeight="1">
      <c r="A201" s="2" t="s">
        <v>299</v>
      </c>
      <c r="B201" s="1" t="s">
        <v>41</v>
      </c>
      <c r="C201" s="1" t="s">
        <v>27</v>
      </c>
      <c r="D201" s="2" t="s">
        <v>34</v>
      </c>
      <c r="E201" s="2" t="s">
        <v>21</v>
      </c>
      <c r="F201" s="1" t="s">
        <v>18</v>
      </c>
      <c r="G201" s="1" t="s">
        <v>36</v>
      </c>
      <c r="H201" s="1" t="s">
        <v>25</v>
      </c>
      <c r="I201" s="2" t="s">
        <v>29</v>
      </c>
      <c r="J201" s="1" t="s">
        <v>69</v>
      </c>
      <c r="K201" s="1" t="s">
        <v>44</v>
      </c>
      <c r="L201" s="2" t="s">
        <v>58</v>
      </c>
      <c r="M201" s="1" t="s">
        <v>20</v>
      </c>
    </row>
    <row r="202" ht="15.75" customHeight="1">
      <c r="A202" s="2" t="s">
        <v>300</v>
      </c>
      <c r="B202" s="1" t="s">
        <v>41</v>
      </c>
      <c r="C202" s="1" t="s">
        <v>27</v>
      </c>
      <c r="D202" s="2" t="s">
        <v>76</v>
      </c>
      <c r="E202" s="2" t="s">
        <v>21</v>
      </c>
      <c r="F202" s="1" t="s">
        <v>18</v>
      </c>
      <c r="G202" s="1" t="s">
        <v>36</v>
      </c>
      <c r="H202" s="1" t="s">
        <v>25</v>
      </c>
      <c r="I202" s="2" t="s">
        <v>29</v>
      </c>
      <c r="J202" s="1" t="s">
        <v>38</v>
      </c>
      <c r="K202" s="1" t="s">
        <v>44</v>
      </c>
      <c r="L202" s="2" t="s">
        <v>109</v>
      </c>
      <c r="M202" s="1" t="s">
        <v>25</v>
      </c>
    </row>
    <row r="203" ht="15.75" customHeight="1">
      <c r="A203" s="2" t="s">
        <v>301</v>
      </c>
      <c r="B203" s="1" t="s">
        <v>14</v>
      </c>
      <c r="C203" s="1" t="s">
        <v>27</v>
      </c>
      <c r="D203" s="2" t="s">
        <v>49</v>
      </c>
      <c r="E203" s="2" t="s">
        <v>17</v>
      </c>
      <c r="F203" s="1" t="s">
        <v>55</v>
      </c>
      <c r="G203" s="1" t="s">
        <v>50</v>
      </c>
      <c r="H203" s="1" t="s">
        <v>20</v>
      </c>
      <c r="I203" s="2" t="s">
        <v>21</v>
      </c>
      <c r="J203" s="1" t="s">
        <v>38</v>
      </c>
      <c r="K203" s="1" t="s">
        <v>44</v>
      </c>
      <c r="L203" s="2" t="s">
        <v>245</v>
      </c>
      <c r="M203" s="1" t="s">
        <v>20</v>
      </c>
    </row>
    <row r="204" ht="15.75" customHeight="1">
      <c r="A204" s="2" t="s">
        <v>302</v>
      </c>
      <c r="B204" s="1" t="s">
        <v>41</v>
      </c>
      <c r="C204" s="1" t="s">
        <v>27</v>
      </c>
      <c r="D204" s="2" t="s">
        <v>16</v>
      </c>
      <c r="E204" s="2" t="s">
        <v>37</v>
      </c>
      <c r="F204" s="1" t="s">
        <v>30</v>
      </c>
      <c r="G204" s="1" t="s">
        <v>31</v>
      </c>
      <c r="H204" s="1" t="s">
        <v>20</v>
      </c>
      <c r="J204" s="1" t="s">
        <v>51</v>
      </c>
      <c r="K204" s="1" t="s">
        <v>23</v>
      </c>
      <c r="L204" s="2" t="s">
        <v>58</v>
      </c>
      <c r="M204" s="1" t="s">
        <v>20</v>
      </c>
    </row>
    <row r="205" ht="15.75" customHeight="1">
      <c r="A205" s="2" t="s">
        <v>303</v>
      </c>
      <c r="B205" s="1" t="s">
        <v>41</v>
      </c>
      <c r="C205" s="1" t="s">
        <v>15</v>
      </c>
      <c r="D205" s="2" t="s">
        <v>76</v>
      </c>
      <c r="E205" s="2" t="s">
        <v>17</v>
      </c>
      <c r="F205" s="1" t="s">
        <v>30</v>
      </c>
      <c r="G205" s="1" t="s">
        <v>19</v>
      </c>
      <c r="H205" s="1" t="s">
        <v>20</v>
      </c>
      <c r="I205" s="2" t="s">
        <v>17</v>
      </c>
      <c r="J205" s="1" t="s">
        <v>43</v>
      </c>
      <c r="K205" s="1" t="s">
        <v>44</v>
      </c>
      <c r="L205" s="2" t="s">
        <v>130</v>
      </c>
      <c r="M205" s="1" t="s">
        <v>20</v>
      </c>
    </row>
    <row r="206" ht="15.75" customHeight="1">
      <c r="A206" s="2" t="s">
        <v>304</v>
      </c>
      <c r="B206" s="1" t="s">
        <v>41</v>
      </c>
      <c r="C206" s="1" t="s">
        <v>15</v>
      </c>
      <c r="D206" s="2" t="s">
        <v>68</v>
      </c>
      <c r="E206" s="2" t="s">
        <v>29</v>
      </c>
      <c r="F206" s="1" t="s">
        <v>55</v>
      </c>
      <c r="G206" s="1" t="s">
        <v>36</v>
      </c>
      <c r="H206" s="1" t="s">
        <v>25</v>
      </c>
      <c r="I206" s="2" t="s">
        <v>17</v>
      </c>
      <c r="J206" s="1" t="s">
        <v>38</v>
      </c>
      <c r="K206" s="1" t="s">
        <v>23</v>
      </c>
      <c r="L206" s="2" t="s">
        <v>178</v>
      </c>
      <c r="M206" s="1" t="s">
        <v>25</v>
      </c>
    </row>
    <row r="207" ht="15.75" customHeight="1">
      <c r="A207" s="2" t="s">
        <v>305</v>
      </c>
      <c r="B207" s="1" t="s">
        <v>14</v>
      </c>
      <c r="C207" s="1" t="s">
        <v>27</v>
      </c>
      <c r="D207" s="2" t="s">
        <v>28</v>
      </c>
      <c r="E207" s="2" t="s">
        <v>29</v>
      </c>
      <c r="F207" s="1" t="s">
        <v>87</v>
      </c>
      <c r="G207" s="1" t="s">
        <v>31</v>
      </c>
      <c r="H207" s="1" t="s">
        <v>20</v>
      </c>
      <c r="I207" s="2" t="s">
        <v>21</v>
      </c>
      <c r="J207" s="1" t="s">
        <v>22</v>
      </c>
      <c r="K207" s="1" t="s">
        <v>23</v>
      </c>
      <c r="L207" s="2" t="s">
        <v>130</v>
      </c>
      <c r="M207" s="1" t="s">
        <v>20</v>
      </c>
    </row>
    <row r="208" ht="15.75" customHeight="1">
      <c r="A208" s="2" t="s">
        <v>306</v>
      </c>
      <c r="B208" s="1" t="s">
        <v>41</v>
      </c>
      <c r="C208" s="1" t="s">
        <v>27</v>
      </c>
      <c r="D208" s="2" t="s">
        <v>68</v>
      </c>
      <c r="E208" s="2" t="s">
        <v>35</v>
      </c>
      <c r="F208" s="1" t="s">
        <v>30</v>
      </c>
      <c r="G208" s="1" t="s">
        <v>36</v>
      </c>
      <c r="H208" s="1" t="s">
        <v>25</v>
      </c>
      <c r="I208" s="2" t="s">
        <v>37</v>
      </c>
      <c r="J208" s="1" t="s">
        <v>69</v>
      </c>
      <c r="K208" s="1" t="s">
        <v>23</v>
      </c>
      <c r="L208" s="2" t="s">
        <v>112</v>
      </c>
      <c r="M208" s="1" t="s">
        <v>25</v>
      </c>
    </row>
    <row r="209" ht="15.75" customHeight="1">
      <c r="A209" s="2" t="s">
        <v>307</v>
      </c>
      <c r="B209" s="1" t="s">
        <v>41</v>
      </c>
      <c r="C209" s="1" t="s">
        <v>15</v>
      </c>
      <c r="D209" s="2" t="s">
        <v>61</v>
      </c>
      <c r="E209" s="2" t="s">
        <v>21</v>
      </c>
      <c r="F209" s="1" t="s">
        <v>62</v>
      </c>
      <c r="G209" s="1" t="s">
        <v>50</v>
      </c>
      <c r="H209" s="1" t="s">
        <v>20</v>
      </c>
      <c r="I209" s="2" t="s">
        <v>37</v>
      </c>
      <c r="J209" s="1" t="s">
        <v>51</v>
      </c>
      <c r="K209" s="1" t="s">
        <v>23</v>
      </c>
      <c r="L209" s="2" t="s">
        <v>107</v>
      </c>
      <c r="M209" s="1" t="s">
        <v>20</v>
      </c>
    </row>
    <row r="210" ht="15.75" customHeight="1">
      <c r="A210" s="2" t="s">
        <v>308</v>
      </c>
      <c r="B210" s="1" t="s">
        <v>41</v>
      </c>
      <c r="C210" s="1" t="s">
        <v>15</v>
      </c>
      <c r="D210" s="2" t="s">
        <v>16</v>
      </c>
      <c r="E210" s="2" t="s">
        <v>21</v>
      </c>
      <c r="F210" s="1" t="s">
        <v>87</v>
      </c>
      <c r="G210" s="1" t="s">
        <v>31</v>
      </c>
      <c r="H210" s="1" t="s">
        <v>20</v>
      </c>
      <c r="I210" s="2" t="s">
        <v>21</v>
      </c>
      <c r="J210" s="1" t="s">
        <v>22</v>
      </c>
      <c r="K210" s="1" t="s">
        <v>23</v>
      </c>
      <c r="L210" s="2" t="s">
        <v>153</v>
      </c>
      <c r="M210" s="1" t="s">
        <v>20</v>
      </c>
    </row>
    <row r="211" ht="15.75" customHeight="1">
      <c r="A211" s="2" t="s">
        <v>309</v>
      </c>
      <c r="B211" s="1" t="s">
        <v>41</v>
      </c>
      <c r="C211" s="1" t="s">
        <v>15</v>
      </c>
      <c r="D211" s="2" t="s">
        <v>28</v>
      </c>
      <c r="E211" s="2" t="s">
        <v>29</v>
      </c>
      <c r="F211" s="1" t="s">
        <v>30</v>
      </c>
      <c r="G211" s="1" t="s">
        <v>31</v>
      </c>
      <c r="H211" s="1" t="s">
        <v>20</v>
      </c>
      <c r="I211" s="2" t="s">
        <v>21</v>
      </c>
      <c r="J211" s="1" t="s">
        <v>22</v>
      </c>
      <c r="K211" s="1" t="s">
        <v>23</v>
      </c>
      <c r="L211" s="2" t="s">
        <v>24</v>
      </c>
      <c r="M211" s="1" t="s">
        <v>20</v>
      </c>
    </row>
    <row r="212" ht="15.75" customHeight="1">
      <c r="A212" s="2" t="s">
        <v>310</v>
      </c>
      <c r="B212" s="1" t="s">
        <v>14</v>
      </c>
      <c r="C212" s="1" t="s">
        <v>15</v>
      </c>
      <c r="D212" s="2" t="s">
        <v>34</v>
      </c>
      <c r="E212" s="2" t="s">
        <v>57</v>
      </c>
      <c r="F212" s="1" t="s">
        <v>87</v>
      </c>
      <c r="G212" s="1" t="s">
        <v>56</v>
      </c>
      <c r="H212" s="1" t="s">
        <v>20</v>
      </c>
      <c r="I212" s="2" t="s">
        <v>17</v>
      </c>
      <c r="J212" s="1" t="s">
        <v>22</v>
      </c>
      <c r="K212" s="1" t="s">
        <v>44</v>
      </c>
      <c r="L212" s="2" t="s">
        <v>47</v>
      </c>
      <c r="M212" s="1" t="s">
        <v>25</v>
      </c>
    </row>
    <row r="213" ht="15.75" customHeight="1">
      <c r="A213" s="2" t="s">
        <v>311</v>
      </c>
      <c r="B213" s="1" t="s">
        <v>14</v>
      </c>
      <c r="C213" s="1" t="s">
        <v>15</v>
      </c>
      <c r="D213" s="2" t="s">
        <v>272</v>
      </c>
      <c r="E213" s="2" t="s">
        <v>21</v>
      </c>
      <c r="F213" s="1" t="s">
        <v>87</v>
      </c>
      <c r="G213" s="1" t="s">
        <v>19</v>
      </c>
      <c r="H213" s="1" t="s">
        <v>20</v>
      </c>
      <c r="I213" s="2" t="s">
        <v>21</v>
      </c>
      <c r="J213" s="1" t="s">
        <v>22</v>
      </c>
      <c r="K213" s="1" t="s">
        <v>23</v>
      </c>
      <c r="L213" s="2" t="s">
        <v>47</v>
      </c>
      <c r="M213" s="1" t="s">
        <v>20</v>
      </c>
    </row>
    <row r="214" ht="15.75" customHeight="1">
      <c r="A214" s="2" t="s">
        <v>312</v>
      </c>
      <c r="B214" s="1" t="s">
        <v>41</v>
      </c>
      <c r="C214" s="1" t="s">
        <v>15</v>
      </c>
      <c r="D214" s="2" t="s">
        <v>28</v>
      </c>
      <c r="E214" s="2" t="s">
        <v>21</v>
      </c>
      <c r="F214" s="1" t="s">
        <v>30</v>
      </c>
      <c r="G214" s="1" t="s">
        <v>31</v>
      </c>
      <c r="H214" s="1" t="s">
        <v>25</v>
      </c>
      <c r="I214" s="2" t="s">
        <v>17</v>
      </c>
      <c r="J214" s="1" t="s">
        <v>38</v>
      </c>
      <c r="K214" s="1" t="s">
        <v>23</v>
      </c>
      <c r="L214" s="2" t="s">
        <v>116</v>
      </c>
      <c r="M214" s="1" t="s">
        <v>25</v>
      </c>
    </row>
    <row r="215" ht="15.75" customHeight="1">
      <c r="A215" s="2" t="s">
        <v>313</v>
      </c>
      <c r="B215" s="1" t="s">
        <v>41</v>
      </c>
      <c r="C215" s="1" t="s">
        <v>27</v>
      </c>
      <c r="D215" s="2" t="s">
        <v>42</v>
      </c>
      <c r="E215" s="2" t="s">
        <v>21</v>
      </c>
      <c r="F215" s="1" t="s">
        <v>18</v>
      </c>
      <c r="G215" s="1" t="s">
        <v>36</v>
      </c>
      <c r="H215" s="1" t="s">
        <v>25</v>
      </c>
      <c r="I215" s="2" t="s">
        <v>57</v>
      </c>
      <c r="J215" s="1" t="s">
        <v>69</v>
      </c>
      <c r="K215" s="1" t="s">
        <v>44</v>
      </c>
      <c r="L215" s="2" t="s">
        <v>109</v>
      </c>
      <c r="M215" s="1" t="s">
        <v>20</v>
      </c>
    </row>
    <row r="216" ht="15.75" customHeight="1">
      <c r="A216" s="2" t="s">
        <v>314</v>
      </c>
      <c r="B216" s="1" t="s">
        <v>14</v>
      </c>
      <c r="C216" s="1" t="s">
        <v>27</v>
      </c>
      <c r="D216" s="2" t="s">
        <v>28</v>
      </c>
      <c r="E216" s="2" t="s">
        <v>17</v>
      </c>
      <c r="F216" s="1" t="s">
        <v>18</v>
      </c>
      <c r="G216" s="1" t="s">
        <v>31</v>
      </c>
      <c r="H216" s="1" t="s">
        <v>20</v>
      </c>
      <c r="I216" s="2" t="s">
        <v>21</v>
      </c>
      <c r="J216" s="1" t="s">
        <v>22</v>
      </c>
      <c r="K216" s="1" t="s">
        <v>23</v>
      </c>
      <c r="L216" s="2" t="s">
        <v>122</v>
      </c>
      <c r="M216" s="1" t="s">
        <v>20</v>
      </c>
    </row>
    <row r="217" ht="15.75" customHeight="1">
      <c r="A217" s="2" t="s">
        <v>315</v>
      </c>
      <c r="B217" s="1" t="s">
        <v>41</v>
      </c>
      <c r="C217" s="1" t="s">
        <v>27</v>
      </c>
      <c r="D217" s="2" t="s">
        <v>34</v>
      </c>
      <c r="E217" s="2" t="s">
        <v>57</v>
      </c>
      <c r="F217" s="1" t="s">
        <v>30</v>
      </c>
      <c r="G217" s="1" t="s">
        <v>36</v>
      </c>
      <c r="H217" s="1" t="s">
        <v>25</v>
      </c>
      <c r="I217" s="2" t="s">
        <v>37</v>
      </c>
      <c r="J217" s="1" t="s">
        <v>38</v>
      </c>
      <c r="K217" s="1" t="s">
        <v>23</v>
      </c>
      <c r="L217" s="2" t="s">
        <v>66</v>
      </c>
      <c r="M217" s="1" t="s">
        <v>20</v>
      </c>
    </row>
    <row r="218" ht="15.75" customHeight="1">
      <c r="A218" s="2" t="s">
        <v>316</v>
      </c>
      <c r="B218" s="1" t="s">
        <v>14</v>
      </c>
      <c r="C218" s="1" t="s">
        <v>27</v>
      </c>
      <c r="D218" s="2" t="s">
        <v>61</v>
      </c>
      <c r="E218" s="2" t="s">
        <v>37</v>
      </c>
      <c r="F218" s="1" t="s">
        <v>62</v>
      </c>
      <c r="G218" s="1" t="s">
        <v>31</v>
      </c>
      <c r="H218" s="1" t="s">
        <v>20</v>
      </c>
      <c r="I218" s="2" t="s">
        <v>29</v>
      </c>
      <c r="J218" s="1" t="s">
        <v>43</v>
      </c>
      <c r="K218" s="1" t="s">
        <v>44</v>
      </c>
      <c r="L218" s="2" t="s">
        <v>66</v>
      </c>
      <c r="M218" s="1" t="s">
        <v>25</v>
      </c>
    </row>
    <row r="219" ht="15.75" customHeight="1">
      <c r="A219" s="2" t="s">
        <v>317</v>
      </c>
      <c r="B219" s="1" t="s">
        <v>41</v>
      </c>
      <c r="C219" s="1" t="s">
        <v>15</v>
      </c>
      <c r="D219" s="2" t="s">
        <v>61</v>
      </c>
      <c r="F219" s="1" t="s">
        <v>62</v>
      </c>
      <c r="G219" s="1" t="s">
        <v>50</v>
      </c>
      <c r="H219" s="1" t="s">
        <v>25</v>
      </c>
      <c r="I219" s="2" t="s">
        <v>37</v>
      </c>
      <c r="J219" s="1" t="s">
        <v>22</v>
      </c>
      <c r="K219" s="1" t="s">
        <v>23</v>
      </c>
      <c r="L219" s="2" t="s">
        <v>261</v>
      </c>
      <c r="M219" s="1" t="s">
        <v>25</v>
      </c>
    </row>
    <row r="220" ht="15.75" customHeight="1">
      <c r="A220" s="2" t="s">
        <v>318</v>
      </c>
      <c r="B220" s="1" t="s">
        <v>41</v>
      </c>
      <c r="C220" s="1" t="s">
        <v>27</v>
      </c>
      <c r="D220" s="2" t="s">
        <v>49</v>
      </c>
      <c r="E220" s="2" t="s">
        <v>17</v>
      </c>
      <c r="F220" s="1" t="s">
        <v>18</v>
      </c>
      <c r="G220" s="1" t="s">
        <v>50</v>
      </c>
      <c r="H220" s="1" t="s">
        <v>20</v>
      </c>
      <c r="I220" s="2" t="s">
        <v>21</v>
      </c>
      <c r="J220" s="1" t="s">
        <v>22</v>
      </c>
      <c r="K220" s="1" t="s">
        <v>23</v>
      </c>
      <c r="L220" s="2" t="s">
        <v>125</v>
      </c>
      <c r="M220" s="1" t="s">
        <v>25</v>
      </c>
    </row>
    <row r="221" ht="15.75" customHeight="1">
      <c r="A221" s="2" t="s">
        <v>319</v>
      </c>
      <c r="B221" s="1" t="s">
        <v>41</v>
      </c>
      <c r="C221" s="1" t="s">
        <v>27</v>
      </c>
      <c r="D221" s="2" t="s">
        <v>49</v>
      </c>
      <c r="E221" s="2" t="s">
        <v>21</v>
      </c>
      <c r="F221" s="1" t="s">
        <v>30</v>
      </c>
      <c r="G221" s="1" t="s">
        <v>50</v>
      </c>
      <c r="H221" s="1" t="s">
        <v>20</v>
      </c>
      <c r="I221" s="2" t="s">
        <v>17</v>
      </c>
      <c r="J221" s="1" t="s">
        <v>51</v>
      </c>
      <c r="K221" s="1" t="s">
        <v>44</v>
      </c>
      <c r="L221" s="2" t="s">
        <v>107</v>
      </c>
      <c r="M221" s="1" t="s">
        <v>20</v>
      </c>
    </row>
    <row r="222" ht="15.75" customHeight="1">
      <c r="A222" s="2" t="s">
        <v>320</v>
      </c>
      <c r="B222" s="1" t="s">
        <v>14</v>
      </c>
      <c r="C222" s="1" t="s">
        <v>27</v>
      </c>
      <c r="D222" s="2" t="s">
        <v>76</v>
      </c>
      <c r="E222" s="2" t="s">
        <v>17</v>
      </c>
      <c r="F222" s="1" t="s">
        <v>18</v>
      </c>
      <c r="G222" s="1" t="s">
        <v>36</v>
      </c>
      <c r="H222" s="1" t="s">
        <v>20</v>
      </c>
      <c r="I222" s="2" t="s">
        <v>17</v>
      </c>
      <c r="J222" s="1" t="s">
        <v>43</v>
      </c>
      <c r="K222" s="1" t="s">
        <v>44</v>
      </c>
      <c r="L222" s="2" t="s">
        <v>32</v>
      </c>
      <c r="M222" s="1" t="s">
        <v>20</v>
      </c>
    </row>
    <row r="223" ht="15.75" customHeight="1">
      <c r="A223" s="2" t="s">
        <v>321</v>
      </c>
      <c r="B223" s="1" t="s">
        <v>41</v>
      </c>
      <c r="C223" s="1" t="s">
        <v>27</v>
      </c>
      <c r="D223" s="2" t="s">
        <v>49</v>
      </c>
      <c r="E223" s="2" t="s">
        <v>21</v>
      </c>
      <c r="F223" s="1" t="s">
        <v>62</v>
      </c>
      <c r="G223" s="1" t="s">
        <v>50</v>
      </c>
      <c r="H223" s="1" t="s">
        <v>25</v>
      </c>
      <c r="I223" s="2" t="s">
        <v>37</v>
      </c>
      <c r="J223" s="1" t="s">
        <v>51</v>
      </c>
      <c r="K223" s="1" t="s">
        <v>23</v>
      </c>
      <c r="L223" s="2" t="s">
        <v>74</v>
      </c>
      <c r="M223" s="1" t="s">
        <v>25</v>
      </c>
    </row>
    <row r="224" ht="15.75" customHeight="1">
      <c r="A224" s="2" t="s">
        <v>322</v>
      </c>
      <c r="B224" s="1" t="s">
        <v>14</v>
      </c>
      <c r="C224" s="1" t="s">
        <v>15</v>
      </c>
      <c r="D224" s="2" t="s">
        <v>28</v>
      </c>
      <c r="E224" s="2" t="s">
        <v>29</v>
      </c>
      <c r="F224" s="1" t="s">
        <v>30</v>
      </c>
      <c r="G224" s="1" t="s">
        <v>31</v>
      </c>
      <c r="H224" s="1" t="s">
        <v>25</v>
      </c>
      <c r="I224" s="2" t="s">
        <v>21</v>
      </c>
      <c r="J224" s="1" t="s">
        <v>22</v>
      </c>
      <c r="K224" s="1" t="s">
        <v>23</v>
      </c>
      <c r="L224" s="2" t="s">
        <v>24</v>
      </c>
      <c r="M224" s="1" t="s">
        <v>25</v>
      </c>
    </row>
    <row r="225" ht="15.75" customHeight="1">
      <c r="A225" s="2" t="s">
        <v>323</v>
      </c>
      <c r="B225" s="1" t="s">
        <v>41</v>
      </c>
      <c r="C225" s="1" t="s">
        <v>15</v>
      </c>
      <c r="D225" s="2" t="s">
        <v>42</v>
      </c>
      <c r="E225" s="2" t="s">
        <v>35</v>
      </c>
      <c r="F225" s="1" t="s">
        <v>18</v>
      </c>
      <c r="G225" s="1" t="s">
        <v>36</v>
      </c>
      <c r="H225" s="1" t="s">
        <v>20</v>
      </c>
      <c r="I225" s="2" t="s">
        <v>57</v>
      </c>
      <c r="J225" s="1" t="s">
        <v>69</v>
      </c>
      <c r="K225" s="1" t="s">
        <v>44</v>
      </c>
      <c r="L225" s="2" t="s">
        <v>135</v>
      </c>
      <c r="M225" s="1" t="s">
        <v>25</v>
      </c>
    </row>
    <row r="226" ht="15.75" customHeight="1">
      <c r="A226" s="2" t="s">
        <v>324</v>
      </c>
      <c r="B226" s="1" t="s">
        <v>14</v>
      </c>
      <c r="C226" s="1" t="s">
        <v>15</v>
      </c>
      <c r="D226" s="2" t="s">
        <v>28</v>
      </c>
      <c r="E226" s="2" t="s">
        <v>37</v>
      </c>
      <c r="F226" s="1" t="s">
        <v>30</v>
      </c>
      <c r="G226" s="1" t="s">
        <v>31</v>
      </c>
      <c r="H226" s="1" t="s">
        <v>25</v>
      </c>
      <c r="I226" s="2" t="s">
        <v>37</v>
      </c>
      <c r="J226" s="1" t="s">
        <v>22</v>
      </c>
      <c r="K226" s="1" t="s">
        <v>44</v>
      </c>
      <c r="L226" s="2" t="s">
        <v>297</v>
      </c>
      <c r="M226" s="1" t="s">
        <v>25</v>
      </c>
    </row>
    <row r="227" ht="15.75" customHeight="1">
      <c r="A227" s="2" t="s">
        <v>325</v>
      </c>
      <c r="B227" s="1" t="s">
        <v>14</v>
      </c>
      <c r="C227" s="1" t="s">
        <v>27</v>
      </c>
      <c r="D227" s="2" t="s">
        <v>61</v>
      </c>
      <c r="E227" s="2" t="s">
        <v>17</v>
      </c>
      <c r="F227" s="1" t="s">
        <v>30</v>
      </c>
      <c r="G227" s="1" t="s">
        <v>50</v>
      </c>
      <c r="H227" s="1" t="s">
        <v>20</v>
      </c>
      <c r="I227" s="2" t="s">
        <v>21</v>
      </c>
      <c r="J227" s="1" t="s">
        <v>51</v>
      </c>
      <c r="K227" s="1" t="s">
        <v>23</v>
      </c>
      <c r="M227" s="1" t="s">
        <v>25</v>
      </c>
    </row>
    <row r="228" ht="15.75" customHeight="1">
      <c r="A228" s="2" t="s">
        <v>326</v>
      </c>
      <c r="B228" s="1" t="s">
        <v>41</v>
      </c>
      <c r="C228" s="1" t="s">
        <v>15</v>
      </c>
      <c r="D228" s="2" t="s">
        <v>61</v>
      </c>
      <c r="E228" s="2" t="s">
        <v>29</v>
      </c>
      <c r="F228" s="1" t="s">
        <v>55</v>
      </c>
      <c r="G228" s="1" t="s">
        <v>50</v>
      </c>
      <c r="H228" s="1" t="s">
        <v>20</v>
      </c>
      <c r="I228" s="2" t="s">
        <v>17</v>
      </c>
      <c r="J228" s="1" t="s">
        <v>22</v>
      </c>
      <c r="K228" s="1" t="s">
        <v>23</v>
      </c>
      <c r="L228" s="2" t="s">
        <v>24</v>
      </c>
      <c r="M228" s="1" t="s">
        <v>20</v>
      </c>
    </row>
    <row r="229" ht="15.75" customHeight="1">
      <c r="A229" s="2" t="s">
        <v>327</v>
      </c>
      <c r="B229" s="1" t="s">
        <v>14</v>
      </c>
      <c r="C229" s="1" t="s">
        <v>27</v>
      </c>
      <c r="D229" s="2" t="s">
        <v>49</v>
      </c>
      <c r="E229" s="2" t="s">
        <v>29</v>
      </c>
      <c r="F229" s="1" t="s">
        <v>62</v>
      </c>
      <c r="G229" s="1" t="s">
        <v>50</v>
      </c>
      <c r="H229" s="1" t="s">
        <v>20</v>
      </c>
      <c r="I229" s="2" t="s">
        <v>37</v>
      </c>
      <c r="J229" s="1" t="s">
        <v>22</v>
      </c>
      <c r="K229" s="1" t="s">
        <v>23</v>
      </c>
      <c r="L229" s="2" t="s">
        <v>32</v>
      </c>
      <c r="M229" s="1" t="s">
        <v>25</v>
      </c>
    </row>
    <row r="230" ht="15.75" customHeight="1">
      <c r="A230" s="2" t="s">
        <v>328</v>
      </c>
      <c r="B230" s="1" t="s">
        <v>14</v>
      </c>
      <c r="C230" s="1" t="s">
        <v>15</v>
      </c>
      <c r="D230" s="2" t="s">
        <v>61</v>
      </c>
      <c r="E230" s="2" t="s">
        <v>17</v>
      </c>
      <c r="F230" s="1" t="s">
        <v>87</v>
      </c>
      <c r="G230" s="1" t="s">
        <v>31</v>
      </c>
      <c r="H230" s="1" t="s">
        <v>20</v>
      </c>
      <c r="I230" s="2" t="s">
        <v>21</v>
      </c>
      <c r="J230" s="1" t="s">
        <v>22</v>
      </c>
      <c r="K230" s="1" t="s">
        <v>23</v>
      </c>
      <c r="L230" s="2" t="s">
        <v>77</v>
      </c>
      <c r="M230" s="1" t="s">
        <v>25</v>
      </c>
    </row>
    <row r="231" ht="15.75" customHeight="1">
      <c r="A231" s="2" t="s">
        <v>329</v>
      </c>
      <c r="B231" s="1" t="s">
        <v>41</v>
      </c>
      <c r="C231" s="1" t="s">
        <v>27</v>
      </c>
      <c r="D231" s="2" t="s">
        <v>34</v>
      </c>
      <c r="E231" s="2" t="s">
        <v>35</v>
      </c>
      <c r="F231" s="1" t="s">
        <v>55</v>
      </c>
      <c r="G231" s="1" t="s">
        <v>56</v>
      </c>
      <c r="H231" s="1" t="s">
        <v>20</v>
      </c>
      <c r="I231" s="2" t="s">
        <v>29</v>
      </c>
      <c r="J231" s="1" t="s">
        <v>69</v>
      </c>
      <c r="K231" s="1" t="s">
        <v>23</v>
      </c>
      <c r="L231" s="2" t="s">
        <v>330</v>
      </c>
      <c r="M231" s="1" t="s">
        <v>25</v>
      </c>
    </row>
    <row r="232" ht="15.75" customHeight="1">
      <c r="A232" s="2" t="s">
        <v>331</v>
      </c>
      <c r="B232" s="1" t="s">
        <v>14</v>
      </c>
      <c r="C232" s="1" t="s">
        <v>27</v>
      </c>
      <c r="D232" s="2" t="s">
        <v>161</v>
      </c>
      <c r="E232" s="2" t="s">
        <v>57</v>
      </c>
      <c r="F232" s="1" t="s">
        <v>30</v>
      </c>
      <c r="G232" s="1" t="s">
        <v>56</v>
      </c>
      <c r="H232" s="1" t="s">
        <v>20</v>
      </c>
      <c r="I232" s="2" t="s">
        <v>29</v>
      </c>
      <c r="J232" s="1" t="s">
        <v>69</v>
      </c>
      <c r="K232" s="1" t="s">
        <v>23</v>
      </c>
      <c r="L232" s="2" t="s">
        <v>91</v>
      </c>
      <c r="M232" s="1" t="s">
        <v>25</v>
      </c>
    </row>
    <row r="233" ht="15.75" customHeight="1">
      <c r="A233" s="2" t="s">
        <v>332</v>
      </c>
      <c r="B233" s="1" t="s">
        <v>14</v>
      </c>
      <c r="C233" s="1" t="s">
        <v>15</v>
      </c>
      <c r="D233" s="2" t="s">
        <v>16</v>
      </c>
      <c r="E233" s="2" t="s">
        <v>21</v>
      </c>
      <c r="F233" s="1" t="s">
        <v>18</v>
      </c>
      <c r="G233" s="1" t="s">
        <v>31</v>
      </c>
      <c r="H233" s="1" t="s">
        <v>20</v>
      </c>
      <c r="I233" s="2" t="s">
        <v>21</v>
      </c>
      <c r="J233" s="1" t="s">
        <v>22</v>
      </c>
      <c r="K233" s="1" t="s">
        <v>23</v>
      </c>
      <c r="L233" s="2" t="s">
        <v>79</v>
      </c>
      <c r="M233" s="1" t="s">
        <v>20</v>
      </c>
    </row>
    <row r="234" ht="15.75" customHeight="1">
      <c r="A234" s="2" t="s">
        <v>333</v>
      </c>
      <c r="B234" s="1" t="s">
        <v>14</v>
      </c>
      <c r="C234" s="1" t="s">
        <v>15</v>
      </c>
      <c r="D234" s="2" t="s">
        <v>28</v>
      </c>
      <c r="E234" s="2" t="s">
        <v>57</v>
      </c>
      <c r="F234" s="1" t="s">
        <v>87</v>
      </c>
      <c r="G234" s="1" t="s">
        <v>31</v>
      </c>
      <c r="H234" s="1" t="s">
        <v>20</v>
      </c>
      <c r="I234" s="2" t="s">
        <v>21</v>
      </c>
      <c r="J234" s="1" t="s">
        <v>22</v>
      </c>
      <c r="K234" s="1" t="s">
        <v>23</v>
      </c>
      <c r="L234" s="2" t="s">
        <v>77</v>
      </c>
      <c r="M234" s="1" t="s">
        <v>25</v>
      </c>
    </row>
    <row r="235" ht="15.75" customHeight="1">
      <c r="A235" s="2" t="s">
        <v>334</v>
      </c>
      <c r="B235" s="1" t="s">
        <v>14</v>
      </c>
      <c r="C235" s="1" t="s">
        <v>27</v>
      </c>
      <c r="D235" s="2" t="s">
        <v>61</v>
      </c>
      <c r="E235" s="2" t="s">
        <v>21</v>
      </c>
      <c r="F235" s="1" t="s">
        <v>18</v>
      </c>
      <c r="G235" s="1" t="s">
        <v>31</v>
      </c>
      <c r="H235" s="1" t="s">
        <v>20</v>
      </c>
      <c r="I235" s="2" t="s">
        <v>21</v>
      </c>
      <c r="J235" s="1" t="s">
        <v>22</v>
      </c>
      <c r="K235" s="1" t="s">
        <v>44</v>
      </c>
      <c r="L235" s="2" t="s">
        <v>245</v>
      </c>
      <c r="M235" s="1" t="s">
        <v>20</v>
      </c>
    </row>
    <row r="236" ht="15.75" customHeight="1">
      <c r="A236" s="2" t="s">
        <v>335</v>
      </c>
      <c r="C236" s="1" t="s">
        <v>27</v>
      </c>
      <c r="D236" s="2" t="s">
        <v>68</v>
      </c>
      <c r="E236" s="2" t="s">
        <v>21</v>
      </c>
      <c r="F236" s="1" t="s">
        <v>18</v>
      </c>
      <c r="G236" s="1" t="s">
        <v>36</v>
      </c>
      <c r="H236" s="1" t="s">
        <v>25</v>
      </c>
      <c r="I236" s="2" t="s">
        <v>57</v>
      </c>
      <c r="J236" s="1" t="s">
        <v>69</v>
      </c>
      <c r="K236" s="1" t="s">
        <v>44</v>
      </c>
      <c r="L236" s="2" t="s">
        <v>74</v>
      </c>
      <c r="M236" s="1" t="s">
        <v>20</v>
      </c>
    </row>
    <row r="237" ht="15.75" customHeight="1">
      <c r="A237" s="2" t="s">
        <v>336</v>
      </c>
      <c r="B237" s="1" t="s">
        <v>14</v>
      </c>
      <c r="C237" s="1" t="s">
        <v>15</v>
      </c>
      <c r="D237" s="2" t="s">
        <v>49</v>
      </c>
      <c r="E237" s="2" t="s">
        <v>17</v>
      </c>
      <c r="F237" s="1" t="s">
        <v>87</v>
      </c>
      <c r="G237" s="1" t="s">
        <v>31</v>
      </c>
      <c r="H237" s="1" t="s">
        <v>20</v>
      </c>
      <c r="I237" s="2" t="s">
        <v>21</v>
      </c>
      <c r="J237" s="1" t="s">
        <v>22</v>
      </c>
      <c r="K237" s="1" t="s">
        <v>23</v>
      </c>
      <c r="L237" s="2" t="s">
        <v>337</v>
      </c>
      <c r="M237" s="1" t="s">
        <v>20</v>
      </c>
    </row>
    <row r="238" ht="15.75" customHeight="1">
      <c r="A238" s="2" t="s">
        <v>338</v>
      </c>
      <c r="B238" s="1" t="s">
        <v>41</v>
      </c>
      <c r="C238" s="1" t="s">
        <v>15</v>
      </c>
      <c r="D238" s="2" t="s">
        <v>28</v>
      </c>
      <c r="E238" s="2" t="s">
        <v>35</v>
      </c>
      <c r="F238" s="1" t="s">
        <v>87</v>
      </c>
      <c r="G238" s="1" t="s">
        <v>31</v>
      </c>
      <c r="H238" s="1" t="s">
        <v>20</v>
      </c>
      <c r="I238" s="2" t="s">
        <v>21</v>
      </c>
      <c r="J238" s="1" t="s">
        <v>22</v>
      </c>
      <c r="K238" s="1" t="s">
        <v>23</v>
      </c>
      <c r="L238" s="2" t="s">
        <v>102</v>
      </c>
      <c r="M238" s="1" t="s">
        <v>20</v>
      </c>
    </row>
    <row r="239" ht="15.75" customHeight="1">
      <c r="A239" s="2" t="s">
        <v>339</v>
      </c>
      <c r="B239" s="1" t="s">
        <v>14</v>
      </c>
      <c r="C239" s="1" t="s">
        <v>15</v>
      </c>
      <c r="D239" s="2" t="s">
        <v>49</v>
      </c>
      <c r="E239" s="2" t="s">
        <v>21</v>
      </c>
      <c r="F239" s="1" t="s">
        <v>30</v>
      </c>
      <c r="G239" s="1" t="s">
        <v>50</v>
      </c>
      <c r="H239" s="1" t="s">
        <v>25</v>
      </c>
      <c r="I239" s="2" t="s">
        <v>17</v>
      </c>
      <c r="J239" s="1" t="s">
        <v>22</v>
      </c>
      <c r="K239" s="1" t="s">
        <v>44</v>
      </c>
      <c r="L239" s="2" t="s">
        <v>107</v>
      </c>
      <c r="M239" s="1" t="s">
        <v>20</v>
      </c>
    </row>
    <row r="240" ht="15.75" customHeight="1">
      <c r="A240" s="2" t="s">
        <v>340</v>
      </c>
      <c r="B240" s="1" t="s">
        <v>14</v>
      </c>
      <c r="C240" s="1" t="s">
        <v>27</v>
      </c>
      <c r="D240" s="2" t="s">
        <v>42</v>
      </c>
      <c r="E240" s="2" t="s">
        <v>35</v>
      </c>
      <c r="F240" s="1" t="s">
        <v>30</v>
      </c>
      <c r="G240" s="1" t="s">
        <v>19</v>
      </c>
      <c r="H240" s="1" t="s">
        <v>20</v>
      </c>
      <c r="I240" s="2" t="s">
        <v>29</v>
      </c>
      <c r="J240" s="1" t="s">
        <v>43</v>
      </c>
      <c r="K240" s="1" t="s">
        <v>44</v>
      </c>
      <c r="L240" s="2" t="s">
        <v>130</v>
      </c>
      <c r="M240" s="1" t="s">
        <v>25</v>
      </c>
    </row>
    <row r="241" ht="15.75" customHeight="1">
      <c r="A241" s="2" t="s">
        <v>341</v>
      </c>
      <c r="B241" s="1" t="s">
        <v>41</v>
      </c>
      <c r="C241" s="1" t="s">
        <v>15</v>
      </c>
      <c r="D241" s="2" t="s">
        <v>28</v>
      </c>
      <c r="E241" s="2" t="s">
        <v>21</v>
      </c>
      <c r="F241" s="1" t="s">
        <v>55</v>
      </c>
      <c r="G241" s="1" t="s">
        <v>50</v>
      </c>
      <c r="H241" s="1" t="s">
        <v>25</v>
      </c>
      <c r="I241" s="2" t="s">
        <v>17</v>
      </c>
      <c r="J241" s="1" t="s">
        <v>38</v>
      </c>
      <c r="K241" s="1" t="s">
        <v>23</v>
      </c>
      <c r="L241" s="2" t="s">
        <v>93</v>
      </c>
      <c r="M241" s="1" t="s">
        <v>20</v>
      </c>
    </row>
    <row r="242" ht="15.75" customHeight="1">
      <c r="A242" s="2" t="s">
        <v>342</v>
      </c>
      <c r="B242" s="1" t="s">
        <v>14</v>
      </c>
      <c r="C242" s="1" t="s">
        <v>27</v>
      </c>
      <c r="D242" s="2" t="s">
        <v>49</v>
      </c>
      <c r="E242" s="2" t="s">
        <v>17</v>
      </c>
      <c r="F242" s="1" t="s">
        <v>87</v>
      </c>
      <c r="G242" s="1" t="s">
        <v>50</v>
      </c>
      <c r="H242" s="1" t="s">
        <v>20</v>
      </c>
      <c r="I242" s="2" t="s">
        <v>21</v>
      </c>
      <c r="J242" s="1" t="s">
        <v>22</v>
      </c>
      <c r="K242" s="1" t="s">
        <v>23</v>
      </c>
      <c r="L242" s="2" t="s">
        <v>153</v>
      </c>
      <c r="M242" s="1" t="s">
        <v>25</v>
      </c>
    </row>
    <row r="243" ht="15.75" customHeight="1">
      <c r="A243" s="2" t="s">
        <v>343</v>
      </c>
      <c r="B243" s="1" t="s">
        <v>41</v>
      </c>
      <c r="C243" s="1" t="s">
        <v>15</v>
      </c>
      <c r="D243" s="2" t="s">
        <v>28</v>
      </c>
      <c r="E243" s="2" t="s">
        <v>29</v>
      </c>
      <c r="F243" s="1" t="s">
        <v>30</v>
      </c>
      <c r="G243" s="1" t="s">
        <v>31</v>
      </c>
      <c r="H243" s="1" t="s">
        <v>20</v>
      </c>
      <c r="I243" s="2" t="s">
        <v>37</v>
      </c>
      <c r="J243" s="1" t="s">
        <v>22</v>
      </c>
      <c r="K243" s="1" t="s">
        <v>23</v>
      </c>
      <c r="L243" s="2" t="s">
        <v>245</v>
      </c>
      <c r="M243" s="1" t="s">
        <v>25</v>
      </c>
    </row>
    <row r="244" ht="15.75" customHeight="1">
      <c r="A244" s="2" t="s">
        <v>344</v>
      </c>
      <c r="B244" s="1" t="s">
        <v>41</v>
      </c>
      <c r="C244" s="1" t="s">
        <v>27</v>
      </c>
      <c r="D244" s="2" t="s">
        <v>28</v>
      </c>
      <c r="E244" s="2" t="s">
        <v>17</v>
      </c>
      <c r="F244" s="1" t="s">
        <v>18</v>
      </c>
      <c r="G244" s="1" t="s">
        <v>31</v>
      </c>
      <c r="H244" s="1" t="s">
        <v>25</v>
      </c>
      <c r="I244" s="2" t="s">
        <v>17</v>
      </c>
      <c r="J244" s="1" t="s">
        <v>22</v>
      </c>
      <c r="K244" s="1" t="s">
        <v>23</v>
      </c>
      <c r="L244" s="2" t="s">
        <v>135</v>
      </c>
      <c r="M244" s="1" t="s">
        <v>20</v>
      </c>
    </row>
    <row r="245" ht="15.75" customHeight="1">
      <c r="A245" s="2" t="s">
        <v>345</v>
      </c>
      <c r="B245" s="1" t="s">
        <v>41</v>
      </c>
      <c r="C245" s="1" t="s">
        <v>15</v>
      </c>
      <c r="D245" s="2" t="s">
        <v>61</v>
      </c>
      <c r="E245" s="2" t="s">
        <v>21</v>
      </c>
      <c r="F245" s="1" t="s">
        <v>55</v>
      </c>
      <c r="G245" s="1" t="s">
        <v>50</v>
      </c>
      <c r="H245" s="1" t="s">
        <v>25</v>
      </c>
      <c r="I245" s="2" t="s">
        <v>17</v>
      </c>
      <c r="J245" s="1" t="s">
        <v>38</v>
      </c>
      <c r="K245" s="1" t="s">
        <v>23</v>
      </c>
      <c r="L245" s="2" t="s">
        <v>97</v>
      </c>
      <c r="M245" s="1" t="s">
        <v>25</v>
      </c>
    </row>
    <row r="246" ht="15.75" customHeight="1">
      <c r="A246" s="2" t="s">
        <v>346</v>
      </c>
      <c r="B246" s="1" t="s">
        <v>14</v>
      </c>
      <c r="C246" s="1" t="s">
        <v>15</v>
      </c>
      <c r="D246" s="2" t="s">
        <v>161</v>
      </c>
      <c r="E246" s="2" t="s">
        <v>29</v>
      </c>
      <c r="F246" s="1" t="s">
        <v>18</v>
      </c>
      <c r="G246" s="1" t="s">
        <v>56</v>
      </c>
      <c r="H246" s="1" t="s">
        <v>25</v>
      </c>
      <c r="I246" s="2" t="s">
        <v>37</v>
      </c>
      <c r="J246" s="1" t="s">
        <v>69</v>
      </c>
      <c r="K246" s="1" t="s">
        <v>23</v>
      </c>
      <c r="L246" s="2" t="s">
        <v>132</v>
      </c>
      <c r="M246" s="1" t="s">
        <v>20</v>
      </c>
    </row>
    <row r="247" ht="15.75" customHeight="1">
      <c r="A247" s="2" t="s">
        <v>347</v>
      </c>
      <c r="B247" s="1" t="s">
        <v>14</v>
      </c>
      <c r="C247" s="1" t="s">
        <v>27</v>
      </c>
      <c r="D247" s="2" t="s">
        <v>276</v>
      </c>
      <c r="E247" s="2" t="s">
        <v>35</v>
      </c>
      <c r="F247" s="1" t="s">
        <v>18</v>
      </c>
      <c r="G247" s="1" t="s">
        <v>56</v>
      </c>
      <c r="H247" s="1" t="s">
        <v>20</v>
      </c>
      <c r="I247" s="2" t="s">
        <v>57</v>
      </c>
      <c r="J247" s="1" t="s">
        <v>38</v>
      </c>
      <c r="K247" s="1" t="s">
        <v>44</v>
      </c>
      <c r="L247" s="2" t="s">
        <v>125</v>
      </c>
      <c r="M247" s="1" t="s">
        <v>20</v>
      </c>
    </row>
    <row r="248" ht="15.75" customHeight="1">
      <c r="A248" s="2" t="s">
        <v>348</v>
      </c>
      <c r="B248" s="1" t="s">
        <v>14</v>
      </c>
      <c r="C248" s="1" t="s">
        <v>15</v>
      </c>
      <c r="D248" s="2" t="s">
        <v>144</v>
      </c>
      <c r="E248" s="2" t="s">
        <v>29</v>
      </c>
      <c r="F248" s="1" t="s">
        <v>30</v>
      </c>
      <c r="G248" s="1" t="s">
        <v>36</v>
      </c>
      <c r="H248" s="1" t="s">
        <v>20</v>
      </c>
      <c r="I248" s="2" t="s">
        <v>29</v>
      </c>
      <c r="J248" s="1" t="s">
        <v>22</v>
      </c>
      <c r="K248" s="1" t="s">
        <v>23</v>
      </c>
      <c r="L248" s="2" t="s">
        <v>178</v>
      </c>
      <c r="M248" s="1" t="s">
        <v>20</v>
      </c>
    </row>
    <row r="249" ht="15.75" customHeight="1">
      <c r="A249" s="2" t="s">
        <v>349</v>
      </c>
      <c r="B249" s="1" t="s">
        <v>14</v>
      </c>
      <c r="C249" s="1" t="s">
        <v>15</v>
      </c>
      <c r="D249" s="2" t="s">
        <v>99</v>
      </c>
      <c r="E249" s="2" t="s">
        <v>21</v>
      </c>
      <c r="F249" s="1" t="s">
        <v>55</v>
      </c>
      <c r="G249" s="1" t="s">
        <v>56</v>
      </c>
      <c r="H249" s="1" t="s">
        <v>20</v>
      </c>
      <c r="I249" s="2" t="s">
        <v>57</v>
      </c>
      <c r="J249" s="1" t="s">
        <v>69</v>
      </c>
      <c r="K249" s="1" t="s">
        <v>44</v>
      </c>
      <c r="L249" s="2" t="s">
        <v>93</v>
      </c>
      <c r="M249" s="1" t="s">
        <v>20</v>
      </c>
    </row>
    <row r="250" ht="15.75" customHeight="1">
      <c r="A250" s="2" t="s">
        <v>350</v>
      </c>
      <c r="B250" s="1" t="s">
        <v>14</v>
      </c>
      <c r="C250" s="1" t="s">
        <v>15</v>
      </c>
      <c r="D250" s="2" t="s">
        <v>49</v>
      </c>
      <c r="E250" s="2" t="s">
        <v>35</v>
      </c>
      <c r="F250" s="1" t="s">
        <v>55</v>
      </c>
      <c r="G250" s="1" t="s">
        <v>19</v>
      </c>
      <c r="H250" s="1" t="s">
        <v>25</v>
      </c>
      <c r="I250" s="2" t="s">
        <v>29</v>
      </c>
      <c r="J250" s="1" t="s">
        <v>51</v>
      </c>
      <c r="K250" s="1" t="s">
        <v>44</v>
      </c>
      <c r="L250" s="2" t="s">
        <v>112</v>
      </c>
      <c r="M250" s="1" t="s">
        <v>25</v>
      </c>
    </row>
    <row r="251" ht="15.75" customHeight="1">
      <c r="A251" s="2" t="s">
        <v>351</v>
      </c>
      <c r="B251" s="1" t="s">
        <v>41</v>
      </c>
      <c r="C251" s="1" t="s">
        <v>27</v>
      </c>
      <c r="D251" s="2" t="s">
        <v>42</v>
      </c>
      <c r="E251" s="2" t="s">
        <v>21</v>
      </c>
      <c r="F251" s="1" t="s">
        <v>18</v>
      </c>
      <c r="G251" s="1" t="s">
        <v>36</v>
      </c>
      <c r="H251" s="1" t="s">
        <v>20</v>
      </c>
      <c r="I251" s="2" t="s">
        <v>17</v>
      </c>
      <c r="J251" s="1" t="s">
        <v>43</v>
      </c>
      <c r="K251" s="1" t="s">
        <v>44</v>
      </c>
      <c r="L251" s="2" t="s">
        <v>153</v>
      </c>
      <c r="M251" s="1" t="s">
        <v>20</v>
      </c>
    </row>
    <row r="252" ht="15.75" customHeight="1">
      <c r="A252" s="2" t="s">
        <v>352</v>
      </c>
      <c r="B252" s="1" t="s">
        <v>14</v>
      </c>
      <c r="C252" s="1" t="s">
        <v>27</v>
      </c>
      <c r="D252" s="2" t="s">
        <v>99</v>
      </c>
      <c r="E252" s="2" t="s">
        <v>35</v>
      </c>
      <c r="F252" s="1" t="s">
        <v>87</v>
      </c>
      <c r="G252" s="1" t="s">
        <v>56</v>
      </c>
      <c r="H252" s="1" t="s">
        <v>25</v>
      </c>
      <c r="I252" s="2" t="s">
        <v>17</v>
      </c>
      <c r="J252" s="1" t="s">
        <v>51</v>
      </c>
      <c r="K252" s="1" t="s">
        <v>44</v>
      </c>
      <c r="L252" s="2" t="s">
        <v>353</v>
      </c>
      <c r="M252" s="1" t="s">
        <v>20</v>
      </c>
    </row>
    <row r="253" ht="15.75" customHeight="1">
      <c r="A253" s="2" t="s">
        <v>354</v>
      </c>
      <c r="B253" s="1" t="s">
        <v>14</v>
      </c>
      <c r="C253" s="1" t="s">
        <v>27</v>
      </c>
      <c r="D253" s="2" t="s">
        <v>144</v>
      </c>
      <c r="E253" s="2" t="s">
        <v>57</v>
      </c>
      <c r="F253" s="1" t="s">
        <v>55</v>
      </c>
      <c r="G253" s="1" t="s">
        <v>36</v>
      </c>
      <c r="H253" s="1" t="s">
        <v>20</v>
      </c>
      <c r="I253" s="2" t="s">
        <v>29</v>
      </c>
      <c r="J253" s="1" t="s">
        <v>22</v>
      </c>
      <c r="K253" s="1" t="s">
        <v>23</v>
      </c>
      <c r="L253" s="2" t="s">
        <v>72</v>
      </c>
      <c r="M253" s="1" t="s">
        <v>25</v>
      </c>
    </row>
    <row r="254" ht="15.75" customHeight="1">
      <c r="A254" s="2" t="s">
        <v>355</v>
      </c>
      <c r="B254" s="1" t="s">
        <v>41</v>
      </c>
      <c r="C254" s="1" t="s">
        <v>27</v>
      </c>
      <c r="D254" s="2" t="s">
        <v>76</v>
      </c>
      <c r="E254" s="2" t="s">
        <v>21</v>
      </c>
      <c r="F254" s="1" t="s">
        <v>18</v>
      </c>
      <c r="G254" s="1" t="s">
        <v>36</v>
      </c>
      <c r="H254" s="1" t="s">
        <v>25</v>
      </c>
      <c r="I254" s="2" t="s">
        <v>57</v>
      </c>
      <c r="J254" s="1" t="s">
        <v>38</v>
      </c>
      <c r="K254" s="1" t="s">
        <v>44</v>
      </c>
      <c r="L254" s="2" t="s">
        <v>109</v>
      </c>
      <c r="M254" s="1" t="s">
        <v>25</v>
      </c>
    </row>
    <row r="255" ht="15.75" customHeight="1">
      <c r="A255" s="2" t="s">
        <v>356</v>
      </c>
      <c r="B255" s="1" t="s">
        <v>14</v>
      </c>
      <c r="C255" s="1" t="s">
        <v>27</v>
      </c>
      <c r="D255" s="2" t="s">
        <v>99</v>
      </c>
      <c r="E255" s="2" t="s">
        <v>29</v>
      </c>
      <c r="F255" s="1" t="s">
        <v>62</v>
      </c>
      <c r="G255" s="1" t="s">
        <v>36</v>
      </c>
      <c r="H255" s="1" t="s">
        <v>20</v>
      </c>
      <c r="I255" s="2" t="s">
        <v>21</v>
      </c>
      <c r="J255" s="1" t="s">
        <v>69</v>
      </c>
      <c r="K255" s="1" t="s">
        <v>23</v>
      </c>
      <c r="L255" s="2" t="s">
        <v>81</v>
      </c>
      <c r="M255" s="1" t="s">
        <v>20</v>
      </c>
    </row>
    <row r="256" ht="15.75" customHeight="1">
      <c r="A256" s="2" t="s">
        <v>357</v>
      </c>
      <c r="B256" s="1" t="s">
        <v>41</v>
      </c>
      <c r="C256" s="1" t="s">
        <v>27</v>
      </c>
      <c r="D256" s="2" t="s">
        <v>61</v>
      </c>
      <c r="E256" s="2" t="s">
        <v>37</v>
      </c>
      <c r="F256" s="1" t="s">
        <v>62</v>
      </c>
      <c r="G256" s="1" t="s">
        <v>31</v>
      </c>
      <c r="H256" s="1" t="s">
        <v>20</v>
      </c>
      <c r="I256" s="2" t="s">
        <v>37</v>
      </c>
      <c r="J256" s="1" t="s">
        <v>43</v>
      </c>
      <c r="K256" s="1" t="s">
        <v>44</v>
      </c>
      <c r="L256" s="2" t="s">
        <v>330</v>
      </c>
      <c r="M256" s="1" t="s">
        <v>25</v>
      </c>
    </row>
    <row r="257" ht="15.75" customHeight="1">
      <c r="A257" s="2" t="s">
        <v>358</v>
      </c>
      <c r="B257" s="1" t="s">
        <v>41</v>
      </c>
      <c r="C257" s="1" t="s">
        <v>15</v>
      </c>
      <c r="D257" s="2" t="s">
        <v>28</v>
      </c>
      <c r="E257" s="2" t="s">
        <v>29</v>
      </c>
      <c r="F257" s="1" t="s">
        <v>87</v>
      </c>
      <c r="G257" s="1" t="s">
        <v>31</v>
      </c>
      <c r="H257" s="1" t="s">
        <v>20</v>
      </c>
      <c r="I257" s="2" t="s">
        <v>21</v>
      </c>
      <c r="J257" s="1" t="s">
        <v>22</v>
      </c>
      <c r="K257" s="1" t="s">
        <v>23</v>
      </c>
      <c r="L257" s="2" t="s">
        <v>83</v>
      </c>
      <c r="M257" s="1" t="s">
        <v>20</v>
      </c>
    </row>
    <row r="258" ht="15.75" customHeight="1">
      <c r="A258" s="2" t="s">
        <v>359</v>
      </c>
      <c r="B258" s="1" t="s">
        <v>14</v>
      </c>
      <c r="C258" s="1" t="s">
        <v>27</v>
      </c>
      <c r="D258" s="2" t="s">
        <v>61</v>
      </c>
      <c r="E258" s="2" t="s">
        <v>17</v>
      </c>
      <c r="F258" s="1" t="s">
        <v>87</v>
      </c>
      <c r="G258" s="1" t="s">
        <v>31</v>
      </c>
      <c r="H258" s="1" t="s">
        <v>20</v>
      </c>
      <c r="I258" s="2" t="s">
        <v>21</v>
      </c>
      <c r="J258" s="1" t="s">
        <v>22</v>
      </c>
      <c r="K258" s="1" t="s">
        <v>23</v>
      </c>
      <c r="L258" s="2" t="s">
        <v>32</v>
      </c>
      <c r="M258" s="1" t="s">
        <v>25</v>
      </c>
    </row>
    <row r="259" ht="15.75" customHeight="1">
      <c r="A259" s="2" t="s">
        <v>360</v>
      </c>
      <c r="B259" s="1" t="s">
        <v>41</v>
      </c>
      <c r="C259" s="1" t="s">
        <v>15</v>
      </c>
      <c r="D259" s="2" t="s">
        <v>272</v>
      </c>
      <c r="E259" s="2" t="s">
        <v>21</v>
      </c>
      <c r="F259" s="1" t="s">
        <v>87</v>
      </c>
      <c r="G259" s="1" t="s">
        <v>19</v>
      </c>
      <c r="H259" s="1" t="s">
        <v>20</v>
      </c>
      <c r="I259" s="2" t="s">
        <v>21</v>
      </c>
      <c r="J259" s="1" t="s">
        <v>22</v>
      </c>
      <c r="K259" s="1" t="s">
        <v>23</v>
      </c>
      <c r="L259" s="2" t="s">
        <v>47</v>
      </c>
      <c r="M259" s="1" t="s">
        <v>20</v>
      </c>
    </row>
    <row r="260" ht="15.75" customHeight="1">
      <c r="A260" s="2" t="s">
        <v>361</v>
      </c>
      <c r="B260" s="1" t="s">
        <v>41</v>
      </c>
      <c r="C260" s="1" t="s">
        <v>15</v>
      </c>
      <c r="D260" s="2" t="s">
        <v>99</v>
      </c>
      <c r="E260" s="2" t="s">
        <v>29</v>
      </c>
      <c r="F260" s="1" t="s">
        <v>30</v>
      </c>
      <c r="G260" s="1" t="s">
        <v>56</v>
      </c>
      <c r="H260" s="1" t="s">
        <v>20</v>
      </c>
      <c r="I260" s="2" t="s">
        <v>57</v>
      </c>
      <c r="J260" s="1" t="s">
        <v>69</v>
      </c>
      <c r="K260" s="1" t="s">
        <v>23</v>
      </c>
      <c r="L260" s="2" t="s">
        <v>91</v>
      </c>
      <c r="M260" s="1" t="s">
        <v>25</v>
      </c>
    </row>
    <row r="261" ht="15.75" customHeight="1">
      <c r="A261" s="2" t="s">
        <v>362</v>
      </c>
      <c r="B261" s="1" t="s">
        <v>14</v>
      </c>
      <c r="C261" s="1" t="s">
        <v>27</v>
      </c>
      <c r="D261" s="2" t="s">
        <v>216</v>
      </c>
      <c r="E261" s="2" t="s">
        <v>21</v>
      </c>
      <c r="F261" s="1" t="s">
        <v>18</v>
      </c>
      <c r="G261" s="1" t="s">
        <v>56</v>
      </c>
      <c r="H261" s="1" t="s">
        <v>20</v>
      </c>
      <c r="I261" s="2" t="s">
        <v>57</v>
      </c>
      <c r="J261" s="1" t="s">
        <v>22</v>
      </c>
      <c r="K261" s="1" t="s">
        <v>44</v>
      </c>
      <c r="L261" s="2" t="s">
        <v>153</v>
      </c>
      <c r="M261" s="1" t="s">
        <v>20</v>
      </c>
    </row>
    <row r="262" ht="15.75" customHeight="1">
      <c r="A262" s="2" t="s">
        <v>363</v>
      </c>
      <c r="B262" s="1" t="s">
        <v>41</v>
      </c>
      <c r="C262" s="1" t="s">
        <v>15</v>
      </c>
      <c r="D262" s="2" t="s">
        <v>28</v>
      </c>
      <c r="E262" s="2" t="s">
        <v>37</v>
      </c>
      <c r="F262" s="1" t="s">
        <v>30</v>
      </c>
      <c r="G262" s="1" t="s">
        <v>31</v>
      </c>
      <c r="H262" s="1" t="s">
        <v>20</v>
      </c>
      <c r="I262" s="2" t="s">
        <v>21</v>
      </c>
      <c r="J262" s="1" t="s">
        <v>22</v>
      </c>
      <c r="K262" s="1" t="s">
        <v>23</v>
      </c>
      <c r="L262" s="2" t="s">
        <v>32</v>
      </c>
      <c r="M262" s="1" t="s">
        <v>25</v>
      </c>
    </row>
    <row r="263" ht="15.75" customHeight="1">
      <c r="A263" s="2" t="s">
        <v>364</v>
      </c>
      <c r="B263" s="1" t="s">
        <v>14</v>
      </c>
      <c r="C263" s="1" t="s">
        <v>15</v>
      </c>
      <c r="D263" s="2" t="s">
        <v>16</v>
      </c>
      <c r="E263" s="2" t="s">
        <v>17</v>
      </c>
      <c r="F263" s="1" t="s">
        <v>18</v>
      </c>
      <c r="G263" s="1" t="s">
        <v>19</v>
      </c>
      <c r="H263" s="1" t="s">
        <v>20</v>
      </c>
      <c r="I263" s="2" t="s">
        <v>17</v>
      </c>
      <c r="J263" s="1" t="s">
        <v>51</v>
      </c>
      <c r="K263" s="1" t="s">
        <v>23</v>
      </c>
      <c r="L263" s="2" t="s">
        <v>58</v>
      </c>
      <c r="M263" s="1" t="s">
        <v>20</v>
      </c>
    </row>
    <row r="264" ht="15.75" customHeight="1">
      <c r="A264" s="2" t="s">
        <v>365</v>
      </c>
      <c r="B264" s="1" t="s">
        <v>14</v>
      </c>
      <c r="C264" s="1" t="s">
        <v>15</v>
      </c>
      <c r="D264" s="2" t="s">
        <v>49</v>
      </c>
      <c r="E264" s="2" t="s">
        <v>37</v>
      </c>
      <c r="F264" s="1" t="s">
        <v>30</v>
      </c>
      <c r="G264" s="1" t="s">
        <v>50</v>
      </c>
      <c r="H264" s="1" t="s">
        <v>20</v>
      </c>
      <c r="I264" s="2" t="s">
        <v>21</v>
      </c>
      <c r="J264" s="1" t="s">
        <v>51</v>
      </c>
      <c r="K264" s="1" t="s">
        <v>23</v>
      </c>
      <c r="L264" s="2" t="s">
        <v>178</v>
      </c>
      <c r="M264" s="1" t="s">
        <v>25</v>
      </c>
    </row>
    <row r="265" ht="15.75" customHeight="1">
      <c r="A265" s="2" t="s">
        <v>366</v>
      </c>
      <c r="B265" s="1" t="s">
        <v>41</v>
      </c>
      <c r="C265" s="1" t="s">
        <v>15</v>
      </c>
      <c r="D265" s="2" t="s">
        <v>42</v>
      </c>
      <c r="E265" s="2" t="s">
        <v>35</v>
      </c>
      <c r="F265" s="1" t="s">
        <v>18</v>
      </c>
      <c r="G265" s="1" t="s">
        <v>36</v>
      </c>
      <c r="H265" s="1" t="s">
        <v>20</v>
      </c>
      <c r="I265" s="2" t="s">
        <v>29</v>
      </c>
      <c r="J265" s="1" t="s">
        <v>69</v>
      </c>
      <c r="K265" s="1" t="s">
        <v>44</v>
      </c>
      <c r="L265" s="2" t="s">
        <v>135</v>
      </c>
      <c r="M265" s="1" t="s">
        <v>25</v>
      </c>
    </row>
    <row r="266" ht="15.75" customHeight="1">
      <c r="A266" s="2" t="s">
        <v>367</v>
      </c>
      <c r="B266" s="1" t="s">
        <v>14</v>
      </c>
      <c r="C266" s="1" t="s">
        <v>27</v>
      </c>
      <c r="D266" s="2" t="s">
        <v>16</v>
      </c>
      <c r="E266" s="2" t="s">
        <v>21</v>
      </c>
      <c r="F266" s="1" t="s">
        <v>87</v>
      </c>
      <c r="G266" s="1" t="s">
        <v>31</v>
      </c>
      <c r="H266" s="1" t="s">
        <v>20</v>
      </c>
      <c r="I266" s="2" t="s">
        <v>21</v>
      </c>
      <c r="J266" s="1" t="s">
        <v>22</v>
      </c>
      <c r="K266" s="1" t="s">
        <v>23</v>
      </c>
      <c r="L266" s="2" t="s">
        <v>153</v>
      </c>
      <c r="M266" s="1" t="s">
        <v>20</v>
      </c>
    </row>
    <row r="267" ht="15.75" customHeight="1">
      <c r="A267" s="2" t="s">
        <v>368</v>
      </c>
      <c r="B267" s="1" t="s">
        <v>41</v>
      </c>
      <c r="C267" s="1" t="s">
        <v>15</v>
      </c>
      <c r="D267" s="2" t="s">
        <v>28</v>
      </c>
      <c r="E267" s="2" t="s">
        <v>37</v>
      </c>
      <c r="F267" s="1" t="s">
        <v>30</v>
      </c>
      <c r="G267" s="1" t="s">
        <v>31</v>
      </c>
      <c r="H267" s="1" t="s">
        <v>20</v>
      </c>
      <c r="I267" s="2" t="s">
        <v>37</v>
      </c>
      <c r="J267" s="1" t="s">
        <v>22</v>
      </c>
      <c r="K267" s="1" t="s">
        <v>23</v>
      </c>
      <c r="L267" s="2" t="s">
        <v>24</v>
      </c>
      <c r="M267" s="1" t="s">
        <v>25</v>
      </c>
    </row>
    <row r="268" ht="15.75" customHeight="1">
      <c r="A268" s="2" t="s">
        <v>369</v>
      </c>
      <c r="B268" s="1" t="s">
        <v>41</v>
      </c>
      <c r="C268" s="1" t="s">
        <v>15</v>
      </c>
      <c r="D268" s="2" t="s">
        <v>61</v>
      </c>
      <c r="E268" s="2" t="s">
        <v>35</v>
      </c>
      <c r="F268" s="1" t="s">
        <v>55</v>
      </c>
      <c r="G268" s="1" t="s">
        <v>50</v>
      </c>
      <c r="H268" s="1" t="s">
        <v>20</v>
      </c>
      <c r="I268" s="2" t="s">
        <v>37</v>
      </c>
      <c r="J268" s="1" t="s">
        <v>22</v>
      </c>
      <c r="K268" s="1" t="s">
        <v>23</v>
      </c>
      <c r="L268" s="2" t="s">
        <v>245</v>
      </c>
      <c r="M268" s="1" t="s">
        <v>25</v>
      </c>
    </row>
    <row r="269" ht="15.75" customHeight="1">
      <c r="A269" s="2" t="s">
        <v>370</v>
      </c>
      <c r="B269" s="1" t="s">
        <v>41</v>
      </c>
      <c r="C269" s="1" t="s">
        <v>27</v>
      </c>
      <c r="D269" s="2" t="s">
        <v>99</v>
      </c>
      <c r="E269" s="2" t="s">
        <v>35</v>
      </c>
      <c r="F269" s="1" t="s">
        <v>18</v>
      </c>
      <c r="G269" s="1" t="s">
        <v>36</v>
      </c>
      <c r="H269" s="1" t="s">
        <v>20</v>
      </c>
      <c r="I269" s="2" t="s">
        <v>17</v>
      </c>
      <c r="J269" s="1" t="s">
        <v>43</v>
      </c>
      <c r="K269" s="1" t="s">
        <v>44</v>
      </c>
      <c r="L269" s="2" t="s">
        <v>83</v>
      </c>
      <c r="M269" s="1" t="s">
        <v>20</v>
      </c>
    </row>
    <row r="270" ht="15.75" customHeight="1">
      <c r="A270" s="2" t="s">
        <v>371</v>
      </c>
      <c r="B270" s="1" t="s">
        <v>14</v>
      </c>
      <c r="C270" s="1" t="s">
        <v>27</v>
      </c>
      <c r="D270" s="2" t="s">
        <v>42</v>
      </c>
      <c r="E270" s="2" t="s">
        <v>35</v>
      </c>
      <c r="F270" s="1" t="s">
        <v>30</v>
      </c>
      <c r="G270" s="1" t="s">
        <v>19</v>
      </c>
      <c r="H270" s="1" t="s">
        <v>20</v>
      </c>
      <c r="I270" s="2" t="s">
        <v>29</v>
      </c>
      <c r="J270" s="1" t="s">
        <v>43</v>
      </c>
      <c r="K270" s="1" t="s">
        <v>44</v>
      </c>
      <c r="L270" s="2" t="s">
        <v>77</v>
      </c>
      <c r="M270" s="1" t="s">
        <v>25</v>
      </c>
    </row>
    <row r="271" ht="15.75" customHeight="1">
      <c r="A271" s="2" t="s">
        <v>372</v>
      </c>
      <c r="B271" s="1" t="s">
        <v>41</v>
      </c>
      <c r="C271" s="1" t="s">
        <v>15</v>
      </c>
      <c r="D271" s="2" t="s">
        <v>272</v>
      </c>
      <c r="E271" s="2" t="s">
        <v>21</v>
      </c>
      <c r="F271" s="1" t="s">
        <v>87</v>
      </c>
      <c r="G271" s="1" t="s">
        <v>19</v>
      </c>
      <c r="H271" s="1" t="s">
        <v>25</v>
      </c>
      <c r="I271" s="2" t="s">
        <v>21</v>
      </c>
      <c r="J271" s="1" t="s">
        <v>22</v>
      </c>
      <c r="K271" s="1" t="s">
        <v>23</v>
      </c>
      <c r="L271" s="2" t="s">
        <v>153</v>
      </c>
      <c r="M271" s="1" t="s">
        <v>20</v>
      </c>
    </row>
    <row r="272" ht="15.75" customHeight="1">
      <c r="A272" s="2" t="s">
        <v>373</v>
      </c>
      <c r="B272" s="1" t="s">
        <v>41</v>
      </c>
      <c r="C272" s="1" t="s">
        <v>15</v>
      </c>
      <c r="D272" s="2" t="s">
        <v>49</v>
      </c>
      <c r="E272" s="2" t="s">
        <v>37</v>
      </c>
      <c r="F272" s="1" t="s">
        <v>30</v>
      </c>
      <c r="G272" s="1" t="s">
        <v>50</v>
      </c>
      <c r="H272" s="1" t="s">
        <v>20</v>
      </c>
      <c r="I272" s="2" t="s">
        <v>21</v>
      </c>
      <c r="J272" s="1" t="s">
        <v>22</v>
      </c>
      <c r="K272" s="1" t="s">
        <v>23</v>
      </c>
      <c r="L272" s="2" t="s">
        <v>178</v>
      </c>
      <c r="M272" s="1" t="s">
        <v>20</v>
      </c>
    </row>
    <row r="273" ht="15.75" customHeight="1">
      <c r="A273" s="2" t="s">
        <v>374</v>
      </c>
      <c r="B273" s="1" t="s">
        <v>41</v>
      </c>
      <c r="C273" s="1" t="s">
        <v>15</v>
      </c>
      <c r="D273" s="2" t="s">
        <v>61</v>
      </c>
      <c r="E273" s="2" t="s">
        <v>21</v>
      </c>
      <c r="F273" s="1" t="s">
        <v>55</v>
      </c>
      <c r="G273" s="1" t="s">
        <v>50</v>
      </c>
      <c r="H273" s="1" t="s">
        <v>25</v>
      </c>
      <c r="I273" s="2" t="s">
        <v>17</v>
      </c>
      <c r="J273" s="1" t="s">
        <v>51</v>
      </c>
      <c r="K273" s="1" t="s">
        <v>23</v>
      </c>
      <c r="L273" s="2" t="s">
        <v>118</v>
      </c>
      <c r="M273" s="1" t="s">
        <v>25</v>
      </c>
    </row>
    <row r="274" ht="15.75" customHeight="1">
      <c r="A274" s="2" t="s">
        <v>375</v>
      </c>
      <c r="B274" s="1" t="s">
        <v>14</v>
      </c>
      <c r="C274" s="1" t="s">
        <v>27</v>
      </c>
      <c r="D274" s="2" t="s">
        <v>49</v>
      </c>
      <c r="E274" s="2" t="s">
        <v>57</v>
      </c>
      <c r="F274" s="1" t="s">
        <v>62</v>
      </c>
      <c r="G274" s="1" t="s">
        <v>50</v>
      </c>
      <c r="H274" s="1" t="s">
        <v>20</v>
      </c>
      <c r="I274" s="2" t="s">
        <v>17</v>
      </c>
      <c r="J274" s="1" t="s">
        <v>22</v>
      </c>
      <c r="K274" s="1" t="s">
        <v>23</v>
      </c>
      <c r="L274" s="2" t="s">
        <v>100</v>
      </c>
      <c r="M274" s="1" t="s">
        <v>20</v>
      </c>
    </row>
    <row r="275" ht="15.75" customHeight="1">
      <c r="A275" s="2" t="s">
        <v>376</v>
      </c>
      <c r="B275" s="1" t="s">
        <v>41</v>
      </c>
      <c r="C275" s="1" t="s">
        <v>15</v>
      </c>
      <c r="D275" s="2" t="s">
        <v>61</v>
      </c>
      <c r="E275" s="2" t="s">
        <v>21</v>
      </c>
      <c r="F275" s="1" t="s">
        <v>55</v>
      </c>
      <c r="G275" s="1" t="s">
        <v>50</v>
      </c>
      <c r="H275" s="1" t="s">
        <v>25</v>
      </c>
      <c r="I275" s="2" t="s">
        <v>17</v>
      </c>
      <c r="J275" s="1" t="s">
        <v>38</v>
      </c>
      <c r="K275" s="1" t="s">
        <v>23</v>
      </c>
      <c r="L275" s="2" t="s">
        <v>116</v>
      </c>
      <c r="M275" s="1" t="s">
        <v>25</v>
      </c>
    </row>
    <row r="276" ht="15.75" customHeight="1">
      <c r="A276" s="2" t="s">
        <v>377</v>
      </c>
      <c r="B276" s="1" t="s">
        <v>14</v>
      </c>
      <c r="C276" s="1" t="s">
        <v>15</v>
      </c>
      <c r="D276" s="2" t="s">
        <v>28</v>
      </c>
      <c r="E276" s="2" t="s">
        <v>21</v>
      </c>
      <c r="F276" s="1" t="s">
        <v>18</v>
      </c>
      <c r="G276" s="1" t="s">
        <v>31</v>
      </c>
      <c r="H276" s="1" t="s">
        <v>25</v>
      </c>
      <c r="I276" s="2" t="s">
        <v>21</v>
      </c>
      <c r="J276" s="1" t="s">
        <v>22</v>
      </c>
      <c r="K276" s="1" t="s">
        <v>23</v>
      </c>
      <c r="L276" s="2" t="s">
        <v>47</v>
      </c>
      <c r="M276" s="1" t="s">
        <v>20</v>
      </c>
    </row>
    <row r="277" ht="15.75" customHeight="1">
      <c r="A277" s="2" t="s">
        <v>378</v>
      </c>
      <c r="B277" s="1" t="s">
        <v>14</v>
      </c>
      <c r="C277" s="1" t="s">
        <v>15</v>
      </c>
      <c r="D277" s="2" t="s">
        <v>68</v>
      </c>
      <c r="E277" s="2" t="s">
        <v>17</v>
      </c>
      <c r="F277" s="1" t="s">
        <v>87</v>
      </c>
      <c r="G277" s="1" t="s">
        <v>56</v>
      </c>
      <c r="H277" s="1" t="s">
        <v>20</v>
      </c>
      <c r="I277" s="2" t="s">
        <v>21</v>
      </c>
      <c r="J277" s="1" t="s">
        <v>22</v>
      </c>
      <c r="K277" s="1" t="s">
        <v>44</v>
      </c>
      <c r="L277" s="2" t="s">
        <v>153</v>
      </c>
      <c r="M277" s="1" t="s">
        <v>20</v>
      </c>
    </row>
    <row r="278" ht="15.75" customHeight="1">
      <c r="A278" s="2" t="s">
        <v>379</v>
      </c>
      <c r="B278" s="1" t="s">
        <v>14</v>
      </c>
      <c r="C278" s="1" t="s">
        <v>15</v>
      </c>
      <c r="D278" s="2" t="s">
        <v>49</v>
      </c>
      <c r="E278" s="2" t="s">
        <v>37</v>
      </c>
      <c r="F278" s="1" t="s">
        <v>30</v>
      </c>
      <c r="G278" s="1" t="s">
        <v>50</v>
      </c>
      <c r="H278" s="1" t="s">
        <v>20</v>
      </c>
      <c r="I278" s="2" t="s">
        <v>21</v>
      </c>
      <c r="J278" s="1" t="s">
        <v>51</v>
      </c>
      <c r="K278" s="1" t="s">
        <v>23</v>
      </c>
      <c r="L278" s="2" t="s">
        <v>195</v>
      </c>
      <c r="M278" s="1" t="s">
        <v>25</v>
      </c>
    </row>
    <row r="279" ht="15.75" customHeight="1">
      <c r="A279" s="2" t="s">
        <v>380</v>
      </c>
      <c r="B279" s="1" t="s">
        <v>14</v>
      </c>
      <c r="C279" s="1" t="s">
        <v>15</v>
      </c>
      <c r="D279" s="2" t="s">
        <v>49</v>
      </c>
      <c r="E279" s="2" t="s">
        <v>37</v>
      </c>
      <c r="F279" s="1" t="s">
        <v>55</v>
      </c>
      <c r="G279" s="1" t="s">
        <v>50</v>
      </c>
      <c r="H279" s="1" t="s">
        <v>20</v>
      </c>
      <c r="I279" s="2" t="s">
        <v>21</v>
      </c>
      <c r="J279" s="1" t="s">
        <v>22</v>
      </c>
      <c r="K279" s="1" t="s">
        <v>23</v>
      </c>
      <c r="L279" s="2" t="s">
        <v>153</v>
      </c>
      <c r="M279" s="1" t="s">
        <v>20</v>
      </c>
    </row>
    <row r="280" ht="15.75" customHeight="1">
      <c r="A280" s="2" t="s">
        <v>381</v>
      </c>
      <c r="B280" s="1" t="s">
        <v>14</v>
      </c>
      <c r="C280" s="1" t="s">
        <v>27</v>
      </c>
      <c r="D280" s="2" t="s">
        <v>99</v>
      </c>
      <c r="E280" s="2" t="s">
        <v>21</v>
      </c>
      <c r="F280" s="1" t="s">
        <v>55</v>
      </c>
      <c r="G280" s="1" t="s">
        <v>56</v>
      </c>
      <c r="H280" s="1" t="s">
        <v>20</v>
      </c>
      <c r="I280" s="2" t="s">
        <v>29</v>
      </c>
      <c r="J280" s="1" t="s">
        <v>69</v>
      </c>
      <c r="K280" s="1" t="s">
        <v>44</v>
      </c>
      <c r="L280" s="2" t="s">
        <v>74</v>
      </c>
      <c r="M280" s="1" t="s">
        <v>20</v>
      </c>
    </row>
    <row r="281" ht="15.75" customHeight="1">
      <c r="A281" s="2" t="s">
        <v>382</v>
      </c>
      <c r="B281" s="1" t="s">
        <v>41</v>
      </c>
      <c r="C281" s="1" t="s">
        <v>27</v>
      </c>
      <c r="D281" s="2" t="s">
        <v>28</v>
      </c>
      <c r="E281" s="2" t="s">
        <v>17</v>
      </c>
      <c r="F281" s="1" t="s">
        <v>18</v>
      </c>
      <c r="G281" s="1" t="s">
        <v>31</v>
      </c>
      <c r="H281" s="1" t="s">
        <v>25</v>
      </c>
      <c r="I281" s="2" t="s">
        <v>21</v>
      </c>
      <c r="J281" s="1" t="s">
        <v>22</v>
      </c>
      <c r="K281" s="1" t="s">
        <v>23</v>
      </c>
      <c r="L281" s="2" t="s">
        <v>79</v>
      </c>
      <c r="M281" s="1" t="s">
        <v>20</v>
      </c>
    </row>
    <row r="282" ht="15.75" customHeight="1">
      <c r="A282" s="2" t="s">
        <v>383</v>
      </c>
      <c r="B282" s="1" t="s">
        <v>41</v>
      </c>
      <c r="C282" s="1" t="s">
        <v>15</v>
      </c>
      <c r="D282" s="2" t="s">
        <v>49</v>
      </c>
      <c r="E282" s="2" t="s">
        <v>29</v>
      </c>
      <c r="F282" s="1" t="s">
        <v>62</v>
      </c>
      <c r="G282" s="1" t="s">
        <v>50</v>
      </c>
      <c r="H282" s="1" t="s">
        <v>20</v>
      </c>
      <c r="I282" s="2" t="s">
        <v>37</v>
      </c>
      <c r="J282" s="1" t="s">
        <v>22</v>
      </c>
      <c r="K282" s="1" t="s">
        <v>23</v>
      </c>
      <c r="L282" s="2" t="s">
        <v>32</v>
      </c>
      <c r="M282" s="1" t="s">
        <v>25</v>
      </c>
    </row>
    <row r="283" ht="15.75" customHeight="1">
      <c r="A283" s="2" t="s">
        <v>384</v>
      </c>
      <c r="B283" s="1" t="s">
        <v>41</v>
      </c>
      <c r="C283" s="1" t="s">
        <v>27</v>
      </c>
      <c r="D283" s="2" t="s">
        <v>61</v>
      </c>
      <c r="E283" s="2" t="s">
        <v>17</v>
      </c>
      <c r="F283" s="1" t="s">
        <v>30</v>
      </c>
      <c r="G283" s="1" t="s">
        <v>50</v>
      </c>
      <c r="H283" s="1" t="s">
        <v>25</v>
      </c>
      <c r="I283" s="2" t="s">
        <v>21</v>
      </c>
      <c r="J283" s="1" t="s">
        <v>22</v>
      </c>
      <c r="K283" s="1" t="s">
        <v>23</v>
      </c>
      <c r="L283" s="2" t="s">
        <v>153</v>
      </c>
      <c r="M283" s="1" t="s">
        <v>25</v>
      </c>
    </row>
    <row r="284" ht="15.75" customHeight="1">
      <c r="A284" s="2" t="s">
        <v>385</v>
      </c>
      <c r="B284" s="1" t="s">
        <v>41</v>
      </c>
      <c r="C284" s="1" t="s">
        <v>27</v>
      </c>
      <c r="D284" s="2" t="s">
        <v>49</v>
      </c>
      <c r="E284" s="2" t="s">
        <v>21</v>
      </c>
      <c r="F284" s="1" t="s">
        <v>62</v>
      </c>
      <c r="G284" s="1" t="s">
        <v>50</v>
      </c>
      <c r="H284" s="1" t="s">
        <v>25</v>
      </c>
      <c r="I284" s="2" t="s">
        <v>37</v>
      </c>
      <c r="J284" s="1" t="s">
        <v>22</v>
      </c>
      <c r="K284" s="1" t="s">
        <v>23</v>
      </c>
      <c r="L284" s="2" t="s">
        <v>93</v>
      </c>
      <c r="M284" s="1" t="s">
        <v>25</v>
      </c>
    </row>
    <row r="285" ht="15.75" customHeight="1">
      <c r="A285" s="2" t="s">
        <v>386</v>
      </c>
      <c r="B285" s="1" t="s">
        <v>14</v>
      </c>
      <c r="C285" s="1" t="s">
        <v>15</v>
      </c>
      <c r="D285" s="2" t="s">
        <v>42</v>
      </c>
      <c r="E285" s="2" t="s">
        <v>35</v>
      </c>
      <c r="F285" s="1" t="s">
        <v>30</v>
      </c>
      <c r="G285" s="1" t="s">
        <v>19</v>
      </c>
      <c r="H285" s="1" t="s">
        <v>25</v>
      </c>
      <c r="I285" s="2" t="s">
        <v>29</v>
      </c>
      <c r="J285" s="1" t="s">
        <v>43</v>
      </c>
      <c r="K285" s="1" t="s">
        <v>44</v>
      </c>
      <c r="L285" s="2" t="s">
        <v>130</v>
      </c>
      <c r="M285" s="1" t="s">
        <v>25</v>
      </c>
    </row>
    <row r="286" ht="15.75" customHeight="1">
      <c r="A286" s="2" t="s">
        <v>387</v>
      </c>
      <c r="B286" s="1" t="s">
        <v>41</v>
      </c>
      <c r="C286" s="1" t="s">
        <v>27</v>
      </c>
      <c r="D286" s="2" t="s">
        <v>49</v>
      </c>
      <c r="E286" s="2" t="s">
        <v>17</v>
      </c>
      <c r="F286" s="1" t="s">
        <v>30</v>
      </c>
      <c r="G286" s="1" t="s">
        <v>50</v>
      </c>
      <c r="H286" s="1" t="s">
        <v>20</v>
      </c>
      <c r="I286" s="2" t="s">
        <v>21</v>
      </c>
      <c r="J286" s="1" t="s">
        <v>22</v>
      </c>
      <c r="K286" s="1" t="s">
        <v>23</v>
      </c>
      <c r="L286" s="2" t="s">
        <v>195</v>
      </c>
      <c r="M286" s="1" t="s">
        <v>25</v>
      </c>
    </row>
    <row r="287" ht="15.75" customHeight="1">
      <c r="A287" s="2" t="s">
        <v>388</v>
      </c>
      <c r="B287" s="1" t="s">
        <v>14</v>
      </c>
      <c r="C287" s="1" t="s">
        <v>15</v>
      </c>
      <c r="D287" s="2" t="s">
        <v>76</v>
      </c>
      <c r="E287" s="2" t="s">
        <v>17</v>
      </c>
      <c r="F287" s="1" t="s">
        <v>30</v>
      </c>
      <c r="G287" s="1" t="s">
        <v>19</v>
      </c>
      <c r="H287" s="1" t="s">
        <v>20</v>
      </c>
      <c r="I287" s="2" t="s">
        <v>17</v>
      </c>
      <c r="J287" s="1" t="s">
        <v>43</v>
      </c>
      <c r="K287" s="1" t="s">
        <v>44</v>
      </c>
      <c r="L287" s="2" t="s">
        <v>77</v>
      </c>
      <c r="M287" s="1" t="s">
        <v>25</v>
      </c>
    </row>
    <row r="288" ht="15.75" customHeight="1">
      <c r="A288" s="2" t="s">
        <v>389</v>
      </c>
      <c r="B288" s="1" t="s">
        <v>41</v>
      </c>
      <c r="C288" s="1" t="s">
        <v>15</v>
      </c>
      <c r="D288" s="2" t="s">
        <v>99</v>
      </c>
      <c r="E288" s="2" t="s">
        <v>17</v>
      </c>
      <c r="F288" s="1" t="s">
        <v>18</v>
      </c>
      <c r="G288" s="1" t="s">
        <v>56</v>
      </c>
      <c r="H288" s="1" t="s">
        <v>20</v>
      </c>
      <c r="I288" s="2" t="s">
        <v>57</v>
      </c>
      <c r="J288" s="1" t="s">
        <v>38</v>
      </c>
      <c r="K288" s="1" t="s">
        <v>44</v>
      </c>
      <c r="L288" s="2" t="s">
        <v>125</v>
      </c>
      <c r="M288" s="1" t="s">
        <v>25</v>
      </c>
    </row>
    <row r="289" ht="15.75" customHeight="1">
      <c r="A289" s="2" t="s">
        <v>390</v>
      </c>
      <c r="B289" s="1" t="s">
        <v>41</v>
      </c>
      <c r="C289" s="1" t="s">
        <v>15</v>
      </c>
      <c r="D289" s="2" t="s">
        <v>28</v>
      </c>
      <c r="E289" s="2" t="s">
        <v>29</v>
      </c>
      <c r="F289" s="1" t="s">
        <v>87</v>
      </c>
      <c r="G289" s="1" t="s">
        <v>31</v>
      </c>
      <c r="H289" s="1" t="s">
        <v>25</v>
      </c>
      <c r="I289" s="2" t="s">
        <v>21</v>
      </c>
      <c r="J289" s="1" t="s">
        <v>22</v>
      </c>
      <c r="K289" s="1" t="s">
        <v>23</v>
      </c>
      <c r="L289" s="2" t="s">
        <v>130</v>
      </c>
      <c r="M289" s="1" t="s">
        <v>20</v>
      </c>
    </row>
    <row r="290" ht="15.75" customHeight="1">
      <c r="A290" s="2" t="s">
        <v>391</v>
      </c>
      <c r="B290" s="1" t="s">
        <v>14</v>
      </c>
      <c r="C290" s="1" t="s">
        <v>27</v>
      </c>
      <c r="D290" s="2" t="s">
        <v>144</v>
      </c>
      <c r="E290" s="2" t="s">
        <v>21</v>
      </c>
      <c r="F290" s="1" t="s">
        <v>87</v>
      </c>
      <c r="G290" s="1" t="s">
        <v>56</v>
      </c>
      <c r="H290" s="1" t="s">
        <v>20</v>
      </c>
      <c r="I290" s="2" t="s">
        <v>21</v>
      </c>
      <c r="J290" s="1" t="s">
        <v>43</v>
      </c>
      <c r="K290" s="1" t="s">
        <v>44</v>
      </c>
      <c r="L290" s="2" t="s">
        <v>125</v>
      </c>
      <c r="M290" s="1" t="s">
        <v>25</v>
      </c>
    </row>
    <row r="291" ht="15.75" customHeight="1">
      <c r="A291" s="2" t="s">
        <v>392</v>
      </c>
      <c r="B291" s="1" t="s">
        <v>14</v>
      </c>
      <c r="C291" s="1" t="s">
        <v>27</v>
      </c>
      <c r="D291" s="2" t="s">
        <v>28</v>
      </c>
      <c r="E291" s="2" t="s">
        <v>29</v>
      </c>
      <c r="F291" s="1" t="s">
        <v>55</v>
      </c>
      <c r="G291" s="1" t="s">
        <v>19</v>
      </c>
      <c r="H291" s="1" t="s">
        <v>20</v>
      </c>
      <c r="I291" s="2" t="s">
        <v>37</v>
      </c>
      <c r="J291" s="1" t="s">
        <v>43</v>
      </c>
      <c r="K291" s="1" t="s">
        <v>44</v>
      </c>
      <c r="L291" s="2" t="s">
        <v>66</v>
      </c>
      <c r="M291" s="1" t="s">
        <v>20</v>
      </c>
    </row>
    <row r="292" ht="15.75" customHeight="1">
      <c r="A292" s="2" t="s">
        <v>393</v>
      </c>
      <c r="B292" s="1" t="s">
        <v>41</v>
      </c>
      <c r="C292" s="1" t="s">
        <v>15</v>
      </c>
      <c r="D292" s="2" t="s">
        <v>76</v>
      </c>
      <c r="E292" s="2" t="s">
        <v>17</v>
      </c>
      <c r="F292" s="1" t="s">
        <v>30</v>
      </c>
      <c r="G292" s="1" t="s">
        <v>19</v>
      </c>
      <c r="H292" s="1" t="s">
        <v>25</v>
      </c>
      <c r="I292" s="2" t="s">
        <v>17</v>
      </c>
      <c r="J292" s="1" t="s">
        <v>22</v>
      </c>
      <c r="K292" s="1" t="s">
        <v>44</v>
      </c>
      <c r="L292" s="2" t="s">
        <v>130</v>
      </c>
      <c r="M292" s="1" t="s">
        <v>20</v>
      </c>
    </row>
    <row r="293" ht="15.75" customHeight="1">
      <c r="A293" s="2" t="s">
        <v>394</v>
      </c>
      <c r="B293" s="1" t="s">
        <v>14</v>
      </c>
      <c r="C293" s="1" t="s">
        <v>27</v>
      </c>
      <c r="D293" s="2" t="s">
        <v>16</v>
      </c>
      <c r="E293" s="2" t="s">
        <v>21</v>
      </c>
      <c r="F293" s="1" t="s">
        <v>18</v>
      </c>
      <c r="G293" s="1" t="s">
        <v>31</v>
      </c>
      <c r="H293" s="1" t="s">
        <v>25</v>
      </c>
      <c r="I293" s="2" t="s">
        <v>21</v>
      </c>
      <c r="J293" s="1" t="s">
        <v>22</v>
      </c>
      <c r="K293" s="1" t="s">
        <v>23</v>
      </c>
      <c r="L293" s="2" t="s">
        <v>79</v>
      </c>
      <c r="M293" s="1" t="s">
        <v>20</v>
      </c>
    </row>
    <row r="294" ht="15.75" customHeight="1">
      <c r="A294" s="2" t="s">
        <v>395</v>
      </c>
      <c r="B294" s="1" t="s">
        <v>14</v>
      </c>
      <c r="C294" s="1" t="s">
        <v>15</v>
      </c>
      <c r="D294" s="2" t="s">
        <v>16</v>
      </c>
      <c r="E294" s="2" t="s">
        <v>17</v>
      </c>
      <c r="F294" s="1" t="s">
        <v>18</v>
      </c>
      <c r="G294" s="1" t="s">
        <v>19</v>
      </c>
      <c r="H294" s="1" t="s">
        <v>20</v>
      </c>
      <c r="I294" s="2" t="s">
        <v>21</v>
      </c>
      <c r="J294" s="1" t="s">
        <v>22</v>
      </c>
      <c r="K294" s="1" t="s">
        <v>23</v>
      </c>
      <c r="L294" s="2" t="s">
        <v>24</v>
      </c>
      <c r="M294" s="1" t="s">
        <v>20</v>
      </c>
    </row>
    <row r="295" ht="15.75" customHeight="1">
      <c r="A295" s="2" t="s">
        <v>396</v>
      </c>
      <c r="B295" s="1" t="s">
        <v>41</v>
      </c>
      <c r="C295" s="1" t="s">
        <v>15</v>
      </c>
      <c r="D295" s="2" t="s">
        <v>49</v>
      </c>
      <c r="E295" s="2" t="s">
        <v>17</v>
      </c>
      <c r="F295" s="1" t="s">
        <v>55</v>
      </c>
      <c r="G295" s="1" t="s">
        <v>50</v>
      </c>
      <c r="H295" s="1" t="s">
        <v>25</v>
      </c>
      <c r="I295" s="2" t="s">
        <v>17</v>
      </c>
      <c r="J295" s="1" t="s">
        <v>38</v>
      </c>
      <c r="K295" s="1" t="s">
        <v>23</v>
      </c>
      <c r="L295" s="2" t="s">
        <v>130</v>
      </c>
      <c r="M295" s="1" t="s">
        <v>20</v>
      </c>
    </row>
    <row r="296" ht="15.75" customHeight="1">
      <c r="A296" s="2" t="s">
        <v>397</v>
      </c>
      <c r="B296" s="1" t="s">
        <v>41</v>
      </c>
      <c r="C296" s="1" t="s">
        <v>27</v>
      </c>
      <c r="D296" s="2" t="s">
        <v>61</v>
      </c>
      <c r="E296" s="2" t="s">
        <v>21</v>
      </c>
      <c r="F296" s="1" t="s">
        <v>30</v>
      </c>
      <c r="G296" s="1" t="s">
        <v>50</v>
      </c>
      <c r="H296" s="1" t="s">
        <v>25</v>
      </c>
      <c r="I296" s="2" t="s">
        <v>17</v>
      </c>
      <c r="J296" s="1" t="s">
        <v>38</v>
      </c>
      <c r="K296" s="1" t="s">
        <v>23</v>
      </c>
      <c r="L296" s="2" t="s">
        <v>47</v>
      </c>
      <c r="M296" s="1" t="s">
        <v>20</v>
      </c>
    </row>
    <row r="297" ht="15.75" customHeight="1">
      <c r="A297" s="2" t="s">
        <v>398</v>
      </c>
      <c r="B297" s="1" t="s">
        <v>41</v>
      </c>
      <c r="C297" s="1" t="s">
        <v>15</v>
      </c>
      <c r="D297" s="2" t="s">
        <v>276</v>
      </c>
      <c r="E297" s="2" t="s">
        <v>21</v>
      </c>
      <c r="F297" s="1" t="s">
        <v>30</v>
      </c>
      <c r="G297" s="1" t="s">
        <v>56</v>
      </c>
      <c r="H297" s="1" t="s">
        <v>20</v>
      </c>
      <c r="I297" s="2" t="s">
        <v>29</v>
      </c>
      <c r="J297" s="1" t="s">
        <v>69</v>
      </c>
      <c r="K297" s="1" t="s">
        <v>44</v>
      </c>
      <c r="L297" s="2" t="s">
        <v>104</v>
      </c>
      <c r="M297" s="1" t="s">
        <v>20</v>
      </c>
    </row>
    <row r="298" ht="15.75" customHeight="1">
      <c r="A298" s="2" t="s">
        <v>399</v>
      </c>
      <c r="B298" s="1" t="s">
        <v>41</v>
      </c>
      <c r="C298" s="1" t="s">
        <v>15</v>
      </c>
      <c r="D298" s="2" t="s">
        <v>76</v>
      </c>
      <c r="E298" s="2" t="s">
        <v>37</v>
      </c>
      <c r="F298" s="1" t="s">
        <v>18</v>
      </c>
      <c r="G298" s="1" t="s">
        <v>36</v>
      </c>
      <c r="H298" s="1" t="s">
        <v>25</v>
      </c>
      <c r="I298" s="2" t="s">
        <v>17</v>
      </c>
      <c r="J298" s="1" t="s">
        <v>22</v>
      </c>
      <c r="K298" s="1" t="s">
        <v>44</v>
      </c>
      <c r="L298" s="2" t="s">
        <v>135</v>
      </c>
      <c r="M298" s="1" t="s">
        <v>20</v>
      </c>
    </row>
    <row r="299" ht="15.75" customHeight="1">
      <c r="A299" s="2" t="s">
        <v>400</v>
      </c>
      <c r="B299" s="1" t="s">
        <v>14</v>
      </c>
      <c r="C299" s="1" t="s">
        <v>27</v>
      </c>
      <c r="D299" s="2" t="s">
        <v>99</v>
      </c>
      <c r="E299" s="2" t="s">
        <v>17</v>
      </c>
      <c r="F299" s="1" t="s">
        <v>87</v>
      </c>
      <c r="G299" s="1" t="s">
        <v>56</v>
      </c>
      <c r="H299" s="1" t="s">
        <v>20</v>
      </c>
      <c r="I299" s="2" t="s">
        <v>21</v>
      </c>
      <c r="J299" s="1" t="s">
        <v>38</v>
      </c>
      <c r="K299" s="1" t="s">
        <v>44</v>
      </c>
      <c r="L299" s="2" t="s">
        <v>47</v>
      </c>
      <c r="M299" s="1" t="s">
        <v>20</v>
      </c>
    </row>
    <row r="300" ht="15.75" customHeight="1">
      <c r="A300" s="2" t="s">
        <v>401</v>
      </c>
      <c r="B300" s="1" t="s">
        <v>14</v>
      </c>
      <c r="C300" s="1" t="s">
        <v>15</v>
      </c>
      <c r="D300" s="2" t="s">
        <v>68</v>
      </c>
      <c r="E300" s="2" t="s">
        <v>57</v>
      </c>
      <c r="F300" s="1" t="s">
        <v>55</v>
      </c>
      <c r="G300" s="1" t="s">
        <v>36</v>
      </c>
      <c r="H300" s="1" t="s">
        <v>25</v>
      </c>
      <c r="I300" s="2" t="s">
        <v>37</v>
      </c>
      <c r="J300" s="1" t="s">
        <v>38</v>
      </c>
      <c r="K300" s="1" t="s">
        <v>23</v>
      </c>
      <c r="L300" s="2" t="s">
        <v>66</v>
      </c>
      <c r="M300" s="1" t="s">
        <v>20</v>
      </c>
    </row>
    <row r="301" ht="15.75" customHeight="1">
      <c r="A301" s="2" t="s">
        <v>402</v>
      </c>
      <c r="B301" s="1" t="s">
        <v>14</v>
      </c>
      <c r="C301" s="1" t="s">
        <v>15</v>
      </c>
      <c r="D301" s="2" t="s">
        <v>28</v>
      </c>
      <c r="E301" s="2" t="s">
        <v>37</v>
      </c>
      <c r="F301" s="1" t="s">
        <v>30</v>
      </c>
      <c r="G301" s="1" t="s">
        <v>31</v>
      </c>
      <c r="H301" s="1" t="s">
        <v>25</v>
      </c>
      <c r="I301" s="2" t="s">
        <v>37</v>
      </c>
      <c r="J301" s="1" t="s">
        <v>43</v>
      </c>
      <c r="K301" s="1" t="s">
        <v>44</v>
      </c>
      <c r="L301" s="2" t="s">
        <v>403</v>
      </c>
      <c r="M301" s="1" t="s">
        <v>25</v>
      </c>
    </row>
    <row r="302" ht="15.75" customHeight="1">
      <c r="A302" s="2" t="s">
        <v>404</v>
      </c>
      <c r="B302" s="1" t="s">
        <v>41</v>
      </c>
      <c r="C302" s="1" t="s">
        <v>15</v>
      </c>
      <c r="D302" s="2" t="s">
        <v>49</v>
      </c>
      <c r="E302" s="2" t="s">
        <v>35</v>
      </c>
      <c r="F302" s="1" t="s">
        <v>55</v>
      </c>
      <c r="G302" s="1" t="s">
        <v>19</v>
      </c>
      <c r="H302" s="1" t="s">
        <v>25</v>
      </c>
      <c r="I302" s="2" t="s">
        <v>37</v>
      </c>
      <c r="J302" s="1" t="s">
        <v>51</v>
      </c>
      <c r="K302" s="1" t="s">
        <v>44</v>
      </c>
      <c r="L302" s="2" t="s">
        <v>112</v>
      </c>
      <c r="M302" s="1" t="s">
        <v>25</v>
      </c>
    </row>
    <row r="303" ht="15.75" customHeight="1">
      <c r="A303" s="2" t="s">
        <v>405</v>
      </c>
      <c r="C303" s="1" t="s">
        <v>15</v>
      </c>
      <c r="E303" s="2" t="s">
        <v>21</v>
      </c>
      <c r="F303" s="1" t="s">
        <v>18</v>
      </c>
      <c r="G303" s="1" t="s">
        <v>31</v>
      </c>
      <c r="H303" s="1" t="s">
        <v>25</v>
      </c>
      <c r="I303" s="2" t="s">
        <v>21</v>
      </c>
      <c r="J303" s="1" t="s">
        <v>22</v>
      </c>
      <c r="K303" s="1" t="s">
        <v>44</v>
      </c>
      <c r="L303" s="2" t="s">
        <v>118</v>
      </c>
      <c r="M303" s="1" t="s">
        <v>20</v>
      </c>
    </row>
    <row r="304" ht="15.75" customHeight="1">
      <c r="A304" s="2" t="s">
        <v>406</v>
      </c>
      <c r="B304" s="1" t="s">
        <v>41</v>
      </c>
      <c r="C304" s="1" t="s">
        <v>27</v>
      </c>
      <c r="D304" s="2" t="s">
        <v>28</v>
      </c>
      <c r="E304" s="2" t="s">
        <v>17</v>
      </c>
      <c r="F304" s="1" t="s">
        <v>18</v>
      </c>
      <c r="G304" s="1" t="s">
        <v>31</v>
      </c>
      <c r="H304" s="1" t="s">
        <v>20</v>
      </c>
      <c r="I304" s="2" t="s">
        <v>21</v>
      </c>
      <c r="J304" s="1" t="s">
        <v>22</v>
      </c>
      <c r="K304" s="1" t="s">
        <v>23</v>
      </c>
      <c r="L304" s="2" t="s">
        <v>112</v>
      </c>
      <c r="M304" s="1" t="s">
        <v>20</v>
      </c>
    </row>
    <row r="305" ht="15.75" customHeight="1">
      <c r="A305" s="2" t="s">
        <v>407</v>
      </c>
      <c r="B305" s="1" t="s">
        <v>14</v>
      </c>
      <c r="C305" s="1" t="s">
        <v>15</v>
      </c>
      <c r="D305" s="2" t="s">
        <v>28</v>
      </c>
      <c r="E305" s="2" t="s">
        <v>17</v>
      </c>
      <c r="F305" s="1" t="s">
        <v>18</v>
      </c>
      <c r="G305" s="1" t="s">
        <v>19</v>
      </c>
      <c r="H305" s="1" t="s">
        <v>20</v>
      </c>
      <c r="I305" s="2" t="s">
        <v>37</v>
      </c>
      <c r="J305" s="1" t="s">
        <v>22</v>
      </c>
      <c r="K305" s="1" t="s">
        <v>23</v>
      </c>
      <c r="L305" s="2" t="s">
        <v>100</v>
      </c>
      <c r="M305" s="1" t="s">
        <v>25</v>
      </c>
    </row>
    <row r="306" ht="15.75" customHeight="1">
      <c r="A306" s="2" t="s">
        <v>408</v>
      </c>
      <c r="B306" s="1" t="s">
        <v>14</v>
      </c>
      <c r="C306" s="1" t="s">
        <v>27</v>
      </c>
      <c r="D306" s="2" t="s">
        <v>34</v>
      </c>
      <c r="E306" s="2" t="s">
        <v>57</v>
      </c>
      <c r="F306" s="1" t="s">
        <v>87</v>
      </c>
      <c r="G306" s="1" t="s">
        <v>56</v>
      </c>
      <c r="H306" s="1" t="s">
        <v>20</v>
      </c>
      <c r="I306" s="2" t="s">
        <v>17</v>
      </c>
      <c r="J306" s="1" t="s">
        <v>22</v>
      </c>
      <c r="K306" s="1" t="s">
        <v>44</v>
      </c>
      <c r="L306" s="2" t="s">
        <v>47</v>
      </c>
      <c r="M306" s="1" t="s">
        <v>20</v>
      </c>
    </row>
    <row r="307" ht="15.75" customHeight="1">
      <c r="A307" s="2" t="s">
        <v>409</v>
      </c>
      <c r="B307" s="1" t="s">
        <v>41</v>
      </c>
      <c r="C307" s="1" t="s">
        <v>27</v>
      </c>
      <c r="D307" s="2" t="s">
        <v>49</v>
      </c>
      <c r="E307" s="2" t="s">
        <v>37</v>
      </c>
      <c r="F307" s="1" t="s">
        <v>62</v>
      </c>
      <c r="G307" s="1" t="s">
        <v>31</v>
      </c>
      <c r="H307" s="1" t="s">
        <v>20</v>
      </c>
      <c r="I307" s="2" t="s">
        <v>37</v>
      </c>
      <c r="J307" s="1" t="s">
        <v>43</v>
      </c>
      <c r="K307" s="1" t="s">
        <v>44</v>
      </c>
      <c r="L307" s="2" t="s">
        <v>63</v>
      </c>
      <c r="M307" s="1" t="s">
        <v>25</v>
      </c>
    </row>
    <row r="308" ht="15.75" customHeight="1">
      <c r="A308" s="2" t="s">
        <v>410</v>
      </c>
      <c r="B308" s="1" t="s">
        <v>14</v>
      </c>
      <c r="C308" s="1" t="s">
        <v>27</v>
      </c>
      <c r="D308" s="2" t="s">
        <v>68</v>
      </c>
      <c r="E308" s="2" t="s">
        <v>37</v>
      </c>
      <c r="F308" s="1" t="s">
        <v>18</v>
      </c>
      <c r="G308" s="1" t="s">
        <v>36</v>
      </c>
      <c r="H308" s="1" t="s">
        <v>20</v>
      </c>
      <c r="I308" s="2" t="s">
        <v>21</v>
      </c>
      <c r="J308" s="1" t="s">
        <v>51</v>
      </c>
      <c r="K308" s="1" t="s">
        <v>44</v>
      </c>
      <c r="L308" s="2" t="s">
        <v>100</v>
      </c>
      <c r="M308" s="1" t="s">
        <v>20</v>
      </c>
    </row>
    <row r="309" ht="15.75" customHeight="1">
      <c r="A309" s="2" t="s">
        <v>411</v>
      </c>
      <c r="B309" s="1" t="s">
        <v>14</v>
      </c>
      <c r="C309" s="1" t="s">
        <v>27</v>
      </c>
      <c r="D309" s="2" t="s">
        <v>49</v>
      </c>
      <c r="E309" s="2" t="s">
        <v>37</v>
      </c>
      <c r="F309" s="1" t="s">
        <v>18</v>
      </c>
      <c r="G309" s="1" t="s">
        <v>31</v>
      </c>
      <c r="H309" s="1" t="s">
        <v>20</v>
      </c>
      <c r="I309" s="2" t="s">
        <v>17</v>
      </c>
      <c r="J309" s="1" t="s">
        <v>22</v>
      </c>
      <c r="K309" s="1" t="s">
        <v>23</v>
      </c>
      <c r="L309" s="2" t="s">
        <v>128</v>
      </c>
      <c r="M309" s="1" t="s">
        <v>25</v>
      </c>
    </row>
    <row r="310" ht="15.75" customHeight="1">
      <c r="A310" s="2" t="s">
        <v>412</v>
      </c>
      <c r="B310" s="1" t="s">
        <v>14</v>
      </c>
      <c r="C310" s="1" t="s">
        <v>27</v>
      </c>
      <c r="D310" s="2" t="s">
        <v>16</v>
      </c>
      <c r="E310" s="2" t="s">
        <v>37</v>
      </c>
      <c r="F310" s="1" t="s">
        <v>30</v>
      </c>
      <c r="G310" s="1" t="s">
        <v>31</v>
      </c>
      <c r="H310" s="1" t="s">
        <v>20</v>
      </c>
      <c r="I310" s="2" t="s">
        <v>17</v>
      </c>
      <c r="J310" s="1" t="s">
        <v>51</v>
      </c>
      <c r="K310" s="1" t="s">
        <v>23</v>
      </c>
      <c r="L310" s="2" t="s">
        <v>74</v>
      </c>
      <c r="M310" s="1" t="s">
        <v>20</v>
      </c>
    </row>
    <row r="311" ht="15.75" customHeight="1">
      <c r="A311" s="2" t="s">
        <v>413</v>
      </c>
      <c r="B311" s="1" t="s">
        <v>14</v>
      </c>
      <c r="C311" s="1" t="s">
        <v>15</v>
      </c>
      <c r="D311" s="2" t="s">
        <v>61</v>
      </c>
      <c r="E311" s="2" t="s">
        <v>37</v>
      </c>
      <c r="F311" s="1" t="s">
        <v>30</v>
      </c>
      <c r="G311" s="1" t="s">
        <v>50</v>
      </c>
      <c r="H311" s="1" t="s">
        <v>20</v>
      </c>
      <c r="I311" s="2" t="s">
        <v>17</v>
      </c>
      <c r="J311" s="1" t="s">
        <v>38</v>
      </c>
      <c r="K311" s="1" t="s">
        <v>23</v>
      </c>
      <c r="L311" s="2" t="s">
        <v>83</v>
      </c>
      <c r="M311" s="1" t="s">
        <v>20</v>
      </c>
    </row>
    <row r="312" ht="15.75" customHeight="1">
      <c r="A312" s="2" t="s">
        <v>414</v>
      </c>
      <c r="B312" s="1" t="s">
        <v>14</v>
      </c>
      <c r="C312" s="1" t="s">
        <v>27</v>
      </c>
      <c r="D312" s="2" t="s">
        <v>161</v>
      </c>
      <c r="E312" s="2" t="s">
        <v>57</v>
      </c>
      <c r="F312" s="1" t="s">
        <v>18</v>
      </c>
      <c r="G312" s="1" t="s">
        <v>56</v>
      </c>
      <c r="H312" s="1" t="s">
        <v>20</v>
      </c>
      <c r="I312" s="2" t="s">
        <v>17</v>
      </c>
      <c r="J312" s="1" t="s">
        <v>38</v>
      </c>
      <c r="K312" s="1" t="s">
        <v>44</v>
      </c>
      <c r="L312" s="2" t="s">
        <v>83</v>
      </c>
      <c r="M312" s="1" t="s">
        <v>25</v>
      </c>
    </row>
    <row r="313" ht="15.75" customHeight="1">
      <c r="A313" s="2" t="s">
        <v>415</v>
      </c>
      <c r="B313" s="1" t="s">
        <v>14</v>
      </c>
      <c r="C313" s="1" t="s">
        <v>27</v>
      </c>
      <c r="D313" s="2" t="s">
        <v>76</v>
      </c>
      <c r="E313" s="2" t="s">
        <v>17</v>
      </c>
      <c r="F313" s="1" t="s">
        <v>30</v>
      </c>
      <c r="G313" s="1" t="s">
        <v>19</v>
      </c>
      <c r="H313" s="1" t="s">
        <v>20</v>
      </c>
      <c r="I313" s="2" t="s">
        <v>17</v>
      </c>
      <c r="J313" s="1" t="s">
        <v>43</v>
      </c>
      <c r="K313" s="1" t="s">
        <v>44</v>
      </c>
      <c r="L313" s="2" t="s">
        <v>130</v>
      </c>
      <c r="M313" s="1" t="s">
        <v>25</v>
      </c>
    </row>
    <row r="314" ht="15.75" customHeight="1">
      <c r="A314" s="2" t="s">
        <v>416</v>
      </c>
      <c r="B314" s="1" t="s">
        <v>14</v>
      </c>
      <c r="C314" s="1" t="s">
        <v>27</v>
      </c>
      <c r="D314" s="2" t="s">
        <v>61</v>
      </c>
      <c r="E314" s="2" t="s">
        <v>57</v>
      </c>
      <c r="F314" s="1" t="s">
        <v>55</v>
      </c>
      <c r="G314" s="1" t="s">
        <v>19</v>
      </c>
      <c r="H314" s="1" t="s">
        <v>20</v>
      </c>
      <c r="I314" s="2" t="s">
        <v>37</v>
      </c>
      <c r="J314" s="1" t="s">
        <v>43</v>
      </c>
      <c r="K314" s="1" t="s">
        <v>44</v>
      </c>
      <c r="L314" s="2" t="s">
        <v>63</v>
      </c>
      <c r="M314" s="1" t="s">
        <v>20</v>
      </c>
    </row>
    <row r="315" ht="15.75" customHeight="1">
      <c r="A315" s="2" t="s">
        <v>417</v>
      </c>
      <c r="B315" s="1" t="s">
        <v>41</v>
      </c>
      <c r="C315" s="1" t="s">
        <v>27</v>
      </c>
      <c r="D315" s="2" t="s">
        <v>16</v>
      </c>
      <c r="E315" s="2" t="s">
        <v>29</v>
      </c>
      <c r="F315" s="1" t="s">
        <v>62</v>
      </c>
      <c r="G315" s="1" t="s">
        <v>31</v>
      </c>
      <c r="H315" s="1" t="s">
        <v>25</v>
      </c>
      <c r="I315" s="2" t="s">
        <v>37</v>
      </c>
      <c r="J315" s="1" t="s">
        <v>43</v>
      </c>
      <c r="K315" s="1" t="s">
        <v>44</v>
      </c>
      <c r="L315" s="2" t="s">
        <v>132</v>
      </c>
      <c r="M315" s="1" t="s">
        <v>20</v>
      </c>
    </row>
    <row r="316" ht="15.75" customHeight="1">
      <c r="A316" s="2" t="s">
        <v>418</v>
      </c>
      <c r="B316" s="1" t="s">
        <v>14</v>
      </c>
      <c r="C316" s="1" t="s">
        <v>27</v>
      </c>
      <c r="D316" s="2" t="s">
        <v>34</v>
      </c>
      <c r="E316" s="2" t="s">
        <v>35</v>
      </c>
      <c r="F316" s="1" t="s">
        <v>18</v>
      </c>
      <c r="G316" s="1" t="s">
        <v>36</v>
      </c>
      <c r="H316" s="1" t="s">
        <v>25</v>
      </c>
      <c r="I316" s="2" t="s">
        <v>17</v>
      </c>
      <c r="J316" s="1" t="s">
        <v>22</v>
      </c>
      <c r="K316" s="1" t="s">
        <v>44</v>
      </c>
      <c r="L316" s="2" t="s">
        <v>83</v>
      </c>
      <c r="M316" s="1" t="s">
        <v>20</v>
      </c>
    </row>
    <row r="317" ht="15.75" customHeight="1">
      <c r="A317" s="2" t="s">
        <v>419</v>
      </c>
      <c r="B317" s="1" t="s">
        <v>41</v>
      </c>
      <c r="C317" s="1" t="s">
        <v>27</v>
      </c>
      <c r="D317" s="2" t="s">
        <v>42</v>
      </c>
      <c r="E317" s="2" t="s">
        <v>21</v>
      </c>
      <c r="F317" s="1" t="s">
        <v>18</v>
      </c>
      <c r="G317" s="1" t="s">
        <v>36</v>
      </c>
      <c r="H317" s="1" t="s">
        <v>25</v>
      </c>
      <c r="I317" s="2" t="s">
        <v>17</v>
      </c>
      <c r="J317" s="1" t="s">
        <v>43</v>
      </c>
      <c r="K317" s="1" t="s">
        <v>44</v>
      </c>
      <c r="L317" s="2" t="s">
        <v>45</v>
      </c>
      <c r="M317" s="1" t="s">
        <v>25</v>
      </c>
    </row>
    <row r="318" ht="15.75" customHeight="1">
      <c r="A318" s="2" t="s">
        <v>420</v>
      </c>
      <c r="B318" s="1" t="s">
        <v>14</v>
      </c>
      <c r="C318" s="1" t="s">
        <v>27</v>
      </c>
      <c r="D318" s="2" t="s">
        <v>272</v>
      </c>
      <c r="E318" s="2" t="s">
        <v>37</v>
      </c>
      <c r="F318" s="1" t="s">
        <v>87</v>
      </c>
      <c r="G318" s="1" t="s">
        <v>56</v>
      </c>
      <c r="H318" s="1" t="s">
        <v>20</v>
      </c>
      <c r="I318" s="2" t="s">
        <v>17</v>
      </c>
      <c r="J318" s="1" t="s">
        <v>43</v>
      </c>
      <c r="K318" s="1" t="s">
        <v>44</v>
      </c>
      <c r="L318" s="2" t="s">
        <v>421</v>
      </c>
      <c r="M318" s="1" t="s">
        <v>20</v>
      </c>
    </row>
    <row r="319" ht="15.75" customHeight="1">
      <c r="A319" s="2" t="s">
        <v>422</v>
      </c>
      <c r="B319" s="1" t="s">
        <v>14</v>
      </c>
      <c r="C319" s="1" t="s">
        <v>27</v>
      </c>
      <c r="D319" s="2" t="s">
        <v>28</v>
      </c>
      <c r="E319" s="2" t="s">
        <v>21</v>
      </c>
      <c r="F319" s="1" t="s">
        <v>18</v>
      </c>
      <c r="G319" s="1" t="s">
        <v>31</v>
      </c>
      <c r="H319" s="1" t="s">
        <v>20</v>
      </c>
      <c r="I319" s="2" t="s">
        <v>21</v>
      </c>
      <c r="J319" s="1" t="s">
        <v>22</v>
      </c>
      <c r="K319" s="1" t="s">
        <v>23</v>
      </c>
      <c r="L319" s="2" t="s">
        <v>74</v>
      </c>
      <c r="M319" s="1" t="s">
        <v>20</v>
      </c>
    </row>
    <row r="320" ht="15.75" customHeight="1">
      <c r="A320" s="2" t="s">
        <v>423</v>
      </c>
      <c r="B320" s="1" t="s">
        <v>14</v>
      </c>
      <c r="C320" s="1" t="s">
        <v>27</v>
      </c>
      <c r="D320" s="2" t="s">
        <v>144</v>
      </c>
      <c r="E320" s="2" t="s">
        <v>57</v>
      </c>
      <c r="F320" s="1" t="s">
        <v>30</v>
      </c>
      <c r="G320" s="1" t="s">
        <v>36</v>
      </c>
      <c r="H320" s="1" t="s">
        <v>25</v>
      </c>
      <c r="I320" s="2" t="s">
        <v>29</v>
      </c>
      <c r="J320" s="1" t="s">
        <v>69</v>
      </c>
      <c r="K320" s="1" t="s">
        <v>23</v>
      </c>
      <c r="L320" s="2" t="s">
        <v>66</v>
      </c>
      <c r="M320" s="1" t="s">
        <v>25</v>
      </c>
    </row>
    <row r="321" ht="15.75" customHeight="1">
      <c r="A321" s="2" t="s">
        <v>424</v>
      </c>
      <c r="B321" s="1" t="s">
        <v>14</v>
      </c>
      <c r="C321" s="1" t="s">
        <v>15</v>
      </c>
      <c r="D321" s="2" t="s">
        <v>28</v>
      </c>
      <c r="E321" s="2" t="s">
        <v>29</v>
      </c>
      <c r="F321" s="1" t="s">
        <v>18</v>
      </c>
      <c r="G321" s="1" t="s">
        <v>31</v>
      </c>
      <c r="H321" s="1" t="s">
        <v>20</v>
      </c>
      <c r="I321" s="2" t="s">
        <v>21</v>
      </c>
      <c r="J321" s="1" t="s">
        <v>22</v>
      </c>
      <c r="K321" s="1" t="s">
        <v>23</v>
      </c>
      <c r="L321" s="2" t="s">
        <v>77</v>
      </c>
      <c r="M321" s="1" t="s">
        <v>25</v>
      </c>
    </row>
    <row r="322" ht="15.75" customHeight="1">
      <c r="A322" s="2" t="s">
        <v>425</v>
      </c>
      <c r="B322" s="1" t="s">
        <v>14</v>
      </c>
      <c r="C322" s="1" t="s">
        <v>27</v>
      </c>
      <c r="D322" s="2" t="s">
        <v>99</v>
      </c>
      <c r="E322" s="2" t="s">
        <v>21</v>
      </c>
      <c r="F322" s="1" t="s">
        <v>87</v>
      </c>
      <c r="G322" s="1" t="s">
        <v>56</v>
      </c>
      <c r="H322" s="1" t="s">
        <v>20</v>
      </c>
      <c r="I322" s="2" t="s">
        <v>21</v>
      </c>
      <c r="J322" s="1" t="s">
        <v>38</v>
      </c>
      <c r="K322" s="1" t="s">
        <v>44</v>
      </c>
      <c r="L322" s="2" t="s">
        <v>100</v>
      </c>
      <c r="M322" s="1" t="s">
        <v>20</v>
      </c>
    </row>
    <row r="323" ht="15.75" customHeight="1">
      <c r="A323" s="2" t="s">
        <v>426</v>
      </c>
      <c r="B323" s="1" t="s">
        <v>41</v>
      </c>
      <c r="C323" s="1" t="s">
        <v>15</v>
      </c>
      <c r="D323" s="2" t="s">
        <v>54</v>
      </c>
      <c r="E323" s="2" t="s">
        <v>21</v>
      </c>
      <c r="F323" s="1" t="s">
        <v>87</v>
      </c>
      <c r="G323" s="1" t="s">
        <v>56</v>
      </c>
      <c r="H323" s="1" t="s">
        <v>25</v>
      </c>
      <c r="I323" s="2" t="s">
        <v>29</v>
      </c>
      <c r="J323" s="1" t="s">
        <v>22</v>
      </c>
      <c r="K323" s="1" t="s">
        <v>44</v>
      </c>
      <c r="L323" s="2" t="s">
        <v>83</v>
      </c>
      <c r="M323" s="1" t="s">
        <v>20</v>
      </c>
    </row>
    <row r="324" ht="15.75" customHeight="1">
      <c r="A324" s="2" t="s">
        <v>427</v>
      </c>
      <c r="B324" s="1" t="s">
        <v>41</v>
      </c>
      <c r="C324" s="1" t="s">
        <v>15</v>
      </c>
      <c r="D324" s="2" t="s">
        <v>49</v>
      </c>
      <c r="E324" s="2" t="s">
        <v>57</v>
      </c>
      <c r="F324" s="1" t="s">
        <v>62</v>
      </c>
      <c r="G324" s="1" t="s">
        <v>50</v>
      </c>
      <c r="H324" s="1" t="s">
        <v>20</v>
      </c>
      <c r="I324" s="2" t="s">
        <v>37</v>
      </c>
      <c r="J324" s="1" t="s">
        <v>22</v>
      </c>
      <c r="K324" s="1" t="s">
        <v>23</v>
      </c>
      <c r="L324" s="2" t="s">
        <v>45</v>
      </c>
      <c r="M324" s="1" t="s">
        <v>20</v>
      </c>
    </row>
    <row r="325" ht="15.75" customHeight="1">
      <c r="A325" s="2" t="s">
        <v>428</v>
      </c>
      <c r="B325" s="1" t="s">
        <v>41</v>
      </c>
      <c r="C325" s="1" t="s">
        <v>15</v>
      </c>
      <c r="D325" s="2" t="s">
        <v>16</v>
      </c>
      <c r="E325" s="2" t="s">
        <v>21</v>
      </c>
      <c r="F325" s="1" t="s">
        <v>87</v>
      </c>
      <c r="G325" s="1" t="s">
        <v>31</v>
      </c>
      <c r="H325" s="1" t="s">
        <v>25</v>
      </c>
      <c r="I325" s="2" t="s">
        <v>21</v>
      </c>
      <c r="J325" s="1" t="s">
        <v>22</v>
      </c>
      <c r="K325" s="1" t="s">
        <v>23</v>
      </c>
      <c r="L325" s="2" t="s">
        <v>153</v>
      </c>
      <c r="M325" s="1" t="s">
        <v>20</v>
      </c>
    </row>
    <row r="326" ht="15.75" customHeight="1">
      <c r="A326" s="2" t="s">
        <v>429</v>
      </c>
      <c r="B326" s="1" t="s">
        <v>14</v>
      </c>
      <c r="C326" s="1" t="s">
        <v>27</v>
      </c>
      <c r="D326" s="2" t="s">
        <v>68</v>
      </c>
      <c r="E326" s="2" t="s">
        <v>57</v>
      </c>
      <c r="F326" s="1" t="s">
        <v>18</v>
      </c>
      <c r="G326" s="1" t="s">
        <v>36</v>
      </c>
      <c r="H326" s="1" t="s">
        <v>20</v>
      </c>
      <c r="I326" s="2" t="s">
        <v>21</v>
      </c>
      <c r="J326" s="1" t="s">
        <v>51</v>
      </c>
      <c r="K326" s="1" t="s">
        <v>44</v>
      </c>
      <c r="L326" s="2" t="s">
        <v>79</v>
      </c>
      <c r="M326" s="1" t="s">
        <v>20</v>
      </c>
    </row>
    <row r="327" ht="15.75" customHeight="1">
      <c r="A327" s="2" t="s">
        <v>430</v>
      </c>
      <c r="B327" s="1" t="s">
        <v>41</v>
      </c>
      <c r="C327" s="1" t="s">
        <v>27</v>
      </c>
      <c r="D327" s="2" t="s">
        <v>16</v>
      </c>
      <c r="E327" s="2" t="s">
        <v>37</v>
      </c>
      <c r="F327" s="1" t="s">
        <v>30</v>
      </c>
      <c r="G327" s="1" t="s">
        <v>31</v>
      </c>
      <c r="H327" s="1" t="s">
        <v>25</v>
      </c>
      <c r="I327" s="2" t="s">
        <v>37</v>
      </c>
      <c r="J327" s="1" t="s">
        <v>22</v>
      </c>
      <c r="K327" s="1" t="s">
        <v>23</v>
      </c>
      <c r="L327" s="2" t="s">
        <v>47</v>
      </c>
      <c r="M327" s="1" t="s">
        <v>20</v>
      </c>
    </row>
    <row r="328" ht="15.75" customHeight="1">
      <c r="A328" s="2" t="s">
        <v>431</v>
      </c>
      <c r="B328" s="1" t="s">
        <v>14</v>
      </c>
      <c r="C328" s="1" t="s">
        <v>15</v>
      </c>
      <c r="D328" s="2" t="s">
        <v>61</v>
      </c>
      <c r="E328" s="2" t="s">
        <v>21</v>
      </c>
      <c r="F328" s="1" t="s">
        <v>18</v>
      </c>
      <c r="G328" s="1" t="s">
        <v>31</v>
      </c>
      <c r="H328" s="1" t="s">
        <v>25</v>
      </c>
      <c r="I328" s="2" t="s">
        <v>21</v>
      </c>
      <c r="J328" s="1" t="s">
        <v>22</v>
      </c>
      <c r="K328" s="1" t="s">
        <v>44</v>
      </c>
      <c r="L328" s="2" t="s">
        <v>107</v>
      </c>
      <c r="M328" s="1" t="s">
        <v>20</v>
      </c>
    </row>
    <row r="329" ht="15.75" customHeight="1">
      <c r="A329" s="2" t="s">
        <v>432</v>
      </c>
      <c r="B329" s="1" t="s">
        <v>14</v>
      </c>
      <c r="C329" s="1" t="s">
        <v>27</v>
      </c>
      <c r="D329" s="2" t="s">
        <v>28</v>
      </c>
      <c r="E329" s="2" t="s">
        <v>17</v>
      </c>
      <c r="F329" s="1" t="s">
        <v>18</v>
      </c>
      <c r="G329" s="1" t="s">
        <v>19</v>
      </c>
      <c r="H329" s="1" t="s">
        <v>20</v>
      </c>
      <c r="I329" s="2" t="s">
        <v>37</v>
      </c>
      <c r="J329" s="1" t="s">
        <v>22</v>
      </c>
      <c r="K329" s="1" t="s">
        <v>23</v>
      </c>
      <c r="L329" s="2" t="s">
        <v>100</v>
      </c>
      <c r="M329" s="1" t="s">
        <v>25</v>
      </c>
    </row>
    <row r="330" ht="15.75" customHeight="1">
      <c r="A330" s="2" t="s">
        <v>433</v>
      </c>
      <c r="B330" s="1" t="s">
        <v>41</v>
      </c>
      <c r="C330" s="1" t="s">
        <v>27</v>
      </c>
      <c r="D330" s="2" t="s">
        <v>16</v>
      </c>
      <c r="E330" s="2" t="s">
        <v>37</v>
      </c>
      <c r="F330" s="1" t="s">
        <v>30</v>
      </c>
      <c r="G330" s="1" t="s">
        <v>31</v>
      </c>
      <c r="H330" s="1" t="s">
        <v>20</v>
      </c>
      <c r="I330" s="2" t="s">
        <v>37</v>
      </c>
      <c r="J330" s="1" t="s">
        <v>51</v>
      </c>
      <c r="K330" s="1" t="s">
        <v>23</v>
      </c>
      <c r="L330" s="2" t="s">
        <v>47</v>
      </c>
      <c r="M330" s="1" t="s">
        <v>25</v>
      </c>
    </row>
    <row r="331" ht="15.75" customHeight="1">
      <c r="A331" s="2" t="s">
        <v>434</v>
      </c>
      <c r="B331" s="1" t="s">
        <v>14</v>
      </c>
      <c r="C331" s="1" t="s">
        <v>15</v>
      </c>
      <c r="D331" s="2" t="s">
        <v>68</v>
      </c>
      <c r="E331" s="2" t="s">
        <v>35</v>
      </c>
      <c r="F331" s="1" t="s">
        <v>62</v>
      </c>
      <c r="G331" s="1" t="s">
        <v>19</v>
      </c>
      <c r="H331" s="1" t="s">
        <v>20</v>
      </c>
      <c r="I331" s="2" t="s">
        <v>37</v>
      </c>
      <c r="J331" s="1" t="s">
        <v>69</v>
      </c>
      <c r="K331" s="1" t="s">
        <v>23</v>
      </c>
      <c r="L331" s="2" t="s">
        <v>81</v>
      </c>
      <c r="M331" s="1" t="s">
        <v>25</v>
      </c>
    </row>
    <row r="332" ht="15.75" customHeight="1">
      <c r="A332" s="2" t="s">
        <v>435</v>
      </c>
      <c r="B332" s="1" t="s">
        <v>41</v>
      </c>
      <c r="C332" s="1" t="s">
        <v>15</v>
      </c>
      <c r="D332" s="2" t="s">
        <v>34</v>
      </c>
      <c r="E332" s="2" t="s">
        <v>21</v>
      </c>
      <c r="F332" s="1" t="s">
        <v>18</v>
      </c>
      <c r="G332" s="1" t="s">
        <v>36</v>
      </c>
      <c r="H332" s="1" t="s">
        <v>20</v>
      </c>
      <c r="I332" s="2" t="s">
        <v>29</v>
      </c>
      <c r="J332" s="1" t="s">
        <v>69</v>
      </c>
      <c r="K332" s="1" t="s">
        <v>44</v>
      </c>
      <c r="L332" s="2" t="s">
        <v>104</v>
      </c>
      <c r="M332" s="1" t="s">
        <v>25</v>
      </c>
    </row>
    <row r="333" ht="15.75" customHeight="1">
      <c r="A333" s="2" t="s">
        <v>436</v>
      </c>
      <c r="B333" s="1" t="s">
        <v>14</v>
      </c>
      <c r="C333" s="1" t="s">
        <v>27</v>
      </c>
      <c r="D333" s="2" t="s">
        <v>49</v>
      </c>
      <c r="E333" s="2" t="s">
        <v>21</v>
      </c>
      <c r="F333" s="1" t="s">
        <v>62</v>
      </c>
      <c r="G333" s="1" t="s">
        <v>50</v>
      </c>
      <c r="H333" s="1" t="s">
        <v>25</v>
      </c>
      <c r="I333" s="2" t="s">
        <v>37</v>
      </c>
      <c r="J333" s="1" t="s">
        <v>22</v>
      </c>
      <c r="K333" s="1" t="s">
        <v>23</v>
      </c>
      <c r="L333" s="2" t="s">
        <v>116</v>
      </c>
      <c r="M333" s="1" t="s">
        <v>25</v>
      </c>
    </row>
    <row r="334" ht="15.75" customHeight="1">
      <c r="A334" s="2" t="s">
        <v>437</v>
      </c>
      <c r="B334" s="1" t="s">
        <v>41</v>
      </c>
      <c r="C334" s="1" t="s">
        <v>15</v>
      </c>
      <c r="D334" s="2" t="s">
        <v>61</v>
      </c>
      <c r="E334" s="2" t="s">
        <v>21</v>
      </c>
      <c r="F334" s="1" t="s">
        <v>62</v>
      </c>
      <c r="G334" s="1" t="s">
        <v>50</v>
      </c>
      <c r="H334" s="1" t="s">
        <v>25</v>
      </c>
      <c r="I334" s="2" t="s">
        <v>37</v>
      </c>
      <c r="J334" s="1" t="s">
        <v>51</v>
      </c>
      <c r="K334" s="1" t="s">
        <v>23</v>
      </c>
      <c r="L334" s="2" t="s">
        <v>74</v>
      </c>
      <c r="M334" s="1" t="s">
        <v>20</v>
      </c>
    </row>
    <row r="335" ht="15.75" customHeight="1">
      <c r="A335" s="2" t="s">
        <v>438</v>
      </c>
      <c r="B335" s="1" t="s">
        <v>14</v>
      </c>
      <c r="C335" s="1" t="s">
        <v>27</v>
      </c>
      <c r="D335" s="2" t="s">
        <v>144</v>
      </c>
      <c r="E335" s="2" t="s">
        <v>29</v>
      </c>
      <c r="F335" s="1" t="s">
        <v>55</v>
      </c>
      <c r="G335" s="1" t="s">
        <v>36</v>
      </c>
      <c r="H335" s="1" t="s">
        <v>20</v>
      </c>
      <c r="I335" s="2" t="s">
        <v>57</v>
      </c>
      <c r="J335" s="1" t="s">
        <v>43</v>
      </c>
      <c r="K335" s="1" t="s">
        <v>23</v>
      </c>
      <c r="L335" s="2" t="s">
        <v>178</v>
      </c>
      <c r="M335" s="1" t="s">
        <v>20</v>
      </c>
    </row>
    <row r="336" ht="15.75" customHeight="1">
      <c r="A336" s="2" t="s">
        <v>439</v>
      </c>
      <c r="B336" s="1" t="s">
        <v>14</v>
      </c>
      <c r="C336" s="1" t="s">
        <v>27</v>
      </c>
      <c r="D336" s="2" t="s">
        <v>68</v>
      </c>
      <c r="E336" s="2" t="s">
        <v>37</v>
      </c>
      <c r="F336" s="1" t="s">
        <v>18</v>
      </c>
      <c r="G336" s="1" t="s">
        <v>36</v>
      </c>
      <c r="H336" s="1" t="s">
        <v>20</v>
      </c>
      <c r="I336" s="2" t="s">
        <v>17</v>
      </c>
      <c r="J336" s="1" t="s">
        <v>43</v>
      </c>
      <c r="K336" s="1" t="s">
        <v>44</v>
      </c>
      <c r="L336" s="2" t="s">
        <v>83</v>
      </c>
      <c r="M336" s="1" t="s">
        <v>25</v>
      </c>
    </row>
    <row r="337" ht="15.75" customHeight="1">
      <c r="A337" s="2" t="s">
        <v>440</v>
      </c>
      <c r="B337" s="1" t="s">
        <v>14</v>
      </c>
      <c r="D337" s="2" t="s">
        <v>34</v>
      </c>
      <c r="E337" s="2" t="s">
        <v>35</v>
      </c>
      <c r="F337" s="1" t="s">
        <v>87</v>
      </c>
      <c r="G337" s="1" t="s">
        <v>56</v>
      </c>
      <c r="H337" s="1" t="s">
        <v>25</v>
      </c>
      <c r="I337" s="2" t="s">
        <v>37</v>
      </c>
      <c r="J337" s="1" t="s">
        <v>22</v>
      </c>
      <c r="K337" s="1" t="s">
        <v>44</v>
      </c>
      <c r="L337" s="2" t="s">
        <v>135</v>
      </c>
      <c r="M337" s="1" t="s">
        <v>25</v>
      </c>
    </row>
    <row r="338" ht="15.75" customHeight="1">
      <c r="A338" s="2" t="s">
        <v>441</v>
      </c>
      <c r="B338" s="1" t="s">
        <v>41</v>
      </c>
      <c r="C338" s="1" t="s">
        <v>27</v>
      </c>
      <c r="D338" s="2" t="s">
        <v>61</v>
      </c>
      <c r="E338" s="2" t="s">
        <v>21</v>
      </c>
      <c r="F338" s="1" t="s">
        <v>62</v>
      </c>
      <c r="G338" s="1" t="s">
        <v>50</v>
      </c>
      <c r="H338" s="1" t="s">
        <v>25</v>
      </c>
      <c r="I338" s="2" t="s">
        <v>37</v>
      </c>
      <c r="J338" s="1" t="s">
        <v>22</v>
      </c>
      <c r="K338" s="1" t="s">
        <v>23</v>
      </c>
      <c r="L338" s="2" t="s">
        <v>93</v>
      </c>
      <c r="M338" s="1" t="s">
        <v>25</v>
      </c>
    </row>
    <row r="339" ht="15.75" customHeight="1">
      <c r="A339" s="2" t="s">
        <v>442</v>
      </c>
      <c r="B339" s="1" t="s">
        <v>14</v>
      </c>
      <c r="C339" s="1" t="s">
        <v>27</v>
      </c>
      <c r="D339" s="2" t="s">
        <v>49</v>
      </c>
      <c r="E339" s="2" t="s">
        <v>21</v>
      </c>
      <c r="F339" s="1" t="s">
        <v>62</v>
      </c>
      <c r="G339" s="1" t="s">
        <v>50</v>
      </c>
      <c r="H339" s="1" t="s">
        <v>20</v>
      </c>
      <c r="I339" s="2" t="s">
        <v>37</v>
      </c>
      <c r="J339" s="1" t="s">
        <v>22</v>
      </c>
      <c r="K339" s="1" t="s">
        <v>23</v>
      </c>
      <c r="L339" s="2" t="s">
        <v>104</v>
      </c>
      <c r="M339" s="1" t="s">
        <v>25</v>
      </c>
    </row>
    <row r="340" ht="15.75" customHeight="1">
      <c r="A340" s="2" t="s">
        <v>443</v>
      </c>
      <c r="B340" s="1" t="s">
        <v>41</v>
      </c>
      <c r="C340" s="1" t="s">
        <v>15</v>
      </c>
      <c r="D340" s="2" t="s">
        <v>161</v>
      </c>
      <c r="E340" s="2" t="s">
        <v>29</v>
      </c>
      <c r="F340" s="1" t="s">
        <v>55</v>
      </c>
      <c r="G340" s="1" t="s">
        <v>36</v>
      </c>
      <c r="H340" s="1" t="s">
        <v>20</v>
      </c>
      <c r="I340" s="2" t="s">
        <v>57</v>
      </c>
      <c r="J340" s="1" t="s">
        <v>43</v>
      </c>
      <c r="K340" s="1" t="s">
        <v>23</v>
      </c>
      <c r="L340" s="2" t="s">
        <v>52</v>
      </c>
      <c r="M340" s="1" t="s">
        <v>20</v>
      </c>
    </row>
    <row r="341" ht="15.75" customHeight="1">
      <c r="A341" s="2" t="s">
        <v>444</v>
      </c>
      <c r="B341" s="1" t="s">
        <v>14</v>
      </c>
      <c r="C341" s="1" t="s">
        <v>27</v>
      </c>
      <c r="D341" s="2" t="s">
        <v>61</v>
      </c>
      <c r="E341" s="2" t="s">
        <v>17</v>
      </c>
      <c r="F341" s="1" t="s">
        <v>18</v>
      </c>
      <c r="G341" s="1" t="s">
        <v>31</v>
      </c>
      <c r="H341" s="1" t="s">
        <v>20</v>
      </c>
      <c r="I341" s="2" t="s">
        <v>21</v>
      </c>
      <c r="J341" s="1" t="s">
        <v>22</v>
      </c>
      <c r="K341" s="1" t="s">
        <v>23</v>
      </c>
      <c r="L341" s="2" t="s">
        <v>128</v>
      </c>
      <c r="M341" s="1" t="s">
        <v>25</v>
      </c>
    </row>
    <row r="342" ht="15.75" customHeight="1">
      <c r="A342" s="2" t="s">
        <v>445</v>
      </c>
      <c r="B342" s="1" t="s">
        <v>41</v>
      </c>
      <c r="C342" s="1" t="s">
        <v>27</v>
      </c>
      <c r="D342" s="2" t="s">
        <v>28</v>
      </c>
      <c r="E342" s="2" t="s">
        <v>21</v>
      </c>
      <c r="F342" s="1" t="s">
        <v>30</v>
      </c>
      <c r="G342" s="1" t="s">
        <v>31</v>
      </c>
      <c r="H342" s="1" t="s">
        <v>20</v>
      </c>
      <c r="I342" s="2" t="s">
        <v>17</v>
      </c>
      <c r="J342" s="1" t="s">
        <v>38</v>
      </c>
      <c r="K342" s="1" t="s">
        <v>23</v>
      </c>
      <c r="L342" s="2" t="s">
        <v>116</v>
      </c>
      <c r="M342" s="1" t="s">
        <v>25</v>
      </c>
    </row>
    <row r="343" ht="15.75" customHeight="1">
      <c r="A343" s="2" t="s">
        <v>446</v>
      </c>
      <c r="B343" s="1" t="s">
        <v>41</v>
      </c>
      <c r="C343" s="1" t="s">
        <v>15</v>
      </c>
      <c r="D343" s="2" t="s">
        <v>28</v>
      </c>
      <c r="E343" s="2" t="s">
        <v>21</v>
      </c>
      <c r="F343" s="1" t="s">
        <v>55</v>
      </c>
      <c r="G343" s="1" t="s">
        <v>50</v>
      </c>
      <c r="H343" s="1" t="s">
        <v>25</v>
      </c>
      <c r="I343" s="2" t="s">
        <v>17</v>
      </c>
      <c r="J343" s="1" t="s">
        <v>38</v>
      </c>
      <c r="K343" s="1" t="s">
        <v>23</v>
      </c>
      <c r="L343" s="2" t="s">
        <v>104</v>
      </c>
      <c r="M343" s="1" t="s">
        <v>20</v>
      </c>
    </row>
    <row r="344" ht="15.75" customHeight="1">
      <c r="A344" s="2" t="s">
        <v>447</v>
      </c>
      <c r="B344" s="1" t="s">
        <v>41</v>
      </c>
      <c r="C344" s="1" t="s">
        <v>27</v>
      </c>
      <c r="D344" s="2" t="s">
        <v>49</v>
      </c>
      <c r="E344" s="2" t="s">
        <v>21</v>
      </c>
      <c r="F344" s="1" t="s">
        <v>62</v>
      </c>
      <c r="G344" s="1" t="s">
        <v>50</v>
      </c>
      <c r="H344" s="1" t="s">
        <v>20</v>
      </c>
      <c r="I344" s="2" t="s">
        <v>37</v>
      </c>
      <c r="J344" s="1" t="s">
        <v>51</v>
      </c>
      <c r="K344" s="1" t="s">
        <v>23</v>
      </c>
      <c r="L344" s="2" t="s">
        <v>74</v>
      </c>
      <c r="M344" s="1" t="s">
        <v>25</v>
      </c>
    </row>
    <row r="345" ht="15.75" customHeight="1">
      <c r="A345" s="2" t="s">
        <v>448</v>
      </c>
      <c r="B345" s="1" t="s">
        <v>41</v>
      </c>
      <c r="C345" s="1" t="s">
        <v>15</v>
      </c>
      <c r="D345" s="2" t="s">
        <v>28</v>
      </c>
      <c r="E345" s="2" t="s">
        <v>21</v>
      </c>
      <c r="F345" s="1" t="s">
        <v>55</v>
      </c>
      <c r="G345" s="1" t="s">
        <v>50</v>
      </c>
      <c r="H345" s="1" t="s">
        <v>25</v>
      </c>
      <c r="I345" s="2" t="s">
        <v>17</v>
      </c>
      <c r="J345" s="1" t="s">
        <v>38</v>
      </c>
      <c r="K345" s="1" t="s">
        <v>23</v>
      </c>
      <c r="L345" s="2" t="s">
        <v>104</v>
      </c>
      <c r="M345" s="1" t="s">
        <v>25</v>
      </c>
    </row>
    <row r="346" ht="15.75" customHeight="1">
      <c r="A346" s="2" t="s">
        <v>449</v>
      </c>
      <c r="B346" s="1" t="s">
        <v>41</v>
      </c>
      <c r="C346" s="1" t="s">
        <v>27</v>
      </c>
      <c r="D346" s="2" t="s">
        <v>28</v>
      </c>
      <c r="E346" s="2" t="s">
        <v>21</v>
      </c>
      <c r="F346" s="1" t="s">
        <v>30</v>
      </c>
      <c r="G346" s="1" t="s">
        <v>31</v>
      </c>
      <c r="H346" s="1" t="s">
        <v>25</v>
      </c>
      <c r="I346" s="2" t="s">
        <v>17</v>
      </c>
      <c r="J346" s="1" t="s">
        <v>38</v>
      </c>
      <c r="K346" s="1" t="s">
        <v>23</v>
      </c>
      <c r="L346" s="2" t="s">
        <v>109</v>
      </c>
      <c r="M346" s="1" t="s">
        <v>20</v>
      </c>
    </row>
    <row r="347" ht="15.75" customHeight="1">
      <c r="A347" s="2" t="s">
        <v>450</v>
      </c>
      <c r="B347" s="1" t="s">
        <v>14</v>
      </c>
      <c r="C347" s="1" t="s">
        <v>15</v>
      </c>
      <c r="D347" s="2" t="s">
        <v>61</v>
      </c>
      <c r="E347" s="2" t="s">
        <v>17</v>
      </c>
      <c r="F347" s="1" t="s">
        <v>18</v>
      </c>
      <c r="G347" s="1" t="s">
        <v>31</v>
      </c>
      <c r="H347" s="1" t="s">
        <v>20</v>
      </c>
      <c r="I347" s="2" t="s">
        <v>21</v>
      </c>
      <c r="J347" s="1" t="s">
        <v>22</v>
      </c>
      <c r="K347" s="1" t="s">
        <v>23</v>
      </c>
      <c r="L347" s="2" t="s">
        <v>52</v>
      </c>
      <c r="M347" s="1" t="s">
        <v>20</v>
      </c>
    </row>
    <row r="348" ht="15.75" customHeight="1">
      <c r="A348" s="2" t="s">
        <v>451</v>
      </c>
      <c r="B348" s="1" t="s">
        <v>14</v>
      </c>
      <c r="C348" s="1" t="s">
        <v>27</v>
      </c>
      <c r="D348" s="2" t="s">
        <v>16</v>
      </c>
      <c r="E348" s="2" t="s">
        <v>17</v>
      </c>
      <c r="F348" s="1" t="s">
        <v>18</v>
      </c>
      <c r="G348" s="1" t="s">
        <v>19</v>
      </c>
      <c r="H348" s="1" t="s">
        <v>25</v>
      </c>
      <c r="I348" s="2" t="s">
        <v>21</v>
      </c>
      <c r="J348" s="1" t="s">
        <v>22</v>
      </c>
      <c r="K348" s="1" t="s">
        <v>23</v>
      </c>
      <c r="L348" s="2" t="s">
        <v>32</v>
      </c>
      <c r="M348" s="1" t="s">
        <v>20</v>
      </c>
    </row>
    <row r="349" ht="15.75" customHeight="1">
      <c r="A349" s="2" t="s">
        <v>452</v>
      </c>
      <c r="B349" s="1" t="s">
        <v>41</v>
      </c>
      <c r="C349" s="1" t="s">
        <v>15</v>
      </c>
      <c r="D349" s="2" t="s">
        <v>76</v>
      </c>
      <c r="E349" s="2" t="s">
        <v>17</v>
      </c>
      <c r="F349" s="1" t="s">
        <v>30</v>
      </c>
      <c r="G349" s="1" t="s">
        <v>19</v>
      </c>
      <c r="H349" s="1" t="s">
        <v>25</v>
      </c>
      <c r="I349" s="2" t="s">
        <v>17</v>
      </c>
      <c r="J349" s="1" t="s">
        <v>22</v>
      </c>
      <c r="K349" s="1" t="s">
        <v>44</v>
      </c>
      <c r="L349" s="2" t="s">
        <v>77</v>
      </c>
      <c r="M349" s="1" t="s">
        <v>20</v>
      </c>
    </row>
    <row r="350" ht="15.75" customHeight="1">
      <c r="A350" s="2" t="s">
        <v>453</v>
      </c>
      <c r="B350" s="1" t="s">
        <v>14</v>
      </c>
      <c r="C350" s="1" t="s">
        <v>27</v>
      </c>
      <c r="D350" s="2" t="s">
        <v>61</v>
      </c>
      <c r="E350" s="2" t="s">
        <v>37</v>
      </c>
      <c r="F350" s="1" t="s">
        <v>55</v>
      </c>
      <c r="G350" s="1" t="s">
        <v>50</v>
      </c>
      <c r="H350" s="1" t="s">
        <v>20</v>
      </c>
      <c r="I350" s="2" t="s">
        <v>37</v>
      </c>
      <c r="J350" s="1" t="s">
        <v>22</v>
      </c>
      <c r="K350" s="1" t="s">
        <v>23</v>
      </c>
      <c r="L350" s="2" t="s">
        <v>24</v>
      </c>
      <c r="M350" s="1" t="s">
        <v>25</v>
      </c>
    </row>
    <row r="351" ht="15.75" customHeight="1">
      <c r="A351" s="2" t="s">
        <v>454</v>
      </c>
      <c r="B351" s="1" t="s">
        <v>41</v>
      </c>
      <c r="C351" s="1" t="s">
        <v>15</v>
      </c>
      <c r="D351" s="2" t="s">
        <v>28</v>
      </c>
      <c r="E351" s="2" t="s">
        <v>21</v>
      </c>
      <c r="F351" s="1" t="s">
        <v>30</v>
      </c>
      <c r="G351" s="1" t="s">
        <v>31</v>
      </c>
      <c r="H351" s="1" t="s">
        <v>25</v>
      </c>
      <c r="I351" s="2" t="s">
        <v>17</v>
      </c>
      <c r="J351" s="1" t="s">
        <v>22</v>
      </c>
      <c r="K351" s="1" t="s">
        <v>23</v>
      </c>
      <c r="L351" s="2" t="s">
        <v>97</v>
      </c>
      <c r="M351" s="1" t="s">
        <v>20</v>
      </c>
    </row>
    <row r="352" ht="15.75" customHeight="1">
      <c r="A352" s="2" t="s">
        <v>455</v>
      </c>
      <c r="B352" s="1" t="s">
        <v>41</v>
      </c>
      <c r="C352" s="1" t="s">
        <v>27</v>
      </c>
      <c r="D352" s="2" t="s">
        <v>61</v>
      </c>
      <c r="E352" s="2" t="s">
        <v>21</v>
      </c>
      <c r="F352" s="1" t="s">
        <v>30</v>
      </c>
      <c r="G352" s="1" t="s">
        <v>50</v>
      </c>
      <c r="H352" s="1" t="s">
        <v>25</v>
      </c>
      <c r="I352" s="2" t="s">
        <v>21</v>
      </c>
      <c r="J352" s="1" t="s">
        <v>22</v>
      </c>
      <c r="K352" s="1" t="s">
        <v>44</v>
      </c>
      <c r="L352" s="2" t="s">
        <v>118</v>
      </c>
      <c r="M352" s="1" t="s">
        <v>20</v>
      </c>
    </row>
    <row r="353" ht="15.75" customHeight="1">
      <c r="A353" s="2" t="s">
        <v>456</v>
      </c>
      <c r="B353" s="1" t="s">
        <v>41</v>
      </c>
      <c r="C353" s="1" t="s">
        <v>27</v>
      </c>
      <c r="D353" s="2" t="s">
        <v>49</v>
      </c>
      <c r="E353" s="2" t="s">
        <v>29</v>
      </c>
      <c r="F353" s="1" t="s">
        <v>55</v>
      </c>
      <c r="G353" s="1" t="s">
        <v>50</v>
      </c>
      <c r="H353" s="1" t="s">
        <v>20</v>
      </c>
      <c r="J353" s="1" t="s">
        <v>22</v>
      </c>
      <c r="K353" s="1" t="s">
        <v>23</v>
      </c>
      <c r="L353" s="2" t="s">
        <v>153</v>
      </c>
      <c r="M353" s="1" t="s">
        <v>20</v>
      </c>
    </row>
    <row r="354" ht="15.75" customHeight="1">
      <c r="A354" s="2" t="s">
        <v>457</v>
      </c>
      <c r="B354" s="1" t="s">
        <v>14</v>
      </c>
      <c r="C354" s="1" t="s">
        <v>15</v>
      </c>
      <c r="D354" s="2" t="s">
        <v>34</v>
      </c>
      <c r="E354" s="2" t="s">
        <v>57</v>
      </c>
      <c r="F354" s="1" t="s">
        <v>30</v>
      </c>
      <c r="G354" s="1" t="s">
        <v>36</v>
      </c>
      <c r="H354" s="1" t="s">
        <v>20</v>
      </c>
      <c r="I354" s="2" t="s">
        <v>37</v>
      </c>
      <c r="J354" s="1" t="s">
        <v>38</v>
      </c>
      <c r="K354" s="1" t="s">
        <v>23</v>
      </c>
      <c r="L354" s="2" t="s">
        <v>201</v>
      </c>
      <c r="M354" s="1" t="s">
        <v>25</v>
      </c>
    </row>
    <row r="355" ht="15.75" customHeight="1">
      <c r="A355" s="2" t="s">
        <v>458</v>
      </c>
      <c r="B355" s="1" t="s">
        <v>41</v>
      </c>
      <c r="C355" s="1" t="s">
        <v>27</v>
      </c>
      <c r="D355" s="2" t="s">
        <v>16</v>
      </c>
      <c r="E355" s="2" t="s">
        <v>21</v>
      </c>
      <c r="F355" s="1" t="s">
        <v>87</v>
      </c>
      <c r="G355" s="1" t="s">
        <v>31</v>
      </c>
      <c r="H355" s="1" t="s">
        <v>25</v>
      </c>
      <c r="I355" s="2" t="s">
        <v>21</v>
      </c>
      <c r="J355" s="1" t="s">
        <v>22</v>
      </c>
      <c r="K355" s="1" t="s">
        <v>23</v>
      </c>
      <c r="L355" s="2" t="s">
        <v>79</v>
      </c>
      <c r="M355" s="1" t="s">
        <v>20</v>
      </c>
    </row>
    <row r="356" ht="15.75" customHeight="1">
      <c r="A356" s="2" t="s">
        <v>459</v>
      </c>
      <c r="B356" s="1" t="s">
        <v>41</v>
      </c>
      <c r="C356" s="1" t="s">
        <v>27</v>
      </c>
      <c r="D356" s="2" t="s">
        <v>28</v>
      </c>
      <c r="E356" s="2" t="s">
        <v>17</v>
      </c>
      <c r="F356" s="1" t="s">
        <v>18</v>
      </c>
      <c r="G356" s="1" t="s">
        <v>31</v>
      </c>
      <c r="H356" s="1" t="s">
        <v>25</v>
      </c>
      <c r="I356" s="2" t="s">
        <v>17</v>
      </c>
      <c r="J356" s="1" t="s">
        <v>51</v>
      </c>
      <c r="K356" s="1" t="s">
        <v>23</v>
      </c>
      <c r="L356" s="2" t="s">
        <v>135</v>
      </c>
      <c r="M356" s="1" t="s">
        <v>25</v>
      </c>
    </row>
    <row r="357" ht="15.75" customHeight="1">
      <c r="A357" s="2" t="s">
        <v>460</v>
      </c>
      <c r="B357" s="1" t="s">
        <v>41</v>
      </c>
      <c r="C357" s="1" t="s">
        <v>27</v>
      </c>
      <c r="D357" s="2" t="s">
        <v>34</v>
      </c>
      <c r="E357" s="2" t="s">
        <v>21</v>
      </c>
      <c r="F357" s="1" t="s">
        <v>18</v>
      </c>
      <c r="G357" s="1" t="s">
        <v>36</v>
      </c>
      <c r="H357" s="1" t="s">
        <v>20</v>
      </c>
      <c r="I357" s="2" t="s">
        <v>29</v>
      </c>
      <c r="J357" s="1" t="s">
        <v>69</v>
      </c>
      <c r="K357" s="1" t="s">
        <v>44</v>
      </c>
      <c r="L357" s="2" t="s">
        <v>104</v>
      </c>
      <c r="M357" s="1" t="s">
        <v>25</v>
      </c>
    </row>
    <row r="358" ht="15.75" customHeight="1">
      <c r="A358" s="2" t="s">
        <v>461</v>
      </c>
      <c r="B358" s="1" t="s">
        <v>14</v>
      </c>
      <c r="C358" s="1" t="s">
        <v>15</v>
      </c>
      <c r="D358" s="2" t="s">
        <v>216</v>
      </c>
      <c r="E358" s="2" t="s">
        <v>29</v>
      </c>
      <c r="F358" s="1" t="s">
        <v>55</v>
      </c>
      <c r="G358" s="1" t="s">
        <v>36</v>
      </c>
      <c r="H358" s="1" t="s">
        <v>20</v>
      </c>
      <c r="I358" s="2" t="s">
        <v>29</v>
      </c>
      <c r="J358" s="1" t="s">
        <v>22</v>
      </c>
      <c r="K358" s="1" t="s">
        <v>23</v>
      </c>
      <c r="L358" s="2" t="s">
        <v>178</v>
      </c>
      <c r="M358" s="1" t="s">
        <v>20</v>
      </c>
    </row>
    <row r="359" ht="15.75" customHeight="1">
      <c r="A359" s="2" t="s">
        <v>462</v>
      </c>
      <c r="B359" s="1" t="s">
        <v>41</v>
      </c>
      <c r="C359" s="1" t="s">
        <v>15</v>
      </c>
      <c r="D359" s="2" t="s">
        <v>49</v>
      </c>
      <c r="E359" s="2" t="s">
        <v>21</v>
      </c>
      <c r="F359" s="1" t="s">
        <v>62</v>
      </c>
      <c r="G359" s="1" t="s">
        <v>50</v>
      </c>
      <c r="H359" s="1" t="s">
        <v>20</v>
      </c>
      <c r="I359" s="2" t="s">
        <v>37</v>
      </c>
      <c r="J359" s="1" t="s">
        <v>51</v>
      </c>
      <c r="K359" s="1" t="s">
        <v>23</v>
      </c>
      <c r="L359" s="2" t="s">
        <v>58</v>
      </c>
      <c r="M359" s="1" t="s">
        <v>25</v>
      </c>
    </row>
    <row r="360" ht="15.75" customHeight="1">
      <c r="A360" s="2" t="s">
        <v>463</v>
      </c>
      <c r="B360" s="1" t="s">
        <v>14</v>
      </c>
      <c r="C360" s="1" t="s">
        <v>27</v>
      </c>
      <c r="D360" s="2" t="s">
        <v>68</v>
      </c>
      <c r="E360" s="2" t="s">
        <v>57</v>
      </c>
      <c r="F360" s="1" t="s">
        <v>55</v>
      </c>
      <c r="G360" s="1" t="s">
        <v>56</v>
      </c>
      <c r="H360" s="1" t="s">
        <v>20</v>
      </c>
      <c r="I360" s="2" t="s">
        <v>29</v>
      </c>
      <c r="J360" s="1" t="s">
        <v>43</v>
      </c>
      <c r="K360" s="1" t="s">
        <v>23</v>
      </c>
      <c r="L360" s="2" t="s">
        <v>63</v>
      </c>
      <c r="M360" s="1" t="s">
        <v>20</v>
      </c>
    </row>
    <row r="361" ht="15.75" customHeight="1">
      <c r="A361" s="2" t="s">
        <v>464</v>
      </c>
      <c r="B361" s="1" t="s">
        <v>14</v>
      </c>
      <c r="C361" s="1" t="s">
        <v>27</v>
      </c>
      <c r="D361" s="2" t="s">
        <v>34</v>
      </c>
      <c r="E361" s="2" t="s">
        <v>21</v>
      </c>
      <c r="F361" s="1" t="s">
        <v>18</v>
      </c>
      <c r="G361" s="1" t="s">
        <v>36</v>
      </c>
      <c r="H361" s="1" t="s">
        <v>20</v>
      </c>
      <c r="I361" s="2" t="s">
        <v>29</v>
      </c>
      <c r="J361" s="1" t="s">
        <v>69</v>
      </c>
      <c r="K361" s="1" t="s">
        <v>44</v>
      </c>
      <c r="L361" s="2" t="s">
        <v>116</v>
      </c>
      <c r="M361" s="1" t="s">
        <v>25</v>
      </c>
    </row>
    <row r="362" ht="15.75" customHeight="1">
      <c r="A362" s="2" t="s">
        <v>465</v>
      </c>
      <c r="B362" s="1" t="s">
        <v>41</v>
      </c>
      <c r="C362" s="1" t="s">
        <v>27</v>
      </c>
      <c r="D362" s="2" t="s">
        <v>144</v>
      </c>
      <c r="E362" s="2" t="s">
        <v>21</v>
      </c>
      <c r="F362" s="1" t="s">
        <v>87</v>
      </c>
      <c r="G362" s="1" t="s">
        <v>56</v>
      </c>
      <c r="H362" s="1" t="s">
        <v>20</v>
      </c>
      <c r="I362" s="2" t="s">
        <v>21</v>
      </c>
      <c r="J362" s="1" t="s">
        <v>38</v>
      </c>
      <c r="K362" s="1" t="s">
        <v>44</v>
      </c>
      <c r="L362" s="2" t="s">
        <v>125</v>
      </c>
      <c r="M362" s="1" t="s">
        <v>20</v>
      </c>
    </row>
    <row r="363" ht="15.75" customHeight="1">
      <c r="A363" s="2" t="s">
        <v>466</v>
      </c>
      <c r="B363" s="1" t="s">
        <v>41</v>
      </c>
      <c r="C363" s="1" t="s">
        <v>15</v>
      </c>
      <c r="D363" s="2" t="s">
        <v>28</v>
      </c>
      <c r="E363" s="2" t="s">
        <v>29</v>
      </c>
      <c r="F363" s="1" t="s">
        <v>30</v>
      </c>
      <c r="G363" s="1" t="s">
        <v>31</v>
      </c>
      <c r="H363" s="1" t="s">
        <v>25</v>
      </c>
      <c r="I363" s="2" t="s">
        <v>37</v>
      </c>
      <c r="J363" s="1" t="s">
        <v>22</v>
      </c>
      <c r="K363" s="1" t="s">
        <v>23</v>
      </c>
      <c r="L363" s="2" t="s">
        <v>245</v>
      </c>
      <c r="M363" s="1" t="s">
        <v>20</v>
      </c>
    </row>
    <row r="364" ht="15.75" customHeight="1">
      <c r="A364" s="2" t="s">
        <v>467</v>
      </c>
      <c r="B364" s="1" t="s">
        <v>14</v>
      </c>
      <c r="C364" s="1" t="s">
        <v>27</v>
      </c>
      <c r="D364" s="2" t="s">
        <v>16</v>
      </c>
      <c r="E364" s="2" t="s">
        <v>17</v>
      </c>
      <c r="F364" s="1" t="s">
        <v>18</v>
      </c>
      <c r="G364" s="1" t="s">
        <v>19</v>
      </c>
      <c r="H364" s="1" t="s">
        <v>20</v>
      </c>
      <c r="I364" s="2" t="s">
        <v>17</v>
      </c>
      <c r="J364" s="1" t="s">
        <v>22</v>
      </c>
      <c r="K364" s="1" t="s">
        <v>23</v>
      </c>
      <c r="L364" s="2" t="s">
        <v>58</v>
      </c>
      <c r="M364" s="1" t="s">
        <v>20</v>
      </c>
    </row>
    <row r="365" ht="15.75" customHeight="1">
      <c r="A365" s="2" t="s">
        <v>468</v>
      </c>
      <c r="B365" s="1" t="s">
        <v>14</v>
      </c>
      <c r="C365" s="1" t="s">
        <v>15</v>
      </c>
      <c r="D365" s="2" t="s">
        <v>16</v>
      </c>
      <c r="E365" s="2" t="s">
        <v>37</v>
      </c>
      <c r="F365" s="1" t="s">
        <v>18</v>
      </c>
      <c r="G365" s="1" t="s">
        <v>56</v>
      </c>
      <c r="H365" s="1" t="s">
        <v>20</v>
      </c>
      <c r="I365" s="2" t="s">
        <v>37</v>
      </c>
      <c r="J365" s="1" t="s">
        <v>22</v>
      </c>
      <c r="K365" s="1" t="s">
        <v>44</v>
      </c>
      <c r="L365" s="2" t="s">
        <v>128</v>
      </c>
      <c r="M365" s="1" t="s">
        <v>20</v>
      </c>
    </row>
    <row r="366" ht="15.75" customHeight="1">
      <c r="A366" s="2" t="s">
        <v>469</v>
      </c>
      <c r="B366" s="1" t="s">
        <v>41</v>
      </c>
      <c r="C366" s="1" t="s">
        <v>15</v>
      </c>
      <c r="D366" s="2" t="s">
        <v>49</v>
      </c>
      <c r="E366" s="2" t="s">
        <v>37</v>
      </c>
      <c r="F366" s="1" t="s">
        <v>55</v>
      </c>
      <c r="G366" s="1" t="s">
        <v>50</v>
      </c>
      <c r="H366" s="1" t="s">
        <v>20</v>
      </c>
      <c r="I366" s="2" t="s">
        <v>17</v>
      </c>
      <c r="J366" s="1" t="s">
        <v>22</v>
      </c>
      <c r="K366" s="1" t="s">
        <v>23</v>
      </c>
      <c r="L366" s="2" t="s">
        <v>79</v>
      </c>
      <c r="M366" s="1" t="s">
        <v>20</v>
      </c>
    </row>
    <row r="367" ht="15.75" customHeight="1">
      <c r="A367" s="2" t="s">
        <v>470</v>
      </c>
      <c r="B367" s="1" t="s">
        <v>41</v>
      </c>
      <c r="C367" s="1" t="s">
        <v>15</v>
      </c>
      <c r="D367" s="2" t="s">
        <v>16</v>
      </c>
      <c r="E367" s="2" t="s">
        <v>21</v>
      </c>
      <c r="F367" s="1" t="s">
        <v>18</v>
      </c>
      <c r="G367" s="1" t="s">
        <v>31</v>
      </c>
      <c r="I367" s="2" t="s">
        <v>21</v>
      </c>
      <c r="J367" s="1" t="s">
        <v>22</v>
      </c>
      <c r="K367" s="1" t="s">
        <v>23</v>
      </c>
      <c r="L367" s="2" t="s">
        <v>79</v>
      </c>
      <c r="M367" s="1" t="s">
        <v>20</v>
      </c>
    </row>
    <row r="368" ht="15.75" customHeight="1">
      <c r="A368" s="2" t="s">
        <v>471</v>
      </c>
      <c r="B368" s="1" t="s">
        <v>14</v>
      </c>
      <c r="C368" s="1" t="s">
        <v>27</v>
      </c>
      <c r="D368" s="2" t="s">
        <v>76</v>
      </c>
      <c r="E368" s="2" t="s">
        <v>17</v>
      </c>
      <c r="F368" s="1" t="s">
        <v>30</v>
      </c>
      <c r="G368" s="1" t="s">
        <v>19</v>
      </c>
      <c r="H368" s="1" t="s">
        <v>20</v>
      </c>
      <c r="I368" s="2" t="s">
        <v>17</v>
      </c>
      <c r="J368" s="1" t="s">
        <v>22</v>
      </c>
      <c r="K368" s="1" t="s">
        <v>44</v>
      </c>
      <c r="L368" s="2" t="s">
        <v>77</v>
      </c>
      <c r="M368" s="1" t="s">
        <v>20</v>
      </c>
    </row>
    <row r="369" ht="15.75" customHeight="1">
      <c r="A369" s="2" t="s">
        <v>472</v>
      </c>
      <c r="B369" s="1" t="s">
        <v>14</v>
      </c>
      <c r="C369" s="1" t="s">
        <v>15</v>
      </c>
      <c r="D369" s="2" t="s">
        <v>144</v>
      </c>
      <c r="E369" s="2" t="s">
        <v>29</v>
      </c>
      <c r="F369" s="1" t="s">
        <v>30</v>
      </c>
      <c r="G369" s="1" t="s">
        <v>36</v>
      </c>
      <c r="H369" s="1" t="s">
        <v>20</v>
      </c>
      <c r="I369" s="2" t="s">
        <v>29</v>
      </c>
      <c r="J369" s="1" t="s">
        <v>43</v>
      </c>
      <c r="K369" s="1" t="s">
        <v>23</v>
      </c>
      <c r="L369" s="2" t="s">
        <v>52</v>
      </c>
      <c r="M369" s="1" t="s">
        <v>20</v>
      </c>
    </row>
    <row r="370" ht="15.75" customHeight="1">
      <c r="A370" s="2" t="s">
        <v>473</v>
      </c>
      <c r="B370" s="1" t="s">
        <v>41</v>
      </c>
      <c r="C370" s="1" t="s">
        <v>15</v>
      </c>
      <c r="D370" s="2" t="s">
        <v>28</v>
      </c>
      <c r="E370" s="2" t="s">
        <v>37</v>
      </c>
      <c r="F370" s="1" t="s">
        <v>30</v>
      </c>
      <c r="G370" s="1" t="s">
        <v>31</v>
      </c>
      <c r="H370" s="1" t="s">
        <v>25</v>
      </c>
      <c r="I370" s="2" t="s">
        <v>37</v>
      </c>
      <c r="J370" s="1" t="s">
        <v>43</v>
      </c>
      <c r="K370" s="1" t="s">
        <v>44</v>
      </c>
      <c r="L370" s="2" t="s">
        <v>39</v>
      </c>
      <c r="M370" s="1" t="s">
        <v>20</v>
      </c>
    </row>
    <row r="371" ht="15.75" customHeight="1">
      <c r="A371" s="2" t="s">
        <v>474</v>
      </c>
      <c r="B371" s="1" t="s">
        <v>41</v>
      </c>
      <c r="C371" s="1" t="s">
        <v>15</v>
      </c>
      <c r="D371" s="2" t="s">
        <v>61</v>
      </c>
      <c r="E371" s="2" t="s">
        <v>37</v>
      </c>
      <c r="F371" s="1" t="s">
        <v>30</v>
      </c>
      <c r="G371" s="1" t="s">
        <v>50</v>
      </c>
      <c r="H371" s="1" t="s">
        <v>25</v>
      </c>
      <c r="I371" s="2" t="s">
        <v>17</v>
      </c>
      <c r="J371" s="1" t="s">
        <v>22</v>
      </c>
      <c r="K371" s="1" t="s">
        <v>23</v>
      </c>
      <c r="L371" s="2" t="s">
        <v>201</v>
      </c>
      <c r="M371" s="1" t="s">
        <v>20</v>
      </c>
    </row>
    <row r="372" ht="15.75" customHeight="1">
      <c r="A372" s="2" t="s">
        <v>475</v>
      </c>
      <c r="B372" s="1" t="s">
        <v>14</v>
      </c>
      <c r="C372" s="1" t="s">
        <v>15</v>
      </c>
      <c r="D372" s="2" t="s">
        <v>99</v>
      </c>
      <c r="E372" s="2" t="s">
        <v>57</v>
      </c>
      <c r="F372" s="1" t="s">
        <v>18</v>
      </c>
      <c r="G372" s="1" t="s">
        <v>36</v>
      </c>
      <c r="H372" s="1" t="s">
        <v>20</v>
      </c>
      <c r="I372" s="2" t="s">
        <v>17</v>
      </c>
      <c r="J372" s="1" t="s">
        <v>69</v>
      </c>
      <c r="K372" s="1" t="s">
        <v>44</v>
      </c>
      <c r="L372" s="2" t="s">
        <v>130</v>
      </c>
      <c r="M372" s="1" t="s">
        <v>25</v>
      </c>
    </row>
    <row r="373" ht="15.75" customHeight="1">
      <c r="A373" s="2" t="s">
        <v>476</v>
      </c>
      <c r="B373" s="1" t="s">
        <v>41</v>
      </c>
      <c r="C373" s="1" t="s">
        <v>27</v>
      </c>
      <c r="D373" s="2" t="s">
        <v>34</v>
      </c>
      <c r="E373" s="2" t="s">
        <v>35</v>
      </c>
      <c r="F373" s="1" t="s">
        <v>87</v>
      </c>
      <c r="G373" s="1" t="s">
        <v>56</v>
      </c>
      <c r="H373" s="1" t="s">
        <v>20</v>
      </c>
      <c r="I373" s="2" t="s">
        <v>29</v>
      </c>
      <c r="J373" s="1" t="s">
        <v>22</v>
      </c>
      <c r="K373" s="1" t="s">
        <v>44</v>
      </c>
      <c r="M373" s="1" t="s">
        <v>25</v>
      </c>
    </row>
    <row r="374" ht="15.75" customHeight="1">
      <c r="A374" s="2" t="s">
        <v>477</v>
      </c>
      <c r="B374" s="1" t="s">
        <v>14</v>
      </c>
      <c r="C374" s="1" t="s">
        <v>27</v>
      </c>
      <c r="D374" s="2" t="s">
        <v>16</v>
      </c>
      <c r="E374" s="2" t="s">
        <v>17</v>
      </c>
      <c r="F374" s="1" t="s">
        <v>18</v>
      </c>
      <c r="G374" s="1" t="s">
        <v>19</v>
      </c>
      <c r="H374" s="1" t="s">
        <v>20</v>
      </c>
      <c r="I374" s="2" t="s">
        <v>17</v>
      </c>
      <c r="J374" s="1" t="s">
        <v>22</v>
      </c>
      <c r="K374" s="1" t="s">
        <v>23</v>
      </c>
      <c r="L374" s="2" t="s">
        <v>32</v>
      </c>
      <c r="M374" s="1" t="s">
        <v>20</v>
      </c>
    </row>
    <row r="375" ht="15.75" customHeight="1">
      <c r="A375" s="2" t="s">
        <v>478</v>
      </c>
      <c r="B375" s="1" t="s">
        <v>41</v>
      </c>
      <c r="C375" s="1" t="s">
        <v>27</v>
      </c>
      <c r="D375" s="2" t="s">
        <v>61</v>
      </c>
      <c r="E375" s="2" t="s">
        <v>21</v>
      </c>
      <c r="F375" s="1" t="s">
        <v>55</v>
      </c>
      <c r="G375" s="1" t="s">
        <v>50</v>
      </c>
      <c r="H375" s="1" t="s">
        <v>25</v>
      </c>
      <c r="I375" s="2" t="s">
        <v>17</v>
      </c>
      <c r="J375" s="1" t="s">
        <v>38</v>
      </c>
      <c r="K375" s="1" t="s">
        <v>23</v>
      </c>
      <c r="L375" s="2" t="s">
        <v>116</v>
      </c>
      <c r="M375" s="1" t="s">
        <v>25</v>
      </c>
    </row>
    <row r="376" ht="15.75" customHeight="1">
      <c r="A376" s="2" t="s">
        <v>479</v>
      </c>
      <c r="B376" s="1" t="s">
        <v>41</v>
      </c>
      <c r="C376" s="1" t="s">
        <v>15</v>
      </c>
      <c r="D376" s="2" t="s">
        <v>34</v>
      </c>
      <c r="E376" s="2" t="s">
        <v>35</v>
      </c>
      <c r="F376" s="1" t="s">
        <v>18</v>
      </c>
      <c r="G376" s="1" t="s">
        <v>36</v>
      </c>
      <c r="H376" s="1" t="s">
        <v>20</v>
      </c>
      <c r="I376" s="2" t="s">
        <v>57</v>
      </c>
      <c r="J376" s="1" t="s">
        <v>51</v>
      </c>
      <c r="K376" s="1" t="s">
        <v>44</v>
      </c>
      <c r="L376" s="2" t="s">
        <v>79</v>
      </c>
      <c r="M376" s="1" t="s">
        <v>25</v>
      </c>
    </row>
    <row r="377" ht="15.75" customHeight="1">
      <c r="A377" s="2" t="s">
        <v>480</v>
      </c>
      <c r="B377" s="1" t="s">
        <v>14</v>
      </c>
      <c r="C377" s="1" t="s">
        <v>15</v>
      </c>
      <c r="D377" s="2" t="s">
        <v>16</v>
      </c>
      <c r="E377" s="2" t="s">
        <v>17</v>
      </c>
      <c r="F377" s="1" t="s">
        <v>18</v>
      </c>
      <c r="G377" s="1" t="s">
        <v>19</v>
      </c>
      <c r="H377" s="1" t="s">
        <v>20</v>
      </c>
      <c r="I377" s="2" t="s">
        <v>17</v>
      </c>
      <c r="J377" s="1" t="s">
        <v>22</v>
      </c>
      <c r="K377" s="1" t="s">
        <v>23</v>
      </c>
      <c r="L377" s="2" t="s">
        <v>481</v>
      </c>
      <c r="M377" s="1" t="s">
        <v>25</v>
      </c>
    </row>
    <row r="378" ht="15.75" customHeight="1">
      <c r="A378" s="2" t="s">
        <v>482</v>
      </c>
      <c r="B378" s="1" t="s">
        <v>14</v>
      </c>
      <c r="C378" s="1" t="s">
        <v>27</v>
      </c>
      <c r="D378" s="2" t="s">
        <v>61</v>
      </c>
      <c r="E378" s="2" t="s">
        <v>17</v>
      </c>
      <c r="F378" s="1" t="s">
        <v>18</v>
      </c>
      <c r="G378" s="1" t="s">
        <v>31</v>
      </c>
      <c r="H378" s="1" t="s">
        <v>20</v>
      </c>
      <c r="I378" s="2" t="s">
        <v>21</v>
      </c>
      <c r="J378" s="1" t="s">
        <v>22</v>
      </c>
      <c r="K378" s="1" t="s">
        <v>23</v>
      </c>
      <c r="L378" s="2" t="s">
        <v>421</v>
      </c>
      <c r="M378" s="1" t="s">
        <v>20</v>
      </c>
    </row>
    <row r="379" ht="15.75" customHeight="1">
      <c r="A379" s="2" t="s">
        <v>483</v>
      </c>
      <c r="B379" s="1" t="s">
        <v>14</v>
      </c>
      <c r="C379" s="1" t="s">
        <v>27</v>
      </c>
      <c r="D379" s="2" t="s">
        <v>144</v>
      </c>
      <c r="E379" s="2" t="s">
        <v>29</v>
      </c>
      <c r="F379" s="1" t="s">
        <v>30</v>
      </c>
      <c r="G379" s="1" t="s">
        <v>36</v>
      </c>
      <c r="H379" s="1" t="s">
        <v>25</v>
      </c>
      <c r="I379" s="2" t="s">
        <v>29</v>
      </c>
      <c r="J379" s="1" t="s">
        <v>43</v>
      </c>
      <c r="K379" s="1" t="s">
        <v>23</v>
      </c>
      <c r="L379" s="2" t="s">
        <v>178</v>
      </c>
      <c r="M379" s="1" t="s">
        <v>20</v>
      </c>
    </row>
    <row r="380" ht="15.75" customHeight="1">
      <c r="A380" s="2" t="s">
        <v>484</v>
      </c>
      <c r="B380" s="1" t="s">
        <v>14</v>
      </c>
      <c r="C380" s="1" t="s">
        <v>27</v>
      </c>
      <c r="D380" s="2" t="s">
        <v>28</v>
      </c>
      <c r="E380" s="2" t="s">
        <v>29</v>
      </c>
      <c r="F380" s="1" t="s">
        <v>30</v>
      </c>
      <c r="G380" s="1" t="s">
        <v>31</v>
      </c>
      <c r="H380" s="1" t="s">
        <v>25</v>
      </c>
      <c r="I380" s="2" t="s">
        <v>37</v>
      </c>
      <c r="J380" s="1" t="s">
        <v>43</v>
      </c>
      <c r="K380" s="1" t="s">
        <v>44</v>
      </c>
      <c r="L380" s="2" t="s">
        <v>91</v>
      </c>
      <c r="M380" s="1" t="s">
        <v>25</v>
      </c>
    </row>
    <row r="381" ht="15.75" customHeight="1">
      <c r="A381" s="2" t="s">
        <v>485</v>
      </c>
      <c r="B381" s="1" t="s">
        <v>14</v>
      </c>
      <c r="C381" s="1" t="s">
        <v>27</v>
      </c>
      <c r="D381" s="2" t="s">
        <v>76</v>
      </c>
      <c r="E381" s="2" t="s">
        <v>29</v>
      </c>
      <c r="F381" s="1" t="s">
        <v>18</v>
      </c>
      <c r="G381" s="1" t="s">
        <v>36</v>
      </c>
      <c r="H381" s="1" t="s">
        <v>20</v>
      </c>
      <c r="I381" s="2" t="s">
        <v>37</v>
      </c>
      <c r="J381" s="1" t="s">
        <v>43</v>
      </c>
      <c r="K381" s="1" t="s">
        <v>44</v>
      </c>
      <c r="L381" s="2" t="s">
        <v>32</v>
      </c>
      <c r="M381" s="1" t="s">
        <v>25</v>
      </c>
    </row>
    <row r="382" ht="15.75" customHeight="1">
      <c r="A382" s="2" t="s">
        <v>486</v>
      </c>
      <c r="B382" s="1" t="s">
        <v>41</v>
      </c>
      <c r="C382" s="1" t="s">
        <v>27</v>
      </c>
      <c r="D382" s="2" t="s">
        <v>42</v>
      </c>
      <c r="E382" s="2" t="s">
        <v>21</v>
      </c>
      <c r="F382" s="1" t="s">
        <v>18</v>
      </c>
      <c r="G382" s="1" t="s">
        <v>36</v>
      </c>
      <c r="H382" s="1" t="s">
        <v>25</v>
      </c>
      <c r="I382" s="2" t="s">
        <v>29</v>
      </c>
      <c r="J382" s="1" t="s">
        <v>69</v>
      </c>
      <c r="K382" s="1" t="s">
        <v>44</v>
      </c>
      <c r="L382" s="2" t="s">
        <v>116</v>
      </c>
      <c r="M382" s="1" t="s">
        <v>20</v>
      </c>
    </row>
    <row r="383" ht="15.75" customHeight="1">
      <c r="A383" s="2" t="s">
        <v>487</v>
      </c>
      <c r="B383" s="1" t="s">
        <v>14</v>
      </c>
      <c r="C383" s="1" t="s">
        <v>15</v>
      </c>
      <c r="D383" s="2" t="s">
        <v>28</v>
      </c>
      <c r="E383" s="2" t="s">
        <v>37</v>
      </c>
      <c r="F383" s="1" t="s">
        <v>30</v>
      </c>
      <c r="G383" s="1" t="s">
        <v>31</v>
      </c>
      <c r="H383" s="1" t="s">
        <v>20</v>
      </c>
      <c r="I383" s="2" t="s">
        <v>37</v>
      </c>
      <c r="J383" s="1" t="s">
        <v>43</v>
      </c>
      <c r="K383" s="1" t="s">
        <v>44</v>
      </c>
      <c r="L383" s="2" t="s">
        <v>403</v>
      </c>
      <c r="M383" s="1" t="s">
        <v>25</v>
      </c>
    </row>
    <row r="384" ht="15.75" customHeight="1">
      <c r="A384" s="2" t="s">
        <v>488</v>
      </c>
      <c r="B384" s="1" t="s">
        <v>14</v>
      </c>
      <c r="C384" s="1" t="s">
        <v>27</v>
      </c>
      <c r="D384" s="2" t="s">
        <v>34</v>
      </c>
      <c r="E384" s="2" t="s">
        <v>57</v>
      </c>
      <c r="F384" s="1" t="s">
        <v>30</v>
      </c>
      <c r="G384" s="1" t="s">
        <v>36</v>
      </c>
      <c r="H384" s="1" t="s">
        <v>20</v>
      </c>
      <c r="I384" s="2" t="s">
        <v>37</v>
      </c>
      <c r="J384" s="1" t="s">
        <v>69</v>
      </c>
      <c r="K384" s="1" t="s">
        <v>23</v>
      </c>
      <c r="L384" s="2" t="s">
        <v>201</v>
      </c>
      <c r="M384" s="1" t="s">
        <v>25</v>
      </c>
    </row>
    <row r="385" ht="15.75" customHeight="1">
      <c r="A385" s="2" t="s">
        <v>489</v>
      </c>
      <c r="B385" s="1" t="s">
        <v>14</v>
      </c>
      <c r="C385" s="1" t="s">
        <v>27</v>
      </c>
      <c r="D385" s="2" t="s">
        <v>16</v>
      </c>
      <c r="E385" s="2" t="s">
        <v>21</v>
      </c>
      <c r="F385" s="1" t="s">
        <v>87</v>
      </c>
      <c r="G385" s="1" t="s">
        <v>31</v>
      </c>
      <c r="H385" s="1" t="s">
        <v>20</v>
      </c>
      <c r="I385" s="2" t="s">
        <v>21</v>
      </c>
      <c r="J385" s="1" t="s">
        <v>22</v>
      </c>
      <c r="K385" s="1" t="s">
        <v>23</v>
      </c>
      <c r="L385" s="2" t="s">
        <v>153</v>
      </c>
      <c r="M385" s="1" t="s">
        <v>20</v>
      </c>
    </row>
    <row r="386" ht="15.75" customHeight="1">
      <c r="A386" s="2" t="s">
        <v>490</v>
      </c>
      <c r="B386" s="1" t="s">
        <v>41</v>
      </c>
      <c r="C386" s="1" t="s">
        <v>15</v>
      </c>
      <c r="D386" s="2" t="s">
        <v>49</v>
      </c>
      <c r="E386" s="2" t="s">
        <v>21</v>
      </c>
      <c r="F386" s="1" t="s">
        <v>30</v>
      </c>
      <c r="G386" s="1" t="s">
        <v>50</v>
      </c>
      <c r="H386" s="1" t="s">
        <v>25</v>
      </c>
      <c r="I386" s="2" t="s">
        <v>17</v>
      </c>
      <c r="J386" s="1" t="s">
        <v>22</v>
      </c>
      <c r="K386" s="1" t="s">
        <v>44</v>
      </c>
      <c r="L386" s="2" t="s">
        <v>118</v>
      </c>
      <c r="M386" s="1" t="s">
        <v>20</v>
      </c>
    </row>
    <row r="387" ht="15.75" customHeight="1">
      <c r="A387" s="2" t="s">
        <v>491</v>
      </c>
      <c r="B387" s="1" t="s">
        <v>41</v>
      </c>
      <c r="C387" s="1" t="s">
        <v>27</v>
      </c>
      <c r="D387" s="2" t="s">
        <v>28</v>
      </c>
      <c r="E387" s="2" t="s">
        <v>29</v>
      </c>
      <c r="F387" s="1" t="s">
        <v>30</v>
      </c>
      <c r="G387" s="1" t="s">
        <v>31</v>
      </c>
      <c r="H387" s="1" t="s">
        <v>20</v>
      </c>
      <c r="I387" s="2" t="s">
        <v>21</v>
      </c>
      <c r="J387" s="1" t="s">
        <v>22</v>
      </c>
      <c r="K387" s="1" t="s">
        <v>23</v>
      </c>
      <c r="L387" s="2" t="s">
        <v>32</v>
      </c>
      <c r="M387" s="1" t="s">
        <v>25</v>
      </c>
    </row>
    <row r="388" ht="15.75" customHeight="1">
      <c r="A388" s="2" t="s">
        <v>492</v>
      </c>
      <c r="B388" s="1" t="s">
        <v>41</v>
      </c>
      <c r="C388" s="1" t="s">
        <v>15</v>
      </c>
      <c r="D388" s="2" t="s">
        <v>161</v>
      </c>
      <c r="F388" s="1" t="s">
        <v>62</v>
      </c>
      <c r="G388" s="1" t="s">
        <v>36</v>
      </c>
      <c r="H388" s="1" t="s">
        <v>20</v>
      </c>
      <c r="I388" s="2" t="s">
        <v>57</v>
      </c>
      <c r="J388" s="1" t="s">
        <v>69</v>
      </c>
      <c r="K388" s="1" t="s">
        <v>44</v>
      </c>
      <c r="L388" s="2" t="s">
        <v>93</v>
      </c>
      <c r="M388" s="1" t="s">
        <v>20</v>
      </c>
    </row>
    <row r="389" ht="15.75" customHeight="1">
      <c r="A389" s="2" t="s">
        <v>493</v>
      </c>
      <c r="B389" s="1" t="s">
        <v>41</v>
      </c>
      <c r="C389" s="1" t="s">
        <v>15</v>
      </c>
      <c r="D389" s="2" t="s">
        <v>61</v>
      </c>
      <c r="E389" s="2" t="s">
        <v>21</v>
      </c>
      <c r="F389" s="1" t="s">
        <v>62</v>
      </c>
      <c r="G389" s="1" t="s">
        <v>50</v>
      </c>
      <c r="H389" s="1" t="s">
        <v>25</v>
      </c>
      <c r="I389" s="2" t="s">
        <v>37</v>
      </c>
      <c r="J389" s="1" t="s">
        <v>51</v>
      </c>
      <c r="K389" s="1" t="s">
        <v>23</v>
      </c>
      <c r="L389" s="2" t="s">
        <v>93</v>
      </c>
      <c r="M389" s="1" t="s">
        <v>20</v>
      </c>
    </row>
    <row r="390" ht="15.75" customHeight="1">
      <c r="A390" s="2" t="s">
        <v>494</v>
      </c>
      <c r="B390" s="1" t="s">
        <v>14</v>
      </c>
      <c r="C390" s="1" t="s">
        <v>15</v>
      </c>
      <c r="D390" s="2" t="s">
        <v>28</v>
      </c>
      <c r="E390" s="2" t="s">
        <v>17</v>
      </c>
      <c r="F390" s="1" t="s">
        <v>18</v>
      </c>
      <c r="G390" s="1" t="s">
        <v>31</v>
      </c>
      <c r="H390" s="1" t="s">
        <v>20</v>
      </c>
      <c r="I390" s="2" t="s">
        <v>21</v>
      </c>
      <c r="J390" s="1" t="s">
        <v>22</v>
      </c>
      <c r="K390" s="1" t="s">
        <v>23</v>
      </c>
      <c r="L390" s="2" t="s">
        <v>421</v>
      </c>
      <c r="M390" s="1" t="s">
        <v>25</v>
      </c>
    </row>
    <row r="391" ht="15.75" customHeight="1">
      <c r="A391" s="2" t="s">
        <v>495</v>
      </c>
      <c r="B391" s="1" t="s">
        <v>14</v>
      </c>
      <c r="C391" s="1" t="s">
        <v>15</v>
      </c>
      <c r="D391" s="2" t="s">
        <v>34</v>
      </c>
      <c r="E391" s="2" t="s">
        <v>21</v>
      </c>
      <c r="F391" s="1" t="s">
        <v>18</v>
      </c>
      <c r="G391" s="1" t="s">
        <v>36</v>
      </c>
      <c r="H391" s="1" t="s">
        <v>20</v>
      </c>
      <c r="I391" s="2" t="s">
        <v>17</v>
      </c>
      <c r="J391" s="1" t="s">
        <v>51</v>
      </c>
      <c r="K391" s="1" t="s">
        <v>44</v>
      </c>
      <c r="L391" s="2" t="s">
        <v>45</v>
      </c>
      <c r="M391" s="1" t="s">
        <v>20</v>
      </c>
    </row>
    <row r="392" ht="15.75" customHeight="1">
      <c r="A392" s="2" t="s">
        <v>496</v>
      </c>
      <c r="B392" s="1" t="s">
        <v>41</v>
      </c>
      <c r="C392" s="1" t="s">
        <v>27</v>
      </c>
      <c r="D392" s="2" t="s">
        <v>42</v>
      </c>
      <c r="E392" s="2" t="s">
        <v>21</v>
      </c>
      <c r="F392" s="1" t="s">
        <v>18</v>
      </c>
      <c r="G392" s="1" t="s">
        <v>36</v>
      </c>
      <c r="H392" s="1" t="s">
        <v>25</v>
      </c>
      <c r="I392" s="2" t="s">
        <v>17</v>
      </c>
      <c r="J392" s="1" t="s">
        <v>43</v>
      </c>
      <c r="K392" s="1" t="s">
        <v>44</v>
      </c>
      <c r="L392" s="2" t="s">
        <v>79</v>
      </c>
      <c r="M392" s="1" t="s">
        <v>25</v>
      </c>
    </row>
    <row r="393" ht="15.75" customHeight="1">
      <c r="A393" s="2" t="s">
        <v>497</v>
      </c>
      <c r="B393" s="1" t="s">
        <v>41</v>
      </c>
      <c r="C393" s="1" t="s">
        <v>15</v>
      </c>
      <c r="D393" s="2" t="s">
        <v>42</v>
      </c>
      <c r="E393" s="2" t="s">
        <v>21</v>
      </c>
      <c r="F393" s="1" t="s">
        <v>18</v>
      </c>
      <c r="G393" s="1" t="s">
        <v>36</v>
      </c>
      <c r="H393" s="1" t="s">
        <v>25</v>
      </c>
      <c r="I393" s="2" t="s">
        <v>17</v>
      </c>
      <c r="J393" s="1" t="s">
        <v>22</v>
      </c>
      <c r="K393" s="1" t="s">
        <v>44</v>
      </c>
      <c r="L393" s="2" t="s">
        <v>45</v>
      </c>
      <c r="M393" s="1" t="s">
        <v>20</v>
      </c>
    </row>
    <row r="394" ht="15.75" customHeight="1">
      <c r="A394" s="2" t="s">
        <v>498</v>
      </c>
      <c r="B394" s="1" t="s">
        <v>41</v>
      </c>
      <c r="C394" s="1" t="s">
        <v>27</v>
      </c>
      <c r="D394" s="2" t="s">
        <v>61</v>
      </c>
      <c r="E394" s="2" t="s">
        <v>17</v>
      </c>
      <c r="F394" s="1" t="s">
        <v>18</v>
      </c>
      <c r="G394" s="1" t="s">
        <v>31</v>
      </c>
      <c r="H394" s="1" t="s">
        <v>25</v>
      </c>
      <c r="I394" s="2" t="s">
        <v>21</v>
      </c>
      <c r="J394" s="1" t="s">
        <v>22</v>
      </c>
      <c r="K394" s="1" t="s">
        <v>23</v>
      </c>
      <c r="L394" s="2" t="s">
        <v>178</v>
      </c>
      <c r="M394" s="1" t="s">
        <v>25</v>
      </c>
    </row>
    <row r="395" ht="15.75" customHeight="1">
      <c r="A395" s="2" t="s">
        <v>499</v>
      </c>
      <c r="B395" s="1" t="s">
        <v>14</v>
      </c>
      <c r="C395" s="1" t="s">
        <v>15</v>
      </c>
      <c r="D395" s="2" t="s">
        <v>49</v>
      </c>
      <c r="E395" s="2" t="s">
        <v>21</v>
      </c>
      <c r="F395" s="1" t="s">
        <v>62</v>
      </c>
      <c r="G395" s="1" t="s">
        <v>50</v>
      </c>
      <c r="H395" s="1" t="s">
        <v>20</v>
      </c>
      <c r="I395" s="2" t="s">
        <v>37</v>
      </c>
      <c r="J395" s="1" t="s">
        <v>51</v>
      </c>
      <c r="K395" s="1" t="s">
        <v>23</v>
      </c>
      <c r="L395" s="2" t="s">
        <v>104</v>
      </c>
      <c r="M395" s="1" t="s">
        <v>25</v>
      </c>
    </row>
    <row r="396" ht="15.75" customHeight="1">
      <c r="A396" s="2" t="s">
        <v>500</v>
      </c>
      <c r="B396" s="1" t="s">
        <v>14</v>
      </c>
      <c r="C396" s="1" t="s">
        <v>15</v>
      </c>
      <c r="D396" s="2" t="s">
        <v>16</v>
      </c>
      <c r="E396" s="2" t="s">
        <v>21</v>
      </c>
      <c r="F396" s="1" t="s">
        <v>18</v>
      </c>
      <c r="G396" s="1" t="s">
        <v>31</v>
      </c>
      <c r="H396" s="1" t="s">
        <v>20</v>
      </c>
      <c r="I396" s="2" t="s">
        <v>21</v>
      </c>
      <c r="J396" s="1" t="s">
        <v>22</v>
      </c>
      <c r="K396" s="1" t="s">
        <v>23</v>
      </c>
      <c r="L396" s="2" t="s">
        <v>79</v>
      </c>
      <c r="M396" s="1" t="s">
        <v>20</v>
      </c>
    </row>
    <row r="397" ht="15.75" customHeight="1">
      <c r="A397" s="2" t="s">
        <v>501</v>
      </c>
      <c r="B397" s="1" t="s">
        <v>14</v>
      </c>
      <c r="C397" s="1" t="s">
        <v>27</v>
      </c>
      <c r="D397" s="2" t="s">
        <v>28</v>
      </c>
      <c r="E397" s="2" t="s">
        <v>17</v>
      </c>
      <c r="F397" s="1" t="s">
        <v>18</v>
      </c>
      <c r="G397" s="1" t="s">
        <v>31</v>
      </c>
      <c r="H397" s="1" t="s">
        <v>20</v>
      </c>
      <c r="I397" s="2" t="s">
        <v>21</v>
      </c>
      <c r="J397" s="1" t="s">
        <v>22</v>
      </c>
      <c r="K397" s="1" t="s">
        <v>23</v>
      </c>
      <c r="L397" s="2" t="s">
        <v>79</v>
      </c>
      <c r="M397" s="1" t="s">
        <v>20</v>
      </c>
    </row>
    <row r="398" ht="15.75" customHeight="1">
      <c r="A398" s="2" t="s">
        <v>502</v>
      </c>
      <c r="B398" s="1" t="s">
        <v>41</v>
      </c>
      <c r="C398" s="1" t="s">
        <v>27</v>
      </c>
      <c r="D398" s="2" t="s">
        <v>76</v>
      </c>
      <c r="E398" s="2" t="s">
        <v>37</v>
      </c>
      <c r="F398" s="1" t="s">
        <v>18</v>
      </c>
      <c r="G398" s="1" t="s">
        <v>36</v>
      </c>
      <c r="H398" s="1" t="s">
        <v>20</v>
      </c>
      <c r="I398" s="2" t="s">
        <v>17</v>
      </c>
      <c r="J398" s="1" t="s">
        <v>38</v>
      </c>
      <c r="K398" s="1" t="s">
        <v>44</v>
      </c>
      <c r="L398" s="2" t="s">
        <v>79</v>
      </c>
      <c r="M398" s="1" t="s">
        <v>20</v>
      </c>
    </row>
    <row r="399" ht="15.75" customHeight="1">
      <c r="A399" s="2" t="s">
        <v>503</v>
      </c>
      <c r="B399" s="1" t="s">
        <v>14</v>
      </c>
      <c r="C399" s="1" t="s">
        <v>15</v>
      </c>
      <c r="D399" s="2" t="s">
        <v>49</v>
      </c>
      <c r="E399" s="2" t="s">
        <v>37</v>
      </c>
      <c r="F399" s="1" t="s">
        <v>62</v>
      </c>
      <c r="G399" s="1" t="s">
        <v>31</v>
      </c>
      <c r="H399" s="1" t="s">
        <v>20</v>
      </c>
      <c r="I399" s="2" t="s">
        <v>37</v>
      </c>
      <c r="J399" s="1" t="s">
        <v>43</v>
      </c>
      <c r="K399" s="1" t="s">
        <v>44</v>
      </c>
      <c r="L399" s="2" t="s">
        <v>63</v>
      </c>
      <c r="M399" s="1" t="s">
        <v>25</v>
      </c>
    </row>
    <row r="400" ht="15.75" customHeight="1">
      <c r="A400" s="2" t="s">
        <v>504</v>
      </c>
      <c r="B400" s="1" t="s">
        <v>41</v>
      </c>
      <c r="C400" s="1" t="s">
        <v>27</v>
      </c>
      <c r="D400" s="2" t="s">
        <v>28</v>
      </c>
      <c r="E400" s="2" t="s">
        <v>17</v>
      </c>
      <c r="F400" s="1" t="s">
        <v>18</v>
      </c>
      <c r="G400" s="1" t="s">
        <v>31</v>
      </c>
      <c r="H400" s="1" t="s">
        <v>20</v>
      </c>
      <c r="I400" s="2" t="s">
        <v>17</v>
      </c>
      <c r="J400" s="1" t="s">
        <v>51</v>
      </c>
      <c r="K400" s="1" t="s">
        <v>23</v>
      </c>
      <c r="L400" s="2" t="s">
        <v>135</v>
      </c>
      <c r="M400" s="1" t="s">
        <v>20</v>
      </c>
    </row>
    <row r="401" ht="15.75" customHeight="1">
      <c r="A401" s="2" t="s">
        <v>505</v>
      </c>
      <c r="B401" s="1" t="s">
        <v>41</v>
      </c>
      <c r="C401" s="1" t="s">
        <v>15</v>
      </c>
      <c r="D401" s="2" t="s">
        <v>16</v>
      </c>
      <c r="E401" s="2" t="s">
        <v>37</v>
      </c>
      <c r="F401" s="1" t="s">
        <v>18</v>
      </c>
      <c r="G401" s="1" t="s">
        <v>56</v>
      </c>
      <c r="H401" s="1" t="s">
        <v>25</v>
      </c>
      <c r="I401" s="2" t="s">
        <v>17</v>
      </c>
      <c r="J401" s="1" t="s">
        <v>43</v>
      </c>
      <c r="K401" s="1" t="s">
        <v>44</v>
      </c>
      <c r="L401" s="2" t="s">
        <v>201</v>
      </c>
      <c r="M401" s="1" t="s">
        <v>20</v>
      </c>
    </row>
    <row r="402" ht="15.75" customHeight="1">
      <c r="A402" s="2" t="s">
        <v>506</v>
      </c>
      <c r="B402" s="1" t="s">
        <v>41</v>
      </c>
      <c r="C402" s="1" t="s">
        <v>15</v>
      </c>
      <c r="D402" s="2" t="s">
        <v>276</v>
      </c>
      <c r="E402" s="2" t="s">
        <v>29</v>
      </c>
      <c r="F402" s="1" t="s">
        <v>18</v>
      </c>
      <c r="G402" s="1" t="s">
        <v>56</v>
      </c>
      <c r="H402" s="1" t="s">
        <v>20</v>
      </c>
      <c r="I402" s="2" t="s">
        <v>57</v>
      </c>
      <c r="J402" s="1" t="s">
        <v>69</v>
      </c>
      <c r="K402" s="1" t="s">
        <v>23</v>
      </c>
      <c r="L402" s="2" t="s">
        <v>201</v>
      </c>
      <c r="M402" s="1" t="s">
        <v>25</v>
      </c>
    </row>
    <row r="403" ht="15.75" customHeight="1">
      <c r="A403" s="2" t="s">
        <v>507</v>
      </c>
      <c r="B403" s="1" t="s">
        <v>14</v>
      </c>
      <c r="C403" s="1" t="s">
        <v>15</v>
      </c>
      <c r="D403" s="2" t="s">
        <v>16</v>
      </c>
      <c r="E403" s="2" t="s">
        <v>17</v>
      </c>
      <c r="F403" s="1" t="s">
        <v>18</v>
      </c>
      <c r="G403" s="1" t="s">
        <v>31</v>
      </c>
      <c r="H403" s="1" t="s">
        <v>20</v>
      </c>
      <c r="I403" s="2" t="s">
        <v>21</v>
      </c>
      <c r="J403" s="1" t="s">
        <v>22</v>
      </c>
      <c r="K403" s="1" t="s">
        <v>23</v>
      </c>
      <c r="L403" s="2" t="s">
        <v>508</v>
      </c>
      <c r="M403" s="1" t="s">
        <v>25</v>
      </c>
    </row>
    <row r="404" ht="15.75" customHeight="1">
      <c r="A404" s="2" t="s">
        <v>509</v>
      </c>
      <c r="B404" s="1" t="s">
        <v>14</v>
      </c>
      <c r="C404" s="1" t="s">
        <v>27</v>
      </c>
      <c r="D404" s="2" t="s">
        <v>49</v>
      </c>
      <c r="E404" s="2" t="s">
        <v>17</v>
      </c>
      <c r="F404" s="1" t="s">
        <v>87</v>
      </c>
      <c r="G404" s="1" t="s">
        <v>50</v>
      </c>
      <c r="H404" s="1" t="s">
        <v>20</v>
      </c>
      <c r="I404" s="2" t="s">
        <v>21</v>
      </c>
      <c r="J404" s="1" t="s">
        <v>22</v>
      </c>
      <c r="K404" s="1" t="s">
        <v>23</v>
      </c>
      <c r="L404" s="2" t="s">
        <v>102</v>
      </c>
      <c r="M404" s="1" t="s">
        <v>25</v>
      </c>
    </row>
    <row r="405" ht="15.75" customHeight="1">
      <c r="A405" s="2" t="s">
        <v>510</v>
      </c>
      <c r="B405" s="1" t="s">
        <v>14</v>
      </c>
      <c r="C405" s="1" t="s">
        <v>27</v>
      </c>
      <c r="D405" s="2" t="s">
        <v>61</v>
      </c>
      <c r="E405" s="2" t="s">
        <v>17</v>
      </c>
      <c r="F405" s="1" t="s">
        <v>87</v>
      </c>
      <c r="G405" s="1" t="s">
        <v>31</v>
      </c>
      <c r="H405" s="1" t="s">
        <v>20</v>
      </c>
      <c r="I405" s="2" t="s">
        <v>21</v>
      </c>
      <c r="J405" s="1" t="s">
        <v>22</v>
      </c>
      <c r="K405" s="1" t="s">
        <v>23</v>
      </c>
      <c r="L405" s="2" t="s">
        <v>102</v>
      </c>
      <c r="M405" s="1" t="s">
        <v>25</v>
      </c>
    </row>
    <row r="406" ht="15.75" customHeight="1">
      <c r="A406" s="2" t="s">
        <v>511</v>
      </c>
      <c r="B406" s="1" t="s">
        <v>14</v>
      </c>
      <c r="C406" s="1" t="s">
        <v>27</v>
      </c>
      <c r="D406" s="2" t="s">
        <v>28</v>
      </c>
      <c r="E406" s="2" t="s">
        <v>29</v>
      </c>
      <c r="F406" s="1" t="s">
        <v>55</v>
      </c>
      <c r="G406" s="1" t="s">
        <v>19</v>
      </c>
      <c r="H406" s="1" t="s">
        <v>20</v>
      </c>
      <c r="I406" s="2" t="s">
        <v>37</v>
      </c>
      <c r="J406" s="1" t="s">
        <v>43</v>
      </c>
      <c r="K406" s="1" t="s">
        <v>44</v>
      </c>
      <c r="L406" s="2" t="s">
        <v>66</v>
      </c>
      <c r="M406" s="1" t="s">
        <v>20</v>
      </c>
    </row>
    <row r="407" ht="15.75" customHeight="1">
      <c r="A407" s="2" t="s">
        <v>512</v>
      </c>
      <c r="B407" s="1" t="s">
        <v>14</v>
      </c>
      <c r="C407" s="1" t="s">
        <v>15</v>
      </c>
      <c r="D407" s="2" t="s">
        <v>28</v>
      </c>
      <c r="E407" s="2" t="s">
        <v>21</v>
      </c>
      <c r="F407" s="1" t="s">
        <v>18</v>
      </c>
      <c r="G407" s="1" t="s">
        <v>31</v>
      </c>
      <c r="H407" s="1" t="s">
        <v>20</v>
      </c>
      <c r="I407" s="2" t="s">
        <v>21</v>
      </c>
      <c r="J407" s="1" t="s">
        <v>22</v>
      </c>
      <c r="K407" s="1" t="s">
        <v>23</v>
      </c>
      <c r="L407" s="2" t="s">
        <v>153</v>
      </c>
      <c r="M407" s="1" t="s">
        <v>20</v>
      </c>
    </row>
    <row r="408" ht="15.75" customHeight="1">
      <c r="A408" s="2" t="s">
        <v>513</v>
      </c>
      <c r="B408" s="1" t="s">
        <v>14</v>
      </c>
      <c r="C408" s="1" t="s">
        <v>15</v>
      </c>
      <c r="D408" s="2" t="s">
        <v>16</v>
      </c>
      <c r="E408" s="2" t="s">
        <v>17</v>
      </c>
      <c r="F408" s="1" t="s">
        <v>18</v>
      </c>
      <c r="G408" s="1" t="s">
        <v>19</v>
      </c>
      <c r="H408" s="1" t="s">
        <v>20</v>
      </c>
      <c r="I408" s="2" t="s">
        <v>21</v>
      </c>
      <c r="J408" s="1" t="s">
        <v>22</v>
      </c>
      <c r="K408" s="1" t="s">
        <v>23</v>
      </c>
      <c r="L408" s="2" t="s">
        <v>45</v>
      </c>
      <c r="M408" s="1" t="s">
        <v>25</v>
      </c>
    </row>
    <row r="409" ht="15.75" customHeight="1">
      <c r="A409" s="2" t="s">
        <v>514</v>
      </c>
      <c r="B409" s="1" t="s">
        <v>41</v>
      </c>
      <c r="C409" s="1" t="s">
        <v>15</v>
      </c>
      <c r="D409" s="2" t="s">
        <v>68</v>
      </c>
      <c r="E409" s="2" t="s">
        <v>37</v>
      </c>
      <c r="F409" s="1" t="s">
        <v>18</v>
      </c>
      <c r="G409" s="1" t="s">
        <v>36</v>
      </c>
      <c r="H409" s="1" t="s">
        <v>25</v>
      </c>
      <c r="I409" s="2" t="s">
        <v>21</v>
      </c>
      <c r="J409" s="1" t="s">
        <v>22</v>
      </c>
      <c r="K409" s="1" t="s">
        <v>44</v>
      </c>
      <c r="L409" s="2" t="s">
        <v>47</v>
      </c>
      <c r="M409" s="1" t="s">
        <v>20</v>
      </c>
    </row>
    <row r="410" ht="15.75" customHeight="1">
      <c r="A410" s="2" t="s">
        <v>515</v>
      </c>
      <c r="B410" s="1" t="s">
        <v>41</v>
      </c>
      <c r="C410" s="1" t="s">
        <v>15</v>
      </c>
      <c r="D410" s="2" t="s">
        <v>16</v>
      </c>
      <c r="E410" s="2" t="s">
        <v>37</v>
      </c>
      <c r="F410" s="1" t="s">
        <v>30</v>
      </c>
      <c r="G410" s="1" t="s">
        <v>31</v>
      </c>
      <c r="H410" s="1" t="s">
        <v>20</v>
      </c>
      <c r="I410" s="2" t="s">
        <v>21</v>
      </c>
      <c r="J410" s="1" t="s">
        <v>22</v>
      </c>
      <c r="K410" s="1" t="s">
        <v>23</v>
      </c>
      <c r="L410" s="2" t="s">
        <v>58</v>
      </c>
      <c r="M410" s="1" t="s">
        <v>25</v>
      </c>
    </row>
    <row r="411" ht="15.75" customHeight="1">
      <c r="A411" s="2" t="s">
        <v>516</v>
      </c>
      <c r="B411" s="1" t="s">
        <v>14</v>
      </c>
      <c r="C411" s="1" t="s">
        <v>15</v>
      </c>
      <c r="D411" s="2" t="s">
        <v>144</v>
      </c>
      <c r="E411" s="2" t="s">
        <v>29</v>
      </c>
      <c r="F411" s="1" t="s">
        <v>30</v>
      </c>
      <c r="G411" s="1" t="s">
        <v>36</v>
      </c>
      <c r="H411" s="1" t="s">
        <v>20</v>
      </c>
      <c r="I411" s="2" t="s">
        <v>57</v>
      </c>
      <c r="J411" s="1" t="s">
        <v>22</v>
      </c>
      <c r="K411" s="1" t="s">
        <v>23</v>
      </c>
      <c r="L411" s="2" t="s">
        <v>132</v>
      </c>
      <c r="M411" s="1" t="s">
        <v>25</v>
      </c>
    </row>
    <row r="412" ht="15.75" customHeight="1">
      <c r="A412" s="2" t="s">
        <v>517</v>
      </c>
      <c r="B412" s="1" t="s">
        <v>14</v>
      </c>
      <c r="C412" s="1" t="s">
        <v>15</v>
      </c>
      <c r="D412" s="2" t="s">
        <v>61</v>
      </c>
      <c r="E412" s="2" t="s">
        <v>37</v>
      </c>
      <c r="F412" s="1" t="s">
        <v>30</v>
      </c>
      <c r="G412" s="1" t="s">
        <v>50</v>
      </c>
      <c r="H412" s="1" t="s">
        <v>20</v>
      </c>
      <c r="I412" s="2" t="s">
        <v>17</v>
      </c>
      <c r="J412" s="1" t="s">
        <v>22</v>
      </c>
      <c r="K412" s="1" t="s">
        <v>23</v>
      </c>
      <c r="L412" s="2" t="s">
        <v>130</v>
      </c>
      <c r="M412" s="1" t="s">
        <v>20</v>
      </c>
    </row>
    <row r="413" ht="15.75" customHeight="1">
      <c r="A413" s="2" t="s">
        <v>518</v>
      </c>
      <c r="B413" s="1" t="s">
        <v>14</v>
      </c>
      <c r="C413" s="1" t="s">
        <v>27</v>
      </c>
      <c r="D413" s="2" t="s">
        <v>42</v>
      </c>
      <c r="E413" s="2" t="s">
        <v>35</v>
      </c>
      <c r="F413" s="1" t="s">
        <v>30</v>
      </c>
      <c r="G413" s="1" t="s">
        <v>19</v>
      </c>
      <c r="H413" s="1" t="s">
        <v>20</v>
      </c>
      <c r="I413" s="2" t="s">
        <v>37</v>
      </c>
      <c r="J413" s="1" t="s">
        <v>43</v>
      </c>
      <c r="K413" s="1" t="s">
        <v>44</v>
      </c>
      <c r="L413" s="2" t="s">
        <v>32</v>
      </c>
      <c r="M413" s="1" t="s">
        <v>25</v>
      </c>
    </row>
    <row r="414" ht="15.75" customHeight="1">
      <c r="A414" s="2" t="s">
        <v>519</v>
      </c>
      <c r="B414" s="1" t="s">
        <v>41</v>
      </c>
      <c r="C414" s="1" t="s">
        <v>27</v>
      </c>
      <c r="D414" s="2" t="s">
        <v>16</v>
      </c>
      <c r="E414" s="2" t="s">
        <v>37</v>
      </c>
      <c r="F414" s="1" t="s">
        <v>30</v>
      </c>
      <c r="G414" s="1" t="s">
        <v>31</v>
      </c>
      <c r="H414" s="1" t="s">
        <v>20</v>
      </c>
      <c r="I414" s="2" t="s">
        <v>21</v>
      </c>
      <c r="J414" s="1" t="s">
        <v>22</v>
      </c>
      <c r="K414" s="1" t="s">
        <v>23</v>
      </c>
      <c r="L414" s="2" t="s">
        <v>93</v>
      </c>
      <c r="M414" s="1" t="s">
        <v>25</v>
      </c>
    </row>
    <row r="415" ht="15.75" customHeight="1">
      <c r="A415" s="2" t="s">
        <v>520</v>
      </c>
      <c r="B415" s="1" t="s">
        <v>41</v>
      </c>
      <c r="C415" s="1" t="s">
        <v>15</v>
      </c>
      <c r="D415" s="2" t="s">
        <v>28</v>
      </c>
      <c r="E415" s="2" t="s">
        <v>37</v>
      </c>
      <c r="F415" s="1" t="s">
        <v>30</v>
      </c>
      <c r="G415" s="1" t="s">
        <v>31</v>
      </c>
      <c r="H415" s="1" t="s">
        <v>25</v>
      </c>
      <c r="I415" s="2" t="s">
        <v>37</v>
      </c>
      <c r="J415" s="1" t="s">
        <v>43</v>
      </c>
      <c r="K415" s="1" t="s">
        <v>44</v>
      </c>
      <c r="L415" s="2" t="s">
        <v>297</v>
      </c>
      <c r="M415" s="1" t="s">
        <v>25</v>
      </c>
    </row>
    <row r="416" ht="15.75" customHeight="1">
      <c r="A416" s="2" t="s">
        <v>521</v>
      </c>
      <c r="B416" s="1" t="s">
        <v>14</v>
      </c>
      <c r="C416" s="1" t="s">
        <v>15</v>
      </c>
      <c r="D416" s="2" t="s">
        <v>16</v>
      </c>
      <c r="E416" s="2" t="s">
        <v>21</v>
      </c>
      <c r="F416" s="1" t="s">
        <v>87</v>
      </c>
      <c r="G416" s="1" t="s">
        <v>31</v>
      </c>
      <c r="H416" s="1" t="s">
        <v>20</v>
      </c>
      <c r="I416" s="2" t="s">
        <v>21</v>
      </c>
      <c r="J416" s="1" t="s">
        <v>22</v>
      </c>
      <c r="K416" s="1" t="s">
        <v>23</v>
      </c>
      <c r="L416" s="2" t="s">
        <v>74</v>
      </c>
      <c r="M416" s="1" t="s">
        <v>20</v>
      </c>
    </row>
    <row r="417" ht="15.75" customHeight="1">
      <c r="A417" s="2" t="s">
        <v>522</v>
      </c>
      <c r="B417" s="1" t="s">
        <v>14</v>
      </c>
      <c r="C417" s="1" t="s">
        <v>15</v>
      </c>
      <c r="D417" s="2" t="s">
        <v>34</v>
      </c>
      <c r="E417" s="2" t="s">
        <v>35</v>
      </c>
      <c r="F417" s="1" t="s">
        <v>87</v>
      </c>
      <c r="G417" s="1" t="s">
        <v>56</v>
      </c>
      <c r="H417" s="1" t="s">
        <v>20</v>
      </c>
      <c r="I417" s="2" t="s">
        <v>29</v>
      </c>
      <c r="J417" s="1" t="s">
        <v>22</v>
      </c>
      <c r="K417" s="1" t="s">
        <v>44</v>
      </c>
      <c r="L417" s="2" t="s">
        <v>100</v>
      </c>
      <c r="M417" s="1" t="s">
        <v>25</v>
      </c>
    </row>
    <row r="418" ht="15.75" customHeight="1">
      <c r="A418" s="2" t="s">
        <v>523</v>
      </c>
      <c r="B418" s="1" t="s">
        <v>41</v>
      </c>
      <c r="C418" s="1" t="s">
        <v>27</v>
      </c>
      <c r="D418" s="2" t="s">
        <v>76</v>
      </c>
      <c r="E418" s="2" t="s">
        <v>37</v>
      </c>
      <c r="F418" s="1" t="s">
        <v>18</v>
      </c>
      <c r="G418" s="1" t="s">
        <v>36</v>
      </c>
      <c r="H418" s="1" t="s">
        <v>25</v>
      </c>
      <c r="I418" s="2" t="s">
        <v>17</v>
      </c>
      <c r="J418" s="1" t="s">
        <v>22</v>
      </c>
      <c r="K418" s="1" t="s">
        <v>44</v>
      </c>
      <c r="L418" s="2" t="s">
        <v>153</v>
      </c>
      <c r="M418" s="1" t="s">
        <v>20</v>
      </c>
    </row>
    <row r="419" ht="15.75" customHeight="1">
      <c r="A419" s="2" t="s">
        <v>524</v>
      </c>
      <c r="B419" s="1" t="s">
        <v>41</v>
      </c>
      <c r="C419" s="1" t="s">
        <v>15</v>
      </c>
      <c r="D419" s="2" t="s">
        <v>28</v>
      </c>
      <c r="E419" s="2" t="s">
        <v>37</v>
      </c>
      <c r="F419" s="1" t="s">
        <v>30</v>
      </c>
      <c r="G419" s="1" t="s">
        <v>31</v>
      </c>
      <c r="H419" s="1" t="s">
        <v>25</v>
      </c>
      <c r="I419" s="2" t="s">
        <v>37</v>
      </c>
      <c r="J419" s="1" t="s">
        <v>43</v>
      </c>
      <c r="K419" s="1" t="s">
        <v>44</v>
      </c>
      <c r="L419" s="2" t="s">
        <v>297</v>
      </c>
      <c r="M419" s="1" t="s">
        <v>25</v>
      </c>
    </row>
    <row r="420" ht="15.75" customHeight="1">
      <c r="A420" s="2" t="s">
        <v>525</v>
      </c>
      <c r="B420" s="1" t="s">
        <v>14</v>
      </c>
      <c r="C420" s="1" t="s">
        <v>27</v>
      </c>
      <c r="D420" s="2" t="s">
        <v>28</v>
      </c>
      <c r="E420" s="2" t="s">
        <v>17</v>
      </c>
      <c r="F420" s="1" t="s">
        <v>18</v>
      </c>
      <c r="G420" s="1" t="s">
        <v>19</v>
      </c>
      <c r="H420" s="1" t="s">
        <v>20</v>
      </c>
      <c r="I420" s="2" t="s">
        <v>37</v>
      </c>
      <c r="J420" s="1" t="s">
        <v>22</v>
      </c>
      <c r="K420" s="1" t="s">
        <v>23</v>
      </c>
      <c r="L420" s="2" t="s">
        <v>45</v>
      </c>
      <c r="M420" s="1" t="s">
        <v>20</v>
      </c>
    </row>
    <row r="421" ht="15.75" customHeight="1">
      <c r="A421" s="2" t="s">
        <v>526</v>
      </c>
      <c r="B421" s="1" t="s">
        <v>41</v>
      </c>
      <c r="C421" s="1" t="s">
        <v>27</v>
      </c>
      <c r="D421" s="2" t="s">
        <v>49</v>
      </c>
      <c r="E421" s="2" t="s">
        <v>37</v>
      </c>
      <c r="F421" s="1" t="s">
        <v>30</v>
      </c>
      <c r="G421" s="1" t="s">
        <v>50</v>
      </c>
      <c r="H421" s="1" t="s">
        <v>20</v>
      </c>
      <c r="I421" s="2" t="s">
        <v>17</v>
      </c>
      <c r="J421" s="1" t="s">
        <v>22</v>
      </c>
      <c r="K421" s="1" t="s">
        <v>23</v>
      </c>
      <c r="L421" s="2" t="s">
        <v>178</v>
      </c>
      <c r="M421" s="1" t="s">
        <v>20</v>
      </c>
    </row>
    <row r="422" ht="15.75" customHeight="1">
      <c r="A422" s="2" t="s">
        <v>527</v>
      </c>
      <c r="B422" s="1" t="s">
        <v>14</v>
      </c>
      <c r="C422" s="1" t="s">
        <v>15</v>
      </c>
      <c r="D422" s="2" t="s">
        <v>99</v>
      </c>
      <c r="E422" s="2" t="s">
        <v>37</v>
      </c>
      <c r="F422" s="1" t="s">
        <v>18</v>
      </c>
      <c r="G422" s="1" t="s">
        <v>56</v>
      </c>
      <c r="H422" s="1" t="s">
        <v>20</v>
      </c>
      <c r="I422" s="2" t="s">
        <v>57</v>
      </c>
      <c r="J422" s="1" t="s">
        <v>69</v>
      </c>
      <c r="K422" s="1" t="s">
        <v>23</v>
      </c>
      <c r="L422" s="2" t="s">
        <v>81</v>
      </c>
      <c r="M422" s="1" t="s">
        <v>25</v>
      </c>
    </row>
    <row r="423" ht="15.75" customHeight="1">
      <c r="A423" s="2" t="s">
        <v>528</v>
      </c>
      <c r="B423" s="1" t="s">
        <v>14</v>
      </c>
      <c r="C423" s="1" t="s">
        <v>27</v>
      </c>
      <c r="D423" s="2" t="s">
        <v>49</v>
      </c>
      <c r="E423" s="2" t="s">
        <v>37</v>
      </c>
      <c r="F423" s="1" t="s">
        <v>30</v>
      </c>
      <c r="G423" s="1" t="s">
        <v>50</v>
      </c>
      <c r="H423" s="1" t="s">
        <v>20</v>
      </c>
      <c r="I423" s="2" t="s">
        <v>21</v>
      </c>
      <c r="J423" s="1" t="s">
        <v>51</v>
      </c>
      <c r="K423" s="1" t="s">
        <v>23</v>
      </c>
      <c r="L423" s="2" t="s">
        <v>178</v>
      </c>
      <c r="M423" s="1" t="s">
        <v>25</v>
      </c>
    </row>
    <row r="424" ht="15.75" customHeight="1">
      <c r="A424" s="2" t="s">
        <v>529</v>
      </c>
      <c r="B424" s="1" t="s">
        <v>41</v>
      </c>
      <c r="C424" s="1" t="s">
        <v>27</v>
      </c>
      <c r="D424" s="2" t="s">
        <v>276</v>
      </c>
      <c r="E424" s="2" t="s">
        <v>21</v>
      </c>
      <c r="F424" s="1" t="s">
        <v>30</v>
      </c>
      <c r="G424" s="1" t="s">
        <v>56</v>
      </c>
      <c r="H424" s="1" t="s">
        <v>25</v>
      </c>
      <c r="I424" s="2" t="s">
        <v>29</v>
      </c>
      <c r="J424" s="1" t="s">
        <v>69</v>
      </c>
      <c r="K424" s="1" t="s">
        <v>44</v>
      </c>
      <c r="L424" s="2" t="s">
        <v>104</v>
      </c>
      <c r="M424" s="1" t="s">
        <v>20</v>
      </c>
    </row>
    <row r="425" ht="15.75" customHeight="1">
      <c r="A425" s="2" t="s">
        <v>530</v>
      </c>
      <c r="B425" s="1" t="s">
        <v>41</v>
      </c>
      <c r="C425" s="1" t="s">
        <v>27</v>
      </c>
      <c r="D425" s="2" t="s">
        <v>28</v>
      </c>
      <c r="E425" s="2" t="s">
        <v>21</v>
      </c>
      <c r="F425" s="1" t="s">
        <v>55</v>
      </c>
      <c r="G425" s="1" t="s">
        <v>50</v>
      </c>
      <c r="H425" s="1" t="s">
        <v>20</v>
      </c>
      <c r="I425" s="2" t="s">
        <v>17</v>
      </c>
      <c r="J425" s="1" t="s">
        <v>38</v>
      </c>
      <c r="K425" s="1" t="s">
        <v>23</v>
      </c>
      <c r="L425" s="2" t="s">
        <v>93</v>
      </c>
      <c r="M425" s="1" t="s">
        <v>20</v>
      </c>
    </row>
    <row r="426" ht="15.75" customHeight="1">
      <c r="A426" s="2" t="s">
        <v>531</v>
      </c>
      <c r="B426" s="1" t="s">
        <v>41</v>
      </c>
      <c r="C426" s="1" t="s">
        <v>15</v>
      </c>
      <c r="D426" s="2" t="s">
        <v>49</v>
      </c>
      <c r="E426" s="2" t="s">
        <v>29</v>
      </c>
      <c r="F426" s="1" t="s">
        <v>62</v>
      </c>
      <c r="G426" s="1" t="s">
        <v>50</v>
      </c>
      <c r="H426" s="1" t="s">
        <v>20</v>
      </c>
      <c r="I426" s="2" t="s">
        <v>37</v>
      </c>
      <c r="J426" s="1" t="s">
        <v>22</v>
      </c>
      <c r="K426" s="1" t="s">
        <v>23</v>
      </c>
      <c r="L426" s="2" t="s">
        <v>32</v>
      </c>
      <c r="M426" s="1" t="s">
        <v>25</v>
      </c>
    </row>
    <row r="427" ht="15.75" customHeight="1">
      <c r="A427" s="2" t="s">
        <v>532</v>
      </c>
      <c r="B427" s="1" t="s">
        <v>14</v>
      </c>
      <c r="C427" s="1" t="s">
        <v>27</v>
      </c>
      <c r="D427" s="2" t="s">
        <v>16</v>
      </c>
      <c r="E427" s="2" t="s">
        <v>37</v>
      </c>
      <c r="F427" s="1" t="s">
        <v>18</v>
      </c>
      <c r="G427" s="1" t="s">
        <v>56</v>
      </c>
      <c r="H427" s="1" t="s">
        <v>20</v>
      </c>
      <c r="I427" s="2" t="s">
        <v>37</v>
      </c>
      <c r="J427" s="1" t="s">
        <v>22</v>
      </c>
      <c r="K427" s="1" t="s">
        <v>44</v>
      </c>
      <c r="L427" s="2" t="s">
        <v>297</v>
      </c>
      <c r="M427" s="1" t="s">
        <v>25</v>
      </c>
    </row>
    <row r="428" ht="15.75" customHeight="1">
      <c r="A428" s="2" t="s">
        <v>533</v>
      </c>
      <c r="B428" s="1" t="s">
        <v>41</v>
      </c>
      <c r="C428" s="1" t="s">
        <v>27</v>
      </c>
      <c r="D428" s="2" t="s">
        <v>28</v>
      </c>
      <c r="E428" s="2" t="s">
        <v>21</v>
      </c>
      <c r="F428" s="1" t="s">
        <v>30</v>
      </c>
      <c r="G428" s="1" t="s">
        <v>31</v>
      </c>
      <c r="H428" s="1" t="s">
        <v>25</v>
      </c>
      <c r="I428" s="2" t="s">
        <v>17</v>
      </c>
      <c r="J428" s="1" t="s">
        <v>38</v>
      </c>
      <c r="K428" s="1" t="s">
        <v>23</v>
      </c>
      <c r="L428" s="2" t="s">
        <v>118</v>
      </c>
      <c r="M428" s="1" t="s">
        <v>25</v>
      </c>
    </row>
    <row r="429" ht="15.75" customHeight="1">
      <c r="A429" s="2" t="s">
        <v>534</v>
      </c>
      <c r="B429" s="1" t="s">
        <v>41</v>
      </c>
      <c r="C429" s="1" t="s">
        <v>15</v>
      </c>
      <c r="D429" s="2" t="s">
        <v>68</v>
      </c>
      <c r="E429" s="2" t="s">
        <v>17</v>
      </c>
      <c r="F429" s="1" t="s">
        <v>87</v>
      </c>
      <c r="G429" s="1" t="s">
        <v>56</v>
      </c>
      <c r="H429" s="1" t="s">
        <v>20</v>
      </c>
      <c r="I429" s="2" t="s">
        <v>21</v>
      </c>
      <c r="J429" s="1" t="s">
        <v>22</v>
      </c>
      <c r="K429" s="1" t="s">
        <v>44</v>
      </c>
      <c r="L429" s="2" t="s">
        <v>47</v>
      </c>
      <c r="M429" s="1" t="s">
        <v>20</v>
      </c>
    </row>
    <row r="430" ht="15.75" customHeight="1">
      <c r="A430" s="2" t="s">
        <v>535</v>
      </c>
      <c r="B430" s="1" t="s">
        <v>14</v>
      </c>
      <c r="C430" s="1" t="s">
        <v>27</v>
      </c>
      <c r="D430" s="2" t="s">
        <v>276</v>
      </c>
      <c r="E430" s="2" t="s">
        <v>57</v>
      </c>
      <c r="F430" s="1" t="s">
        <v>18</v>
      </c>
      <c r="G430" s="1" t="s">
        <v>56</v>
      </c>
      <c r="H430" s="1" t="s">
        <v>20</v>
      </c>
      <c r="I430" s="2" t="s">
        <v>29</v>
      </c>
      <c r="J430" s="1" t="s">
        <v>38</v>
      </c>
      <c r="K430" s="1" t="s">
        <v>44</v>
      </c>
      <c r="L430" s="2" t="s">
        <v>125</v>
      </c>
      <c r="M430" s="1" t="s">
        <v>25</v>
      </c>
    </row>
    <row r="431" ht="15.75" customHeight="1">
      <c r="A431" s="2" t="s">
        <v>536</v>
      </c>
      <c r="B431" s="1" t="s">
        <v>41</v>
      </c>
      <c r="C431" s="1" t="s">
        <v>15</v>
      </c>
      <c r="D431" s="2" t="s">
        <v>28</v>
      </c>
      <c r="E431" s="2" t="s">
        <v>21</v>
      </c>
      <c r="F431" s="1" t="s">
        <v>30</v>
      </c>
      <c r="G431" s="1" t="s">
        <v>31</v>
      </c>
      <c r="H431" s="1" t="s">
        <v>20</v>
      </c>
      <c r="I431" s="2" t="s">
        <v>17</v>
      </c>
      <c r="J431" s="1" t="s">
        <v>38</v>
      </c>
      <c r="K431" s="1" t="s">
        <v>23</v>
      </c>
      <c r="L431" s="2" t="s">
        <v>109</v>
      </c>
      <c r="M431" s="1" t="s">
        <v>25</v>
      </c>
    </row>
    <row r="432" ht="15.75" customHeight="1">
      <c r="A432" s="2" t="s">
        <v>537</v>
      </c>
      <c r="B432" s="1" t="s">
        <v>41</v>
      </c>
      <c r="C432" s="1" t="s">
        <v>15</v>
      </c>
      <c r="D432" s="2" t="s">
        <v>28</v>
      </c>
      <c r="E432" s="2" t="s">
        <v>29</v>
      </c>
      <c r="F432" s="1" t="s">
        <v>55</v>
      </c>
      <c r="G432" s="1" t="s">
        <v>19</v>
      </c>
      <c r="H432" s="1" t="s">
        <v>20</v>
      </c>
      <c r="I432" s="2" t="s">
        <v>37</v>
      </c>
      <c r="J432" s="1" t="s">
        <v>43</v>
      </c>
      <c r="K432" s="1" t="s">
        <v>44</v>
      </c>
      <c r="L432" s="2" t="s">
        <v>72</v>
      </c>
      <c r="M432" s="1" t="s">
        <v>25</v>
      </c>
    </row>
    <row r="433" ht="15.75" customHeight="1">
      <c r="A433" s="2" t="s">
        <v>538</v>
      </c>
      <c r="B433" s="1" t="s">
        <v>41</v>
      </c>
      <c r="C433" s="1" t="s">
        <v>27</v>
      </c>
      <c r="D433" s="2" t="s">
        <v>61</v>
      </c>
      <c r="E433" s="2" t="s">
        <v>21</v>
      </c>
      <c r="F433" s="1" t="s">
        <v>30</v>
      </c>
      <c r="G433" s="1" t="s">
        <v>50</v>
      </c>
      <c r="H433" s="1" t="s">
        <v>20</v>
      </c>
      <c r="I433" s="2" t="s">
        <v>21</v>
      </c>
      <c r="J433" s="1" t="s">
        <v>22</v>
      </c>
      <c r="K433" s="1" t="s">
        <v>44</v>
      </c>
      <c r="L433" s="2" t="s">
        <v>118</v>
      </c>
      <c r="M433" s="1" t="s">
        <v>20</v>
      </c>
    </row>
    <row r="434" ht="15.75" customHeight="1">
      <c r="A434" s="2" t="s">
        <v>539</v>
      </c>
      <c r="B434" s="1" t="s">
        <v>14</v>
      </c>
      <c r="C434" s="1" t="s">
        <v>15</v>
      </c>
      <c r="D434" s="2" t="s">
        <v>276</v>
      </c>
      <c r="E434" s="2" t="s">
        <v>21</v>
      </c>
      <c r="F434" s="1" t="s">
        <v>55</v>
      </c>
      <c r="G434" s="1" t="s">
        <v>56</v>
      </c>
      <c r="H434" s="1" t="s">
        <v>20</v>
      </c>
      <c r="I434" s="2" t="s">
        <v>29</v>
      </c>
      <c r="J434" s="1" t="s">
        <v>69</v>
      </c>
      <c r="K434" s="1" t="s">
        <v>44</v>
      </c>
      <c r="L434" s="2" t="s">
        <v>93</v>
      </c>
      <c r="M434" s="1" t="s">
        <v>20</v>
      </c>
    </row>
    <row r="435" ht="15.75" customHeight="1">
      <c r="A435" s="2" t="s">
        <v>540</v>
      </c>
      <c r="B435" s="1" t="s">
        <v>41</v>
      </c>
      <c r="C435" s="1" t="s">
        <v>15</v>
      </c>
      <c r="D435" s="2" t="s">
        <v>28</v>
      </c>
      <c r="E435" s="2" t="s">
        <v>29</v>
      </c>
      <c r="F435" s="1" t="s">
        <v>30</v>
      </c>
      <c r="G435" s="1" t="s">
        <v>31</v>
      </c>
      <c r="H435" s="1" t="s">
        <v>25</v>
      </c>
      <c r="I435" s="2" t="s">
        <v>17</v>
      </c>
      <c r="J435" s="1" t="s">
        <v>22</v>
      </c>
      <c r="K435" s="1" t="s">
        <v>23</v>
      </c>
      <c r="L435" s="2" t="s">
        <v>107</v>
      </c>
      <c r="M435" s="1" t="s">
        <v>25</v>
      </c>
    </row>
    <row r="436" ht="15.75" customHeight="1">
      <c r="A436" s="2" t="s">
        <v>541</v>
      </c>
      <c r="B436" s="1" t="s">
        <v>14</v>
      </c>
      <c r="C436" s="1" t="s">
        <v>15</v>
      </c>
      <c r="D436" s="2" t="s">
        <v>28</v>
      </c>
      <c r="E436" s="2" t="s">
        <v>29</v>
      </c>
      <c r="F436" s="1" t="s">
        <v>55</v>
      </c>
      <c r="G436" s="1" t="s">
        <v>19</v>
      </c>
      <c r="H436" s="1" t="s">
        <v>20</v>
      </c>
      <c r="I436" s="2" t="s">
        <v>37</v>
      </c>
      <c r="J436" s="1" t="s">
        <v>43</v>
      </c>
      <c r="K436" s="1" t="s">
        <v>44</v>
      </c>
      <c r="L436" s="2" t="s">
        <v>201</v>
      </c>
      <c r="M436" s="1" t="s">
        <v>20</v>
      </c>
    </row>
    <row r="437" ht="15.75" customHeight="1">
      <c r="A437" s="2" t="s">
        <v>542</v>
      </c>
      <c r="B437" s="1" t="s">
        <v>41</v>
      </c>
      <c r="C437" s="1" t="s">
        <v>15</v>
      </c>
      <c r="D437" s="2" t="s">
        <v>49</v>
      </c>
      <c r="E437" s="2" t="s">
        <v>37</v>
      </c>
      <c r="F437" s="1" t="s">
        <v>18</v>
      </c>
      <c r="G437" s="1" t="s">
        <v>31</v>
      </c>
      <c r="H437" s="1" t="s">
        <v>25</v>
      </c>
      <c r="I437" s="2" t="s">
        <v>17</v>
      </c>
      <c r="J437" s="1" t="s">
        <v>38</v>
      </c>
      <c r="K437" s="1" t="s">
        <v>23</v>
      </c>
      <c r="L437" s="2" t="s">
        <v>155</v>
      </c>
      <c r="M437" s="1" t="s">
        <v>25</v>
      </c>
    </row>
    <row r="438" ht="15.75" customHeight="1">
      <c r="A438" s="2" t="s">
        <v>543</v>
      </c>
      <c r="B438" s="1" t="s">
        <v>14</v>
      </c>
      <c r="C438" s="1" t="s">
        <v>15</v>
      </c>
      <c r="D438" s="2" t="s">
        <v>34</v>
      </c>
      <c r="E438" s="2" t="s">
        <v>37</v>
      </c>
      <c r="F438" s="1" t="s">
        <v>55</v>
      </c>
      <c r="G438" s="1" t="s">
        <v>19</v>
      </c>
      <c r="H438" s="1" t="s">
        <v>20</v>
      </c>
      <c r="I438" s="2" t="s">
        <v>37</v>
      </c>
      <c r="J438" s="1" t="s">
        <v>43</v>
      </c>
      <c r="K438" s="1" t="s">
        <v>44</v>
      </c>
      <c r="L438" s="2" t="s">
        <v>52</v>
      </c>
      <c r="M438" s="1" t="s">
        <v>20</v>
      </c>
    </row>
    <row r="439" ht="15.75" customHeight="1">
      <c r="A439" s="2" t="s">
        <v>544</v>
      </c>
      <c r="B439" s="1" t="s">
        <v>41</v>
      </c>
      <c r="C439" s="1" t="s">
        <v>15</v>
      </c>
      <c r="D439" s="2" t="s">
        <v>28</v>
      </c>
      <c r="E439" s="2" t="s">
        <v>29</v>
      </c>
      <c r="F439" s="1" t="s">
        <v>30</v>
      </c>
      <c r="G439" s="1" t="s">
        <v>31</v>
      </c>
      <c r="H439" s="1" t="s">
        <v>20</v>
      </c>
      <c r="I439" s="2" t="s">
        <v>37</v>
      </c>
      <c r="J439" s="1" t="s">
        <v>22</v>
      </c>
      <c r="K439" s="1" t="s">
        <v>23</v>
      </c>
      <c r="L439" s="2" t="s">
        <v>118</v>
      </c>
      <c r="M439" s="1" t="s">
        <v>20</v>
      </c>
    </row>
    <row r="440" ht="15.75" customHeight="1">
      <c r="A440" s="2" t="s">
        <v>545</v>
      </c>
      <c r="B440" s="1" t="s">
        <v>41</v>
      </c>
      <c r="C440" s="1" t="s">
        <v>15</v>
      </c>
      <c r="D440" s="2" t="s">
        <v>34</v>
      </c>
      <c r="E440" s="2" t="s">
        <v>21</v>
      </c>
      <c r="F440" s="1" t="s">
        <v>87</v>
      </c>
      <c r="G440" s="1" t="s">
        <v>19</v>
      </c>
      <c r="H440" s="1" t="s">
        <v>25</v>
      </c>
      <c r="I440" s="2" t="s">
        <v>21</v>
      </c>
      <c r="J440" s="1" t="s">
        <v>22</v>
      </c>
      <c r="K440" s="1" t="s">
        <v>23</v>
      </c>
      <c r="L440" s="2" t="s">
        <v>100</v>
      </c>
      <c r="M440" s="1" t="s">
        <v>20</v>
      </c>
    </row>
    <row r="441" ht="15.75" customHeight="1">
      <c r="A441" s="2" t="s">
        <v>546</v>
      </c>
      <c r="B441" s="1" t="s">
        <v>14</v>
      </c>
      <c r="C441" s="1" t="s">
        <v>27</v>
      </c>
      <c r="D441" s="2" t="s">
        <v>42</v>
      </c>
      <c r="E441" s="2" t="s">
        <v>35</v>
      </c>
      <c r="F441" s="1" t="s">
        <v>30</v>
      </c>
      <c r="G441" s="1" t="s">
        <v>19</v>
      </c>
      <c r="H441" s="1" t="s">
        <v>20</v>
      </c>
      <c r="I441" s="2" t="s">
        <v>37</v>
      </c>
      <c r="J441" s="1" t="s">
        <v>22</v>
      </c>
      <c r="K441" s="1" t="s">
        <v>44</v>
      </c>
      <c r="L441" s="2" t="s">
        <v>102</v>
      </c>
      <c r="M441" s="1" t="s">
        <v>25</v>
      </c>
    </row>
    <row r="442" ht="15.75" customHeight="1">
      <c r="A442" s="2" t="s">
        <v>547</v>
      </c>
      <c r="B442" s="1" t="s">
        <v>41</v>
      </c>
      <c r="C442" s="1" t="s">
        <v>27</v>
      </c>
      <c r="D442" s="2" t="s">
        <v>68</v>
      </c>
      <c r="E442" s="2" t="s">
        <v>21</v>
      </c>
      <c r="F442" s="1" t="s">
        <v>18</v>
      </c>
      <c r="G442" s="1" t="s">
        <v>36</v>
      </c>
      <c r="H442" s="1" t="s">
        <v>25</v>
      </c>
      <c r="I442" s="2" t="s">
        <v>29</v>
      </c>
      <c r="J442" s="1" t="s">
        <v>69</v>
      </c>
      <c r="K442" s="1" t="s">
        <v>44</v>
      </c>
      <c r="L442" s="2" t="s">
        <v>93</v>
      </c>
      <c r="M442" s="1" t="s">
        <v>20</v>
      </c>
    </row>
    <row r="443" ht="15.75" customHeight="1">
      <c r="A443" s="2" t="s">
        <v>548</v>
      </c>
      <c r="B443" s="1" t="s">
        <v>14</v>
      </c>
      <c r="C443" s="1" t="s">
        <v>27</v>
      </c>
      <c r="E443" s="2" t="s">
        <v>37</v>
      </c>
      <c r="F443" s="1" t="s">
        <v>30</v>
      </c>
      <c r="G443" s="1" t="s">
        <v>19</v>
      </c>
      <c r="H443" s="1" t="s">
        <v>20</v>
      </c>
      <c r="I443" s="2" t="s">
        <v>37</v>
      </c>
      <c r="J443" s="1" t="s">
        <v>43</v>
      </c>
      <c r="K443" s="1" t="s">
        <v>44</v>
      </c>
      <c r="L443" s="2" t="s">
        <v>132</v>
      </c>
      <c r="M443" s="1" t="s">
        <v>20</v>
      </c>
    </row>
    <row r="444" ht="15.75" customHeight="1">
      <c r="A444" s="2" t="s">
        <v>549</v>
      </c>
      <c r="B444" s="1" t="s">
        <v>41</v>
      </c>
      <c r="C444" s="1" t="s">
        <v>27</v>
      </c>
      <c r="D444" s="2" t="s">
        <v>34</v>
      </c>
      <c r="E444" s="2" t="s">
        <v>57</v>
      </c>
      <c r="F444" s="1" t="s">
        <v>87</v>
      </c>
      <c r="G444" s="1" t="s">
        <v>56</v>
      </c>
      <c r="H444" s="1" t="s">
        <v>20</v>
      </c>
      <c r="I444" s="2" t="s">
        <v>21</v>
      </c>
      <c r="J444" s="1" t="s">
        <v>22</v>
      </c>
      <c r="K444" s="1" t="s">
        <v>44</v>
      </c>
      <c r="L444" s="2" t="s">
        <v>47</v>
      </c>
      <c r="M444" s="1" t="s">
        <v>20</v>
      </c>
    </row>
    <row r="445" ht="15.75" customHeight="1">
      <c r="A445" s="2" t="s">
        <v>550</v>
      </c>
      <c r="B445" s="1" t="s">
        <v>14</v>
      </c>
      <c r="C445" s="1" t="s">
        <v>15</v>
      </c>
      <c r="D445" s="2" t="s">
        <v>16</v>
      </c>
      <c r="E445" s="2" t="s">
        <v>17</v>
      </c>
      <c r="F445" s="1" t="s">
        <v>18</v>
      </c>
      <c r="G445" s="1" t="s">
        <v>19</v>
      </c>
      <c r="H445" s="1" t="s">
        <v>20</v>
      </c>
      <c r="I445" s="2" t="s">
        <v>17</v>
      </c>
      <c r="J445" s="1" t="s">
        <v>22</v>
      </c>
      <c r="K445" s="1" t="s">
        <v>23</v>
      </c>
      <c r="L445" s="2" t="s">
        <v>32</v>
      </c>
      <c r="M445" s="1" t="s">
        <v>20</v>
      </c>
    </row>
    <row r="446" ht="15.75" customHeight="1">
      <c r="A446" s="2" t="s">
        <v>551</v>
      </c>
      <c r="B446" s="1" t="s">
        <v>41</v>
      </c>
      <c r="C446" s="1" t="s">
        <v>27</v>
      </c>
      <c r="D446" s="2" t="s">
        <v>28</v>
      </c>
      <c r="E446" s="2" t="s">
        <v>21</v>
      </c>
      <c r="F446" s="1" t="s">
        <v>55</v>
      </c>
      <c r="G446" s="1" t="s">
        <v>50</v>
      </c>
      <c r="H446" s="1" t="s">
        <v>25</v>
      </c>
      <c r="I446" s="2" t="s">
        <v>17</v>
      </c>
      <c r="J446" s="1" t="s">
        <v>51</v>
      </c>
      <c r="K446" s="1" t="s">
        <v>23</v>
      </c>
      <c r="L446" s="2" t="s">
        <v>104</v>
      </c>
      <c r="M446" s="1" t="s">
        <v>25</v>
      </c>
    </row>
    <row r="447" ht="15.75" customHeight="1">
      <c r="A447" s="2" t="s">
        <v>552</v>
      </c>
      <c r="B447" s="1" t="s">
        <v>14</v>
      </c>
      <c r="C447" s="1" t="s">
        <v>15</v>
      </c>
      <c r="D447" s="2" t="s">
        <v>16</v>
      </c>
      <c r="E447" s="2" t="s">
        <v>17</v>
      </c>
      <c r="F447" s="1" t="s">
        <v>18</v>
      </c>
      <c r="G447" s="1" t="s">
        <v>19</v>
      </c>
      <c r="H447" s="1" t="s">
        <v>20</v>
      </c>
      <c r="I447" s="2" t="s">
        <v>17</v>
      </c>
      <c r="J447" s="1" t="s">
        <v>51</v>
      </c>
      <c r="K447" s="1" t="s">
        <v>23</v>
      </c>
      <c r="L447" s="2" t="s">
        <v>104</v>
      </c>
      <c r="M447" s="1" t="s">
        <v>20</v>
      </c>
    </row>
    <row r="448" ht="15.75" customHeight="1">
      <c r="A448" s="2" t="s">
        <v>553</v>
      </c>
      <c r="B448" s="1" t="s">
        <v>14</v>
      </c>
      <c r="C448" s="1" t="s">
        <v>15</v>
      </c>
      <c r="D448" s="2" t="s">
        <v>144</v>
      </c>
      <c r="E448" s="2" t="s">
        <v>21</v>
      </c>
      <c r="F448" s="1" t="s">
        <v>87</v>
      </c>
      <c r="G448" s="1" t="s">
        <v>56</v>
      </c>
      <c r="H448" s="1" t="s">
        <v>20</v>
      </c>
      <c r="I448" s="2" t="s">
        <v>17</v>
      </c>
      <c r="J448" s="1" t="s">
        <v>69</v>
      </c>
      <c r="K448" s="1" t="s">
        <v>44</v>
      </c>
      <c r="L448" s="2" t="s">
        <v>125</v>
      </c>
      <c r="M448" s="1" t="s">
        <v>25</v>
      </c>
    </row>
    <row r="449" ht="15.75" customHeight="1">
      <c r="A449" s="2" t="s">
        <v>554</v>
      </c>
      <c r="B449" s="1" t="s">
        <v>14</v>
      </c>
      <c r="C449" s="1" t="s">
        <v>15</v>
      </c>
      <c r="D449" s="2" t="s">
        <v>16</v>
      </c>
      <c r="E449" s="2" t="s">
        <v>17</v>
      </c>
      <c r="F449" s="1" t="s">
        <v>18</v>
      </c>
      <c r="G449" s="1" t="s">
        <v>19</v>
      </c>
      <c r="H449" s="1" t="s">
        <v>20</v>
      </c>
      <c r="I449" s="2" t="s">
        <v>21</v>
      </c>
      <c r="J449" s="1" t="s">
        <v>51</v>
      </c>
      <c r="K449" s="1" t="s">
        <v>23</v>
      </c>
      <c r="L449" s="2" t="s">
        <v>104</v>
      </c>
      <c r="M449" s="1" t="s">
        <v>20</v>
      </c>
    </row>
    <row r="450" ht="15.75" customHeight="1">
      <c r="A450" s="2" t="s">
        <v>555</v>
      </c>
      <c r="B450" s="1" t="s">
        <v>14</v>
      </c>
      <c r="C450" s="1" t="s">
        <v>15</v>
      </c>
      <c r="D450" s="2" t="s">
        <v>28</v>
      </c>
      <c r="E450" s="2" t="s">
        <v>29</v>
      </c>
      <c r="F450" s="1" t="s">
        <v>87</v>
      </c>
      <c r="G450" s="1" t="s">
        <v>31</v>
      </c>
      <c r="H450" s="1" t="s">
        <v>20</v>
      </c>
      <c r="J450" s="1" t="s">
        <v>22</v>
      </c>
      <c r="K450" s="1" t="s">
        <v>23</v>
      </c>
      <c r="L450" s="2" t="s">
        <v>130</v>
      </c>
      <c r="M450" s="1" t="s">
        <v>25</v>
      </c>
    </row>
    <row r="451" ht="15.75" customHeight="1">
      <c r="A451" s="2" t="s">
        <v>556</v>
      </c>
      <c r="B451" s="1" t="s">
        <v>14</v>
      </c>
      <c r="C451" s="1" t="s">
        <v>15</v>
      </c>
      <c r="D451" s="2" t="s">
        <v>16</v>
      </c>
      <c r="E451" s="2" t="s">
        <v>17</v>
      </c>
      <c r="F451" s="1" t="s">
        <v>18</v>
      </c>
      <c r="G451" s="1" t="s">
        <v>19</v>
      </c>
      <c r="H451" s="1" t="s">
        <v>20</v>
      </c>
      <c r="I451" s="2" t="s">
        <v>21</v>
      </c>
      <c r="J451" s="1" t="s">
        <v>22</v>
      </c>
      <c r="K451" s="1" t="s">
        <v>23</v>
      </c>
      <c r="L451" s="2" t="s">
        <v>24</v>
      </c>
      <c r="M451" s="1" t="s">
        <v>25</v>
      </c>
    </row>
    <row r="452" ht="15.75" customHeight="1">
      <c r="A452" s="2" t="s">
        <v>557</v>
      </c>
      <c r="B452" s="1" t="s">
        <v>41</v>
      </c>
      <c r="C452" s="1" t="s">
        <v>15</v>
      </c>
      <c r="D452" s="2" t="s">
        <v>49</v>
      </c>
      <c r="E452" s="2" t="s">
        <v>37</v>
      </c>
      <c r="F452" s="1" t="s">
        <v>55</v>
      </c>
      <c r="G452" s="1" t="s">
        <v>50</v>
      </c>
      <c r="H452" s="1" t="s">
        <v>20</v>
      </c>
      <c r="I452" s="2" t="s">
        <v>21</v>
      </c>
      <c r="J452" s="1" t="s">
        <v>22</v>
      </c>
      <c r="K452" s="1" t="s">
        <v>23</v>
      </c>
      <c r="L452" s="2" t="s">
        <v>47</v>
      </c>
      <c r="M452" s="1" t="s">
        <v>20</v>
      </c>
    </row>
    <row r="453" ht="15.75" customHeight="1">
      <c r="A453" s="2" t="s">
        <v>558</v>
      </c>
      <c r="B453" s="1" t="s">
        <v>14</v>
      </c>
      <c r="C453" s="1" t="s">
        <v>15</v>
      </c>
      <c r="D453" s="2" t="s">
        <v>16</v>
      </c>
      <c r="E453" s="2" t="s">
        <v>17</v>
      </c>
      <c r="F453" s="1" t="s">
        <v>18</v>
      </c>
      <c r="G453" s="1" t="s">
        <v>19</v>
      </c>
      <c r="H453" s="1" t="s">
        <v>20</v>
      </c>
      <c r="I453" s="2" t="s">
        <v>21</v>
      </c>
      <c r="J453" s="1" t="s">
        <v>22</v>
      </c>
      <c r="K453" s="1" t="s">
        <v>23</v>
      </c>
      <c r="L453" s="2" t="s">
        <v>45</v>
      </c>
      <c r="M453" s="1" t="s">
        <v>25</v>
      </c>
    </row>
    <row r="454" ht="15.75" customHeight="1">
      <c r="A454" s="2" t="s">
        <v>559</v>
      </c>
      <c r="B454" s="1" t="s">
        <v>14</v>
      </c>
      <c r="C454" s="1" t="s">
        <v>15</v>
      </c>
      <c r="D454" s="2" t="s">
        <v>28</v>
      </c>
      <c r="E454" s="2" t="s">
        <v>37</v>
      </c>
      <c r="F454" s="1" t="s">
        <v>30</v>
      </c>
      <c r="G454" s="1" t="s">
        <v>31</v>
      </c>
      <c r="H454" s="1" t="s">
        <v>25</v>
      </c>
      <c r="I454" s="2" t="s">
        <v>37</v>
      </c>
      <c r="J454" s="1" t="s">
        <v>22</v>
      </c>
      <c r="K454" s="1" t="s">
        <v>44</v>
      </c>
      <c r="L454" s="2" t="s">
        <v>403</v>
      </c>
      <c r="M454" s="1" t="s">
        <v>25</v>
      </c>
    </row>
    <row r="455" ht="15.75" customHeight="1">
      <c r="A455" s="2" t="s">
        <v>560</v>
      </c>
      <c r="B455" s="1" t="s">
        <v>41</v>
      </c>
      <c r="C455" s="1" t="s">
        <v>15</v>
      </c>
      <c r="D455" s="2" t="s">
        <v>42</v>
      </c>
      <c r="E455" s="2" t="s">
        <v>35</v>
      </c>
      <c r="F455" s="1" t="s">
        <v>30</v>
      </c>
      <c r="G455" s="1" t="s">
        <v>19</v>
      </c>
      <c r="H455" s="1" t="s">
        <v>20</v>
      </c>
      <c r="I455" s="2" t="s">
        <v>37</v>
      </c>
      <c r="J455" s="1" t="s">
        <v>43</v>
      </c>
      <c r="K455" s="1" t="s">
        <v>44</v>
      </c>
      <c r="L455" s="2" t="s">
        <v>77</v>
      </c>
      <c r="M455" s="1" t="s">
        <v>25</v>
      </c>
    </row>
    <row r="456" ht="15.75" customHeight="1">
      <c r="A456" s="2" t="s">
        <v>561</v>
      </c>
      <c r="B456" s="1" t="s">
        <v>41</v>
      </c>
      <c r="C456" s="1" t="s">
        <v>27</v>
      </c>
      <c r="D456" s="2" t="s">
        <v>28</v>
      </c>
      <c r="E456" s="2" t="s">
        <v>21</v>
      </c>
      <c r="F456" s="1" t="s">
        <v>55</v>
      </c>
      <c r="G456" s="1" t="s">
        <v>50</v>
      </c>
      <c r="H456" s="1" t="s">
        <v>25</v>
      </c>
      <c r="I456" s="2" t="s">
        <v>17</v>
      </c>
      <c r="J456" s="1" t="s">
        <v>38</v>
      </c>
      <c r="K456" s="1" t="s">
        <v>23</v>
      </c>
      <c r="L456" s="2" t="s">
        <v>93</v>
      </c>
      <c r="M456" s="1" t="s">
        <v>25</v>
      </c>
    </row>
    <row r="457" ht="15.75" customHeight="1">
      <c r="A457" s="2" t="s">
        <v>562</v>
      </c>
      <c r="B457" s="1" t="s">
        <v>14</v>
      </c>
      <c r="C457" s="1" t="s">
        <v>15</v>
      </c>
      <c r="D457" s="2" t="s">
        <v>34</v>
      </c>
      <c r="E457" s="2" t="s">
        <v>57</v>
      </c>
      <c r="F457" s="1" t="s">
        <v>30</v>
      </c>
      <c r="G457" s="1" t="s">
        <v>36</v>
      </c>
      <c r="H457" s="1" t="s">
        <v>25</v>
      </c>
      <c r="I457" s="2" t="s">
        <v>17</v>
      </c>
      <c r="J457" s="1" t="s">
        <v>38</v>
      </c>
      <c r="K457" s="1" t="s">
        <v>23</v>
      </c>
      <c r="L457" s="2" t="s">
        <v>201</v>
      </c>
      <c r="M457" s="1" t="s">
        <v>20</v>
      </c>
    </row>
    <row r="458" ht="15.75" customHeight="1">
      <c r="A458" s="2" t="s">
        <v>563</v>
      </c>
      <c r="B458" s="1" t="s">
        <v>41</v>
      </c>
      <c r="C458" s="1" t="s">
        <v>27</v>
      </c>
      <c r="D458" s="2" t="s">
        <v>161</v>
      </c>
      <c r="E458" s="2" t="s">
        <v>29</v>
      </c>
      <c r="F458" s="1" t="s">
        <v>55</v>
      </c>
      <c r="G458" s="1" t="s">
        <v>36</v>
      </c>
      <c r="H458" s="1" t="s">
        <v>25</v>
      </c>
      <c r="I458" s="2" t="s">
        <v>57</v>
      </c>
      <c r="J458" s="1" t="s">
        <v>43</v>
      </c>
      <c r="K458" s="1" t="s">
        <v>23</v>
      </c>
      <c r="L458" s="2" t="s">
        <v>52</v>
      </c>
      <c r="M458" s="1" t="s">
        <v>25</v>
      </c>
    </row>
    <row r="459" ht="15.75" customHeight="1">
      <c r="A459" s="2" t="s">
        <v>564</v>
      </c>
      <c r="B459" s="1" t="s">
        <v>14</v>
      </c>
      <c r="C459" s="1" t="s">
        <v>15</v>
      </c>
      <c r="D459" s="2" t="s">
        <v>61</v>
      </c>
      <c r="E459" s="2" t="s">
        <v>17</v>
      </c>
      <c r="F459" s="1" t="s">
        <v>30</v>
      </c>
      <c r="G459" s="1" t="s">
        <v>50</v>
      </c>
      <c r="H459" s="1" t="s">
        <v>20</v>
      </c>
      <c r="I459" s="2" t="s">
        <v>21</v>
      </c>
      <c r="J459" s="1" t="s">
        <v>22</v>
      </c>
      <c r="K459" s="1" t="s">
        <v>23</v>
      </c>
      <c r="L459" s="2" t="s">
        <v>122</v>
      </c>
      <c r="M459" s="1" t="s">
        <v>25</v>
      </c>
    </row>
    <row r="460" ht="15.75" customHeight="1">
      <c r="A460" s="2" t="s">
        <v>565</v>
      </c>
      <c r="B460" s="1" t="s">
        <v>14</v>
      </c>
      <c r="C460" s="1" t="s">
        <v>27</v>
      </c>
      <c r="D460" s="2" t="s">
        <v>161</v>
      </c>
      <c r="E460" s="2" t="s">
        <v>21</v>
      </c>
      <c r="F460" s="1" t="s">
        <v>62</v>
      </c>
      <c r="G460" s="1" t="s">
        <v>36</v>
      </c>
      <c r="H460" s="1" t="s">
        <v>20</v>
      </c>
      <c r="I460" s="2" t="s">
        <v>57</v>
      </c>
      <c r="J460" s="1" t="s">
        <v>69</v>
      </c>
      <c r="K460" s="1" t="s">
        <v>44</v>
      </c>
      <c r="L460" s="2" t="s">
        <v>104</v>
      </c>
      <c r="M460" s="1" t="s">
        <v>20</v>
      </c>
    </row>
    <row r="461" ht="15.75" customHeight="1">
      <c r="A461" s="2" t="s">
        <v>566</v>
      </c>
      <c r="B461" s="1" t="s">
        <v>41</v>
      </c>
      <c r="C461" s="1" t="s">
        <v>15</v>
      </c>
      <c r="D461" s="2" t="s">
        <v>34</v>
      </c>
      <c r="E461" s="2" t="s">
        <v>21</v>
      </c>
      <c r="F461" s="1" t="s">
        <v>18</v>
      </c>
      <c r="G461" s="1" t="s">
        <v>36</v>
      </c>
      <c r="H461" s="1" t="s">
        <v>25</v>
      </c>
      <c r="I461" s="2" t="s">
        <v>29</v>
      </c>
      <c r="J461" s="1" t="s">
        <v>69</v>
      </c>
      <c r="K461" s="1" t="s">
        <v>44</v>
      </c>
      <c r="L461" s="2" t="s">
        <v>58</v>
      </c>
      <c r="M461" s="1" t="s">
        <v>25</v>
      </c>
    </row>
    <row r="462" ht="15.75" customHeight="1">
      <c r="A462" s="2" t="s">
        <v>567</v>
      </c>
      <c r="B462" s="1" t="s">
        <v>41</v>
      </c>
      <c r="C462" s="1" t="s">
        <v>27</v>
      </c>
      <c r="D462" s="2" t="s">
        <v>61</v>
      </c>
      <c r="E462" s="2" t="s">
        <v>21</v>
      </c>
      <c r="F462" s="1" t="s">
        <v>62</v>
      </c>
      <c r="G462" s="1" t="s">
        <v>50</v>
      </c>
      <c r="H462" s="1" t="s">
        <v>20</v>
      </c>
      <c r="I462" s="2" t="s">
        <v>37</v>
      </c>
      <c r="J462" s="1" t="s">
        <v>51</v>
      </c>
      <c r="K462" s="1" t="s">
        <v>23</v>
      </c>
      <c r="L462" s="2" t="s">
        <v>109</v>
      </c>
      <c r="M462" s="1" t="s">
        <v>20</v>
      </c>
    </row>
    <row r="463" ht="15.75" customHeight="1">
      <c r="A463" s="2" t="s">
        <v>568</v>
      </c>
      <c r="B463" s="1" t="s">
        <v>14</v>
      </c>
      <c r="C463" s="1" t="s">
        <v>15</v>
      </c>
      <c r="D463" s="2" t="s">
        <v>161</v>
      </c>
      <c r="E463" s="2" t="s">
        <v>17</v>
      </c>
      <c r="F463" s="1" t="s">
        <v>18</v>
      </c>
      <c r="G463" s="1" t="s">
        <v>56</v>
      </c>
      <c r="H463" s="1" t="s">
        <v>20</v>
      </c>
      <c r="I463" s="2" t="s">
        <v>37</v>
      </c>
      <c r="J463" s="1" t="s">
        <v>22</v>
      </c>
      <c r="K463" s="1" t="s">
        <v>44</v>
      </c>
      <c r="L463" s="2" t="s">
        <v>130</v>
      </c>
      <c r="M463" s="1" t="s">
        <v>20</v>
      </c>
    </row>
    <row r="464" ht="15.75" customHeight="1">
      <c r="A464" s="2" t="s">
        <v>569</v>
      </c>
      <c r="B464" s="1" t="s">
        <v>14</v>
      </c>
      <c r="C464" s="1" t="s">
        <v>15</v>
      </c>
      <c r="D464" s="2" t="s">
        <v>16</v>
      </c>
      <c r="E464" s="2" t="s">
        <v>21</v>
      </c>
      <c r="F464" s="1" t="s">
        <v>18</v>
      </c>
      <c r="G464" s="1" t="s">
        <v>31</v>
      </c>
      <c r="H464" s="1" t="s">
        <v>20</v>
      </c>
      <c r="I464" s="2" t="s">
        <v>21</v>
      </c>
      <c r="J464" s="1" t="s">
        <v>22</v>
      </c>
      <c r="K464" s="1" t="s">
        <v>23</v>
      </c>
      <c r="L464" s="2" t="s">
        <v>135</v>
      </c>
      <c r="M464" s="1" t="s">
        <v>20</v>
      </c>
    </row>
    <row r="465" ht="15.75" customHeight="1">
      <c r="A465" s="2" t="s">
        <v>570</v>
      </c>
      <c r="B465" s="1" t="s">
        <v>41</v>
      </c>
      <c r="C465" s="1" t="s">
        <v>27</v>
      </c>
      <c r="D465" s="2" t="s">
        <v>61</v>
      </c>
      <c r="E465" s="2" t="s">
        <v>37</v>
      </c>
      <c r="F465" s="1" t="s">
        <v>55</v>
      </c>
      <c r="G465" s="1" t="s">
        <v>50</v>
      </c>
      <c r="H465" s="1" t="s">
        <v>20</v>
      </c>
      <c r="I465" s="2" t="s">
        <v>17</v>
      </c>
      <c r="J465" s="1" t="s">
        <v>22</v>
      </c>
      <c r="K465" s="1" t="s">
        <v>23</v>
      </c>
      <c r="L465" s="2" t="s">
        <v>100</v>
      </c>
      <c r="M465" s="1" t="s">
        <v>25</v>
      </c>
    </row>
    <row r="466" ht="15.75" customHeight="1">
      <c r="A466" s="2" t="s">
        <v>571</v>
      </c>
      <c r="B466" s="1" t="s">
        <v>41</v>
      </c>
      <c r="C466" s="1" t="s">
        <v>15</v>
      </c>
      <c r="D466" s="2" t="s">
        <v>28</v>
      </c>
      <c r="E466" s="2" t="s">
        <v>29</v>
      </c>
      <c r="F466" s="1" t="s">
        <v>18</v>
      </c>
      <c r="G466" s="1" t="s">
        <v>31</v>
      </c>
      <c r="H466" s="1" t="s">
        <v>20</v>
      </c>
      <c r="I466" s="2" t="s">
        <v>21</v>
      </c>
      <c r="J466" s="1" t="s">
        <v>22</v>
      </c>
      <c r="K466" s="1" t="s">
        <v>23</v>
      </c>
      <c r="L466" s="2" t="s">
        <v>130</v>
      </c>
      <c r="M466" s="1" t="s">
        <v>20</v>
      </c>
    </row>
    <row r="467" ht="15.75" customHeight="1">
      <c r="A467" s="2" t="s">
        <v>572</v>
      </c>
      <c r="B467" s="1" t="s">
        <v>14</v>
      </c>
      <c r="C467" s="1" t="s">
        <v>27</v>
      </c>
      <c r="D467" s="2" t="s">
        <v>16</v>
      </c>
      <c r="E467" s="2" t="s">
        <v>37</v>
      </c>
      <c r="F467" s="1" t="s">
        <v>18</v>
      </c>
      <c r="G467" s="1" t="s">
        <v>56</v>
      </c>
      <c r="H467" s="1" t="s">
        <v>20</v>
      </c>
      <c r="I467" s="2" t="s">
        <v>37</v>
      </c>
      <c r="J467" s="1" t="s">
        <v>22</v>
      </c>
      <c r="K467" s="1" t="s">
        <v>44</v>
      </c>
      <c r="L467" s="2" t="s">
        <v>122</v>
      </c>
      <c r="M467" s="1" t="s">
        <v>25</v>
      </c>
    </row>
    <row r="468" ht="15.75" customHeight="1">
      <c r="A468" s="2" t="s">
        <v>573</v>
      </c>
      <c r="B468" s="1" t="s">
        <v>41</v>
      </c>
      <c r="C468" s="1" t="s">
        <v>15</v>
      </c>
      <c r="D468" s="2" t="s">
        <v>28</v>
      </c>
      <c r="E468" s="2" t="s">
        <v>29</v>
      </c>
      <c r="F468" s="1" t="s">
        <v>18</v>
      </c>
      <c r="G468" s="1" t="s">
        <v>31</v>
      </c>
      <c r="H468" s="1" t="s">
        <v>20</v>
      </c>
      <c r="I468" s="2" t="s">
        <v>21</v>
      </c>
      <c r="J468" s="1" t="s">
        <v>22</v>
      </c>
      <c r="K468" s="1" t="s">
        <v>23</v>
      </c>
      <c r="L468" s="2" t="s">
        <v>83</v>
      </c>
      <c r="M468" s="1" t="s">
        <v>20</v>
      </c>
    </row>
    <row r="469" ht="15.75" customHeight="1">
      <c r="A469" s="2" t="s">
        <v>574</v>
      </c>
      <c r="B469" s="1" t="s">
        <v>41</v>
      </c>
      <c r="C469" s="1" t="s">
        <v>27</v>
      </c>
      <c r="D469" s="2" t="s">
        <v>99</v>
      </c>
      <c r="E469" s="2" t="s">
        <v>17</v>
      </c>
      <c r="F469" s="1" t="s">
        <v>18</v>
      </c>
      <c r="G469" s="1" t="s">
        <v>56</v>
      </c>
      <c r="H469" s="1" t="s">
        <v>25</v>
      </c>
      <c r="I469" s="2" t="s">
        <v>29</v>
      </c>
      <c r="J469" s="1" t="s">
        <v>22</v>
      </c>
      <c r="K469" s="1" t="s">
        <v>44</v>
      </c>
      <c r="L469" s="2" t="s">
        <v>130</v>
      </c>
      <c r="M469" s="1" t="s">
        <v>20</v>
      </c>
    </row>
    <row r="470" ht="15.75" customHeight="1">
      <c r="A470" s="2" t="s">
        <v>575</v>
      </c>
      <c r="B470" s="1" t="s">
        <v>14</v>
      </c>
      <c r="C470" s="1" t="s">
        <v>15</v>
      </c>
      <c r="D470" s="2" t="s">
        <v>34</v>
      </c>
      <c r="E470" s="2" t="s">
        <v>35</v>
      </c>
      <c r="F470" s="1" t="s">
        <v>87</v>
      </c>
      <c r="G470" s="1" t="s">
        <v>56</v>
      </c>
      <c r="H470" s="1" t="s">
        <v>20</v>
      </c>
      <c r="I470" s="2" t="s">
        <v>29</v>
      </c>
      <c r="J470" s="1" t="s">
        <v>22</v>
      </c>
      <c r="K470" s="1" t="s">
        <v>44</v>
      </c>
      <c r="L470" s="2" t="s">
        <v>100</v>
      </c>
      <c r="M470" s="1" t="s">
        <v>25</v>
      </c>
    </row>
    <row r="471" ht="15.75" customHeight="1">
      <c r="A471" s="2" t="s">
        <v>576</v>
      </c>
      <c r="B471" s="1" t="s">
        <v>14</v>
      </c>
      <c r="C471" s="1" t="s">
        <v>15</v>
      </c>
      <c r="D471" s="2" t="s">
        <v>28</v>
      </c>
      <c r="E471" s="2" t="s">
        <v>17</v>
      </c>
      <c r="F471" s="1" t="s">
        <v>18</v>
      </c>
      <c r="G471" s="1" t="s">
        <v>31</v>
      </c>
      <c r="H471" s="1" t="s">
        <v>20</v>
      </c>
      <c r="I471" s="2" t="s">
        <v>21</v>
      </c>
      <c r="J471" s="1" t="s">
        <v>22</v>
      </c>
      <c r="K471" s="1" t="s">
        <v>23</v>
      </c>
      <c r="L471" s="2" t="s">
        <v>122</v>
      </c>
      <c r="M471" s="1" t="s">
        <v>25</v>
      </c>
    </row>
    <row r="472" ht="15.75" customHeight="1">
      <c r="A472" s="2" t="s">
        <v>577</v>
      </c>
      <c r="B472" s="1" t="s">
        <v>41</v>
      </c>
      <c r="C472" s="1" t="s">
        <v>27</v>
      </c>
      <c r="D472" s="2" t="s">
        <v>28</v>
      </c>
      <c r="E472" s="2" t="s">
        <v>21</v>
      </c>
      <c r="F472" s="1" t="s">
        <v>55</v>
      </c>
      <c r="G472" s="1" t="s">
        <v>50</v>
      </c>
      <c r="H472" s="1" t="s">
        <v>25</v>
      </c>
      <c r="I472" s="2" t="s">
        <v>17</v>
      </c>
      <c r="J472" s="1" t="s">
        <v>51</v>
      </c>
      <c r="K472" s="1" t="s">
        <v>23</v>
      </c>
      <c r="L472" s="2" t="s">
        <v>118</v>
      </c>
      <c r="M472" s="1" t="s">
        <v>25</v>
      </c>
    </row>
    <row r="473" ht="15.75" customHeight="1">
      <c r="A473" s="2" t="s">
        <v>578</v>
      </c>
      <c r="B473" s="1" t="s">
        <v>41</v>
      </c>
      <c r="C473" s="1" t="s">
        <v>27</v>
      </c>
      <c r="D473" s="2" t="s">
        <v>42</v>
      </c>
      <c r="E473" s="2" t="s">
        <v>21</v>
      </c>
      <c r="F473" s="1" t="s">
        <v>18</v>
      </c>
      <c r="G473" s="1" t="s">
        <v>36</v>
      </c>
      <c r="H473" s="1" t="s">
        <v>25</v>
      </c>
      <c r="I473" s="2" t="s">
        <v>37</v>
      </c>
      <c r="J473" s="1" t="s">
        <v>43</v>
      </c>
      <c r="K473" s="1" t="s">
        <v>44</v>
      </c>
      <c r="L473" s="2" t="s">
        <v>32</v>
      </c>
      <c r="M473" s="1" t="s">
        <v>20</v>
      </c>
    </row>
    <row r="474" ht="15.75" customHeight="1">
      <c r="A474" s="2" t="s">
        <v>579</v>
      </c>
      <c r="B474" s="1" t="s">
        <v>41</v>
      </c>
      <c r="C474" s="1" t="s">
        <v>15</v>
      </c>
      <c r="D474" s="2" t="s">
        <v>16</v>
      </c>
      <c r="E474" s="2" t="s">
        <v>21</v>
      </c>
      <c r="F474" s="1" t="s">
        <v>87</v>
      </c>
      <c r="G474" s="1" t="s">
        <v>31</v>
      </c>
      <c r="H474" s="1" t="s">
        <v>20</v>
      </c>
      <c r="I474" s="2" t="s">
        <v>21</v>
      </c>
      <c r="J474" s="1" t="s">
        <v>22</v>
      </c>
      <c r="K474" s="1" t="s">
        <v>23</v>
      </c>
      <c r="L474" s="2" t="s">
        <v>79</v>
      </c>
      <c r="M474" s="1" t="s">
        <v>20</v>
      </c>
    </row>
    <row r="475" ht="15.75" customHeight="1">
      <c r="A475" s="2" t="s">
        <v>580</v>
      </c>
      <c r="B475" s="1" t="s">
        <v>14</v>
      </c>
      <c r="C475" s="1" t="s">
        <v>15</v>
      </c>
      <c r="D475" s="2" t="s">
        <v>28</v>
      </c>
      <c r="E475" s="2" t="s">
        <v>21</v>
      </c>
      <c r="F475" s="1" t="s">
        <v>18</v>
      </c>
      <c r="G475" s="1" t="s">
        <v>31</v>
      </c>
      <c r="H475" s="1" t="s">
        <v>20</v>
      </c>
      <c r="I475" s="2" t="s">
        <v>21</v>
      </c>
      <c r="J475" s="1" t="s">
        <v>22</v>
      </c>
      <c r="K475" s="1" t="s">
        <v>23</v>
      </c>
      <c r="L475" s="2" t="s">
        <v>83</v>
      </c>
      <c r="M475" s="1" t="s">
        <v>20</v>
      </c>
    </row>
    <row r="476" ht="15.75" customHeight="1">
      <c r="A476" s="2" t="s">
        <v>581</v>
      </c>
      <c r="B476" s="1" t="s">
        <v>14</v>
      </c>
      <c r="C476" s="1" t="s">
        <v>15</v>
      </c>
      <c r="D476" s="2" t="s">
        <v>68</v>
      </c>
      <c r="E476" s="2" t="s">
        <v>37</v>
      </c>
      <c r="F476" s="1" t="s">
        <v>18</v>
      </c>
      <c r="G476" s="1" t="s">
        <v>36</v>
      </c>
      <c r="H476" s="1" t="s">
        <v>25</v>
      </c>
      <c r="I476" s="2" t="s">
        <v>21</v>
      </c>
      <c r="J476" s="1" t="s">
        <v>22</v>
      </c>
      <c r="K476" s="1" t="s">
        <v>44</v>
      </c>
      <c r="L476" s="2" t="s">
        <v>47</v>
      </c>
      <c r="M476" s="1" t="s">
        <v>20</v>
      </c>
    </row>
    <row r="477" ht="15.75" customHeight="1">
      <c r="A477" s="2" t="s">
        <v>582</v>
      </c>
      <c r="B477" s="1" t="s">
        <v>14</v>
      </c>
      <c r="C477" s="1" t="s">
        <v>27</v>
      </c>
      <c r="D477" s="2" t="s">
        <v>61</v>
      </c>
      <c r="E477" s="2" t="s">
        <v>57</v>
      </c>
      <c r="F477" s="1" t="s">
        <v>55</v>
      </c>
      <c r="G477" s="1" t="s">
        <v>19</v>
      </c>
      <c r="H477" s="1" t="s">
        <v>25</v>
      </c>
      <c r="I477" s="2" t="s">
        <v>37</v>
      </c>
      <c r="J477" s="1" t="s">
        <v>51</v>
      </c>
      <c r="K477" s="1" t="s">
        <v>44</v>
      </c>
      <c r="L477" s="2" t="s">
        <v>39</v>
      </c>
      <c r="M477" s="1" t="s">
        <v>25</v>
      </c>
    </row>
    <row r="478" ht="15.75" customHeight="1">
      <c r="A478" s="2" t="s">
        <v>583</v>
      </c>
      <c r="B478" s="1" t="s">
        <v>41</v>
      </c>
      <c r="C478" s="1" t="s">
        <v>15</v>
      </c>
      <c r="D478" s="2" t="s">
        <v>42</v>
      </c>
      <c r="E478" s="2" t="s">
        <v>21</v>
      </c>
      <c r="F478" s="1" t="s">
        <v>18</v>
      </c>
      <c r="G478" s="1" t="s">
        <v>36</v>
      </c>
      <c r="H478" s="1" t="s">
        <v>20</v>
      </c>
      <c r="I478" s="2" t="s">
        <v>17</v>
      </c>
      <c r="J478" s="1" t="s">
        <v>43</v>
      </c>
      <c r="K478" s="1" t="s">
        <v>44</v>
      </c>
      <c r="L478" s="2" t="s">
        <v>24</v>
      </c>
      <c r="M478" s="1" t="s">
        <v>20</v>
      </c>
    </row>
    <row r="479" ht="15.75" customHeight="1">
      <c r="A479" s="2" t="s">
        <v>584</v>
      </c>
      <c r="B479" s="1" t="s">
        <v>14</v>
      </c>
      <c r="C479" s="1" t="s">
        <v>27</v>
      </c>
      <c r="D479" s="2" t="s">
        <v>42</v>
      </c>
      <c r="E479" s="2" t="s">
        <v>37</v>
      </c>
      <c r="F479" s="1" t="s">
        <v>55</v>
      </c>
      <c r="G479" s="1" t="s">
        <v>19</v>
      </c>
      <c r="H479" s="1" t="s">
        <v>25</v>
      </c>
      <c r="I479" s="2" t="s">
        <v>37</v>
      </c>
      <c r="J479" s="1" t="s">
        <v>51</v>
      </c>
      <c r="K479" s="1" t="s">
        <v>44</v>
      </c>
      <c r="L479" s="2" t="s">
        <v>52</v>
      </c>
      <c r="M479" s="1" t="s">
        <v>20</v>
      </c>
    </row>
    <row r="480" ht="15.75" customHeight="1">
      <c r="A480" s="2" t="s">
        <v>585</v>
      </c>
      <c r="B480" s="1" t="s">
        <v>14</v>
      </c>
      <c r="C480" s="1" t="s">
        <v>27</v>
      </c>
      <c r="D480" s="2" t="s">
        <v>28</v>
      </c>
      <c r="E480" s="2" t="s">
        <v>21</v>
      </c>
      <c r="F480" s="1" t="s">
        <v>18</v>
      </c>
      <c r="G480" s="1" t="s">
        <v>31</v>
      </c>
      <c r="H480" s="1" t="s">
        <v>20</v>
      </c>
      <c r="I480" s="2" t="s">
        <v>21</v>
      </c>
      <c r="J480" s="1" t="s">
        <v>22</v>
      </c>
      <c r="K480" s="1" t="s">
        <v>23</v>
      </c>
      <c r="L480" s="2" t="s">
        <v>74</v>
      </c>
      <c r="M480" s="1" t="s">
        <v>20</v>
      </c>
    </row>
    <row r="481" ht="15.75" customHeight="1">
      <c r="A481" s="2" t="s">
        <v>586</v>
      </c>
      <c r="B481" s="1" t="s">
        <v>14</v>
      </c>
      <c r="C481" s="1" t="s">
        <v>27</v>
      </c>
      <c r="D481" s="2" t="s">
        <v>16</v>
      </c>
      <c r="E481" s="2" t="s">
        <v>17</v>
      </c>
      <c r="F481" s="1" t="s">
        <v>18</v>
      </c>
      <c r="G481" s="1" t="s">
        <v>19</v>
      </c>
      <c r="H481" s="1" t="s">
        <v>20</v>
      </c>
      <c r="I481" s="2" t="s">
        <v>17</v>
      </c>
      <c r="J481" s="1" t="s">
        <v>22</v>
      </c>
      <c r="K481" s="1" t="s">
        <v>23</v>
      </c>
      <c r="L481" s="2" t="s">
        <v>104</v>
      </c>
      <c r="M481" s="1" t="s">
        <v>20</v>
      </c>
    </row>
    <row r="482" ht="15.75" customHeight="1">
      <c r="A482" s="2" t="s">
        <v>587</v>
      </c>
      <c r="B482" s="1" t="s">
        <v>14</v>
      </c>
      <c r="C482" s="1" t="s">
        <v>15</v>
      </c>
      <c r="D482" s="2" t="s">
        <v>68</v>
      </c>
      <c r="E482" s="2" t="s">
        <v>17</v>
      </c>
      <c r="F482" s="1" t="s">
        <v>18</v>
      </c>
      <c r="G482" s="1" t="s">
        <v>36</v>
      </c>
      <c r="H482" s="1" t="s">
        <v>20</v>
      </c>
      <c r="I482" s="2" t="s">
        <v>17</v>
      </c>
      <c r="J482" s="1" t="s">
        <v>43</v>
      </c>
      <c r="K482" s="1" t="s">
        <v>44</v>
      </c>
      <c r="L482" s="2" t="s">
        <v>130</v>
      </c>
      <c r="M482" s="1" t="s">
        <v>25</v>
      </c>
    </row>
    <row r="483" ht="15.75" customHeight="1">
      <c r="A483" s="2" t="s">
        <v>588</v>
      </c>
      <c r="B483" s="1" t="s">
        <v>41</v>
      </c>
      <c r="C483" s="1" t="s">
        <v>15</v>
      </c>
      <c r="D483" s="2" t="s">
        <v>16</v>
      </c>
      <c r="E483" s="2" t="s">
        <v>37</v>
      </c>
      <c r="F483" s="1" t="s">
        <v>30</v>
      </c>
      <c r="G483" s="1" t="s">
        <v>31</v>
      </c>
      <c r="H483" s="1" t="s">
        <v>20</v>
      </c>
      <c r="I483" s="2" t="s">
        <v>21</v>
      </c>
      <c r="J483" s="1" t="s">
        <v>51</v>
      </c>
      <c r="K483" s="1" t="s">
        <v>23</v>
      </c>
      <c r="L483" s="2" t="s">
        <v>58</v>
      </c>
      <c r="M483" s="1" t="s">
        <v>20</v>
      </c>
    </row>
    <row r="484" ht="15.75" customHeight="1">
      <c r="A484" s="2" t="s">
        <v>589</v>
      </c>
      <c r="B484" s="1" t="s">
        <v>41</v>
      </c>
      <c r="C484" s="1" t="s">
        <v>27</v>
      </c>
      <c r="D484" s="2" t="s">
        <v>16</v>
      </c>
      <c r="E484" s="2" t="s">
        <v>21</v>
      </c>
      <c r="F484" s="1" t="s">
        <v>87</v>
      </c>
      <c r="G484" s="1" t="s">
        <v>31</v>
      </c>
      <c r="H484" s="1" t="s">
        <v>25</v>
      </c>
      <c r="I484" s="2" t="s">
        <v>21</v>
      </c>
      <c r="J484" s="1" t="s">
        <v>22</v>
      </c>
      <c r="K484" s="1" t="s">
        <v>23</v>
      </c>
      <c r="L484" s="2" t="s">
        <v>47</v>
      </c>
      <c r="M484" s="1" t="s">
        <v>20</v>
      </c>
    </row>
    <row r="485" ht="15.75" customHeight="1">
      <c r="A485" s="2" t="s">
        <v>590</v>
      </c>
      <c r="B485" s="1" t="s">
        <v>14</v>
      </c>
      <c r="C485" s="1" t="s">
        <v>27</v>
      </c>
      <c r="D485" s="2" t="s">
        <v>49</v>
      </c>
      <c r="E485" s="2" t="s">
        <v>17</v>
      </c>
      <c r="F485" s="1" t="s">
        <v>87</v>
      </c>
      <c r="G485" s="1" t="s">
        <v>31</v>
      </c>
      <c r="H485" s="1" t="s">
        <v>20</v>
      </c>
      <c r="I485" s="2" t="s">
        <v>21</v>
      </c>
      <c r="J485" s="1" t="s">
        <v>22</v>
      </c>
      <c r="K485" s="1" t="s">
        <v>23</v>
      </c>
      <c r="L485" s="2" t="s">
        <v>337</v>
      </c>
      <c r="M485" s="1" t="s">
        <v>25</v>
      </c>
    </row>
    <row r="486" ht="15.75" customHeight="1">
      <c r="A486" s="2" t="s">
        <v>591</v>
      </c>
      <c r="B486" s="1" t="s">
        <v>41</v>
      </c>
      <c r="C486" s="1" t="s">
        <v>15</v>
      </c>
      <c r="D486" s="2" t="s">
        <v>28</v>
      </c>
      <c r="E486" s="2" t="s">
        <v>21</v>
      </c>
      <c r="F486" s="1" t="s">
        <v>30</v>
      </c>
      <c r="G486" s="1" t="s">
        <v>31</v>
      </c>
      <c r="H486" s="1" t="s">
        <v>25</v>
      </c>
      <c r="I486" s="2" t="s">
        <v>17</v>
      </c>
      <c r="J486" s="1" t="s">
        <v>38</v>
      </c>
      <c r="K486" s="1" t="s">
        <v>23</v>
      </c>
      <c r="L486" s="2" t="s">
        <v>109</v>
      </c>
      <c r="M486" s="1" t="s">
        <v>20</v>
      </c>
    </row>
    <row r="487" ht="15.75" customHeight="1">
      <c r="A487" s="2" t="s">
        <v>592</v>
      </c>
      <c r="B487" s="1" t="s">
        <v>41</v>
      </c>
      <c r="C487" s="1" t="s">
        <v>27</v>
      </c>
      <c r="D487" s="2" t="s">
        <v>28</v>
      </c>
      <c r="E487" s="2" t="s">
        <v>37</v>
      </c>
      <c r="F487" s="1" t="s">
        <v>30</v>
      </c>
      <c r="G487" s="1" t="s">
        <v>31</v>
      </c>
      <c r="H487" s="1" t="s">
        <v>20</v>
      </c>
      <c r="I487" s="2" t="s">
        <v>37</v>
      </c>
      <c r="J487" s="1" t="s">
        <v>22</v>
      </c>
      <c r="K487" s="1" t="s">
        <v>23</v>
      </c>
      <c r="L487" s="2" t="s">
        <v>24</v>
      </c>
      <c r="M487" s="1" t="s">
        <v>25</v>
      </c>
    </row>
    <row r="488" ht="15.75" customHeight="1">
      <c r="A488" s="2" t="s">
        <v>593</v>
      </c>
      <c r="B488" s="1" t="s">
        <v>14</v>
      </c>
      <c r="C488" s="1" t="s">
        <v>15</v>
      </c>
      <c r="D488" s="2" t="s">
        <v>68</v>
      </c>
      <c r="E488" s="2" t="s">
        <v>57</v>
      </c>
      <c r="F488" s="1" t="s">
        <v>62</v>
      </c>
      <c r="G488" s="1" t="s">
        <v>19</v>
      </c>
      <c r="H488" s="1" t="s">
        <v>20</v>
      </c>
      <c r="I488" s="2" t="s">
        <v>57</v>
      </c>
      <c r="J488" s="1" t="s">
        <v>69</v>
      </c>
      <c r="K488" s="1" t="s">
        <v>23</v>
      </c>
      <c r="L488" s="2" t="s">
        <v>63</v>
      </c>
      <c r="M488" s="1" t="s">
        <v>25</v>
      </c>
    </row>
    <row r="489" ht="15.75" customHeight="1">
      <c r="A489" s="2" t="s">
        <v>594</v>
      </c>
      <c r="B489" s="1" t="s">
        <v>14</v>
      </c>
      <c r="C489" s="1" t="s">
        <v>27</v>
      </c>
      <c r="D489" s="2" t="s">
        <v>16</v>
      </c>
      <c r="E489" s="2" t="s">
        <v>21</v>
      </c>
      <c r="F489" s="1" t="s">
        <v>18</v>
      </c>
      <c r="G489" s="1" t="s">
        <v>31</v>
      </c>
      <c r="H489" s="1" t="s">
        <v>20</v>
      </c>
      <c r="I489" s="2" t="s">
        <v>21</v>
      </c>
      <c r="J489" s="1" t="s">
        <v>22</v>
      </c>
      <c r="K489" s="1" t="s">
        <v>23</v>
      </c>
      <c r="L489" s="2" t="s">
        <v>135</v>
      </c>
      <c r="M489" s="1" t="s">
        <v>25</v>
      </c>
    </row>
    <row r="490" ht="15.75" customHeight="1">
      <c r="A490" s="2" t="s">
        <v>595</v>
      </c>
      <c r="B490" s="1" t="s">
        <v>41</v>
      </c>
      <c r="C490" s="1" t="s">
        <v>15</v>
      </c>
      <c r="D490" s="2" t="s">
        <v>49</v>
      </c>
      <c r="E490" s="2" t="s">
        <v>21</v>
      </c>
      <c r="F490" s="1" t="s">
        <v>62</v>
      </c>
      <c r="G490" s="1" t="s">
        <v>50</v>
      </c>
      <c r="H490" s="1" t="s">
        <v>20</v>
      </c>
      <c r="I490" s="2" t="s">
        <v>37</v>
      </c>
      <c r="J490" s="1" t="s">
        <v>51</v>
      </c>
      <c r="K490" s="1" t="s">
        <v>23</v>
      </c>
      <c r="L490" s="2" t="s">
        <v>93</v>
      </c>
      <c r="M490" s="1" t="s">
        <v>25</v>
      </c>
    </row>
    <row r="491" ht="15.75" customHeight="1">
      <c r="A491" s="2" t="s">
        <v>596</v>
      </c>
      <c r="B491" s="1" t="s">
        <v>14</v>
      </c>
      <c r="C491" s="1" t="s">
        <v>27</v>
      </c>
      <c r="D491" s="2" t="s">
        <v>61</v>
      </c>
      <c r="E491" s="2" t="s">
        <v>21</v>
      </c>
      <c r="F491" s="1" t="s">
        <v>62</v>
      </c>
      <c r="G491" s="1" t="s">
        <v>50</v>
      </c>
      <c r="H491" s="1" t="s">
        <v>20</v>
      </c>
      <c r="I491" s="2" t="s">
        <v>37</v>
      </c>
      <c r="J491" s="1" t="s">
        <v>22</v>
      </c>
      <c r="K491" s="1" t="s">
        <v>23</v>
      </c>
      <c r="L491" s="2" t="s">
        <v>104</v>
      </c>
      <c r="M491" s="1" t="s">
        <v>25</v>
      </c>
    </row>
    <row r="492" ht="15.75" customHeight="1">
      <c r="A492" s="2" t="s">
        <v>597</v>
      </c>
      <c r="B492" s="1" t="s">
        <v>14</v>
      </c>
      <c r="C492" s="1" t="s">
        <v>27</v>
      </c>
      <c r="D492" s="2" t="s">
        <v>76</v>
      </c>
      <c r="E492" s="2" t="s">
        <v>57</v>
      </c>
      <c r="F492" s="1" t="s">
        <v>18</v>
      </c>
      <c r="G492" s="1" t="s">
        <v>36</v>
      </c>
      <c r="H492" s="1" t="s">
        <v>20</v>
      </c>
      <c r="I492" s="2" t="s">
        <v>21</v>
      </c>
      <c r="J492" s="1" t="s">
        <v>38</v>
      </c>
      <c r="K492" s="1" t="s">
        <v>598</v>
      </c>
      <c r="L492" s="2" t="s">
        <v>130</v>
      </c>
      <c r="M492" s="1" t="s">
        <v>25</v>
      </c>
    </row>
    <row r="493" ht="15.75" customHeight="1">
      <c r="A493" s="2" t="s">
        <v>599</v>
      </c>
      <c r="B493" s="1" t="s">
        <v>14</v>
      </c>
      <c r="C493" s="1" t="s">
        <v>27</v>
      </c>
      <c r="D493" s="2" t="s">
        <v>42</v>
      </c>
      <c r="E493" s="2" t="s">
        <v>37</v>
      </c>
      <c r="F493" s="1" t="s">
        <v>62</v>
      </c>
      <c r="G493" s="1" t="s">
        <v>19</v>
      </c>
      <c r="H493" s="1" t="s">
        <v>20</v>
      </c>
      <c r="I493" s="2" t="s">
        <v>37</v>
      </c>
      <c r="J493" s="1" t="s">
        <v>43</v>
      </c>
      <c r="K493" s="1" t="s">
        <v>598</v>
      </c>
      <c r="L493" s="2" t="s">
        <v>125</v>
      </c>
      <c r="M493" s="1" t="s">
        <v>25</v>
      </c>
    </row>
    <row r="494" ht="15.75" customHeight="1">
      <c r="A494" s="2" t="s">
        <v>600</v>
      </c>
      <c r="B494" s="1" t="s">
        <v>41</v>
      </c>
      <c r="C494" s="1" t="s">
        <v>15</v>
      </c>
      <c r="D494" s="2" t="s">
        <v>16</v>
      </c>
      <c r="E494" s="2" t="s">
        <v>29</v>
      </c>
      <c r="F494" s="1" t="s">
        <v>30</v>
      </c>
      <c r="G494" s="1" t="s">
        <v>31</v>
      </c>
      <c r="H494" s="1" t="s">
        <v>20</v>
      </c>
      <c r="I494" s="2" t="s">
        <v>17</v>
      </c>
      <c r="J494" s="1" t="s">
        <v>51</v>
      </c>
      <c r="K494" s="1" t="s">
        <v>598</v>
      </c>
      <c r="L494" s="2" t="s">
        <v>109</v>
      </c>
      <c r="M494" s="1" t="s">
        <v>20</v>
      </c>
    </row>
    <row r="495" ht="15.75" customHeight="1">
      <c r="A495" s="2" t="s">
        <v>601</v>
      </c>
      <c r="B495" s="1" t="s">
        <v>41</v>
      </c>
      <c r="C495" s="1" t="s">
        <v>27</v>
      </c>
      <c r="D495" s="2" t="s">
        <v>42</v>
      </c>
      <c r="E495" s="2" t="s">
        <v>35</v>
      </c>
      <c r="F495" s="1" t="s">
        <v>18</v>
      </c>
      <c r="G495" s="1" t="s">
        <v>56</v>
      </c>
      <c r="H495" s="1" t="s">
        <v>20</v>
      </c>
      <c r="I495" s="2" t="s">
        <v>29</v>
      </c>
      <c r="J495" s="1" t="s">
        <v>69</v>
      </c>
      <c r="K495" s="1" t="s">
        <v>598</v>
      </c>
      <c r="L495" s="2" t="s">
        <v>39</v>
      </c>
      <c r="M495" s="1" t="s">
        <v>20</v>
      </c>
    </row>
    <row r="496" ht="15.75" customHeight="1">
      <c r="A496" s="2" t="s">
        <v>602</v>
      </c>
      <c r="B496" s="1" t="s">
        <v>14</v>
      </c>
      <c r="C496" s="1" t="s">
        <v>27</v>
      </c>
      <c r="D496" s="2" t="s">
        <v>42</v>
      </c>
      <c r="E496" s="2" t="s">
        <v>57</v>
      </c>
      <c r="F496" s="1" t="s">
        <v>55</v>
      </c>
      <c r="G496" s="1" t="s">
        <v>36</v>
      </c>
      <c r="H496" s="1" t="s">
        <v>20</v>
      </c>
      <c r="I496" s="2" t="s">
        <v>21</v>
      </c>
      <c r="J496" s="1" t="s">
        <v>43</v>
      </c>
      <c r="K496" s="1" t="s">
        <v>598</v>
      </c>
      <c r="L496" s="2" t="s">
        <v>178</v>
      </c>
      <c r="M496" s="1" t="s">
        <v>25</v>
      </c>
    </row>
    <row r="497" ht="15.75" customHeight="1">
      <c r="A497" s="2" t="s">
        <v>603</v>
      </c>
      <c r="B497" s="1" t="s">
        <v>14</v>
      </c>
      <c r="C497" s="1" t="s">
        <v>27</v>
      </c>
      <c r="D497" s="2" t="s">
        <v>76</v>
      </c>
      <c r="E497" s="2" t="s">
        <v>37</v>
      </c>
      <c r="F497" s="1" t="s">
        <v>30</v>
      </c>
      <c r="G497" s="1" t="s">
        <v>36</v>
      </c>
      <c r="H497" s="1" t="s">
        <v>20</v>
      </c>
      <c r="I497" s="2" t="s">
        <v>37</v>
      </c>
      <c r="J497" s="1" t="s">
        <v>69</v>
      </c>
      <c r="K497" s="1" t="s">
        <v>598</v>
      </c>
      <c r="L497" s="2" t="s">
        <v>91</v>
      </c>
      <c r="M497" s="1" t="s">
        <v>25</v>
      </c>
    </row>
    <row r="498" ht="15.75" customHeight="1">
      <c r="A498" s="2" t="s">
        <v>604</v>
      </c>
      <c r="B498" s="1" t="s">
        <v>41</v>
      </c>
      <c r="C498" s="1" t="s">
        <v>15</v>
      </c>
      <c r="D498" s="2" t="s">
        <v>76</v>
      </c>
      <c r="E498" s="2" t="s">
        <v>29</v>
      </c>
      <c r="F498" s="1" t="s">
        <v>18</v>
      </c>
      <c r="G498" s="1" t="s">
        <v>19</v>
      </c>
      <c r="H498" s="1" t="s">
        <v>20</v>
      </c>
      <c r="I498" s="2" t="s">
        <v>17</v>
      </c>
      <c r="J498" s="1" t="s">
        <v>38</v>
      </c>
      <c r="K498" s="1" t="s">
        <v>598</v>
      </c>
      <c r="L498" s="2" t="s">
        <v>100</v>
      </c>
      <c r="M498" s="1" t="s">
        <v>20</v>
      </c>
    </row>
    <row r="499" ht="15.75" customHeight="1">
      <c r="A499" s="2" t="s">
        <v>605</v>
      </c>
      <c r="B499" s="1" t="s">
        <v>41</v>
      </c>
      <c r="C499" s="1" t="s">
        <v>15</v>
      </c>
      <c r="D499" s="2" t="s">
        <v>42</v>
      </c>
      <c r="E499" s="2" t="s">
        <v>17</v>
      </c>
      <c r="F499" s="1" t="s">
        <v>87</v>
      </c>
      <c r="G499" s="1" t="s">
        <v>36</v>
      </c>
      <c r="H499" s="1" t="s">
        <v>20</v>
      </c>
      <c r="I499" s="2" t="s">
        <v>21</v>
      </c>
      <c r="J499" s="1" t="s">
        <v>38</v>
      </c>
      <c r="K499" s="1" t="s">
        <v>598</v>
      </c>
      <c r="L499" s="2" t="s">
        <v>93</v>
      </c>
      <c r="M499" s="1" t="s">
        <v>20</v>
      </c>
    </row>
    <row r="500" ht="15.75" customHeight="1">
      <c r="A500" s="2" t="s">
        <v>606</v>
      </c>
      <c r="B500" s="1" t="s">
        <v>14</v>
      </c>
      <c r="C500" s="1" t="s">
        <v>27</v>
      </c>
      <c r="D500" s="2" t="s">
        <v>34</v>
      </c>
      <c r="E500" s="2" t="s">
        <v>17</v>
      </c>
      <c r="F500" s="1" t="s">
        <v>30</v>
      </c>
      <c r="G500" s="1" t="s">
        <v>19</v>
      </c>
      <c r="H500" s="1" t="s">
        <v>20</v>
      </c>
      <c r="I500" s="2" t="s">
        <v>17</v>
      </c>
      <c r="J500" s="1" t="s">
        <v>38</v>
      </c>
      <c r="K500" s="1" t="s">
        <v>598</v>
      </c>
      <c r="L500" s="2" t="s">
        <v>125</v>
      </c>
      <c r="M500" s="1" t="s">
        <v>20</v>
      </c>
    </row>
    <row r="501" ht="15.75" customHeight="1">
      <c r="A501" s="2" t="s">
        <v>607</v>
      </c>
      <c r="B501" s="1" t="s">
        <v>41</v>
      </c>
      <c r="C501" s="1" t="s">
        <v>15</v>
      </c>
      <c r="D501" s="2" t="s">
        <v>16</v>
      </c>
      <c r="E501" s="2" t="s">
        <v>21</v>
      </c>
      <c r="F501" s="1" t="s">
        <v>55</v>
      </c>
      <c r="G501" s="1" t="s">
        <v>19</v>
      </c>
      <c r="H501" s="1" t="s">
        <v>25</v>
      </c>
      <c r="I501" s="2" t="s">
        <v>37</v>
      </c>
      <c r="J501" s="1" t="s">
        <v>51</v>
      </c>
      <c r="K501" s="1" t="s">
        <v>598</v>
      </c>
      <c r="L501" s="2" t="s">
        <v>109</v>
      </c>
      <c r="M501" s="1" t="s">
        <v>20</v>
      </c>
    </row>
    <row r="502" ht="15.75" customHeight="1">
      <c r="A502" s="2" t="s">
        <v>608</v>
      </c>
      <c r="B502" s="1" t="s">
        <v>14</v>
      </c>
      <c r="C502" s="1" t="s">
        <v>27</v>
      </c>
      <c r="D502" s="2" t="s">
        <v>76</v>
      </c>
      <c r="E502" s="2" t="s">
        <v>35</v>
      </c>
      <c r="F502" s="1" t="s">
        <v>18</v>
      </c>
      <c r="G502" s="1" t="s">
        <v>36</v>
      </c>
      <c r="H502" s="1" t="s">
        <v>20</v>
      </c>
      <c r="I502" s="2" t="s">
        <v>17</v>
      </c>
      <c r="J502" s="1" t="s">
        <v>38</v>
      </c>
      <c r="K502" s="1" t="s">
        <v>598</v>
      </c>
      <c r="L502" s="2" t="s">
        <v>83</v>
      </c>
      <c r="M502" s="1" t="s">
        <v>25</v>
      </c>
    </row>
    <row r="503" ht="15.75" customHeight="1">
      <c r="A503" s="2" t="s">
        <v>609</v>
      </c>
      <c r="B503" s="1" t="s">
        <v>14</v>
      </c>
      <c r="C503" s="1" t="s">
        <v>15</v>
      </c>
      <c r="D503" s="2" t="s">
        <v>272</v>
      </c>
      <c r="E503" s="2" t="s">
        <v>21</v>
      </c>
      <c r="F503" s="1" t="s">
        <v>87</v>
      </c>
      <c r="G503" s="1" t="s">
        <v>19</v>
      </c>
      <c r="H503" s="1" t="s">
        <v>20</v>
      </c>
      <c r="I503" s="2" t="s">
        <v>21</v>
      </c>
      <c r="J503" s="1" t="s">
        <v>22</v>
      </c>
      <c r="K503" s="1" t="s">
        <v>598</v>
      </c>
      <c r="L503" s="2" t="s">
        <v>93</v>
      </c>
      <c r="M503" s="1" t="s">
        <v>25</v>
      </c>
    </row>
    <row r="504" ht="15.75" customHeight="1">
      <c r="A504" s="2" t="s">
        <v>610</v>
      </c>
      <c r="B504" s="1" t="s">
        <v>14</v>
      </c>
      <c r="C504" s="1" t="s">
        <v>27</v>
      </c>
      <c r="D504" s="2" t="s">
        <v>16</v>
      </c>
      <c r="E504" s="2" t="s">
        <v>21</v>
      </c>
      <c r="F504" s="1" t="s">
        <v>30</v>
      </c>
      <c r="G504" s="1" t="s">
        <v>19</v>
      </c>
      <c r="H504" s="1" t="s">
        <v>20</v>
      </c>
      <c r="I504" s="2" t="s">
        <v>17</v>
      </c>
      <c r="J504" s="1" t="s">
        <v>43</v>
      </c>
      <c r="K504" s="1" t="s">
        <v>598</v>
      </c>
      <c r="L504" s="2" t="s">
        <v>97</v>
      </c>
      <c r="M504" s="1" t="s">
        <v>25</v>
      </c>
    </row>
    <row r="505" ht="15.75" customHeight="1">
      <c r="A505" s="2" t="s">
        <v>611</v>
      </c>
      <c r="B505" s="1" t="s">
        <v>14</v>
      </c>
      <c r="C505" s="1" t="s">
        <v>15</v>
      </c>
      <c r="D505" s="2" t="s">
        <v>144</v>
      </c>
      <c r="E505" s="2" t="s">
        <v>17</v>
      </c>
      <c r="F505" s="1" t="s">
        <v>18</v>
      </c>
      <c r="G505" s="1" t="s">
        <v>56</v>
      </c>
      <c r="H505" s="1" t="s">
        <v>20</v>
      </c>
      <c r="I505" s="2" t="s">
        <v>57</v>
      </c>
      <c r="J505" s="1" t="s">
        <v>38</v>
      </c>
      <c r="K505" s="1" t="s">
        <v>598</v>
      </c>
      <c r="L505" s="2" t="s">
        <v>102</v>
      </c>
      <c r="M505" s="1" t="s">
        <v>20</v>
      </c>
    </row>
    <row r="506" ht="15.75" customHeight="1">
      <c r="A506" s="2" t="s">
        <v>612</v>
      </c>
      <c r="B506" s="1" t="s">
        <v>14</v>
      </c>
      <c r="C506" s="1" t="s">
        <v>27</v>
      </c>
      <c r="D506" s="2" t="s">
        <v>42</v>
      </c>
      <c r="E506" s="2" t="s">
        <v>37</v>
      </c>
      <c r="F506" s="1" t="s">
        <v>18</v>
      </c>
      <c r="G506" s="1" t="s">
        <v>19</v>
      </c>
      <c r="H506" s="1" t="s">
        <v>20</v>
      </c>
      <c r="I506" s="2" t="s">
        <v>17</v>
      </c>
      <c r="J506" s="1" t="s">
        <v>38</v>
      </c>
      <c r="K506" s="1" t="s">
        <v>598</v>
      </c>
      <c r="L506" s="2" t="s">
        <v>79</v>
      </c>
      <c r="M506" s="1" t="s">
        <v>20</v>
      </c>
    </row>
    <row r="507" ht="15.75" customHeight="1">
      <c r="A507" s="2" t="s">
        <v>613</v>
      </c>
      <c r="B507" s="1" t="s">
        <v>14</v>
      </c>
      <c r="C507" s="1" t="s">
        <v>27</v>
      </c>
      <c r="D507" s="2" t="s">
        <v>99</v>
      </c>
      <c r="E507" s="2" t="s">
        <v>57</v>
      </c>
      <c r="F507" s="1" t="s">
        <v>30</v>
      </c>
      <c r="G507" s="1" t="s">
        <v>36</v>
      </c>
      <c r="H507" s="1" t="s">
        <v>20</v>
      </c>
      <c r="I507" s="2" t="s">
        <v>57</v>
      </c>
      <c r="J507" s="1" t="s">
        <v>22</v>
      </c>
      <c r="K507" s="1" t="s">
        <v>598</v>
      </c>
      <c r="L507" s="2" t="s">
        <v>100</v>
      </c>
      <c r="M507" s="1" t="s">
        <v>25</v>
      </c>
    </row>
    <row r="508" ht="15.75" customHeight="1">
      <c r="A508" s="2" t="s">
        <v>614</v>
      </c>
      <c r="B508" s="1" t="s">
        <v>14</v>
      </c>
      <c r="C508" s="1" t="s">
        <v>15</v>
      </c>
      <c r="D508" s="2" t="s">
        <v>42</v>
      </c>
      <c r="E508" s="2" t="s">
        <v>57</v>
      </c>
      <c r="F508" s="1" t="s">
        <v>18</v>
      </c>
      <c r="G508" s="1" t="s">
        <v>36</v>
      </c>
      <c r="H508" s="1" t="s">
        <v>20</v>
      </c>
      <c r="I508" s="2" t="s">
        <v>37</v>
      </c>
      <c r="J508" s="1" t="s">
        <v>38</v>
      </c>
      <c r="K508" s="1" t="s">
        <v>598</v>
      </c>
      <c r="L508" s="2" t="s">
        <v>24</v>
      </c>
      <c r="M508" s="1" t="s">
        <v>20</v>
      </c>
    </row>
    <row r="509" ht="15.75" customHeight="1">
      <c r="A509" s="2" t="s">
        <v>615</v>
      </c>
      <c r="B509" s="1" t="s">
        <v>14</v>
      </c>
      <c r="C509" s="1" t="s">
        <v>15</v>
      </c>
      <c r="D509" s="2" t="s">
        <v>16</v>
      </c>
      <c r="E509" s="2" t="s">
        <v>17</v>
      </c>
      <c r="F509" s="1" t="s">
        <v>30</v>
      </c>
      <c r="G509" s="1" t="s">
        <v>31</v>
      </c>
      <c r="H509" s="1" t="s">
        <v>20</v>
      </c>
      <c r="I509" s="2" t="s">
        <v>17</v>
      </c>
      <c r="J509" s="1" t="s">
        <v>51</v>
      </c>
      <c r="K509" s="1" t="s">
        <v>598</v>
      </c>
      <c r="L509" s="2" t="s">
        <v>178</v>
      </c>
      <c r="M509" s="1" t="s">
        <v>20</v>
      </c>
    </row>
    <row r="510" ht="15.75" customHeight="1">
      <c r="A510" s="2" t="s">
        <v>616</v>
      </c>
      <c r="B510" s="1" t="s">
        <v>14</v>
      </c>
      <c r="C510" s="1" t="s">
        <v>27</v>
      </c>
      <c r="D510" s="2" t="s">
        <v>76</v>
      </c>
      <c r="E510" s="2" t="s">
        <v>21</v>
      </c>
      <c r="F510" s="1" t="s">
        <v>30</v>
      </c>
      <c r="G510" s="1" t="s">
        <v>19</v>
      </c>
      <c r="H510" s="1" t="s">
        <v>25</v>
      </c>
      <c r="I510" s="2" t="s">
        <v>37</v>
      </c>
      <c r="J510" s="1" t="s">
        <v>51</v>
      </c>
      <c r="K510" s="1" t="s">
        <v>598</v>
      </c>
      <c r="L510" s="2" t="s">
        <v>97</v>
      </c>
      <c r="M510" s="1" t="s">
        <v>25</v>
      </c>
    </row>
    <row r="511" ht="15.75" customHeight="1">
      <c r="A511" s="2" t="s">
        <v>617</v>
      </c>
      <c r="B511" s="1" t="s">
        <v>14</v>
      </c>
      <c r="C511" s="1" t="s">
        <v>27</v>
      </c>
      <c r="E511" s="2" t="s">
        <v>29</v>
      </c>
      <c r="F511" s="1" t="s">
        <v>18</v>
      </c>
      <c r="G511" s="1" t="s">
        <v>36</v>
      </c>
      <c r="H511" s="1" t="s">
        <v>20</v>
      </c>
      <c r="I511" s="2" t="s">
        <v>17</v>
      </c>
      <c r="J511" s="1" t="s">
        <v>38</v>
      </c>
      <c r="K511" s="1" t="s">
        <v>598</v>
      </c>
      <c r="L511" s="2" t="s">
        <v>125</v>
      </c>
      <c r="M511" s="1" t="s">
        <v>20</v>
      </c>
    </row>
    <row r="512" ht="15.75" customHeight="1">
      <c r="A512" s="2" t="s">
        <v>618</v>
      </c>
      <c r="B512" s="1" t="s">
        <v>41</v>
      </c>
      <c r="C512" s="1" t="s">
        <v>27</v>
      </c>
      <c r="D512" s="2" t="s">
        <v>42</v>
      </c>
      <c r="E512" s="2" t="s">
        <v>21</v>
      </c>
      <c r="F512" s="1" t="s">
        <v>18</v>
      </c>
      <c r="G512" s="1" t="s">
        <v>36</v>
      </c>
      <c r="H512" s="1" t="s">
        <v>25</v>
      </c>
      <c r="I512" s="2" t="s">
        <v>17</v>
      </c>
      <c r="J512" s="1" t="s">
        <v>38</v>
      </c>
      <c r="K512" s="1" t="s">
        <v>598</v>
      </c>
      <c r="L512" s="2" t="s">
        <v>153</v>
      </c>
      <c r="M512" s="1" t="s">
        <v>20</v>
      </c>
    </row>
    <row r="513" ht="15.75" customHeight="1">
      <c r="A513" s="2" t="s">
        <v>619</v>
      </c>
      <c r="B513" s="1" t="s">
        <v>41</v>
      </c>
      <c r="C513" s="1" t="s">
        <v>27</v>
      </c>
      <c r="D513" s="2" t="s">
        <v>34</v>
      </c>
      <c r="E513" s="2" t="s">
        <v>57</v>
      </c>
      <c r="F513" s="1" t="s">
        <v>18</v>
      </c>
      <c r="G513" s="1" t="s">
        <v>56</v>
      </c>
      <c r="H513" s="1" t="s">
        <v>20</v>
      </c>
      <c r="J513" s="1" t="s">
        <v>43</v>
      </c>
      <c r="K513" s="1" t="s">
        <v>598</v>
      </c>
      <c r="L513" s="2" t="s">
        <v>128</v>
      </c>
      <c r="M513" s="1" t="s">
        <v>20</v>
      </c>
    </row>
    <row r="514" ht="15.75" customHeight="1">
      <c r="A514" s="2" t="s">
        <v>620</v>
      </c>
      <c r="B514" s="1" t="s">
        <v>14</v>
      </c>
      <c r="C514" s="1" t="s">
        <v>15</v>
      </c>
      <c r="D514" s="2" t="s">
        <v>76</v>
      </c>
      <c r="E514" s="2" t="s">
        <v>17</v>
      </c>
      <c r="F514" s="1" t="s">
        <v>30</v>
      </c>
      <c r="G514" s="1" t="s">
        <v>19</v>
      </c>
      <c r="H514" s="1" t="s">
        <v>20</v>
      </c>
      <c r="I514" s="2" t="s">
        <v>17</v>
      </c>
      <c r="J514" s="1" t="s">
        <v>22</v>
      </c>
      <c r="K514" s="1" t="s">
        <v>598</v>
      </c>
      <c r="L514" s="2" t="s">
        <v>77</v>
      </c>
      <c r="M514" s="1" t="s">
        <v>20</v>
      </c>
    </row>
    <row r="515" ht="15.75" customHeight="1">
      <c r="A515" s="2" t="s">
        <v>621</v>
      </c>
      <c r="B515" s="1" t="s">
        <v>41</v>
      </c>
      <c r="C515" s="1" t="s">
        <v>15</v>
      </c>
      <c r="D515" s="2" t="s">
        <v>76</v>
      </c>
      <c r="E515" s="2" t="s">
        <v>57</v>
      </c>
      <c r="F515" s="1" t="s">
        <v>87</v>
      </c>
      <c r="G515" s="1" t="s">
        <v>56</v>
      </c>
      <c r="H515" s="1" t="s">
        <v>20</v>
      </c>
      <c r="I515" s="2" t="s">
        <v>37</v>
      </c>
      <c r="J515" s="1" t="s">
        <v>69</v>
      </c>
      <c r="K515" s="1" t="s">
        <v>598</v>
      </c>
      <c r="L515" s="2" t="s">
        <v>145</v>
      </c>
      <c r="M515" s="1" t="s">
        <v>20</v>
      </c>
    </row>
    <row r="516" ht="15.75" customHeight="1">
      <c r="A516" s="2" t="s">
        <v>622</v>
      </c>
      <c r="B516" s="1" t="s">
        <v>41</v>
      </c>
      <c r="C516" s="1" t="s">
        <v>27</v>
      </c>
      <c r="D516" s="2" t="s">
        <v>16</v>
      </c>
      <c r="E516" s="2" t="s">
        <v>21</v>
      </c>
      <c r="F516" s="1" t="s">
        <v>18</v>
      </c>
      <c r="G516" s="1" t="s">
        <v>36</v>
      </c>
      <c r="H516" s="1" t="s">
        <v>25</v>
      </c>
      <c r="I516" s="2" t="s">
        <v>17</v>
      </c>
      <c r="J516" s="1" t="s">
        <v>38</v>
      </c>
      <c r="K516" s="1" t="s">
        <v>598</v>
      </c>
      <c r="L516" s="2" t="s">
        <v>77</v>
      </c>
      <c r="M516" s="1" t="s">
        <v>25</v>
      </c>
    </row>
    <row r="517" ht="15.75" customHeight="1">
      <c r="A517" s="2" t="s">
        <v>623</v>
      </c>
      <c r="B517" s="1" t="s">
        <v>14</v>
      </c>
      <c r="C517" s="1" t="s">
        <v>15</v>
      </c>
      <c r="D517" s="2" t="s">
        <v>42</v>
      </c>
      <c r="E517" s="2" t="s">
        <v>35</v>
      </c>
      <c r="F517" s="1" t="s">
        <v>18</v>
      </c>
      <c r="G517" s="1" t="s">
        <v>36</v>
      </c>
      <c r="H517" s="1" t="s">
        <v>20</v>
      </c>
      <c r="I517" s="2" t="s">
        <v>37</v>
      </c>
      <c r="J517" s="1" t="s">
        <v>38</v>
      </c>
      <c r="K517" s="1" t="s">
        <v>598</v>
      </c>
      <c r="L517" s="2" t="s">
        <v>83</v>
      </c>
      <c r="M517" s="1" t="s">
        <v>25</v>
      </c>
    </row>
    <row r="518" ht="15.75" customHeight="1">
      <c r="A518" s="2" t="s">
        <v>624</v>
      </c>
      <c r="B518" s="1" t="s">
        <v>14</v>
      </c>
      <c r="C518" s="1" t="s">
        <v>15</v>
      </c>
      <c r="D518" s="2" t="s">
        <v>76</v>
      </c>
      <c r="E518" s="2" t="s">
        <v>37</v>
      </c>
      <c r="F518" s="1" t="s">
        <v>55</v>
      </c>
      <c r="G518" s="1" t="s">
        <v>36</v>
      </c>
      <c r="H518" s="1" t="s">
        <v>20</v>
      </c>
      <c r="I518" s="2" t="s">
        <v>37</v>
      </c>
      <c r="J518" s="1" t="s">
        <v>43</v>
      </c>
      <c r="K518" s="1" t="s">
        <v>598</v>
      </c>
      <c r="L518" s="2" t="s">
        <v>195</v>
      </c>
      <c r="M518" s="1" t="s">
        <v>25</v>
      </c>
    </row>
    <row r="519" ht="15.75" customHeight="1">
      <c r="A519" s="2" t="s">
        <v>625</v>
      </c>
      <c r="B519" s="1" t="s">
        <v>41</v>
      </c>
      <c r="C519" s="1" t="s">
        <v>27</v>
      </c>
      <c r="D519" s="2" t="s">
        <v>76</v>
      </c>
      <c r="E519" s="2" t="s">
        <v>29</v>
      </c>
      <c r="F519" s="1" t="s">
        <v>18</v>
      </c>
      <c r="G519" s="1" t="s">
        <v>36</v>
      </c>
      <c r="H519" s="1" t="s">
        <v>25</v>
      </c>
      <c r="I519" s="2" t="s">
        <v>21</v>
      </c>
      <c r="J519" s="1" t="s">
        <v>22</v>
      </c>
      <c r="K519" s="1" t="s">
        <v>598</v>
      </c>
      <c r="L519" s="2" t="s">
        <v>83</v>
      </c>
      <c r="M519" s="1" t="s">
        <v>20</v>
      </c>
    </row>
    <row r="520" ht="15.75" customHeight="1">
      <c r="A520" s="2" t="s">
        <v>626</v>
      </c>
      <c r="B520" s="1" t="s">
        <v>14</v>
      </c>
      <c r="C520" s="1" t="s">
        <v>15</v>
      </c>
      <c r="D520" s="2" t="s">
        <v>34</v>
      </c>
      <c r="E520" s="2" t="s">
        <v>21</v>
      </c>
      <c r="F520" s="1" t="s">
        <v>18</v>
      </c>
      <c r="G520" s="1" t="s">
        <v>56</v>
      </c>
      <c r="H520" s="1" t="s">
        <v>20</v>
      </c>
      <c r="I520" s="2" t="s">
        <v>17</v>
      </c>
      <c r="J520" s="1" t="s">
        <v>51</v>
      </c>
      <c r="K520" s="1" t="s">
        <v>598</v>
      </c>
      <c r="L520" s="2" t="s">
        <v>93</v>
      </c>
      <c r="M520" s="1" t="s">
        <v>20</v>
      </c>
    </row>
    <row r="521" ht="15.75" customHeight="1">
      <c r="A521" s="2" t="s">
        <v>627</v>
      </c>
      <c r="B521" s="1" t="s">
        <v>14</v>
      </c>
      <c r="C521" s="1" t="s">
        <v>27</v>
      </c>
      <c r="D521" s="2" t="s">
        <v>34</v>
      </c>
      <c r="E521" s="2" t="s">
        <v>35</v>
      </c>
      <c r="F521" s="1" t="s">
        <v>18</v>
      </c>
      <c r="G521" s="1" t="s">
        <v>56</v>
      </c>
      <c r="H521" s="1" t="s">
        <v>20</v>
      </c>
      <c r="I521" s="2" t="s">
        <v>37</v>
      </c>
      <c r="J521" s="1" t="s">
        <v>51</v>
      </c>
      <c r="K521" s="1" t="s">
        <v>598</v>
      </c>
      <c r="L521" s="2" t="s">
        <v>421</v>
      </c>
      <c r="M521" s="1" t="s">
        <v>25</v>
      </c>
    </row>
    <row r="522" ht="15.75" customHeight="1">
      <c r="A522" s="2" t="s">
        <v>628</v>
      </c>
      <c r="B522" s="1" t="s">
        <v>41</v>
      </c>
      <c r="C522" s="1" t="s">
        <v>27</v>
      </c>
      <c r="D522" s="2" t="s">
        <v>99</v>
      </c>
      <c r="E522" s="2" t="s">
        <v>17</v>
      </c>
      <c r="F522" s="1" t="s">
        <v>30</v>
      </c>
      <c r="G522" s="1" t="s">
        <v>36</v>
      </c>
      <c r="H522" s="1" t="s">
        <v>25</v>
      </c>
      <c r="I522" s="2" t="s">
        <v>29</v>
      </c>
      <c r="J522" s="1" t="s">
        <v>51</v>
      </c>
      <c r="K522" s="1" t="s">
        <v>598</v>
      </c>
      <c r="L522" s="2" t="s">
        <v>102</v>
      </c>
      <c r="M522" s="1" t="s">
        <v>25</v>
      </c>
    </row>
    <row r="523" ht="15.75" customHeight="1">
      <c r="A523" s="2" t="s">
        <v>629</v>
      </c>
      <c r="B523" s="1" t="s">
        <v>41</v>
      </c>
      <c r="C523" s="1" t="s">
        <v>27</v>
      </c>
      <c r="D523" s="2" t="s">
        <v>16</v>
      </c>
      <c r="E523" s="2" t="s">
        <v>57</v>
      </c>
      <c r="F523" s="1" t="s">
        <v>55</v>
      </c>
      <c r="G523" s="1" t="s">
        <v>36</v>
      </c>
      <c r="H523" s="1" t="s">
        <v>20</v>
      </c>
      <c r="I523" s="2" t="s">
        <v>37</v>
      </c>
      <c r="J523" s="1" t="s">
        <v>69</v>
      </c>
      <c r="K523" s="1" t="s">
        <v>598</v>
      </c>
      <c r="L523" s="2" t="s">
        <v>112</v>
      </c>
      <c r="M523" s="1" t="s">
        <v>20</v>
      </c>
    </row>
    <row r="524" ht="15.75" customHeight="1">
      <c r="A524" s="2" t="s">
        <v>630</v>
      </c>
      <c r="B524" s="1" t="s">
        <v>41</v>
      </c>
      <c r="C524" s="1" t="s">
        <v>27</v>
      </c>
      <c r="D524" s="2" t="s">
        <v>76</v>
      </c>
      <c r="E524" s="2" t="s">
        <v>29</v>
      </c>
      <c r="F524" s="1" t="s">
        <v>18</v>
      </c>
      <c r="G524" s="1" t="s">
        <v>36</v>
      </c>
      <c r="H524" s="1" t="s">
        <v>25</v>
      </c>
      <c r="I524" s="2" t="s">
        <v>17</v>
      </c>
      <c r="J524" s="1" t="s">
        <v>22</v>
      </c>
      <c r="K524" s="1" t="s">
        <v>598</v>
      </c>
      <c r="L524" s="2" t="s">
        <v>83</v>
      </c>
      <c r="M524" s="1" t="s">
        <v>20</v>
      </c>
    </row>
    <row r="525" ht="15.75" customHeight="1">
      <c r="A525" s="2" t="s">
        <v>631</v>
      </c>
      <c r="B525" s="1" t="s">
        <v>14</v>
      </c>
      <c r="C525" s="1" t="s">
        <v>27</v>
      </c>
      <c r="D525" s="2" t="s">
        <v>34</v>
      </c>
      <c r="E525" s="2" t="s">
        <v>29</v>
      </c>
      <c r="F525" s="1" t="s">
        <v>30</v>
      </c>
      <c r="G525" s="1" t="s">
        <v>36</v>
      </c>
      <c r="H525" s="1" t="s">
        <v>25</v>
      </c>
      <c r="I525" s="2" t="s">
        <v>37</v>
      </c>
      <c r="J525" s="1" t="s">
        <v>22</v>
      </c>
      <c r="K525" s="1" t="s">
        <v>598</v>
      </c>
      <c r="L525" s="2" t="s">
        <v>195</v>
      </c>
      <c r="M525" s="1" t="s">
        <v>20</v>
      </c>
    </row>
    <row r="526" ht="15.75" customHeight="1">
      <c r="A526" s="2" t="s">
        <v>632</v>
      </c>
      <c r="B526" s="1" t="s">
        <v>41</v>
      </c>
      <c r="C526" s="1" t="s">
        <v>15</v>
      </c>
      <c r="D526" s="2" t="s">
        <v>34</v>
      </c>
      <c r="E526" s="2" t="s">
        <v>57</v>
      </c>
      <c r="F526" s="1" t="s">
        <v>87</v>
      </c>
      <c r="G526" s="1" t="s">
        <v>56</v>
      </c>
      <c r="H526" s="1" t="s">
        <v>20</v>
      </c>
      <c r="I526" s="2" t="s">
        <v>37</v>
      </c>
      <c r="J526" s="1" t="s">
        <v>43</v>
      </c>
      <c r="K526" s="1" t="s">
        <v>598</v>
      </c>
      <c r="L526" s="2" t="s">
        <v>297</v>
      </c>
      <c r="M526" s="1" t="s">
        <v>25</v>
      </c>
    </row>
    <row r="527" ht="15.75" customHeight="1">
      <c r="A527" s="2" t="s">
        <v>633</v>
      </c>
      <c r="B527" s="1" t="s">
        <v>41</v>
      </c>
      <c r="C527" s="1" t="s">
        <v>27</v>
      </c>
      <c r="D527" s="2" t="s">
        <v>76</v>
      </c>
      <c r="E527" s="2" t="s">
        <v>35</v>
      </c>
      <c r="F527" s="1" t="s">
        <v>18</v>
      </c>
      <c r="G527" s="1" t="s">
        <v>56</v>
      </c>
      <c r="H527" s="1" t="s">
        <v>20</v>
      </c>
      <c r="I527" s="2" t="s">
        <v>29</v>
      </c>
      <c r="J527" s="1" t="s">
        <v>69</v>
      </c>
      <c r="K527" s="1" t="s">
        <v>598</v>
      </c>
      <c r="L527" s="2" t="s">
        <v>81</v>
      </c>
      <c r="M527" s="1" t="s">
        <v>20</v>
      </c>
    </row>
    <row r="528" ht="15.75" customHeight="1">
      <c r="A528" s="2" t="s">
        <v>634</v>
      </c>
      <c r="B528" s="1" t="s">
        <v>14</v>
      </c>
      <c r="C528" s="1" t="s">
        <v>15</v>
      </c>
      <c r="D528" s="2" t="s">
        <v>276</v>
      </c>
      <c r="E528" s="2" t="s">
        <v>17</v>
      </c>
      <c r="F528" s="1" t="s">
        <v>18</v>
      </c>
      <c r="G528" s="1" t="s">
        <v>56</v>
      </c>
      <c r="H528" s="1" t="s">
        <v>20</v>
      </c>
      <c r="I528" s="2" t="s">
        <v>37</v>
      </c>
      <c r="J528" s="1" t="s">
        <v>51</v>
      </c>
      <c r="K528" s="1" t="s">
        <v>598</v>
      </c>
      <c r="L528" s="2" t="s">
        <v>102</v>
      </c>
      <c r="M528" s="1" t="s">
        <v>25</v>
      </c>
    </row>
    <row r="529" ht="15.75" customHeight="1">
      <c r="A529" s="2" t="s">
        <v>635</v>
      </c>
      <c r="B529" s="1" t="s">
        <v>14</v>
      </c>
      <c r="C529" s="1" t="s">
        <v>27</v>
      </c>
      <c r="D529" s="2" t="s">
        <v>272</v>
      </c>
      <c r="E529" s="2" t="s">
        <v>17</v>
      </c>
      <c r="F529" s="1" t="s">
        <v>18</v>
      </c>
      <c r="G529" s="1" t="s">
        <v>19</v>
      </c>
      <c r="H529" s="1" t="s">
        <v>20</v>
      </c>
      <c r="I529" s="2" t="s">
        <v>21</v>
      </c>
      <c r="J529" s="1" t="s">
        <v>22</v>
      </c>
      <c r="K529" s="1" t="s">
        <v>598</v>
      </c>
      <c r="L529" s="2" t="s">
        <v>47</v>
      </c>
      <c r="M529" s="1" t="s">
        <v>25</v>
      </c>
    </row>
    <row r="530" ht="15.75" customHeight="1">
      <c r="A530" s="2" t="s">
        <v>636</v>
      </c>
      <c r="B530" s="1" t="s">
        <v>41</v>
      </c>
      <c r="C530" s="1" t="s">
        <v>15</v>
      </c>
      <c r="D530" s="2" t="s">
        <v>28</v>
      </c>
      <c r="E530" s="2" t="s">
        <v>21</v>
      </c>
      <c r="F530" s="1" t="s">
        <v>30</v>
      </c>
      <c r="G530" s="1" t="s">
        <v>19</v>
      </c>
      <c r="H530" s="1" t="s">
        <v>20</v>
      </c>
      <c r="I530" s="2" t="s">
        <v>17</v>
      </c>
      <c r="J530" s="1" t="s">
        <v>43</v>
      </c>
      <c r="K530" s="1" t="s">
        <v>598</v>
      </c>
      <c r="L530" s="2" t="s">
        <v>118</v>
      </c>
      <c r="M530" s="1" t="s">
        <v>25</v>
      </c>
    </row>
    <row r="531" ht="15.75" customHeight="1">
      <c r="A531" s="2" t="s">
        <v>637</v>
      </c>
      <c r="B531" s="1" t="s">
        <v>14</v>
      </c>
      <c r="C531" s="1" t="s">
        <v>27</v>
      </c>
      <c r="D531" s="2" t="s">
        <v>76</v>
      </c>
      <c r="E531" s="2" t="s">
        <v>37</v>
      </c>
      <c r="F531" s="1" t="s">
        <v>30</v>
      </c>
      <c r="G531" s="1" t="s">
        <v>36</v>
      </c>
      <c r="H531" s="1" t="s">
        <v>20</v>
      </c>
      <c r="I531" s="2" t="s">
        <v>17</v>
      </c>
      <c r="J531" s="1" t="s">
        <v>69</v>
      </c>
      <c r="K531" s="1" t="s">
        <v>598</v>
      </c>
      <c r="L531" s="2" t="s">
        <v>330</v>
      </c>
      <c r="M531" s="1" t="s">
        <v>20</v>
      </c>
    </row>
    <row r="532" ht="15.75" customHeight="1">
      <c r="A532" s="2" t="s">
        <v>638</v>
      </c>
      <c r="B532" s="1" t="s">
        <v>14</v>
      </c>
      <c r="C532" s="1" t="s">
        <v>27</v>
      </c>
      <c r="D532" s="2" t="s">
        <v>76</v>
      </c>
      <c r="E532" s="2" t="s">
        <v>21</v>
      </c>
      <c r="F532" s="1" t="s">
        <v>30</v>
      </c>
      <c r="G532" s="1" t="s">
        <v>19</v>
      </c>
      <c r="H532" s="1" t="s">
        <v>20</v>
      </c>
      <c r="I532" s="2" t="s">
        <v>17</v>
      </c>
      <c r="J532" s="1" t="s">
        <v>43</v>
      </c>
      <c r="K532" s="1" t="s">
        <v>598</v>
      </c>
      <c r="L532" s="2" t="s">
        <v>245</v>
      </c>
      <c r="M532" s="1" t="s">
        <v>20</v>
      </c>
    </row>
    <row r="533" ht="15.75" customHeight="1">
      <c r="A533" s="2" t="s">
        <v>639</v>
      </c>
      <c r="B533" s="1" t="s">
        <v>41</v>
      </c>
      <c r="C533" s="1" t="s">
        <v>27</v>
      </c>
      <c r="D533" s="2" t="s">
        <v>28</v>
      </c>
      <c r="E533" s="2" t="s">
        <v>21</v>
      </c>
      <c r="F533" s="1" t="s">
        <v>62</v>
      </c>
      <c r="G533" s="1" t="s">
        <v>31</v>
      </c>
      <c r="H533" s="1" t="s">
        <v>20</v>
      </c>
      <c r="I533" s="2" t="s">
        <v>37</v>
      </c>
      <c r="J533" s="1" t="s">
        <v>43</v>
      </c>
      <c r="K533" s="1" t="s">
        <v>598</v>
      </c>
      <c r="L533" s="2" t="s">
        <v>118</v>
      </c>
      <c r="M533" s="1" t="s">
        <v>25</v>
      </c>
    </row>
    <row r="534" ht="15.75" customHeight="1">
      <c r="A534" s="2" t="s">
        <v>640</v>
      </c>
      <c r="B534" s="1" t="s">
        <v>41</v>
      </c>
      <c r="C534" s="1" t="s">
        <v>15</v>
      </c>
      <c r="D534" s="2" t="s">
        <v>76</v>
      </c>
      <c r="E534" s="2" t="s">
        <v>17</v>
      </c>
      <c r="F534" s="1" t="s">
        <v>18</v>
      </c>
      <c r="G534" s="1" t="s">
        <v>36</v>
      </c>
      <c r="H534" s="1" t="s">
        <v>25</v>
      </c>
      <c r="I534" s="2" t="s">
        <v>17</v>
      </c>
      <c r="J534" s="1" t="s">
        <v>22</v>
      </c>
      <c r="K534" s="1" t="s">
        <v>598</v>
      </c>
      <c r="L534" s="2" t="s">
        <v>102</v>
      </c>
      <c r="M534" s="1" t="s">
        <v>20</v>
      </c>
    </row>
    <row r="535" ht="15.75" customHeight="1">
      <c r="A535" s="2" t="s">
        <v>641</v>
      </c>
      <c r="B535" s="1" t="s">
        <v>14</v>
      </c>
      <c r="C535" s="1" t="s">
        <v>27</v>
      </c>
      <c r="D535" s="2" t="s">
        <v>76</v>
      </c>
      <c r="E535" s="2" t="s">
        <v>29</v>
      </c>
      <c r="F535" s="1" t="s">
        <v>18</v>
      </c>
      <c r="G535" s="1" t="s">
        <v>56</v>
      </c>
      <c r="H535" s="1" t="s">
        <v>20</v>
      </c>
      <c r="I535" s="2" t="s">
        <v>37</v>
      </c>
      <c r="J535" s="1" t="s">
        <v>69</v>
      </c>
      <c r="K535" s="1" t="s">
        <v>598</v>
      </c>
      <c r="L535" s="2" t="s">
        <v>128</v>
      </c>
      <c r="M535" s="1" t="s">
        <v>25</v>
      </c>
    </row>
    <row r="536" ht="15.75" customHeight="1">
      <c r="A536" s="2" t="s">
        <v>642</v>
      </c>
      <c r="B536" s="1" t="s">
        <v>14</v>
      </c>
      <c r="C536" s="1" t="s">
        <v>27</v>
      </c>
      <c r="D536" s="2" t="s">
        <v>16</v>
      </c>
      <c r="E536" s="2" t="s">
        <v>57</v>
      </c>
      <c r="F536" s="1" t="s">
        <v>55</v>
      </c>
      <c r="G536" s="1" t="s">
        <v>36</v>
      </c>
      <c r="H536" s="1" t="s">
        <v>20</v>
      </c>
      <c r="I536" s="2" t="s">
        <v>37</v>
      </c>
      <c r="J536" s="1" t="s">
        <v>69</v>
      </c>
      <c r="K536" s="1" t="s">
        <v>598</v>
      </c>
      <c r="L536" s="2" t="s">
        <v>421</v>
      </c>
      <c r="M536" s="1" t="s">
        <v>25</v>
      </c>
    </row>
    <row r="537" ht="15.75" customHeight="1">
      <c r="A537" s="2" t="s">
        <v>643</v>
      </c>
      <c r="B537" s="1" t="s">
        <v>14</v>
      </c>
      <c r="C537" s="1" t="s">
        <v>27</v>
      </c>
      <c r="D537" s="2" t="s">
        <v>272</v>
      </c>
      <c r="E537" s="2" t="s">
        <v>29</v>
      </c>
      <c r="F537" s="1" t="s">
        <v>18</v>
      </c>
      <c r="G537" s="1" t="s">
        <v>19</v>
      </c>
      <c r="H537" s="1" t="s">
        <v>20</v>
      </c>
      <c r="I537" s="2" t="s">
        <v>29</v>
      </c>
      <c r="J537" s="1" t="s">
        <v>69</v>
      </c>
      <c r="K537" s="1" t="s">
        <v>598</v>
      </c>
      <c r="L537" s="2" t="s">
        <v>45</v>
      </c>
      <c r="M537" s="1" t="s">
        <v>25</v>
      </c>
    </row>
    <row r="538" ht="15.75" customHeight="1">
      <c r="A538" s="2" t="s">
        <v>644</v>
      </c>
      <c r="B538" s="1" t="s">
        <v>41</v>
      </c>
      <c r="C538" s="1" t="s">
        <v>15</v>
      </c>
      <c r="D538" s="2" t="s">
        <v>34</v>
      </c>
      <c r="E538" s="2" t="s">
        <v>29</v>
      </c>
      <c r="F538" s="1" t="s">
        <v>18</v>
      </c>
      <c r="G538" s="1" t="s">
        <v>19</v>
      </c>
      <c r="H538" s="1" t="s">
        <v>20</v>
      </c>
      <c r="I538" s="2" t="s">
        <v>17</v>
      </c>
      <c r="J538" s="1" t="s">
        <v>22</v>
      </c>
      <c r="K538" s="1" t="s">
        <v>598</v>
      </c>
      <c r="L538" s="2" t="s">
        <v>45</v>
      </c>
      <c r="M538" s="1" t="s">
        <v>20</v>
      </c>
    </row>
    <row r="539" ht="15.75" customHeight="1">
      <c r="A539" s="2" t="s">
        <v>645</v>
      </c>
      <c r="B539" s="1" t="s">
        <v>14</v>
      </c>
      <c r="C539" s="1" t="s">
        <v>15</v>
      </c>
      <c r="D539" s="2" t="s">
        <v>16</v>
      </c>
      <c r="E539" s="2" t="s">
        <v>17</v>
      </c>
      <c r="F539" s="1" t="s">
        <v>30</v>
      </c>
      <c r="G539" s="1" t="s">
        <v>31</v>
      </c>
      <c r="H539" s="1" t="s">
        <v>20</v>
      </c>
      <c r="I539" s="2" t="s">
        <v>17</v>
      </c>
      <c r="J539" s="1" t="s">
        <v>51</v>
      </c>
      <c r="K539" s="1" t="s">
        <v>598</v>
      </c>
      <c r="L539" s="2" t="s">
        <v>195</v>
      </c>
      <c r="M539" s="1" t="s">
        <v>20</v>
      </c>
    </row>
    <row r="540" ht="15.75" customHeight="1">
      <c r="A540" s="2" t="s">
        <v>646</v>
      </c>
      <c r="B540" s="1" t="s">
        <v>14</v>
      </c>
      <c r="C540" s="1" t="s">
        <v>15</v>
      </c>
      <c r="D540" s="2" t="s">
        <v>34</v>
      </c>
      <c r="E540" s="2" t="s">
        <v>57</v>
      </c>
      <c r="F540" s="1" t="s">
        <v>18</v>
      </c>
      <c r="G540" s="1" t="s">
        <v>56</v>
      </c>
      <c r="H540" s="1" t="s">
        <v>20</v>
      </c>
      <c r="I540" s="2" t="s">
        <v>21</v>
      </c>
      <c r="J540" s="1" t="s">
        <v>22</v>
      </c>
      <c r="K540" s="1" t="s">
        <v>598</v>
      </c>
      <c r="L540" s="2" t="s">
        <v>24</v>
      </c>
      <c r="M540" s="1" t="s">
        <v>25</v>
      </c>
    </row>
    <row r="541" ht="15.75" customHeight="1">
      <c r="A541" s="2" t="s">
        <v>647</v>
      </c>
      <c r="B541" s="1" t="s">
        <v>41</v>
      </c>
      <c r="C541" s="1" t="s">
        <v>15</v>
      </c>
      <c r="D541" s="2" t="s">
        <v>42</v>
      </c>
      <c r="E541" s="2" t="s">
        <v>21</v>
      </c>
      <c r="F541" s="1" t="s">
        <v>18</v>
      </c>
      <c r="G541" s="1" t="s">
        <v>36</v>
      </c>
      <c r="H541" s="1" t="s">
        <v>25</v>
      </c>
      <c r="I541" s="2" t="s">
        <v>17</v>
      </c>
      <c r="J541" s="1" t="s">
        <v>38</v>
      </c>
      <c r="K541" s="1" t="s">
        <v>598</v>
      </c>
      <c r="L541" s="2" t="s">
        <v>153</v>
      </c>
      <c r="M541" s="1" t="s">
        <v>20</v>
      </c>
    </row>
    <row r="542" ht="15.75" customHeight="1">
      <c r="A542" s="2" t="s">
        <v>648</v>
      </c>
      <c r="B542" s="1" t="s">
        <v>41</v>
      </c>
      <c r="C542" s="1" t="s">
        <v>15</v>
      </c>
      <c r="D542" s="2" t="s">
        <v>42</v>
      </c>
      <c r="E542" s="2" t="s">
        <v>29</v>
      </c>
      <c r="F542" s="1" t="s">
        <v>87</v>
      </c>
      <c r="G542" s="1" t="s">
        <v>56</v>
      </c>
      <c r="H542" s="1" t="s">
        <v>20</v>
      </c>
      <c r="I542" s="2" t="s">
        <v>37</v>
      </c>
      <c r="J542" s="1" t="s">
        <v>51</v>
      </c>
      <c r="K542" s="1" t="s">
        <v>598</v>
      </c>
      <c r="L542" s="2" t="s">
        <v>132</v>
      </c>
      <c r="M542" s="1" t="s">
        <v>25</v>
      </c>
    </row>
    <row r="543" ht="15.75" customHeight="1">
      <c r="A543" s="2" t="s">
        <v>649</v>
      </c>
      <c r="B543" s="1" t="s">
        <v>14</v>
      </c>
      <c r="C543" s="1" t="s">
        <v>27</v>
      </c>
      <c r="D543" s="2" t="s">
        <v>272</v>
      </c>
      <c r="E543" s="2" t="s">
        <v>17</v>
      </c>
      <c r="F543" s="1" t="s">
        <v>87</v>
      </c>
      <c r="G543" s="1" t="s">
        <v>19</v>
      </c>
      <c r="H543" s="1" t="s">
        <v>20</v>
      </c>
      <c r="I543" s="2" t="s">
        <v>21</v>
      </c>
      <c r="J543" s="1" t="s">
        <v>51</v>
      </c>
      <c r="K543" s="1" t="s">
        <v>598</v>
      </c>
      <c r="L543" s="2" t="s">
        <v>93</v>
      </c>
      <c r="M543" s="1" t="s">
        <v>25</v>
      </c>
    </row>
    <row r="544" ht="15.75" customHeight="1">
      <c r="A544" s="2" t="s">
        <v>650</v>
      </c>
      <c r="B544" s="1" t="s">
        <v>14</v>
      </c>
      <c r="C544" s="1" t="s">
        <v>27</v>
      </c>
      <c r="D544" s="2" t="s">
        <v>16</v>
      </c>
      <c r="E544" s="2" t="s">
        <v>21</v>
      </c>
      <c r="F544" s="1" t="s">
        <v>55</v>
      </c>
      <c r="G544" s="1" t="s">
        <v>19</v>
      </c>
      <c r="H544" s="1" t="s">
        <v>20</v>
      </c>
      <c r="I544" s="2" t="s">
        <v>37</v>
      </c>
      <c r="J544" s="1" t="s">
        <v>43</v>
      </c>
      <c r="K544" s="1" t="s">
        <v>598</v>
      </c>
      <c r="L544" s="2" t="s">
        <v>97</v>
      </c>
      <c r="M544" s="1" t="s">
        <v>25</v>
      </c>
    </row>
    <row r="545" ht="15.75" customHeight="1">
      <c r="A545" s="2" t="s">
        <v>651</v>
      </c>
      <c r="B545" s="1" t="s">
        <v>14</v>
      </c>
      <c r="C545" s="1" t="s">
        <v>15</v>
      </c>
      <c r="D545" s="2" t="s">
        <v>42</v>
      </c>
      <c r="E545" s="2" t="s">
        <v>37</v>
      </c>
      <c r="F545" s="1" t="s">
        <v>55</v>
      </c>
      <c r="G545" s="1" t="s">
        <v>36</v>
      </c>
      <c r="H545" s="1" t="s">
        <v>20</v>
      </c>
      <c r="I545" s="2" t="s">
        <v>37</v>
      </c>
      <c r="J545" s="1" t="s">
        <v>38</v>
      </c>
      <c r="K545" s="1" t="s">
        <v>598</v>
      </c>
      <c r="L545" s="2" t="s">
        <v>201</v>
      </c>
      <c r="M545" s="1" t="s">
        <v>25</v>
      </c>
    </row>
    <row r="546" ht="15.75" customHeight="1">
      <c r="A546" s="2" t="s">
        <v>652</v>
      </c>
      <c r="B546" s="1" t="s">
        <v>41</v>
      </c>
      <c r="C546" s="1" t="s">
        <v>27</v>
      </c>
      <c r="D546" s="2" t="s">
        <v>161</v>
      </c>
      <c r="E546" s="2" t="s">
        <v>37</v>
      </c>
      <c r="F546" s="1" t="s">
        <v>18</v>
      </c>
      <c r="G546" s="1" t="s">
        <v>56</v>
      </c>
      <c r="H546" s="1" t="s">
        <v>25</v>
      </c>
      <c r="I546" s="2" t="s">
        <v>57</v>
      </c>
      <c r="J546" s="1" t="s">
        <v>51</v>
      </c>
      <c r="K546" s="1" t="s">
        <v>598</v>
      </c>
      <c r="L546" s="2" t="s">
        <v>100</v>
      </c>
      <c r="M546" s="1" t="s">
        <v>25</v>
      </c>
    </row>
    <row r="547" ht="15.75" customHeight="1">
      <c r="A547" s="2" t="s">
        <v>653</v>
      </c>
      <c r="B547" s="1" t="s">
        <v>41</v>
      </c>
      <c r="C547" s="1" t="s">
        <v>27</v>
      </c>
      <c r="D547" s="2" t="s">
        <v>76</v>
      </c>
      <c r="E547" s="2" t="s">
        <v>21</v>
      </c>
      <c r="F547" s="1" t="s">
        <v>30</v>
      </c>
      <c r="G547" s="1" t="s">
        <v>19</v>
      </c>
      <c r="H547" s="1" t="s">
        <v>25</v>
      </c>
      <c r="I547" s="2" t="s">
        <v>37</v>
      </c>
      <c r="J547" s="1" t="s">
        <v>51</v>
      </c>
      <c r="K547" s="1" t="s">
        <v>598</v>
      </c>
      <c r="L547" s="2" t="s">
        <v>97</v>
      </c>
      <c r="M547" s="1" t="s">
        <v>25</v>
      </c>
    </row>
    <row r="548" ht="15.75" customHeight="1">
      <c r="A548" s="2" t="s">
        <v>654</v>
      </c>
      <c r="B548" s="1" t="s">
        <v>14</v>
      </c>
      <c r="C548" s="1" t="s">
        <v>27</v>
      </c>
      <c r="D548" s="2" t="s">
        <v>76</v>
      </c>
      <c r="E548" s="2" t="s">
        <v>57</v>
      </c>
      <c r="F548" s="1" t="s">
        <v>18</v>
      </c>
      <c r="G548" s="1" t="s">
        <v>36</v>
      </c>
      <c r="H548" s="1" t="s">
        <v>20</v>
      </c>
      <c r="I548" s="2" t="s">
        <v>37</v>
      </c>
      <c r="J548" s="1" t="s">
        <v>38</v>
      </c>
      <c r="K548" s="1" t="s">
        <v>598</v>
      </c>
      <c r="L548" s="2" t="s">
        <v>32</v>
      </c>
      <c r="M548" s="1" t="s">
        <v>20</v>
      </c>
    </row>
    <row r="549" ht="15.75" customHeight="1">
      <c r="A549" s="2" t="s">
        <v>655</v>
      </c>
      <c r="B549" s="1" t="s">
        <v>14</v>
      </c>
      <c r="C549" s="1" t="s">
        <v>27</v>
      </c>
      <c r="D549" s="2" t="s">
        <v>76</v>
      </c>
      <c r="E549" s="2" t="s">
        <v>37</v>
      </c>
      <c r="F549" s="1" t="s">
        <v>55</v>
      </c>
      <c r="G549" s="1" t="s">
        <v>36</v>
      </c>
      <c r="H549" s="1" t="s">
        <v>20</v>
      </c>
      <c r="I549" s="2" t="s">
        <v>37</v>
      </c>
      <c r="J549" s="1" t="s">
        <v>38</v>
      </c>
      <c r="K549" s="1" t="s">
        <v>598</v>
      </c>
      <c r="L549" s="2" t="s">
        <v>72</v>
      </c>
      <c r="M549" s="1" t="s">
        <v>20</v>
      </c>
    </row>
    <row r="550" ht="15.75" customHeight="1">
      <c r="A550" s="2" t="s">
        <v>656</v>
      </c>
      <c r="B550" s="1" t="s">
        <v>41</v>
      </c>
      <c r="C550" s="1" t="s">
        <v>15</v>
      </c>
      <c r="D550" s="2" t="s">
        <v>34</v>
      </c>
      <c r="E550" s="2" t="s">
        <v>57</v>
      </c>
      <c r="F550" s="1" t="s">
        <v>87</v>
      </c>
      <c r="G550" s="1" t="s">
        <v>19</v>
      </c>
      <c r="H550" s="1" t="s">
        <v>25</v>
      </c>
      <c r="I550" s="2" t="s">
        <v>21</v>
      </c>
      <c r="J550" s="1" t="s">
        <v>22</v>
      </c>
      <c r="K550" s="1" t="s">
        <v>598</v>
      </c>
      <c r="L550" s="2" t="s">
        <v>125</v>
      </c>
      <c r="M550" s="1" t="s">
        <v>25</v>
      </c>
    </row>
    <row r="551" ht="15.75" customHeight="1">
      <c r="A551" s="2" t="s">
        <v>657</v>
      </c>
      <c r="B551" s="1" t="s">
        <v>14</v>
      </c>
      <c r="C551" s="1" t="s">
        <v>15</v>
      </c>
      <c r="D551" s="2" t="s">
        <v>144</v>
      </c>
      <c r="F551" s="1" t="s">
        <v>18</v>
      </c>
      <c r="G551" s="1" t="s">
        <v>56</v>
      </c>
      <c r="H551" s="1" t="s">
        <v>20</v>
      </c>
      <c r="I551" s="2" t="s">
        <v>29</v>
      </c>
      <c r="J551" s="1" t="s">
        <v>22</v>
      </c>
      <c r="K551" s="1" t="s">
        <v>598</v>
      </c>
      <c r="L551" s="2" t="s">
        <v>77</v>
      </c>
      <c r="M551" s="1" t="s">
        <v>20</v>
      </c>
    </row>
    <row r="552" ht="15.75" customHeight="1">
      <c r="A552" s="2" t="s">
        <v>658</v>
      </c>
      <c r="B552" s="1" t="s">
        <v>41</v>
      </c>
      <c r="C552" s="1" t="s">
        <v>15</v>
      </c>
      <c r="D552" s="2" t="s">
        <v>42</v>
      </c>
      <c r="E552" s="2" t="s">
        <v>21</v>
      </c>
      <c r="F552" s="1" t="s">
        <v>18</v>
      </c>
      <c r="G552" s="1" t="s">
        <v>36</v>
      </c>
      <c r="H552" s="1" t="s">
        <v>25</v>
      </c>
      <c r="I552" s="2" t="s">
        <v>17</v>
      </c>
      <c r="J552" s="1" t="s">
        <v>22</v>
      </c>
      <c r="K552" s="1" t="s">
        <v>44</v>
      </c>
      <c r="L552" s="2" t="s">
        <v>24</v>
      </c>
      <c r="M552" s="1" t="s">
        <v>20</v>
      </c>
    </row>
    <row r="553" ht="15.75" customHeight="1">
      <c r="A553" s="2" t="s">
        <v>659</v>
      </c>
      <c r="B553" s="1" t="s">
        <v>14</v>
      </c>
      <c r="C553" s="1" t="s">
        <v>15</v>
      </c>
      <c r="D553" s="2" t="s">
        <v>272</v>
      </c>
      <c r="E553" s="2" t="s">
        <v>57</v>
      </c>
      <c r="F553" s="1" t="s">
        <v>18</v>
      </c>
      <c r="G553" s="1" t="s">
        <v>56</v>
      </c>
      <c r="H553" s="1" t="s">
        <v>20</v>
      </c>
      <c r="I553" s="2" t="s">
        <v>37</v>
      </c>
      <c r="J553" s="1" t="s">
        <v>69</v>
      </c>
      <c r="K553" s="1" t="s">
        <v>598</v>
      </c>
      <c r="L553" s="2" t="s">
        <v>95</v>
      </c>
      <c r="M553" s="1" t="s">
        <v>25</v>
      </c>
    </row>
    <row r="554" ht="15.75" customHeight="1">
      <c r="A554" s="2" t="s">
        <v>660</v>
      </c>
      <c r="B554" s="1" t="s">
        <v>41</v>
      </c>
      <c r="C554" s="1" t="s">
        <v>27</v>
      </c>
      <c r="D554" s="2" t="s">
        <v>76</v>
      </c>
      <c r="E554" s="2" t="s">
        <v>29</v>
      </c>
      <c r="F554" s="1" t="s">
        <v>55</v>
      </c>
      <c r="G554" s="1" t="s">
        <v>36</v>
      </c>
      <c r="H554" s="1" t="s">
        <v>20</v>
      </c>
      <c r="I554" s="2" t="s">
        <v>37</v>
      </c>
      <c r="J554" s="1" t="s">
        <v>69</v>
      </c>
      <c r="K554" s="1" t="s">
        <v>598</v>
      </c>
      <c r="L554" s="2" t="s">
        <v>66</v>
      </c>
      <c r="M554" s="1" t="s">
        <v>20</v>
      </c>
    </row>
    <row r="555" ht="15.75" customHeight="1">
      <c r="A555" s="2" t="s">
        <v>661</v>
      </c>
      <c r="B555" s="1" t="s">
        <v>14</v>
      </c>
      <c r="C555" s="1" t="s">
        <v>27</v>
      </c>
      <c r="D555" s="2" t="s">
        <v>16</v>
      </c>
      <c r="E555" s="2" t="s">
        <v>29</v>
      </c>
      <c r="F555" s="1" t="s">
        <v>30</v>
      </c>
      <c r="G555" s="1" t="s">
        <v>36</v>
      </c>
      <c r="H555" s="1" t="s">
        <v>25</v>
      </c>
      <c r="I555" s="2" t="s">
        <v>37</v>
      </c>
      <c r="J555" s="1" t="s">
        <v>43</v>
      </c>
      <c r="K555" s="1" t="s">
        <v>598</v>
      </c>
      <c r="L555" s="2" t="s">
        <v>662</v>
      </c>
      <c r="M555" s="1" t="s">
        <v>20</v>
      </c>
    </row>
    <row r="556" ht="15.75" customHeight="1">
      <c r="A556" s="2" t="s">
        <v>663</v>
      </c>
      <c r="B556" s="1" t="s">
        <v>14</v>
      </c>
      <c r="C556" s="1" t="s">
        <v>15</v>
      </c>
      <c r="D556" s="2" t="s">
        <v>76</v>
      </c>
      <c r="E556" s="2" t="s">
        <v>37</v>
      </c>
      <c r="F556" s="1" t="s">
        <v>87</v>
      </c>
      <c r="G556" s="1" t="s">
        <v>36</v>
      </c>
      <c r="H556" s="1" t="s">
        <v>20</v>
      </c>
      <c r="I556" s="2" t="s">
        <v>21</v>
      </c>
      <c r="J556" s="1" t="s">
        <v>38</v>
      </c>
      <c r="K556" s="1" t="s">
        <v>598</v>
      </c>
      <c r="M556" s="1" t="s">
        <v>20</v>
      </c>
    </row>
    <row r="557" ht="15.75" customHeight="1">
      <c r="A557" s="2" t="s">
        <v>664</v>
      </c>
      <c r="B557" s="1" t="s">
        <v>41</v>
      </c>
      <c r="C557" s="1" t="s">
        <v>27</v>
      </c>
      <c r="D557" s="2" t="s">
        <v>272</v>
      </c>
      <c r="E557" s="2" t="s">
        <v>21</v>
      </c>
      <c r="F557" s="1" t="s">
        <v>30</v>
      </c>
      <c r="G557" s="1" t="s">
        <v>19</v>
      </c>
      <c r="H557" s="1" t="s">
        <v>25</v>
      </c>
      <c r="I557" s="2" t="s">
        <v>17</v>
      </c>
      <c r="J557" s="1" t="s">
        <v>38</v>
      </c>
      <c r="K557" s="1" t="s">
        <v>598</v>
      </c>
      <c r="L557" s="2" t="s">
        <v>135</v>
      </c>
      <c r="M557" s="1" t="s">
        <v>20</v>
      </c>
    </row>
    <row r="558" ht="15.75" customHeight="1">
      <c r="A558" s="2" t="s">
        <v>665</v>
      </c>
      <c r="B558" s="1" t="s">
        <v>14</v>
      </c>
      <c r="C558" s="1" t="s">
        <v>27</v>
      </c>
      <c r="D558" s="2" t="s">
        <v>34</v>
      </c>
      <c r="E558" s="2" t="s">
        <v>57</v>
      </c>
      <c r="F558" s="1" t="s">
        <v>18</v>
      </c>
      <c r="G558" s="1" t="s">
        <v>56</v>
      </c>
      <c r="H558" s="1" t="s">
        <v>20</v>
      </c>
      <c r="I558" s="2" t="s">
        <v>21</v>
      </c>
      <c r="J558" s="1" t="s">
        <v>51</v>
      </c>
      <c r="K558" s="1" t="s">
        <v>598</v>
      </c>
      <c r="L558" s="2" t="s">
        <v>24</v>
      </c>
      <c r="M558" s="1" t="s">
        <v>25</v>
      </c>
    </row>
    <row r="559" ht="15.75" customHeight="1">
      <c r="A559" s="2" t="s">
        <v>666</v>
      </c>
      <c r="B559" s="1" t="s">
        <v>14</v>
      </c>
      <c r="C559" s="1" t="s">
        <v>15</v>
      </c>
      <c r="D559" s="2" t="s">
        <v>16</v>
      </c>
      <c r="E559" s="2" t="s">
        <v>29</v>
      </c>
      <c r="F559" s="1" t="s">
        <v>30</v>
      </c>
      <c r="G559" s="1" t="s">
        <v>31</v>
      </c>
      <c r="H559" s="1" t="s">
        <v>20</v>
      </c>
      <c r="I559" s="2" t="s">
        <v>21</v>
      </c>
      <c r="J559" s="1" t="s">
        <v>51</v>
      </c>
      <c r="K559" s="1" t="s">
        <v>598</v>
      </c>
      <c r="L559" s="2" t="s">
        <v>109</v>
      </c>
      <c r="M559" s="1" t="s">
        <v>25</v>
      </c>
    </row>
    <row r="560" ht="15.75" customHeight="1">
      <c r="A560" s="2" t="s">
        <v>667</v>
      </c>
      <c r="B560" s="1" t="s">
        <v>14</v>
      </c>
      <c r="C560" s="1" t="s">
        <v>15</v>
      </c>
      <c r="D560" s="2" t="s">
        <v>272</v>
      </c>
      <c r="E560" s="2" t="s">
        <v>29</v>
      </c>
      <c r="F560" s="1" t="s">
        <v>18</v>
      </c>
      <c r="G560" s="1" t="s">
        <v>19</v>
      </c>
      <c r="H560" s="1" t="s">
        <v>20</v>
      </c>
      <c r="I560" s="2" t="s">
        <v>37</v>
      </c>
      <c r="J560" s="1" t="s">
        <v>22</v>
      </c>
      <c r="K560" s="1" t="s">
        <v>598</v>
      </c>
      <c r="L560" s="2" t="s">
        <v>45</v>
      </c>
      <c r="M560" s="1" t="s">
        <v>25</v>
      </c>
    </row>
    <row r="561" ht="15.75" customHeight="1">
      <c r="A561" s="2" t="s">
        <v>668</v>
      </c>
      <c r="B561" s="1" t="s">
        <v>41</v>
      </c>
      <c r="C561" s="1" t="s">
        <v>15</v>
      </c>
      <c r="D561" s="2" t="s">
        <v>76</v>
      </c>
      <c r="E561" s="2" t="s">
        <v>37</v>
      </c>
      <c r="F561" s="1" t="s">
        <v>18</v>
      </c>
      <c r="G561" s="1" t="s">
        <v>56</v>
      </c>
      <c r="H561" s="1" t="s">
        <v>20</v>
      </c>
      <c r="I561" s="2" t="s">
        <v>21</v>
      </c>
      <c r="J561" s="1" t="s">
        <v>69</v>
      </c>
      <c r="K561" s="1" t="s">
        <v>598</v>
      </c>
      <c r="L561" s="2" t="s">
        <v>63</v>
      </c>
      <c r="M561" s="1" t="s">
        <v>25</v>
      </c>
    </row>
    <row r="562" ht="15.75" customHeight="1">
      <c r="A562" s="2" t="s">
        <v>669</v>
      </c>
      <c r="B562" s="1" t="s">
        <v>14</v>
      </c>
      <c r="C562" s="1" t="s">
        <v>15</v>
      </c>
      <c r="D562" s="2" t="s">
        <v>76</v>
      </c>
      <c r="E562" s="2" t="s">
        <v>21</v>
      </c>
      <c r="F562" s="1" t="s">
        <v>87</v>
      </c>
      <c r="G562" s="1" t="s">
        <v>36</v>
      </c>
      <c r="H562" s="1" t="s">
        <v>20</v>
      </c>
      <c r="I562" s="2" t="s">
        <v>21</v>
      </c>
      <c r="J562" s="1" t="s">
        <v>22</v>
      </c>
      <c r="K562" s="1" t="s">
        <v>598</v>
      </c>
      <c r="L562" s="2" t="s">
        <v>100</v>
      </c>
      <c r="M562" s="1" t="s">
        <v>25</v>
      </c>
    </row>
    <row r="563" ht="15.75" customHeight="1">
      <c r="A563" s="2" t="s">
        <v>670</v>
      </c>
      <c r="B563" s="1" t="s">
        <v>14</v>
      </c>
      <c r="C563" s="1" t="s">
        <v>15</v>
      </c>
      <c r="D563" s="2" t="s">
        <v>61</v>
      </c>
      <c r="E563" s="2" t="s">
        <v>37</v>
      </c>
      <c r="F563" s="1" t="s">
        <v>62</v>
      </c>
      <c r="G563" s="1" t="s">
        <v>31</v>
      </c>
      <c r="H563" s="1" t="s">
        <v>25</v>
      </c>
      <c r="J563" s="1" t="s">
        <v>22</v>
      </c>
      <c r="K563" s="1" t="s">
        <v>598</v>
      </c>
      <c r="L563" s="2" t="s">
        <v>125</v>
      </c>
      <c r="M563" s="1" t="s">
        <v>25</v>
      </c>
    </row>
    <row r="564" ht="15.75" customHeight="1">
      <c r="A564" s="2" t="s">
        <v>671</v>
      </c>
      <c r="B564" s="1" t="s">
        <v>14</v>
      </c>
      <c r="C564" s="1" t="s">
        <v>15</v>
      </c>
      <c r="D564" s="2" t="s">
        <v>42</v>
      </c>
      <c r="E564" s="2" t="s">
        <v>37</v>
      </c>
      <c r="F564" s="1" t="s">
        <v>87</v>
      </c>
      <c r="G564" s="1" t="s">
        <v>36</v>
      </c>
      <c r="H564" s="1" t="s">
        <v>20</v>
      </c>
      <c r="I564" s="2" t="s">
        <v>21</v>
      </c>
      <c r="J564" s="1" t="s">
        <v>38</v>
      </c>
      <c r="K564" s="1" t="s">
        <v>598</v>
      </c>
      <c r="L564" s="2" t="s">
        <v>93</v>
      </c>
      <c r="M564" s="1" t="s">
        <v>20</v>
      </c>
    </row>
    <row r="565" ht="15.75" customHeight="1">
      <c r="A565" s="2" t="s">
        <v>672</v>
      </c>
      <c r="B565" s="1" t="s">
        <v>41</v>
      </c>
      <c r="C565" s="1" t="s">
        <v>15</v>
      </c>
      <c r="D565" s="2" t="s">
        <v>28</v>
      </c>
      <c r="E565" s="2" t="s">
        <v>21</v>
      </c>
      <c r="F565" s="1" t="s">
        <v>30</v>
      </c>
      <c r="G565" s="1" t="s">
        <v>19</v>
      </c>
      <c r="H565" s="1" t="s">
        <v>20</v>
      </c>
      <c r="I565" s="2" t="s">
        <v>17</v>
      </c>
      <c r="J565" s="1" t="s">
        <v>43</v>
      </c>
      <c r="K565" s="1" t="s">
        <v>598</v>
      </c>
      <c r="L565" s="2" t="s">
        <v>118</v>
      </c>
      <c r="M565" s="1" t="s">
        <v>25</v>
      </c>
    </row>
    <row r="566" ht="15.75" customHeight="1">
      <c r="A566" s="2" t="s">
        <v>673</v>
      </c>
      <c r="B566" s="1" t="s">
        <v>41</v>
      </c>
      <c r="C566" s="1" t="s">
        <v>27</v>
      </c>
      <c r="D566" s="2" t="s">
        <v>28</v>
      </c>
      <c r="E566" s="2" t="s">
        <v>21</v>
      </c>
      <c r="F566" s="1" t="s">
        <v>30</v>
      </c>
      <c r="G566" s="1" t="s">
        <v>19</v>
      </c>
      <c r="H566" s="1" t="s">
        <v>20</v>
      </c>
      <c r="I566" s="2" t="s">
        <v>17</v>
      </c>
      <c r="J566" s="1" t="s">
        <v>43</v>
      </c>
      <c r="K566" s="1" t="s">
        <v>598</v>
      </c>
      <c r="L566" s="2" t="s">
        <v>245</v>
      </c>
      <c r="M566" s="1" t="s">
        <v>25</v>
      </c>
    </row>
    <row r="567" ht="15.75" customHeight="1">
      <c r="A567" s="2" t="s">
        <v>674</v>
      </c>
      <c r="B567" s="1" t="s">
        <v>14</v>
      </c>
      <c r="C567" s="1" t="s">
        <v>27</v>
      </c>
      <c r="D567" s="2" t="s">
        <v>16</v>
      </c>
      <c r="E567" s="2" t="s">
        <v>29</v>
      </c>
      <c r="F567" s="1" t="s">
        <v>30</v>
      </c>
      <c r="G567" s="1" t="s">
        <v>36</v>
      </c>
      <c r="H567" s="1" t="s">
        <v>25</v>
      </c>
      <c r="I567" s="2" t="s">
        <v>37</v>
      </c>
      <c r="J567" s="1" t="s">
        <v>43</v>
      </c>
      <c r="K567" s="1" t="s">
        <v>598</v>
      </c>
      <c r="L567" s="2" t="s">
        <v>66</v>
      </c>
      <c r="M567" s="1" t="s">
        <v>20</v>
      </c>
    </row>
    <row r="568" ht="15.75" customHeight="1">
      <c r="A568" s="2" t="s">
        <v>675</v>
      </c>
      <c r="B568" s="1" t="s">
        <v>14</v>
      </c>
      <c r="C568" s="1" t="s">
        <v>15</v>
      </c>
      <c r="D568" s="2" t="s">
        <v>76</v>
      </c>
      <c r="E568" s="2" t="s">
        <v>37</v>
      </c>
      <c r="F568" s="1" t="s">
        <v>87</v>
      </c>
      <c r="G568" s="1" t="s">
        <v>56</v>
      </c>
      <c r="H568" s="1" t="s">
        <v>20</v>
      </c>
      <c r="I568" s="2" t="s">
        <v>37</v>
      </c>
      <c r="J568" s="1" t="s">
        <v>43</v>
      </c>
      <c r="K568" s="1" t="s">
        <v>598</v>
      </c>
      <c r="L568" s="2" t="s">
        <v>337</v>
      </c>
      <c r="M568" s="1" t="s">
        <v>25</v>
      </c>
    </row>
    <row r="569" ht="15.75" customHeight="1">
      <c r="A569" s="2" t="s">
        <v>676</v>
      </c>
      <c r="B569" s="1" t="s">
        <v>14</v>
      </c>
      <c r="C569" s="1" t="s">
        <v>27</v>
      </c>
      <c r="D569" s="2" t="s">
        <v>16</v>
      </c>
      <c r="E569" s="2" t="s">
        <v>17</v>
      </c>
      <c r="F569" s="1" t="s">
        <v>30</v>
      </c>
      <c r="G569" s="1" t="s">
        <v>31</v>
      </c>
      <c r="H569" s="1" t="s">
        <v>20</v>
      </c>
      <c r="I569" s="2" t="s">
        <v>17</v>
      </c>
      <c r="J569" s="1" t="s">
        <v>51</v>
      </c>
      <c r="K569" s="1" t="s">
        <v>598</v>
      </c>
      <c r="L569" s="2" t="s">
        <v>125</v>
      </c>
      <c r="M569" s="1" t="s">
        <v>20</v>
      </c>
    </row>
    <row r="570" ht="15.75" customHeight="1">
      <c r="A570" s="2" t="s">
        <v>677</v>
      </c>
      <c r="B570" s="1" t="s">
        <v>14</v>
      </c>
      <c r="C570" s="1" t="s">
        <v>27</v>
      </c>
      <c r="D570" s="2" t="s">
        <v>42</v>
      </c>
      <c r="E570" s="2" t="s">
        <v>17</v>
      </c>
      <c r="F570" s="1" t="s">
        <v>30</v>
      </c>
      <c r="G570" s="1" t="s">
        <v>19</v>
      </c>
      <c r="H570" s="1" t="s">
        <v>20</v>
      </c>
      <c r="I570" s="2" t="s">
        <v>17</v>
      </c>
      <c r="J570" s="1" t="s">
        <v>38</v>
      </c>
      <c r="K570" s="1" t="s">
        <v>598</v>
      </c>
      <c r="L570" s="2" t="s">
        <v>102</v>
      </c>
      <c r="M570" s="1" t="s">
        <v>20</v>
      </c>
    </row>
    <row r="571" ht="15.75" customHeight="1">
      <c r="A571" s="2" t="s">
        <v>678</v>
      </c>
      <c r="B571" s="1" t="s">
        <v>41</v>
      </c>
      <c r="C571" s="1" t="s">
        <v>27</v>
      </c>
      <c r="D571" s="2" t="s">
        <v>272</v>
      </c>
      <c r="E571" s="2" t="s">
        <v>29</v>
      </c>
      <c r="F571" s="1" t="s">
        <v>87</v>
      </c>
      <c r="G571" s="1" t="s">
        <v>56</v>
      </c>
      <c r="H571" s="1" t="s">
        <v>20</v>
      </c>
      <c r="I571" s="2" t="s">
        <v>37</v>
      </c>
      <c r="J571" s="1" t="s">
        <v>69</v>
      </c>
      <c r="K571" s="1" t="s">
        <v>598</v>
      </c>
      <c r="L571" s="2" t="s">
        <v>403</v>
      </c>
      <c r="M571" s="1" t="s">
        <v>25</v>
      </c>
    </row>
    <row r="572" ht="15.75" customHeight="1">
      <c r="A572" s="2" t="s">
        <v>679</v>
      </c>
      <c r="B572" s="1" t="s">
        <v>14</v>
      </c>
      <c r="C572" s="1" t="s">
        <v>27</v>
      </c>
      <c r="D572" s="2" t="s">
        <v>42</v>
      </c>
      <c r="E572" s="2" t="s">
        <v>29</v>
      </c>
      <c r="F572" s="1" t="s">
        <v>62</v>
      </c>
      <c r="G572" s="1" t="s">
        <v>19</v>
      </c>
      <c r="H572" s="1" t="s">
        <v>20</v>
      </c>
      <c r="I572" s="2" t="s">
        <v>37</v>
      </c>
      <c r="J572" s="1" t="s">
        <v>43</v>
      </c>
      <c r="K572" s="1" t="s">
        <v>598</v>
      </c>
      <c r="L572" s="2" t="s">
        <v>132</v>
      </c>
      <c r="M572" s="1" t="s">
        <v>25</v>
      </c>
    </row>
    <row r="573" ht="15.75" customHeight="1">
      <c r="A573" s="2" t="s">
        <v>680</v>
      </c>
      <c r="B573" s="1" t="s">
        <v>14</v>
      </c>
      <c r="C573" s="1" t="s">
        <v>27</v>
      </c>
      <c r="D573" s="2" t="s">
        <v>16</v>
      </c>
      <c r="E573" s="2" t="s">
        <v>37</v>
      </c>
      <c r="F573" s="1" t="s">
        <v>62</v>
      </c>
      <c r="G573" s="1" t="s">
        <v>19</v>
      </c>
      <c r="H573" s="1" t="s">
        <v>20</v>
      </c>
      <c r="I573" s="2" t="s">
        <v>37</v>
      </c>
      <c r="J573" s="1" t="s">
        <v>38</v>
      </c>
      <c r="K573" s="1" t="s">
        <v>598</v>
      </c>
      <c r="L573" s="2" t="s">
        <v>72</v>
      </c>
      <c r="M573" s="1" t="s">
        <v>25</v>
      </c>
    </row>
    <row r="574" ht="15.75" customHeight="1">
      <c r="A574" s="2" t="s">
        <v>681</v>
      </c>
      <c r="B574" s="1" t="s">
        <v>41</v>
      </c>
      <c r="C574" s="1" t="s">
        <v>27</v>
      </c>
      <c r="D574" s="2" t="s">
        <v>28</v>
      </c>
      <c r="E574" s="2" t="s">
        <v>21</v>
      </c>
      <c r="F574" s="1" t="s">
        <v>55</v>
      </c>
      <c r="G574" s="1" t="s">
        <v>19</v>
      </c>
      <c r="H574" s="1" t="s">
        <v>20</v>
      </c>
      <c r="I574" s="2" t="s">
        <v>37</v>
      </c>
      <c r="J574" s="1" t="s">
        <v>43</v>
      </c>
      <c r="K574" s="1" t="s">
        <v>598</v>
      </c>
      <c r="L574" s="2" t="s">
        <v>116</v>
      </c>
      <c r="M574" s="1" t="s">
        <v>25</v>
      </c>
    </row>
    <row r="575" ht="15.75" customHeight="1">
      <c r="A575" s="2" t="s">
        <v>682</v>
      </c>
      <c r="B575" s="1" t="s">
        <v>14</v>
      </c>
      <c r="C575" s="1" t="s">
        <v>27</v>
      </c>
      <c r="D575" s="2" t="s">
        <v>76</v>
      </c>
      <c r="E575" s="2" t="s">
        <v>29</v>
      </c>
      <c r="F575" s="1" t="s">
        <v>87</v>
      </c>
      <c r="G575" s="1" t="s">
        <v>56</v>
      </c>
      <c r="H575" s="1" t="s">
        <v>20</v>
      </c>
      <c r="I575" s="2" t="s">
        <v>37</v>
      </c>
      <c r="J575" s="1" t="s">
        <v>51</v>
      </c>
      <c r="K575" s="1" t="s">
        <v>598</v>
      </c>
      <c r="L575" s="2" t="s">
        <v>95</v>
      </c>
      <c r="M575" s="1" t="s">
        <v>25</v>
      </c>
    </row>
    <row r="576" ht="15.75" customHeight="1">
      <c r="A576" s="2" t="s">
        <v>683</v>
      </c>
      <c r="B576" s="1" t="s">
        <v>41</v>
      </c>
      <c r="C576" s="1" t="s">
        <v>15</v>
      </c>
      <c r="D576" s="2" t="s">
        <v>34</v>
      </c>
      <c r="E576" s="2" t="s">
        <v>21</v>
      </c>
      <c r="F576" s="1" t="s">
        <v>18</v>
      </c>
      <c r="G576" s="1" t="s">
        <v>56</v>
      </c>
      <c r="H576" s="1" t="s">
        <v>20</v>
      </c>
      <c r="I576" s="2" t="s">
        <v>17</v>
      </c>
      <c r="J576" s="1" t="s">
        <v>51</v>
      </c>
      <c r="K576" s="1" t="s">
        <v>598</v>
      </c>
      <c r="L576" s="2" t="s">
        <v>93</v>
      </c>
      <c r="M576" s="1" t="s">
        <v>20</v>
      </c>
    </row>
    <row r="577" ht="15.75" customHeight="1">
      <c r="A577" s="2" t="s">
        <v>684</v>
      </c>
      <c r="B577" s="1" t="s">
        <v>41</v>
      </c>
      <c r="C577" s="1" t="s">
        <v>27</v>
      </c>
      <c r="D577" s="2" t="s">
        <v>76</v>
      </c>
      <c r="E577" s="2" t="s">
        <v>37</v>
      </c>
      <c r="F577" s="1" t="s">
        <v>30</v>
      </c>
      <c r="G577" s="1" t="s">
        <v>36</v>
      </c>
      <c r="H577" s="1" t="s">
        <v>20</v>
      </c>
      <c r="I577" s="2" t="s">
        <v>17</v>
      </c>
      <c r="J577" s="1" t="s">
        <v>69</v>
      </c>
      <c r="K577" s="1" t="s">
        <v>598</v>
      </c>
      <c r="L577" s="2" t="s">
        <v>91</v>
      </c>
      <c r="M577" s="1" t="s">
        <v>25</v>
      </c>
    </row>
    <row r="578" ht="15.75" customHeight="1">
      <c r="A578" s="2" t="s">
        <v>685</v>
      </c>
      <c r="B578" s="1" t="s">
        <v>41</v>
      </c>
      <c r="C578" s="1" t="s">
        <v>15</v>
      </c>
      <c r="D578" s="2" t="s">
        <v>16</v>
      </c>
      <c r="E578" s="2" t="s">
        <v>21</v>
      </c>
      <c r="F578" s="1" t="s">
        <v>55</v>
      </c>
      <c r="G578" s="1" t="s">
        <v>19</v>
      </c>
      <c r="H578" s="1" t="s">
        <v>20</v>
      </c>
      <c r="I578" s="2" t="s">
        <v>17</v>
      </c>
      <c r="J578" s="1" t="s">
        <v>43</v>
      </c>
      <c r="K578" s="1" t="s">
        <v>598</v>
      </c>
      <c r="L578" s="2" t="s">
        <v>109</v>
      </c>
      <c r="M578" s="1" t="s">
        <v>25</v>
      </c>
    </row>
    <row r="579" ht="15.75" customHeight="1">
      <c r="A579" s="2" t="s">
        <v>686</v>
      </c>
      <c r="B579" s="1" t="s">
        <v>14</v>
      </c>
      <c r="C579" s="1" t="s">
        <v>27</v>
      </c>
      <c r="D579" s="2" t="s">
        <v>161</v>
      </c>
      <c r="E579" s="2" t="s">
        <v>17</v>
      </c>
      <c r="F579" s="1" t="s">
        <v>18</v>
      </c>
      <c r="G579" s="1" t="s">
        <v>56</v>
      </c>
      <c r="H579" s="1" t="s">
        <v>20</v>
      </c>
      <c r="I579" s="2" t="s">
        <v>57</v>
      </c>
      <c r="J579" s="1" t="s">
        <v>22</v>
      </c>
      <c r="K579" s="1" t="s">
        <v>598</v>
      </c>
      <c r="L579" s="2" t="s">
        <v>79</v>
      </c>
      <c r="M579" s="1" t="s">
        <v>25</v>
      </c>
    </row>
    <row r="580" ht="15.75" customHeight="1">
      <c r="A580" s="2" t="s">
        <v>687</v>
      </c>
      <c r="B580" s="1" t="s">
        <v>14</v>
      </c>
      <c r="C580" s="1" t="s">
        <v>27</v>
      </c>
      <c r="D580" s="2" t="s">
        <v>76</v>
      </c>
      <c r="E580" s="2" t="s">
        <v>57</v>
      </c>
      <c r="F580" s="1" t="s">
        <v>18</v>
      </c>
      <c r="G580" s="1" t="s">
        <v>56</v>
      </c>
      <c r="H580" s="1" t="s">
        <v>20</v>
      </c>
      <c r="I580" s="2" t="s">
        <v>37</v>
      </c>
      <c r="J580" s="1" t="s">
        <v>38</v>
      </c>
      <c r="K580" s="1" t="s">
        <v>598</v>
      </c>
      <c r="L580" s="2" t="s">
        <v>81</v>
      </c>
      <c r="M580" s="1" t="s">
        <v>25</v>
      </c>
    </row>
    <row r="581" ht="15.75" customHeight="1">
      <c r="A581" s="2" t="s">
        <v>688</v>
      </c>
      <c r="B581" s="1" t="s">
        <v>41</v>
      </c>
      <c r="C581" s="1" t="s">
        <v>15</v>
      </c>
      <c r="D581" s="2" t="s">
        <v>16</v>
      </c>
      <c r="E581" s="2" t="s">
        <v>29</v>
      </c>
      <c r="F581" s="1" t="s">
        <v>30</v>
      </c>
      <c r="G581" s="1" t="s">
        <v>31</v>
      </c>
      <c r="H581" s="1" t="s">
        <v>25</v>
      </c>
      <c r="I581" s="2" t="s">
        <v>37</v>
      </c>
      <c r="J581" s="1" t="s">
        <v>22</v>
      </c>
      <c r="K581" s="1" t="s">
        <v>598</v>
      </c>
      <c r="L581" s="2" t="s">
        <v>104</v>
      </c>
      <c r="M581" s="1" t="s">
        <v>25</v>
      </c>
    </row>
    <row r="582" ht="15.75" customHeight="1">
      <c r="A582" s="2" t="s">
        <v>689</v>
      </c>
      <c r="B582" s="1" t="s">
        <v>14</v>
      </c>
      <c r="C582" s="1" t="s">
        <v>15</v>
      </c>
      <c r="D582" s="2" t="s">
        <v>76</v>
      </c>
      <c r="E582" s="2" t="s">
        <v>29</v>
      </c>
      <c r="F582" s="1" t="s">
        <v>87</v>
      </c>
      <c r="G582" s="1" t="s">
        <v>56</v>
      </c>
      <c r="H582" s="1" t="s">
        <v>20</v>
      </c>
      <c r="I582" s="2" t="s">
        <v>37</v>
      </c>
      <c r="J582" s="1" t="s">
        <v>69</v>
      </c>
      <c r="K582" s="1" t="s">
        <v>598</v>
      </c>
      <c r="L582" s="2" t="s">
        <v>403</v>
      </c>
      <c r="M582" s="1" t="s">
        <v>25</v>
      </c>
    </row>
    <row r="583" ht="15.75" customHeight="1">
      <c r="A583" s="2" t="s">
        <v>690</v>
      </c>
      <c r="B583" s="1" t="s">
        <v>14</v>
      </c>
      <c r="C583" s="1" t="s">
        <v>27</v>
      </c>
      <c r="D583" s="2" t="s">
        <v>16</v>
      </c>
      <c r="E583" s="2" t="s">
        <v>21</v>
      </c>
      <c r="F583" s="1" t="s">
        <v>30</v>
      </c>
      <c r="G583" s="1" t="s">
        <v>19</v>
      </c>
      <c r="H583" s="1" t="s">
        <v>20</v>
      </c>
      <c r="I583" s="2" t="s">
        <v>17</v>
      </c>
      <c r="J583" s="1" t="s">
        <v>43</v>
      </c>
      <c r="K583" s="1" t="s">
        <v>598</v>
      </c>
      <c r="L583" s="2" t="s">
        <v>118</v>
      </c>
      <c r="M583" s="1" t="s">
        <v>25</v>
      </c>
    </row>
    <row r="584" ht="15.75" customHeight="1">
      <c r="A584" s="2" t="s">
        <v>691</v>
      </c>
      <c r="B584" s="1" t="s">
        <v>14</v>
      </c>
      <c r="C584" s="1" t="s">
        <v>27</v>
      </c>
      <c r="D584" s="2" t="s">
        <v>34</v>
      </c>
      <c r="E584" s="2" t="s">
        <v>57</v>
      </c>
      <c r="F584" s="1" t="s">
        <v>87</v>
      </c>
      <c r="G584" s="1" t="s">
        <v>19</v>
      </c>
      <c r="H584" s="1" t="s">
        <v>20</v>
      </c>
      <c r="I584" s="2" t="s">
        <v>21</v>
      </c>
      <c r="J584" s="1" t="s">
        <v>51</v>
      </c>
      <c r="K584" s="1" t="s">
        <v>598</v>
      </c>
      <c r="L584" s="2" t="s">
        <v>83</v>
      </c>
      <c r="M584" s="1" t="s">
        <v>25</v>
      </c>
    </row>
    <row r="585" ht="15.75" customHeight="1">
      <c r="A585" s="2" t="s">
        <v>692</v>
      </c>
      <c r="B585" s="1" t="s">
        <v>14</v>
      </c>
      <c r="C585" s="1" t="s">
        <v>27</v>
      </c>
      <c r="D585" s="2" t="s">
        <v>76</v>
      </c>
      <c r="E585" s="2" t="s">
        <v>29</v>
      </c>
      <c r="F585" s="1" t="s">
        <v>18</v>
      </c>
      <c r="G585" s="1" t="s">
        <v>56</v>
      </c>
      <c r="H585" s="1" t="s">
        <v>20</v>
      </c>
      <c r="I585" s="2" t="s">
        <v>37</v>
      </c>
      <c r="J585" s="1" t="s">
        <v>69</v>
      </c>
      <c r="K585" s="1" t="s">
        <v>598</v>
      </c>
      <c r="L585" s="2" t="s">
        <v>128</v>
      </c>
      <c r="M585" s="1" t="s">
        <v>25</v>
      </c>
    </row>
    <row r="586" ht="15.75" customHeight="1">
      <c r="A586" s="2" t="s">
        <v>693</v>
      </c>
      <c r="B586" s="1" t="s">
        <v>41</v>
      </c>
      <c r="C586" s="1" t="s">
        <v>27</v>
      </c>
      <c r="D586" s="2" t="s">
        <v>42</v>
      </c>
      <c r="E586" s="2" t="s">
        <v>37</v>
      </c>
      <c r="F586" s="1" t="s">
        <v>18</v>
      </c>
      <c r="G586" s="1" t="s">
        <v>19</v>
      </c>
      <c r="H586" s="1" t="s">
        <v>25</v>
      </c>
      <c r="I586" s="2" t="s">
        <v>17</v>
      </c>
      <c r="J586" s="1" t="s">
        <v>22</v>
      </c>
      <c r="K586" s="1" t="s">
        <v>598</v>
      </c>
      <c r="L586" s="2" t="s">
        <v>153</v>
      </c>
      <c r="M586" s="1" t="s">
        <v>20</v>
      </c>
    </row>
    <row r="587" ht="15.75" customHeight="1">
      <c r="A587" s="2" t="s">
        <v>694</v>
      </c>
      <c r="B587" s="1" t="s">
        <v>41</v>
      </c>
      <c r="C587" s="1" t="s">
        <v>27</v>
      </c>
      <c r="D587" s="2" t="s">
        <v>161</v>
      </c>
      <c r="E587" s="2" t="s">
        <v>37</v>
      </c>
      <c r="F587" s="1" t="s">
        <v>18</v>
      </c>
      <c r="G587" s="1" t="s">
        <v>56</v>
      </c>
      <c r="H587" s="1" t="s">
        <v>25</v>
      </c>
      <c r="I587" s="2" t="s">
        <v>29</v>
      </c>
      <c r="J587" s="1" t="s">
        <v>22</v>
      </c>
      <c r="K587" s="1" t="s">
        <v>598</v>
      </c>
      <c r="L587" s="2" t="s">
        <v>135</v>
      </c>
      <c r="M587" s="1" t="s">
        <v>20</v>
      </c>
    </row>
    <row r="588" ht="15.75" customHeight="1">
      <c r="A588" s="2" t="s">
        <v>695</v>
      </c>
      <c r="B588" s="1" t="s">
        <v>14</v>
      </c>
      <c r="C588" s="1" t="s">
        <v>27</v>
      </c>
      <c r="D588" s="2" t="s">
        <v>76</v>
      </c>
      <c r="E588" s="2" t="s">
        <v>37</v>
      </c>
      <c r="F588" s="1" t="s">
        <v>55</v>
      </c>
      <c r="G588" s="1" t="s">
        <v>36</v>
      </c>
      <c r="H588" s="1" t="s">
        <v>25</v>
      </c>
      <c r="I588" s="2" t="s">
        <v>37</v>
      </c>
      <c r="J588" s="1" t="s">
        <v>51</v>
      </c>
      <c r="K588" s="1" t="s">
        <v>598</v>
      </c>
      <c r="L588" s="2" t="s">
        <v>178</v>
      </c>
      <c r="M588" s="1" t="s">
        <v>25</v>
      </c>
    </row>
    <row r="589" ht="15.75" customHeight="1">
      <c r="A589" s="2" t="s">
        <v>696</v>
      </c>
      <c r="B589" s="1" t="s">
        <v>14</v>
      </c>
      <c r="C589" s="1" t="s">
        <v>15</v>
      </c>
      <c r="D589" s="2" t="s">
        <v>144</v>
      </c>
      <c r="E589" s="2" t="s">
        <v>21</v>
      </c>
      <c r="F589" s="1" t="s">
        <v>87</v>
      </c>
      <c r="G589" s="1" t="s">
        <v>56</v>
      </c>
      <c r="H589" s="1" t="s">
        <v>20</v>
      </c>
      <c r="I589" s="2" t="s">
        <v>29</v>
      </c>
      <c r="J589" s="1" t="s">
        <v>51</v>
      </c>
      <c r="K589" s="1" t="s">
        <v>598</v>
      </c>
      <c r="L589" s="2" t="s">
        <v>100</v>
      </c>
      <c r="M589" s="1" t="s">
        <v>25</v>
      </c>
    </row>
    <row r="590" ht="15.75" customHeight="1">
      <c r="A590" s="2" t="s">
        <v>697</v>
      </c>
      <c r="B590" s="1" t="s">
        <v>14</v>
      </c>
      <c r="C590" s="1" t="s">
        <v>15</v>
      </c>
      <c r="D590" s="2" t="s">
        <v>68</v>
      </c>
      <c r="E590" s="2" t="s">
        <v>37</v>
      </c>
      <c r="F590" s="1" t="s">
        <v>55</v>
      </c>
      <c r="G590" s="1" t="s">
        <v>36</v>
      </c>
      <c r="H590" s="1" t="s">
        <v>20</v>
      </c>
      <c r="I590" s="2" t="s">
        <v>17</v>
      </c>
      <c r="J590" s="1" t="s">
        <v>69</v>
      </c>
      <c r="K590" s="1" t="s">
        <v>598</v>
      </c>
      <c r="L590" s="2" t="s">
        <v>178</v>
      </c>
      <c r="M590" s="1" t="s">
        <v>20</v>
      </c>
    </row>
    <row r="591" ht="15.75" customHeight="1">
      <c r="A591" s="2" t="s">
        <v>698</v>
      </c>
      <c r="B591" s="1" t="s">
        <v>41</v>
      </c>
      <c r="C591" s="1" t="s">
        <v>27</v>
      </c>
      <c r="D591" s="2" t="s">
        <v>76</v>
      </c>
      <c r="E591" s="2" t="s">
        <v>37</v>
      </c>
      <c r="F591" s="1" t="s">
        <v>18</v>
      </c>
      <c r="G591" s="1" t="s">
        <v>56</v>
      </c>
      <c r="H591" s="1" t="s">
        <v>20</v>
      </c>
      <c r="I591" s="2" t="s">
        <v>21</v>
      </c>
      <c r="J591" s="1" t="s">
        <v>69</v>
      </c>
      <c r="K591" s="1" t="s">
        <v>598</v>
      </c>
      <c r="L591" s="2" t="s">
        <v>330</v>
      </c>
      <c r="M591" s="1" t="s">
        <v>25</v>
      </c>
    </row>
    <row r="592" ht="15.75" customHeight="1">
      <c r="A592" s="2" t="s">
        <v>699</v>
      </c>
      <c r="B592" s="1" t="s">
        <v>14</v>
      </c>
      <c r="C592" s="1" t="s">
        <v>15</v>
      </c>
      <c r="D592" s="2" t="s">
        <v>76</v>
      </c>
      <c r="E592" s="2" t="s">
        <v>17</v>
      </c>
      <c r="F592" s="1" t="s">
        <v>87</v>
      </c>
      <c r="G592" s="1" t="s">
        <v>36</v>
      </c>
      <c r="H592" s="1" t="s">
        <v>25</v>
      </c>
      <c r="I592" s="2" t="s">
        <v>21</v>
      </c>
      <c r="J592" s="1" t="s">
        <v>22</v>
      </c>
      <c r="K592" s="1" t="s">
        <v>598</v>
      </c>
      <c r="L592" s="2" t="s">
        <v>74</v>
      </c>
      <c r="M592" s="1" t="s">
        <v>20</v>
      </c>
    </row>
    <row r="593" ht="15.75" customHeight="1">
      <c r="A593" s="2" t="s">
        <v>700</v>
      </c>
      <c r="B593" s="1" t="s">
        <v>14</v>
      </c>
      <c r="C593" s="1" t="s">
        <v>27</v>
      </c>
      <c r="D593" s="2" t="s">
        <v>16</v>
      </c>
      <c r="E593" s="2" t="s">
        <v>57</v>
      </c>
      <c r="F593" s="1" t="s">
        <v>55</v>
      </c>
      <c r="G593" s="1" t="s">
        <v>36</v>
      </c>
      <c r="H593" s="1" t="s">
        <v>25</v>
      </c>
      <c r="I593" s="2" t="s">
        <v>37</v>
      </c>
      <c r="J593" s="1" t="s">
        <v>69</v>
      </c>
      <c r="K593" s="1" t="s">
        <v>598</v>
      </c>
      <c r="L593" s="2" t="s">
        <v>145</v>
      </c>
      <c r="M593" s="1" t="s">
        <v>20</v>
      </c>
    </row>
    <row r="594" ht="15.75" customHeight="1">
      <c r="A594" s="2" t="s">
        <v>701</v>
      </c>
      <c r="B594" s="1" t="s">
        <v>41</v>
      </c>
      <c r="C594" s="1" t="s">
        <v>15</v>
      </c>
      <c r="D594" s="2" t="s">
        <v>34</v>
      </c>
      <c r="E594" s="2" t="s">
        <v>35</v>
      </c>
      <c r="F594" s="1" t="s">
        <v>30</v>
      </c>
      <c r="G594" s="1" t="s">
        <v>36</v>
      </c>
      <c r="H594" s="1" t="s">
        <v>20</v>
      </c>
      <c r="I594" s="2" t="s">
        <v>37</v>
      </c>
      <c r="J594" s="1" t="s">
        <v>43</v>
      </c>
      <c r="K594" s="1" t="s">
        <v>598</v>
      </c>
      <c r="L594" s="2" t="s">
        <v>102</v>
      </c>
      <c r="M594" s="1" t="s">
        <v>25</v>
      </c>
    </row>
    <row r="595" ht="15.75" customHeight="1">
      <c r="A595" s="2" t="s">
        <v>702</v>
      </c>
      <c r="B595" s="1" t="s">
        <v>41</v>
      </c>
      <c r="C595" s="1" t="s">
        <v>15</v>
      </c>
      <c r="D595" s="2" t="s">
        <v>42</v>
      </c>
      <c r="E595" s="2" t="s">
        <v>37</v>
      </c>
      <c r="F595" s="1" t="s">
        <v>30</v>
      </c>
      <c r="G595" s="1" t="s">
        <v>36</v>
      </c>
      <c r="H595" s="1" t="s">
        <v>20</v>
      </c>
      <c r="I595" s="2" t="s">
        <v>21</v>
      </c>
      <c r="J595" s="1" t="s">
        <v>43</v>
      </c>
      <c r="K595" s="1" t="s">
        <v>598</v>
      </c>
      <c r="L595" s="2" t="s">
        <v>195</v>
      </c>
      <c r="M595" s="1" t="s">
        <v>20</v>
      </c>
    </row>
    <row r="596" ht="15.75" customHeight="1">
      <c r="A596" s="2" t="s">
        <v>703</v>
      </c>
      <c r="B596" s="1" t="s">
        <v>14</v>
      </c>
      <c r="C596" s="1" t="s">
        <v>27</v>
      </c>
      <c r="D596" s="2" t="s">
        <v>34</v>
      </c>
      <c r="E596" s="2" t="s">
        <v>57</v>
      </c>
      <c r="F596" s="1" t="s">
        <v>87</v>
      </c>
      <c r="G596" s="1" t="s">
        <v>56</v>
      </c>
      <c r="H596" s="1" t="s">
        <v>20</v>
      </c>
      <c r="I596" s="2" t="s">
        <v>37</v>
      </c>
      <c r="J596" s="1" t="s">
        <v>43</v>
      </c>
      <c r="K596" s="1" t="s">
        <v>598</v>
      </c>
      <c r="L596" s="2" t="s">
        <v>337</v>
      </c>
      <c r="M596" s="1" t="s">
        <v>25</v>
      </c>
    </row>
    <row r="597" ht="15.75" customHeight="1">
      <c r="A597" s="2" t="s">
        <v>704</v>
      </c>
      <c r="B597" s="1" t="s">
        <v>41</v>
      </c>
      <c r="C597" s="1" t="s">
        <v>15</v>
      </c>
      <c r="D597" s="2" t="s">
        <v>61</v>
      </c>
      <c r="E597" s="2" t="s">
        <v>29</v>
      </c>
      <c r="F597" s="1" t="s">
        <v>55</v>
      </c>
      <c r="G597" s="1" t="s">
        <v>19</v>
      </c>
      <c r="H597" s="1" t="s">
        <v>20</v>
      </c>
      <c r="I597" s="2" t="s">
        <v>37</v>
      </c>
      <c r="J597" s="1" t="s">
        <v>38</v>
      </c>
      <c r="K597" s="1" t="s">
        <v>598</v>
      </c>
      <c r="L597" s="2" t="s">
        <v>353</v>
      </c>
      <c r="M597" s="1" t="s">
        <v>25</v>
      </c>
    </row>
    <row r="598" ht="15.75" customHeight="1">
      <c r="A598" s="2" t="s">
        <v>705</v>
      </c>
      <c r="B598" s="1" t="s">
        <v>14</v>
      </c>
      <c r="C598" s="1" t="s">
        <v>15</v>
      </c>
      <c r="D598" s="2" t="s">
        <v>68</v>
      </c>
      <c r="E598" s="2" t="s">
        <v>57</v>
      </c>
      <c r="F598" s="1" t="s">
        <v>30</v>
      </c>
      <c r="G598" s="1" t="s">
        <v>36</v>
      </c>
      <c r="H598" s="1" t="s">
        <v>20</v>
      </c>
      <c r="I598" s="2" t="s">
        <v>17</v>
      </c>
      <c r="J598" s="1" t="s">
        <v>51</v>
      </c>
      <c r="K598" s="1" t="s">
        <v>598</v>
      </c>
      <c r="L598" s="2" t="s">
        <v>77</v>
      </c>
      <c r="M598" s="1" t="s">
        <v>25</v>
      </c>
    </row>
    <row r="599" ht="15.75" customHeight="1">
      <c r="A599" s="2" t="s">
        <v>706</v>
      </c>
      <c r="B599" s="1" t="s">
        <v>41</v>
      </c>
      <c r="C599" s="1" t="s">
        <v>27</v>
      </c>
      <c r="D599" s="2" t="s">
        <v>16</v>
      </c>
      <c r="E599" s="2" t="s">
        <v>37</v>
      </c>
      <c r="F599" s="1" t="s">
        <v>55</v>
      </c>
      <c r="G599" s="1" t="s">
        <v>36</v>
      </c>
      <c r="H599" s="1" t="s">
        <v>25</v>
      </c>
      <c r="I599" s="2" t="s">
        <v>17</v>
      </c>
      <c r="J599" s="1" t="s">
        <v>38</v>
      </c>
      <c r="K599" s="1" t="s">
        <v>598</v>
      </c>
      <c r="L599" s="2" t="s">
        <v>63</v>
      </c>
      <c r="M599" s="1" t="s">
        <v>20</v>
      </c>
    </row>
    <row r="600" ht="15.75" customHeight="1">
      <c r="A600" s="2" t="s">
        <v>707</v>
      </c>
      <c r="B600" s="1" t="s">
        <v>14</v>
      </c>
      <c r="C600" s="1" t="s">
        <v>27</v>
      </c>
      <c r="D600" s="2" t="s">
        <v>144</v>
      </c>
      <c r="E600" s="2" t="s">
        <v>17</v>
      </c>
      <c r="F600" s="1" t="s">
        <v>87</v>
      </c>
      <c r="G600" s="1" t="s">
        <v>56</v>
      </c>
      <c r="H600" s="1" t="s">
        <v>20</v>
      </c>
      <c r="I600" s="2" t="s">
        <v>57</v>
      </c>
      <c r="J600" s="1" t="s">
        <v>22</v>
      </c>
      <c r="K600" s="1" t="s">
        <v>598</v>
      </c>
      <c r="L600" s="2" t="s">
        <v>45</v>
      </c>
      <c r="M600" s="1" t="s">
        <v>25</v>
      </c>
    </row>
    <row r="601" ht="15.75" customHeight="1">
      <c r="A601" s="2" t="s">
        <v>708</v>
      </c>
      <c r="B601" s="1" t="s">
        <v>14</v>
      </c>
      <c r="C601" s="1" t="s">
        <v>15</v>
      </c>
      <c r="D601" s="2" t="s">
        <v>76</v>
      </c>
      <c r="E601" s="2" t="s">
        <v>37</v>
      </c>
      <c r="F601" s="1" t="s">
        <v>30</v>
      </c>
      <c r="G601" s="1" t="s">
        <v>36</v>
      </c>
      <c r="H601" s="1" t="s">
        <v>20</v>
      </c>
      <c r="I601" s="2" t="s">
        <v>17</v>
      </c>
      <c r="J601" s="1" t="s">
        <v>38</v>
      </c>
      <c r="K601" s="1" t="s">
        <v>598</v>
      </c>
      <c r="L601" s="2" t="s">
        <v>330</v>
      </c>
      <c r="M601" s="1" t="s">
        <v>20</v>
      </c>
    </row>
    <row r="602" ht="15.75" customHeight="1">
      <c r="A602" s="2" t="s">
        <v>709</v>
      </c>
      <c r="B602" s="1" t="s">
        <v>14</v>
      </c>
      <c r="C602" s="1" t="s">
        <v>27</v>
      </c>
      <c r="D602" s="2" t="s">
        <v>28</v>
      </c>
      <c r="E602" s="2" t="s">
        <v>37</v>
      </c>
      <c r="F602" s="1" t="s">
        <v>55</v>
      </c>
      <c r="G602" s="1" t="s">
        <v>19</v>
      </c>
      <c r="H602" s="1" t="s">
        <v>25</v>
      </c>
      <c r="I602" s="2" t="s">
        <v>37</v>
      </c>
      <c r="J602" s="1" t="s">
        <v>22</v>
      </c>
      <c r="K602" s="1" t="s">
        <v>598</v>
      </c>
      <c r="L602" s="2" t="s">
        <v>195</v>
      </c>
      <c r="M602" s="1" t="s">
        <v>25</v>
      </c>
    </row>
    <row r="603" ht="15.75" customHeight="1">
      <c r="A603" s="2" t="s">
        <v>710</v>
      </c>
      <c r="B603" s="1" t="s">
        <v>41</v>
      </c>
      <c r="D603" s="2" t="s">
        <v>34</v>
      </c>
      <c r="E603" s="2" t="s">
        <v>57</v>
      </c>
      <c r="F603" s="1" t="s">
        <v>30</v>
      </c>
      <c r="G603" s="1" t="s">
        <v>36</v>
      </c>
      <c r="H603" s="1" t="s">
        <v>25</v>
      </c>
      <c r="I603" s="2" t="s">
        <v>37</v>
      </c>
      <c r="J603" s="1" t="s">
        <v>22</v>
      </c>
      <c r="K603" s="1" t="s">
        <v>598</v>
      </c>
      <c r="L603" s="2" t="s">
        <v>32</v>
      </c>
      <c r="M603" s="1" t="s">
        <v>25</v>
      </c>
    </row>
    <row r="604" ht="15.75" customHeight="1">
      <c r="A604" s="2" t="s">
        <v>711</v>
      </c>
      <c r="B604" s="1" t="s">
        <v>41</v>
      </c>
      <c r="C604" s="1" t="s">
        <v>27</v>
      </c>
      <c r="D604" s="2" t="s">
        <v>76</v>
      </c>
      <c r="E604" s="2" t="s">
        <v>37</v>
      </c>
      <c r="F604" s="1" t="s">
        <v>62</v>
      </c>
      <c r="G604" s="1" t="s">
        <v>19</v>
      </c>
      <c r="H604" s="1" t="s">
        <v>20</v>
      </c>
      <c r="I604" s="2" t="s">
        <v>37</v>
      </c>
      <c r="J604" s="1" t="s">
        <v>43</v>
      </c>
      <c r="K604" s="1" t="s">
        <v>598</v>
      </c>
      <c r="L604" s="2" t="s">
        <v>132</v>
      </c>
      <c r="M604" s="1" t="s">
        <v>20</v>
      </c>
    </row>
    <row r="605" ht="15.75" customHeight="1">
      <c r="A605" s="2" t="s">
        <v>61</v>
      </c>
      <c r="B605" s="1" t="s">
        <v>14</v>
      </c>
      <c r="C605" s="1" t="s">
        <v>27</v>
      </c>
      <c r="D605" s="2" t="s">
        <v>76</v>
      </c>
      <c r="E605" s="2" t="s">
        <v>17</v>
      </c>
      <c r="F605" s="1" t="s">
        <v>87</v>
      </c>
      <c r="G605" s="1" t="s">
        <v>36</v>
      </c>
      <c r="H605" s="1" t="s">
        <v>20</v>
      </c>
      <c r="I605" s="2" t="s">
        <v>21</v>
      </c>
      <c r="J605" s="1" t="s">
        <v>22</v>
      </c>
      <c r="K605" s="1" t="s">
        <v>598</v>
      </c>
      <c r="L605" s="2" t="s">
        <v>74</v>
      </c>
      <c r="M605" s="1" t="s">
        <v>20</v>
      </c>
    </row>
    <row r="606" ht="15.75" customHeight="1">
      <c r="A606" s="2" t="s">
        <v>712</v>
      </c>
      <c r="B606" s="1" t="s">
        <v>14</v>
      </c>
      <c r="C606" s="1" t="s">
        <v>27</v>
      </c>
      <c r="D606" s="2" t="s">
        <v>16</v>
      </c>
      <c r="E606" s="2" t="s">
        <v>21</v>
      </c>
      <c r="F606" s="1" t="s">
        <v>55</v>
      </c>
      <c r="G606" s="1" t="s">
        <v>19</v>
      </c>
      <c r="H606" s="1" t="s">
        <v>20</v>
      </c>
      <c r="I606" s="2" t="s">
        <v>37</v>
      </c>
      <c r="J606" s="1" t="s">
        <v>43</v>
      </c>
      <c r="K606" s="1" t="s">
        <v>598</v>
      </c>
      <c r="L606" s="2" t="s">
        <v>245</v>
      </c>
      <c r="M606" s="1" t="s">
        <v>25</v>
      </c>
    </row>
    <row r="607" ht="15.75" customHeight="1">
      <c r="A607" s="2" t="s">
        <v>713</v>
      </c>
      <c r="B607" s="1" t="s">
        <v>41</v>
      </c>
      <c r="C607" s="1" t="s">
        <v>27</v>
      </c>
      <c r="D607" s="2" t="s">
        <v>42</v>
      </c>
      <c r="E607" s="2" t="s">
        <v>29</v>
      </c>
      <c r="F607" s="1" t="s">
        <v>55</v>
      </c>
      <c r="G607" s="1" t="s">
        <v>36</v>
      </c>
      <c r="H607" s="1" t="s">
        <v>20</v>
      </c>
      <c r="I607" s="2" t="s">
        <v>21</v>
      </c>
      <c r="J607" s="1" t="s">
        <v>43</v>
      </c>
      <c r="K607" s="1" t="s">
        <v>598</v>
      </c>
      <c r="L607" s="2" t="s">
        <v>132</v>
      </c>
      <c r="M607" s="1" t="s">
        <v>20</v>
      </c>
    </row>
    <row r="608" ht="15.75" customHeight="1">
      <c r="A608" s="2" t="s">
        <v>714</v>
      </c>
      <c r="B608" s="1" t="s">
        <v>41</v>
      </c>
      <c r="C608" s="1" t="s">
        <v>27</v>
      </c>
      <c r="D608" s="2" t="s">
        <v>16</v>
      </c>
      <c r="E608" s="2" t="s">
        <v>37</v>
      </c>
      <c r="F608" s="1" t="s">
        <v>18</v>
      </c>
      <c r="G608" s="1" t="s">
        <v>19</v>
      </c>
      <c r="H608" s="1" t="s">
        <v>20</v>
      </c>
      <c r="I608" s="2" t="s">
        <v>21</v>
      </c>
      <c r="J608" s="1" t="s">
        <v>38</v>
      </c>
      <c r="K608" s="1" t="s">
        <v>598</v>
      </c>
      <c r="L608" s="2" t="s">
        <v>47</v>
      </c>
      <c r="M608" s="1" t="s">
        <v>25</v>
      </c>
    </row>
    <row r="609" ht="15.75" customHeight="1">
      <c r="A609" s="2" t="s">
        <v>715</v>
      </c>
      <c r="B609" s="1" t="s">
        <v>41</v>
      </c>
      <c r="C609" s="1" t="s">
        <v>15</v>
      </c>
      <c r="D609" s="2" t="s">
        <v>42</v>
      </c>
      <c r="E609" s="2" t="s">
        <v>35</v>
      </c>
      <c r="F609" s="1" t="s">
        <v>87</v>
      </c>
      <c r="G609" s="1" t="s">
        <v>36</v>
      </c>
      <c r="H609" s="1" t="s">
        <v>20</v>
      </c>
      <c r="I609" s="2" t="s">
        <v>29</v>
      </c>
      <c r="J609" s="1" t="s">
        <v>69</v>
      </c>
      <c r="K609" s="1" t="s">
        <v>598</v>
      </c>
      <c r="L609" s="2" t="s">
        <v>130</v>
      </c>
      <c r="M609" s="1" t="s">
        <v>20</v>
      </c>
    </row>
    <row r="610" ht="15.75" customHeight="1">
      <c r="A610" s="2" t="s">
        <v>716</v>
      </c>
      <c r="B610" s="1" t="s">
        <v>14</v>
      </c>
      <c r="C610" s="1" t="s">
        <v>27</v>
      </c>
      <c r="D610" s="2" t="s">
        <v>76</v>
      </c>
      <c r="E610" s="2" t="s">
        <v>29</v>
      </c>
      <c r="F610" s="1" t="s">
        <v>62</v>
      </c>
      <c r="G610" s="1" t="s">
        <v>19</v>
      </c>
      <c r="H610" s="1" t="s">
        <v>20</v>
      </c>
      <c r="I610" s="2" t="s">
        <v>37</v>
      </c>
      <c r="J610" s="1" t="s">
        <v>43</v>
      </c>
      <c r="K610" s="1" t="s">
        <v>598</v>
      </c>
      <c r="L610" s="2" t="s">
        <v>132</v>
      </c>
      <c r="M610" s="1" t="s">
        <v>20</v>
      </c>
    </row>
    <row r="611" ht="15.75" customHeight="1">
      <c r="A611" s="2" t="s">
        <v>717</v>
      </c>
      <c r="B611" s="1" t="s">
        <v>14</v>
      </c>
      <c r="C611" s="1" t="s">
        <v>27</v>
      </c>
      <c r="D611" s="2" t="s">
        <v>42</v>
      </c>
      <c r="E611" s="2" t="s">
        <v>21</v>
      </c>
      <c r="F611" s="1" t="s">
        <v>18</v>
      </c>
      <c r="G611" s="1" t="s">
        <v>36</v>
      </c>
      <c r="H611" s="1" t="s">
        <v>25</v>
      </c>
      <c r="I611" s="2" t="s">
        <v>17</v>
      </c>
      <c r="J611" s="1" t="s">
        <v>22</v>
      </c>
      <c r="K611" s="1" t="s">
        <v>598</v>
      </c>
      <c r="L611" s="2" t="s">
        <v>32</v>
      </c>
      <c r="M611" s="1" t="s">
        <v>25</v>
      </c>
    </row>
    <row r="612" ht="15.75" customHeight="1">
      <c r="A612" s="2" t="s">
        <v>718</v>
      </c>
      <c r="B612" s="1" t="s">
        <v>14</v>
      </c>
      <c r="C612" s="1" t="s">
        <v>27</v>
      </c>
      <c r="D612" s="2" t="s">
        <v>76</v>
      </c>
      <c r="E612" s="2" t="s">
        <v>17</v>
      </c>
      <c r="F612" s="1" t="s">
        <v>30</v>
      </c>
      <c r="G612" s="1" t="s">
        <v>19</v>
      </c>
      <c r="H612" s="1" t="s">
        <v>20</v>
      </c>
      <c r="I612" s="2" t="s">
        <v>17</v>
      </c>
      <c r="J612" s="1" t="s">
        <v>38</v>
      </c>
      <c r="K612" s="1" t="s">
        <v>598</v>
      </c>
      <c r="L612" s="2" t="s">
        <v>102</v>
      </c>
      <c r="M612" s="1" t="s">
        <v>25</v>
      </c>
    </row>
    <row r="613" ht="15.75" customHeight="1">
      <c r="A613" s="2" t="s">
        <v>719</v>
      </c>
      <c r="B613" s="1" t="s">
        <v>14</v>
      </c>
      <c r="C613" s="1" t="s">
        <v>15</v>
      </c>
      <c r="D613" s="2" t="s">
        <v>34</v>
      </c>
      <c r="E613" s="2" t="s">
        <v>21</v>
      </c>
      <c r="F613" s="1" t="s">
        <v>18</v>
      </c>
      <c r="G613" s="1" t="s">
        <v>56</v>
      </c>
      <c r="H613" s="1" t="s">
        <v>20</v>
      </c>
      <c r="I613" s="2" t="s">
        <v>17</v>
      </c>
      <c r="J613" s="1" t="s">
        <v>51</v>
      </c>
      <c r="K613" s="1" t="s">
        <v>598</v>
      </c>
      <c r="L613" s="2" t="s">
        <v>93</v>
      </c>
      <c r="M613" s="1" t="s">
        <v>20</v>
      </c>
    </row>
    <row r="614" ht="15.75" customHeight="1">
      <c r="A614" s="2" t="s">
        <v>720</v>
      </c>
      <c r="B614" s="1" t="s">
        <v>41</v>
      </c>
      <c r="C614" s="1" t="s">
        <v>15</v>
      </c>
      <c r="D614" s="2" t="s">
        <v>28</v>
      </c>
      <c r="E614" s="2" t="s">
        <v>21</v>
      </c>
      <c r="F614" s="1" t="s">
        <v>62</v>
      </c>
      <c r="G614" s="1" t="s">
        <v>31</v>
      </c>
      <c r="H614" s="1" t="s">
        <v>20</v>
      </c>
      <c r="I614" s="2" t="s">
        <v>37</v>
      </c>
      <c r="J614" s="1" t="s">
        <v>43</v>
      </c>
      <c r="K614" s="1" t="s">
        <v>598</v>
      </c>
      <c r="L614" s="2" t="s">
        <v>245</v>
      </c>
      <c r="M614" s="1" t="s">
        <v>25</v>
      </c>
    </row>
    <row r="615" ht="15.75" customHeight="1">
      <c r="A615" s="2" t="s">
        <v>721</v>
      </c>
      <c r="B615" s="1" t="s">
        <v>41</v>
      </c>
      <c r="C615" s="1" t="s">
        <v>27</v>
      </c>
      <c r="D615" s="2" t="s">
        <v>276</v>
      </c>
      <c r="E615" s="2" t="s">
        <v>17</v>
      </c>
      <c r="F615" s="1" t="s">
        <v>30</v>
      </c>
      <c r="G615" s="1" t="s">
        <v>36</v>
      </c>
      <c r="H615" s="1" t="s">
        <v>20</v>
      </c>
      <c r="I615" s="2" t="s">
        <v>57</v>
      </c>
      <c r="J615" s="1" t="s">
        <v>43</v>
      </c>
      <c r="K615" s="1" t="s">
        <v>598</v>
      </c>
      <c r="L615" s="2" t="s">
        <v>77</v>
      </c>
      <c r="M615" s="1" t="s">
        <v>20</v>
      </c>
    </row>
    <row r="616" ht="15.75" customHeight="1">
      <c r="A616" s="2" t="s">
        <v>722</v>
      </c>
      <c r="B616" s="1" t="s">
        <v>14</v>
      </c>
      <c r="C616" s="1" t="s">
        <v>15</v>
      </c>
      <c r="D616" s="2" t="s">
        <v>99</v>
      </c>
      <c r="E616" s="2" t="s">
        <v>29</v>
      </c>
      <c r="F616" s="1" t="s">
        <v>30</v>
      </c>
      <c r="G616" s="1" t="s">
        <v>36</v>
      </c>
      <c r="H616" s="1" t="s">
        <v>20</v>
      </c>
      <c r="I616" s="2" t="s">
        <v>57</v>
      </c>
      <c r="J616" s="1" t="s">
        <v>51</v>
      </c>
      <c r="K616" s="1" t="s">
        <v>598</v>
      </c>
      <c r="L616" s="2" t="s">
        <v>77</v>
      </c>
      <c r="M616" s="1" t="s">
        <v>25</v>
      </c>
    </row>
    <row r="617" ht="15.75" customHeight="1">
      <c r="A617" s="2" t="s">
        <v>723</v>
      </c>
      <c r="B617" s="1" t="s">
        <v>41</v>
      </c>
      <c r="C617" s="1" t="s">
        <v>15</v>
      </c>
      <c r="D617" s="2" t="s">
        <v>76</v>
      </c>
      <c r="E617" s="2" t="s">
        <v>57</v>
      </c>
      <c r="F617" s="1" t="s">
        <v>87</v>
      </c>
      <c r="G617" s="1" t="s">
        <v>19</v>
      </c>
      <c r="H617" s="1" t="s">
        <v>25</v>
      </c>
      <c r="J617" s="1" t="s">
        <v>22</v>
      </c>
      <c r="K617" s="1" t="s">
        <v>598</v>
      </c>
      <c r="L617" s="2" t="s">
        <v>83</v>
      </c>
      <c r="M617" s="1" t="s">
        <v>20</v>
      </c>
    </row>
    <row r="618" ht="15.75" customHeight="1">
      <c r="A618" s="2" t="s">
        <v>724</v>
      </c>
      <c r="B618" s="1" t="s">
        <v>41</v>
      </c>
      <c r="C618" s="1" t="s">
        <v>15</v>
      </c>
      <c r="D618" s="2" t="s">
        <v>34</v>
      </c>
      <c r="E618" s="2" t="s">
        <v>57</v>
      </c>
      <c r="F618" s="1" t="s">
        <v>87</v>
      </c>
      <c r="G618" s="1" t="s">
        <v>19</v>
      </c>
      <c r="H618" s="1" t="s">
        <v>20</v>
      </c>
      <c r="I618" s="2" t="s">
        <v>21</v>
      </c>
      <c r="J618" s="1" t="s">
        <v>51</v>
      </c>
      <c r="K618" s="1" t="s">
        <v>598</v>
      </c>
      <c r="L618" s="2" t="s">
        <v>83</v>
      </c>
      <c r="M618" s="1" t="s">
        <v>25</v>
      </c>
    </row>
    <row r="619" ht="15.75" customHeight="1">
      <c r="A619" s="2" t="s">
        <v>725</v>
      </c>
      <c r="B619" s="1" t="s">
        <v>14</v>
      </c>
      <c r="C619" s="1" t="s">
        <v>27</v>
      </c>
      <c r="D619" s="2" t="s">
        <v>16</v>
      </c>
      <c r="E619" s="2" t="s">
        <v>57</v>
      </c>
      <c r="F619" s="1" t="s">
        <v>55</v>
      </c>
      <c r="G619" s="1" t="s">
        <v>19</v>
      </c>
      <c r="H619" s="1" t="s">
        <v>20</v>
      </c>
      <c r="I619" s="2" t="s">
        <v>37</v>
      </c>
      <c r="J619" s="1" t="s">
        <v>38</v>
      </c>
      <c r="K619" s="1" t="s">
        <v>598</v>
      </c>
      <c r="L619" s="2" t="s">
        <v>102</v>
      </c>
      <c r="M619" s="1" t="s">
        <v>20</v>
      </c>
    </row>
    <row r="620" ht="15.75" customHeight="1">
      <c r="A620" s="2" t="s">
        <v>726</v>
      </c>
      <c r="B620" s="1" t="s">
        <v>41</v>
      </c>
      <c r="C620" s="1" t="s">
        <v>15</v>
      </c>
      <c r="D620" s="2" t="s">
        <v>61</v>
      </c>
      <c r="E620" s="2" t="s">
        <v>29</v>
      </c>
      <c r="F620" s="1" t="s">
        <v>62</v>
      </c>
      <c r="G620" s="1" t="s">
        <v>31</v>
      </c>
      <c r="H620" s="1" t="s">
        <v>25</v>
      </c>
      <c r="I620" s="2" t="s">
        <v>37</v>
      </c>
      <c r="J620" s="1" t="s">
        <v>22</v>
      </c>
      <c r="K620" s="1" t="s">
        <v>598</v>
      </c>
      <c r="L620" s="2" t="s">
        <v>195</v>
      </c>
      <c r="M620" s="1" t="s">
        <v>25</v>
      </c>
    </row>
    <row r="621" ht="15.75" customHeight="1">
      <c r="A621" s="2" t="s">
        <v>727</v>
      </c>
      <c r="B621" s="1" t="s">
        <v>41</v>
      </c>
      <c r="C621" s="1" t="s">
        <v>15</v>
      </c>
      <c r="D621" s="2" t="s">
        <v>16</v>
      </c>
      <c r="E621" s="2" t="s">
        <v>21</v>
      </c>
      <c r="F621" s="1" t="s">
        <v>55</v>
      </c>
      <c r="G621" s="1" t="s">
        <v>19</v>
      </c>
      <c r="H621" s="1" t="s">
        <v>20</v>
      </c>
      <c r="I621" s="2" t="s">
        <v>17</v>
      </c>
      <c r="J621" s="1" t="s">
        <v>43</v>
      </c>
      <c r="K621" s="1" t="s">
        <v>598</v>
      </c>
      <c r="L621" s="2" t="s">
        <v>116</v>
      </c>
      <c r="M621" s="1" t="s">
        <v>25</v>
      </c>
    </row>
    <row r="622" ht="15.75" customHeight="1">
      <c r="A622" s="2" t="s">
        <v>728</v>
      </c>
      <c r="B622" s="1" t="s">
        <v>14</v>
      </c>
      <c r="C622" s="1" t="s">
        <v>15</v>
      </c>
      <c r="D622" s="2" t="s">
        <v>99</v>
      </c>
      <c r="E622" s="2" t="s">
        <v>57</v>
      </c>
      <c r="F622" s="1" t="s">
        <v>30</v>
      </c>
      <c r="G622" s="1" t="s">
        <v>36</v>
      </c>
      <c r="H622" s="1" t="s">
        <v>20</v>
      </c>
      <c r="I622" s="2" t="s">
        <v>57</v>
      </c>
      <c r="J622" s="1" t="s">
        <v>38</v>
      </c>
      <c r="K622" s="1" t="s">
        <v>598</v>
      </c>
      <c r="L622" s="2" t="s">
        <v>45</v>
      </c>
      <c r="M622" s="1" t="s">
        <v>20</v>
      </c>
    </row>
    <row r="623" ht="15.75" customHeight="1">
      <c r="A623" s="2" t="s">
        <v>729</v>
      </c>
      <c r="B623" s="1" t="s">
        <v>14</v>
      </c>
      <c r="C623" s="1" t="s">
        <v>27</v>
      </c>
      <c r="D623" s="2" t="s">
        <v>42</v>
      </c>
      <c r="E623" s="2" t="s">
        <v>57</v>
      </c>
      <c r="F623" s="1" t="s">
        <v>18</v>
      </c>
      <c r="G623" s="1" t="s">
        <v>56</v>
      </c>
      <c r="H623" s="1" t="s">
        <v>20</v>
      </c>
      <c r="I623" s="2" t="s">
        <v>17</v>
      </c>
      <c r="J623" s="1" t="s">
        <v>51</v>
      </c>
      <c r="K623" s="1" t="s">
        <v>598</v>
      </c>
      <c r="L623" s="2" t="s">
        <v>63</v>
      </c>
      <c r="M623" s="1" t="s">
        <v>25</v>
      </c>
    </row>
    <row r="624" ht="15.75" customHeight="1">
      <c r="A624" s="2" t="s">
        <v>730</v>
      </c>
      <c r="B624" s="1" t="s">
        <v>14</v>
      </c>
      <c r="C624" s="1" t="s">
        <v>27</v>
      </c>
      <c r="D624" s="2" t="s">
        <v>76</v>
      </c>
      <c r="E624" s="2" t="s">
        <v>35</v>
      </c>
      <c r="F624" s="1" t="s">
        <v>18</v>
      </c>
      <c r="G624" s="1" t="s">
        <v>36</v>
      </c>
      <c r="H624" s="1" t="s">
        <v>20</v>
      </c>
      <c r="I624" s="2" t="s">
        <v>17</v>
      </c>
      <c r="J624" s="1" t="s">
        <v>38</v>
      </c>
      <c r="K624" s="1" t="s">
        <v>598</v>
      </c>
      <c r="L624" s="2" t="s">
        <v>83</v>
      </c>
      <c r="M624" s="1" t="s">
        <v>25</v>
      </c>
    </row>
    <row r="625" ht="15.75" customHeight="1">
      <c r="A625" s="2" t="s">
        <v>731</v>
      </c>
      <c r="B625" s="1" t="s">
        <v>14</v>
      </c>
      <c r="C625" s="1" t="s">
        <v>15</v>
      </c>
      <c r="D625" s="2" t="s">
        <v>42</v>
      </c>
      <c r="E625" s="2" t="s">
        <v>57</v>
      </c>
      <c r="F625" s="1" t="s">
        <v>30</v>
      </c>
      <c r="G625" s="1" t="s">
        <v>36</v>
      </c>
      <c r="H625" s="1" t="s">
        <v>20</v>
      </c>
      <c r="I625" s="2" t="s">
        <v>17</v>
      </c>
      <c r="J625" s="1" t="s">
        <v>51</v>
      </c>
      <c r="K625" s="1" t="s">
        <v>598</v>
      </c>
      <c r="L625" s="2" t="s">
        <v>72</v>
      </c>
      <c r="M625" s="1" t="s">
        <v>25</v>
      </c>
    </row>
    <row r="626" ht="15.75" customHeight="1">
      <c r="A626" s="2" t="s">
        <v>732</v>
      </c>
      <c r="B626" s="1" t="s">
        <v>41</v>
      </c>
      <c r="C626" s="1" t="s">
        <v>15</v>
      </c>
      <c r="D626" s="2" t="s">
        <v>42</v>
      </c>
      <c r="E626" s="2" t="s">
        <v>21</v>
      </c>
      <c r="F626" s="1" t="s">
        <v>30</v>
      </c>
      <c r="G626" s="1" t="s">
        <v>19</v>
      </c>
      <c r="H626" s="1" t="s">
        <v>25</v>
      </c>
      <c r="I626" s="2" t="s">
        <v>37</v>
      </c>
      <c r="J626" s="1" t="s">
        <v>22</v>
      </c>
      <c r="K626" s="1" t="s">
        <v>598</v>
      </c>
      <c r="L626" s="2" t="s">
        <v>245</v>
      </c>
      <c r="M626" s="1" t="s">
        <v>20</v>
      </c>
    </row>
    <row r="627" ht="15.75" customHeight="1">
      <c r="A627" s="2" t="s">
        <v>733</v>
      </c>
      <c r="B627" s="1" t="s">
        <v>14</v>
      </c>
      <c r="C627" s="1" t="s">
        <v>27</v>
      </c>
      <c r="D627" s="2" t="s">
        <v>76</v>
      </c>
      <c r="E627" s="2" t="s">
        <v>29</v>
      </c>
      <c r="F627" s="1" t="s">
        <v>87</v>
      </c>
      <c r="G627" s="1" t="s">
        <v>56</v>
      </c>
      <c r="H627" s="1" t="s">
        <v>20</v>
      </c>
      <c r="I627" s="2" t="s">
        <v>37</v>
      </c>
      <c r="J627" s="1" t="s">
        <v>51</v>
      </c>
      <c r="K627" s="1" t="s">
        <v>598</v>
      </c>
      <c r="L627" s="2" t="s">
        <v>297</v>
      </c>
      <c r="M627" s="1" t="s">
        <v>25</v>
      </c>
    </row>
    <row r="628" ht="15.75" customHeight="1">
      <c r="A628" s="2" t="s">
        <v>734</v>
      </c>
      <c r="B628" s="1" t="s">
        <v>14</v>
      </c>
      <c r="C628" s="1" t="s">
        <v>15</v>
      </c>
      <c r="D628" s="2" t="s">
        <v>76</v>
      </c>
      <c r="E628" s="2" t="s">
        <v>21</v>
      </c>
      <c r="F628" s="1" t="s">
        <v>30</v>
      </c>
      <c r="G628" s="1" t="s">
        <v>19</v>
      </c>
      <c r="H628" s="1" t="s">
        <v>20</v>
      </c>
      <c r="I628" s="2" t="s">
        <v>37</v>
      </c>
      <c r="J628" s="1" t="s">
        <v>43</v>
      </c>
      <c r="K628" s="1" t="s">
        <v>598</v>
      </c>
      <c r="L628" s="2" t="s">
        <v>97</v>
      </c>
      <c r="M628" s="1" t="s">
        <v>25</v>
      </c>
    </row>
    <row r="629" ht="15.75" customHeight="1">
      <c r="A629" s="2" t="s">
        <v>735</v>
      </c>
      <c r="B629" s="1" t="s">
        <v>14</v>
      </c>
      <c r="C629" s="1" t="s">
        <v>15</v>
      </c>
      <c r="D629" s="2" t="s">
        <v>76</v>
      </c>
      <c r="E629" s="2" t="s">
        <v>29</v>
      </c>
      <c r="F629" s="1" t="s">
        <v>87</v>
      </c>
      <c r="G629" s="1" t="s">
        <v>56</v>
      </c>
      <c r="H629" s="1" t="s">
        <v>20</v>
      </c>
      <c r="I629" s="2" t="s">
        <v>37</v>
      </c>
      <c r="J629" s="1" t="s">
        <v>51</v>
      </c>
      <c r="K629" s="1" t="s">
        <v>598</v>
      </c>
      <c r="L629" s="2" t="s">
        <v>297</v>
      </c>
      <c r="M629" s="1" t="s">
        <v>25</v>
      </c>
    </row>
    <row r="630" ht="15.75" customHeight="1">
      <c r="A630" s="2" t="s">
        <v>736</v>
      </c>
      <c r="B630" s="1" t="s">
        <v>41</v>
      </c>
      <c r="C630" s="1" t="s">
        <v>27</v>
      </c>
      <c r="D630" s="2" t="s">
        <v>34</v>
      </c>
      <c r="E630" s="2" t="s">
        <v>29</v>
      </c>
      <c r="F630" s="1" t="s">
        <v>30</v>
      </c>
      <c r="G630" s="1" t="s">
        <v>36</v>
      </c>
      <c r="H630" s="1" t="s">
        <v>25</v>
      </c>
      <c r="I630" s="2" t="s">
        <v>17</v>
      </c>
      <c r="J630" s="1" t="s">
        <v>51</v>
      </c>
      <c r="K630" s="1" t="s">
        <v>598</v>
      </c>
      <c r="L630" s="2" t="s">
        <v>178</v>
      </c>
      <c r="M630" s="1" t="s">
        <v>20</v>
      </c>
    </row>
    <row r="631" ht="15.75" customHeight="1">
      <c r="A631" s="2" t="s">
        <v>737</v>
      </c>
      <c r="B631" s="1" t="s">
        <v>14</v>
      </c>
      <c r="C631" s="1" t="s">
        <v>15</v>
      </c>
      <c r="D631" s="2" t="s">
        <v>272</v>
      </c>
      <c r="E631" s="2" t="s">
        <v>17</v>
      </c>
      <c r="F631" s="1" t="s">
        <v>87</v>
      </c>
      <c r="G631" s="1" t="s">
        <v>19</v>
      </c>
      <c r="H631" s="1" t="s">
        <v>20</v>
      </c>
      <c r="I631" s="2" t="s">
        <v>21</v>
      </c>
      <c r="J631" s="1" t="s">
        <v>22</v>
      </c>
      <c r="K631" s="1" t="s">
        <v>598</v>
      </c>
      <c r="L631" s="2" t="s">
        <v>74</v>
      </c>
      <c r="M631" s="1" t="s">
        <v>25</v>
      </c>
    </row>
    <row r="632" ht="15.75" customHeight="1">
      <c r="A632" s="2" t="s">
        <v>738</v>
      </c>
      <c r="B632" s="1" t="s">
        <v>14</v>
      </c>
      <c r="C632" s="1" t="s">
        <v>27</v>
      </c>
      <c r="D632" s="2" t="s">
        <v>16</v>
      </c>
      <c r="E632" s="2" t="s">
        <v>21</v>
      </c>
      <c r="F632" s="1" t="s">
        <v>55</v>
      </c>
      <c r="G632" s="1" t="s">
        <v>19</v>
      </c>
      <c r="H632" s="1" t="s">
        <v>25</v>
      </c>
      <c r="I632" s="2" t="s">
        <v>37</v>
      </c>
      <c r="J632" s="1" t="s">
        <v>51</v>
      </c>
      <c r="K632" s="1" t="s">
        <v>598</v>
      </c>
      <c r="L632" s="2" t="s">
        <v>116</v>
      </c>
      <c r="M632" s="1" t="s">
        <v>25</v>
      </c>
    </row>
    <row r="633" ht="15.75" customHeight="1">
      <c r="A633" s="2" t="s">
        <v>739</v>
      </c>
      <c r="B633" s="1" t="s">
        <v>41</v>
      </c>
      <c r="C633" s="1" t="s">
        <v>27</v>
      </c>
      <c r="D633" s="2" t="s">
        <v>42</v>
      </c>
      <c r="E633" s="2" t="s">
        <v>35</v>
      </c>
      <c r="F633" s="1" t="s">
        <v>30</v>
      </c>
      <c r="G633" s="1" t="s">
        <v>36</v>
      </c>
      <c r="H633" s="1" t="s">
        <v>20</v>
      </c>
      <c r="I633" s="2" t="s">
        <v>29</v>
      </c>
      <c r="J633" s="1" t="s">
        <v>38</v>
      </c>
      <c r="K633" s="1" t="s">
        <v>598</v>
      </c>
      <c r="L633" s="2" t="s">
        <v>102</v>
      </c>
      <c r="M633" s="1" t="s">
        <v>25</v>
      </c>
    </row>
    <row r="634" ht="15.75" customHeight="1">
      <c r="A634" s="2" t="s">
        <v>740</v>
      </c>
      <c r="B634" s="1" t="s">
        <v>41</v>
      </c>
      <c r="C634" s="1" t="s">
        <v>15</v>
      </c>
      <c r="D634" s="2" t="s">
        <v>34</v>
      </c>
      <c r="E634" s="2" t="s">
        <v>57</v>
      </c>
      <c r="F634" s="1" t="s">
        <v>87</v>
      </c>
      <c r="G634" s="1" t="s">
        <v>19</v>
      </c>
      <c r="H634" s="1" t="s">
        <v>20</v>
      </c>
      <c r="I634" s="2" t="s">
        <v>21</v>
      </c>
      <c r="J634" s="1" t="s">
        <v>51</v>
      </c>
      <c r="K634" s="1" t="s">
        <v>598</v>
      </c>
      <c r="L634" s="2" t="s">
        <v>125</v>
      </c>
      <c r="M634" s="1" t="s">
        <v>25</v>
      </c>
    </row>
    <row r="635" ht="15.75" customHeight="1">
      <c r="A635" s="2" t="s">
        <v>741</v>
      </c>
      <c r="B635" s="1" t="s">
        <v>14</v>
      </c>
      <c r="C635" s="1" t="s">
        <v>15</v>
      </c>
      <c r="D635" s="2" t="s">
        <v>144</v>
      </c>
      <c r="E635" s="2" t="s">
        <v>17</v>
      </c>
      <c r="F635" s="1" t="s">
        <v>18</v>
      </c>
      <c r="G635" s="1" t="s">
        <v>56</v>
      </c>
      <c r="H635" s="1" t="s">
        <v>20</v>
      </c>
      <c r="I635" s="2" t="s">
        <v>37</v>
      </c>
      <c r="J635" s="1" t="s">
        <v>22</v>
      </c>
      <c r="K635" s="1" t="s">
        <v>598</v>
      </c>
      <c r="L635" s="2" t="s">
        <v>77</v>
      </c>
      <c r="M635" s="1" t="s">
        <v>20</v>
      </c>
    </row>
    <row r="636" ht="15.75" customHeight="1">
      <c r="A636" s="2" t="s">
        <v>742</v>
      </c>
      <c r="B636" s="1" t="s">
        <v>14</v>
      </c>
      <c r="C636" s="1" t="s">
        <v>27</v>
      </c>
      <c r="D636" s="2" t="s">
        <v>76</v>
      </c>
      <c r="E636" s="2" t="s">
        <v>29</v>
      </c>
      <c r="F636" s="1" t="s">
        <v>18</v>
      </c>
      <c r="G636" s="1" t="s">
        <v>56</v>
      </c>
      <c r="H636" s="1" t="s">
        <v>25</v>
      </c>
      <c r="I636" s="2" t="s">
        <v>37</v>
      </c>
      <c r="J636" s="1" t="s">
        <v>51</v>
      </c>
      <c r="K636" s="1" t="s">
        <v>598</v>
      </c>
      <c r="L636" s="2" t="s">
        <v>128</v>
      </c>
      <c r="M636" s="1" t="s">
        <v>25</v>
      </c>
    </row>
    <row r="637" ht="15.75" customHeight="1">
      <c r="A637" s="2" t="s">
        <v>743</v>
      </c>
      <c r="B637" s="1" t="s">
        <v>41</v>
      </c>
      <c r="C637" s="1" t="s">
        <v>15</v>
      </c>
      <c r="D637" s="2" t="s">
        <v>28</v>
      </c>
      <c r="E637" s="2" t="s">
        <v>37</v>
      </c>
      <c r="F637" s="1" t="s">
        <v>55</v>
      </c>
      <c r="G637" s="1" t="s">
        <v>19</v>
      </c>
      <c r="H637" s="1" t="s">
        <v>25</v>
      </c>
      <c r="I637" s="2" t="s">
        <v>37</v>
      </c>
      <c r="J637" s="1" t="s">
        <v>22</v>
      </c>
      <c r="K637" s="1" t="s">
        <v>598</v>
      </c>
      <c r="L637" s="2" t="s">
        <v>195</v>
      </c>
      <c r="M637" s="1" t="s">
        <v>25</v>
      </c>
    </row>
    <row r="638" ht="15.75" customHeight="1">
      <c r="A638" s="2" t="s">
        <v>744</v>
      </c>
      <c r="B638" s="1" t="s">
        <v>41</v>
      </c>
      <c r="C638" s="1" t="s">
        <v>15</v>
      </c>
      <c r="D638" s="2" t="s">
        <v>161</v>
      </c>
      <c r="E638" s="2" t="s">
        <v>57</v>
      </c>
      <c r="F638" s="1" t="s">
        <v>30</v>
      </c>
      <c r="G638" s="1" t="s">
        <v>36</v>
      </c>
      <c r="H638" s="1" t="s">
        <v>20</v>
      </c>
      <c r="I638" s="2" t="s">
        <v>29</v>
      </c>
      <c r="J638" s="1" t="s">
        <v>43</v>
      </c>
      <c r="K638" s="1" t="s">
        <v>598</v>
      </c>
      <c r="L638" s="2" t="s">
        <v>32</v>
      </c>
      <c r="M638" s="1" t="s">
        <v>20</v>
      </c>
    </row>
    <row r="639" ht="15.75" customHeight="1">
      <c r="A639" s="2" t="s">
        <v>745</v>
      </c>
      <c r="B639" s="1" t="s">
        <v>41</v>
      </c>
      <c r="C639" s="1" t="s">
        <v>27</v>
      </c>
      <c r="D639" s="2" t="s">
        <v>16</v>
      </c>
      <c r="E639" s="2" t="s">
        <v>21</v>
      </c>
      <c r="F639" s="1" t="s">
        <v>55</v>
      </c>
      <c r="G639" s="1" t="s">
        <v>19</v>
      </c>
      <c r="H639" s="1" t="s">
        <v>25</v>
      </c>
      <c r="I639" s="2" t="s">
        <v>37</v>
      </c>
      <c r="J639" s="1" t="s">
        <v>51</v>
      </c>
      <c r="K639" s="1" t="s">
        <v>598</v>
      </c>
      <c r="L639" s="2" t="s">
        <v>116</v>
      </c>
      <c r="M639" s="1" t="s">
        <v>25</v>
      </c>
    </row>
    <row r="640" ht="15.75" customHeight="1">
      <c r="A640" s="2" t="s">
        <v>746</v>
      </c>
      <c r="B640" s="1" t="s">
        <v>41</v>
      </c>
      <c r="C640" s="1" t="s">
        <v>27</v>
      </c>
      <c r="D640" s="2" t="s">
        <v>42</v>
      </c>
      <c r="F640" s="1" t="s">
        <v>87</v>
      </c>
      <c r="G640" s="1" t="s">
        <v>56</v>
      </c>
      <c r="H640" s="1" t="s">
        <v>20</v>
      </c>
      <c r="I640" s="2" t="s">
        <v>37</v>
      </c>
      <c r="J640" s="1" t="s">
        <v>43</v>
      </c>
      <c r="K640" s="1" t="s">
        <v>598</v>
      </c>
      <c r="L640" s="2" t="s">
        <v>747</v>
      </c>
      <c r="M640" s="1" t="s">
        <v>20</v>
      </c>
    </row>
    <row r="641" ht="15.75" customHeight="1">
      <c r="A641" s="2" t="s">
        <v>748</v>
      </c>
      <c r="B641" s="1" t="s">
        <v>14</v>
      </c>
      <c r="C641" s="1" t="s">
        <v>27</v>
      </c>
      <c r="D641" s="2" t="s">
        <v>99</v>
      </c>
      <c r="E641" s="2" t="s">
        <v>37</v>
      </c>
      <c r="F641" s="1" t="s">
        <v>87</v>
      </c>
      <c r="G641" s="1" t="s">
        <v>56</v>
      </c>
      <c r="H641" s="1" t="s">
        <v>20</v>
      </c>
      <c r="I641" s="2" t="s">
        <v>29</v>
      </c>
      <c r="J641" s="1" t="s">
        <v>51</v>
      </c>
      <c r="K641" s="1" t="s">
        <v>598</v>
      </c>
      <c r="L641" s="2" t="s">
        <v>122</v>
      </c>
      <c r="M641" s="1" t="s">
        <v>25</v>
      </c>
    </row>
    <row r="642" ht="15.75" customHeight="1">
      <c r="A642" s="2" t="s">
        <v>749</v>
      </c>
      <c r="B642" s="1" t="s">
        <v>14</v>
      </c>
      <c r="C642" s="1" t="s">
        <v>15</v>
      </c>
      <c r="D642" s="2" t="s">
        <v>76</v>
      </c>
      <c r="E642" s="2" t="s">
        <v>37</v>
      </c>
      <c r="F642" s="1" t="s">
        <v>30</v>
      </c>
      <c r="G642" s="1" t="s">
        <v>36</v>
      </c>
      <c r="H642" s="1" t="s">
        <v>20</v>
      </c>
      <c r="I642" s="2" t="s">
        <v>37</v>
      </c>
      <c r="J642" s="1" t="s">
        <v>38</v>
      </c>
      <c r="K642" s="1" t="s">
        <v>598</v>
      </c>
      <c r="L642" s="2" t="s">
        <v>91</v>
      </c>
      <c r="M642" s="1" t="s">
        <v>20</v>
      </c>
    </row>
    <row r="643" ht="15.75" customHeight="1">
      <c r="A643" s="2" t="s">
        <v>750</v>
      </c>
      <c r="B643" s="1" t="s">
        <v>14</v>
      </c>
      <c r="C643" s="1" t="s">
        <v>27</v>
      </c>
      <c r="D643" s="2" t="s">
        <v>272</v>
      </c>
      <c r="E643" s="2" t="s">
        <v>57</v>
      </c>
      <c r="F643" s="1" t="s">
        <v>18</v>
      </c>
      <c r="G643" s="1" t="s">
        <v>56</v>
      </c>
      <c r="H643" s="1" t="s">
        <v>20</v>
      </c>
      <c r="I643" s="2" t="s">
        <v>37</v>
      </c>
      <c r="J643" s="1" t="s">
        <v>69</v>
      </c>
      <c r="K643" s="1" t="s">
        <v>598</v>
      </c>
      <c r="L643" s="2" t="s">
        <v>421</v>
      </c>
      <c r="M643" s="1" t="s">
        <v>25</v>
      </c>
    </row>
    <row r="644" ht="15.75" customHeight="1">
      <c r="A644" s="2" t="s">
        <v>751</v>
      </c>
      <c r="B644" s="1" t="s">
        <v>14</v>
      </c>
      <c r="C644" s="1" t="s">
        <v>15</v>
      </c>
      <c r="D644" s="2" t="s">
        <v>42</v>
      </c>
      <c r="E644" s="2" t="s">
        <v>29</v>
      </c>
      <c r="F644" s="1" t="s">
        <v>30</v>
      </c>
      <c r="G644" s="1" t="s">
        <v>36</v>
      </c>
      <c r="H644" s="1" t="s">
        <v>20</v>
      </c>
      <c r="I644" s="2" t="s">
        <v>37</v>
      </c>
      <c r="J644" s="1" t="s">
        <v>43</v>
      </c>
      <c r="K644" s="1" t="s">
        <v>598</v>
      </c>
      <c r="L644" s="2" t="s">
        <v>52</v>
      </c>
      <c r="M644" s="1" t="s">
        <v>20</v>
      </c>
    </row>
    <row r="645" ht="15.75" customHeight="1">
      <c r="A645" s="2" t="s">
        <v>752</v>
      </c>
      <c r="B645" s="1" t="s">
        <v>14</v>
      </c>
      <c r="C645" s="1" t="s">
        <v>15</v>
      </c>
      <c r="D645" s="2" t="s">
        <v>42</v>
      </c>
      <c r="E645" s="2" t="s">
        <v>29</v>
      </c>
      <c r="F645" s="1" t="s">
        <v>87</v>
      </c>
      <c r="G645" s="1" t="s">
        <v>36</v>
      </c>
      <c r="H645" s="1" t="s">
        <v>20</v>
      </c>
      <c r="I645" s="2" t="s">
        <v>21</v>
      </c>
      <c r="J645" s="1" t="s">
        <v>38</v>
      </c>
      <c r="K645" s="1" t="s">
        <v>598</v>
      </c>
      <c r="L645" s="2" t="s">
        <v>74</v>
      </c>
      <c r="M645" s="1" t="s">
        <v>20</v>
      </c>
    </row>
    <row r="646" ht="15.75" customHeight="1">
      <c r="A646" s="2" t="s">
        <v>753</v>
      </c>
      <c r="B646" s="1" t="s">
        <v>14</v>
      </c>
      <c r="C646" s="1" t="s">
        <v>15</v>
      </c>
      <c r="D646" s="2" t="s">
        <v>76</v>
      </c>
      <c r="E646" s="2" t="s">
        <v>35</v>
      </c>
      <c r="F646" s="1" t="s">
        <v>18</v>
      </c>
      <c r="G646" s="1" t="s">
        <v>19</v>
      </c>
      <c r="H646" s="1" t="s">
        <v>20</v>
      </c>
      <c r="I646" s="2" t="s">
        <v>29</v>
      </c>
      <c r="J646" s="1" t="s">
        <v>69</v>
      </c>
      <c r="K646" s="1" t="s">
        <v>598</v>
      </c>
      <c r="L646" s="2" t="s">
        <v>45</v>
      </c>
      <c r="M646" s="1" t="s">
        <v>25</v>
      </c>
    </row>
    <row r="647" ht="15.75" customHeight="1">
      <c r="A647" s="2" t="s">
        <v>754</v>
      </c>
      <c r="B647" s="1" t="s">
        <v>41</v>
      </c>
      <c r="C647" s="1" t="s">
        <v>15</v>
      </c>
      <c r="D647" s="2" t="s">
        <v>76</v>
      </c>
      <c r="E647" s="2" t="s">
        <v>21</v>
      </c>
      <c r="F647" s="1" t="s">
        <v>87</v>
      </c>
      <c r="G647" s="1" t="s">
        <v>19</v>
      </c>
      <c r="H647" s="1" t="s">
        <v>20</v>
      </c>
      <c r="I647" s="2" t="s">
        <v>21</v>
      </c>
      <c r="J647" s="1" t="s">
        <v>22</v>
      </c>
      <c r="K647" s="1" t="s">
        <v>598</v>
      </c>
      <c r="L647" s="2" t="s">
        <v>135</v>
      </c>
      <c r="M647" s="1" t="s">
        <v>25</v>
      </c>
    </row>
    <row r="648" ht="15.75" customHeight="1">
      <c r="A648" s="2" t="s">
        <v>755</v>
      </c>
      <c r="B648" s="1" t="s">
        <v>41</v>
      </c>
      <c r="C648" s="1" t="s">
        <v>15</v>
      </c>
      <c r="D648" s="2" t="s">
        <v>76</v>
      </c>
      <c r="E648" s="2" t="s">
        <v>57</v>
      </c>
      <c r="F648" s="1" t="s">
        <v>87</v>
      </c>
      <c r="G648" s="1" t="s">
        <v>19</v>
      </c>
      <c r="I648" s="2" t="s">
        <v>21</v>
      </c>
      <c r="J648" s="1" t="s">
        <v>51</v>
      </c>
      <c r="K648" s="1" t="s">
        <v>598</v>
      </c>
      <c r="L648" s="2" t="s">
        <v>83</v>
      </c>
      <c r="M648" s="1" t="s">
        <v>25</v>
      </c>
    </row>
    <row r="649" ht="15.75" customHeight="1">
      <c r="A649" s="2" t="s">
        <v>756</v>
      </c>
      <c r="B649" s="1" t="s">
        <v>41</v>
      </c>
      <c r="C649" s="1" t="s">
        <v>27</v>
      </c>
      <c r="D649" s="2" t="s">
        <v>16</v>
      </c>
      <c r="E649" s="2" t="s">
        <v>21</v>
      </c>
      <c r="F649" s="1" t="s">
        <v>55</v>
      </c>
      <c r="G649" s="1" t="s">
        <v>19</v>
      </c>
      <c r="H649" s="1" t="s">
        <v>20</v>
      </c>
      <c r="I649" s="2" t="s">
        <v>37</v>
      </c>
      <c r="J649" s="1" t="s">
        <v>43</v>
      </c>
      <c r="K649" s="1" t="s">
        <v>598</v>
      </c>
      <c r="L649" s="2" t="s">
        <v>109</v>
      </c>
      <c r="M649" s="1" t="s">
        <v>25</v>
      </c>
    </row>
    <row r="650" ht="15.75" customHeight="1">
      <c r="A650" s="2" t="s">
        <v>757</v>
      </c>
      <c r="B650" s="1" t="s">
        <v>41</v>
      </c>
      <c r="C650" s="1" t="s">
        <v>15</v>
      </c>
      <c r="D650" s="2" t="s">
        <v>42</v>
      </c>
      <c r="E650" s="2" t="s">
        <v>37</v>
      </c>
      <c r="F650" s="1" t="s">
        <v>18</v>
      </c>
      <c r="G650" s="1" t="s">
        <v>56</v>
      </c>
      <c r="H650" s="1" t="s">
        <v>25</v>
      </c>
      <c r="I650" s="2" t="s">
        <v>17</v>
      </c>
      <c r="J650" s="1" t="s">
        <v>38</v>
      </c>
      <c r="K650" s="1" t="s">
        <v>598</v>
      </c>
      <c r="L650" s="2" t="s">
        <v>63</v>
      </c>
      <c r="M650" s="1" t="s">
        <v>20</v>
      </c>
    </row>
    <row r="651" ht="15.75" customHeight="1">
      <c r="A651" s="2" t="s">
        <v>758</v>
      </c>
      <c r="B651" s="1" t="s">
        <v>41</v>
      </c>
      <c r="C651" s="1" t="s">
        <v>15</v>
      </c>
      <c r="D651" s="2" t="s">
        <v>42</v>
      </c>
      <c r="E651" s="2" t="s">
        <v>21</v>
      </c>
      <c r="F651" s="1" t="s">
        <v>18</v>
      </c>
      <c r="G651" s="1" t="s">
        <v>36</v>
      </c>
      <c r="H651" s="1" t="s">
        <v>25</v>
      </c>
      <c r="I651" s="2" t="s">
        <v>17</v>
      </c>
      <c r="J651" s="1" t="s">
        <v>38</v>
      </c>
      <c r="K651" s="1" t="s">
        <v>598</v>
      </c>
      <c r="L651" s="2" t="s">
        <v>79</v>
      </c>
      <c r="M651" s="1" t="s">
        <v>20</v>
      </c>
    </row>
    <row r="652" ht="15.75" customHeight="1">
      <c r="A652" s="2" t="s">
        <v>759</v>
      </c>
      <c r="B652" s="1" t="s">
        <v>41</v>
      </c>
      <c r="C652" s="1" t="s">
        <v>15</v>
      </c>
      <c r="D652" s="2" t="s">
        <v>42</v>
      </c>
      <c r="E652" s="2" t="s">
        <v>35</v>
      </c>
      <c r="F652" s="1" t="s">
        <v>87</v>
      </c>
      <c r="G652" s="1" t="s">
        <v>56</v>
      </c>
      <c r="H652" s="1" t="s">
        <v>20</v>
      </c>
      <c r="I652" s="2" t="s">
        <v>37</v>
      </c>
      <c r="J652" s="1" t="s">
        <v>69</v>
      </c>
      <c r="K652" s="1" t="s">
        <v>598</v>
      </c>
      <c r="L652" s="2" t="s">
        <v>297</v>
      </c>
      <c r="M652" s="1" t="s">
        <v>20</v>
      </c>
    </row>
    <row r="653" ht="15.75" customHeight="1">
      <c r="A653" s="2" t="s">
        <v>760</v>
      </c>
      <c r="B653" s="1" t="s">
        <v>41</v>
      </c>
      <c r="C653" s="1" t="s">
        <v>27</v>
      </c>
      <c r="D653" s="2" t="s">
        <v>76</v>
      </c>
      <c r="E653" s="2" t="s">
        <v>21</v>
      </c>
      <c r="F653" s="1" t="s">
        <v>30</v>
      </c>
      <c r="G653" s="1" t="s">
        <v>36</v>
      </c>
      <c r="H653" s="1" t="s">
        <v>25</v>
      </c>
      <c r="I653" s="2" t="s">
        <v>37</v>
      </c>
      <c r="J653" s="1" t="s">
        <v>51</v>
      </c>
      <c r="K653" s="1" t="s">
        <v>598</v>
      </c>
      <c r="L653" s="2" t="s">
        <v>104</v>
      </c>
      <c r="M653" s="1" t="s">
        <v>20</v>
      </c>
    </row>
    <row r="654" ht="15.75" customHeight="1">
      <c r="A654" s="2" t="s">
        <v>761</v>
      </c>
      <c r="B654" s="1" t="s">
        <v>14</v>
      </c>
      <c r="C654" s="1" t="s">
        <v>27</v>
      </c>
      <c r="D654" s="2" t="s">
        <v>42</v>
      </c>
      <c r="E654" s="2" t="s">
        <v>35</v>
      </c>
      <c r="F654" s="1" t="s">
        <v>30</v>
      </c>
      <c r="G654" s="1" t="s">
        <v>36</v>
      </c>
      <c r="H654" s="1" t="s">
        <v>25</v>
      </c>
      <c r="I654" s="2" t="s">
        <v>29</v>
      </c>
      <c r="J654" s="1" t="s">
        <v>43</v>
      </c>
      <c r="K654" s="1" t="s">
        <v>598</v>
      </c>
      <c r="L654" s="2" t="s">
        <v>77</v>
      </c>
      <c r="M654" s="1" t="s">
        <v>25</v>
      </c>
    </row>
    <row r="655" ht="15.75" customHeight="1">
      <c r="A655" s="2" t="s">
        <v>762</v>
      </c>
      <c r="B655" s="1" t="s">
        <v>41</v>
      </c>
      <c r="C655" s="1" t="s">
        <v>27</v>
      </c>
      <c r="D655" s="2" t="s">
        <v>28</v>
      </c>
      <c r="E655" s="2" t="s">
        <v>21</v>
      </c>
      <c r="F655" s="1" t="s">
        <v>55</v>
      </c>
      <c r="G655" s="1" t="s">
        <v>19</v>
      </c>
      <c r="H655" s="1" t="s">
        <v>25</v>
      </c>
      <c r="I655" s="2" t="s">
        <v>37</v>
      </c>
      <c r="J655" s="1" t="s">
        <v>51</v>
      </c>
      <c r="K655" s="1" t="s">
        <v>598</v>
      </c>
      <c r="L655" s="2" t="s">
        <v>109</v>
      </c>
      <c r="M655" s="1" t="s">
        <v>20</v>
      </c>
    </row>
    <row r="656" ht="15.75" customHeight="1">
      <c r="A656" s="2" t="s">
        <v>763</v>
      </c>
      <c r="B656" s="1" t="s">
        <v>41</v>
      </c>
      <c r="C656" s="1" t="s">
        <v>27</v>
      </c>
      <c r="D656" s="2" t="s">
        <v>16</v>
      </c>
      <c r="E656" s="2" t="s">
        <v>21</v>
      </c>
      <c r="F656" s="1" t="s">
        <v>55</v>
      </c>
      <c r="G656" s="1" t="s">
        <v>19</v>
      </c>
      <c r="H656" s="1" t="s">
        <v>25</v>
      </c>
      <c r="I656" s="2" t="s">
        <v>37</v>
      </c>
      <c r="J656" s="1" t="s">
        <v>51</v>
      </c>
      <c r="K656" s="1" t="s">
        <v>598</v>
      </c>
      <c r="L656" s="2" t="s">
        <v>109</v>
      </c>
      <c r="M656" s="1" t="s">
        <v>20</v>
      </c>
    </row>
    <row r="657" ht="15.75" customHeight="1">
      <c r="A657" s="2" t="s">
        <v>764</v>
      </c>
      <c r="B657" s="1" t="s">
        <v>14</v>
      </c>
      <c r="C657" s="1" t="s">
        <v>15</v>
      </c>
      <c r="D657" s="2" t="s">
        <v>16</v>
      </c>
      <c r="E657" s="2" t="s">
        <v>29</v>
      </c>
      <c r="F657" s="1" t="s">
        <v>30</v>
      </c>
      <c r="G657" s="1" t="s">
        <v>31</v>
      </c>
      <c r="H657" s="1" t="s">
        <v>20</v>
      </c>
      <c r="I657" s="2" t="s">
        <v>17</v>
      </c>
      <c r="J657" s="1" t="s">
        <v>22</v>
      </c>
      <c r="K657" s="1" t="s">
        <v>598</v>
      </c>
      <c r="L657" s="2" t="s">
        <v>109</v>
      </c>
      <c r="M657" s="1" t="s">
        <v>25</v>
      </c>
    </row>
    <row r="658" ht="15.75" customHeight="1">
      <c r="A658" s="2" t="s">
        <v>765</v>
      </c>
      <c r="B658" s="1" t="s">
        <v>14</v>
      </c>
      <c r="C658" s="1" t="s">
        <v>27</v>
      </c>
      <c r="D658" s="2" t="s">
        <v>76</v>
      </c>
      <c r="E658" s="2" t="s">
        <v>37</v>
      </c>
      <c r="F658" s="1" t="s">
        <v>55</v>
      </c>
      <c r="G658" s="1" t="s">
        <v>36</v>
      </c>
      <c r="H658" s="1" t="s">
        <v>25</v>
      </c>
      <c r="I658" s="2" t="s">
        <v>37</v>
      </c>
      <c r="J658" s="1" t="s">
        <v>43</v>
      </c>
      <c r="K658" s="1" t="s">
        <v>598</v>
      </c>
      <c r="L658" s="2" t="s">
        <v>52</v>
      </c>
      <c r="M658" s="1" t="s">
        <v>25</v>
      </c>
    </row>
    <row r="659" ht="15.75" customHeight="1">
      <c r="A659" s="2" t="s">
        <v>766</v>
      </c>
      <c r="B659" s="1" t="s">
        <v>14</v>
      </c>
      <c r="C659" s="1" t="s">
        <v>27</v>
      </c>
      <c r="D659" s="2" t="s">
        <v>42</v>
      </c>
      <c r="E659" s="2" t="s">
        <v>17</v>
      </c>
      <c r="F659" s="1" t="s">
        <v>30</v>
      </c>
      <c r="G659" s="1" t="s">
        <v>19</v>
      </c>
      <c r="H659" s="1" t="s">
        <v>20</v>
      </c>
      <c r="I659" s="2" t="s">
        <v>17</v>
      </c>
      <c r="J659" s="1" t="s">
        <v>22</v>
      </c>
      <c r="K659" s="1" t="s">
        <v>598</v>
      </c>
      <c r="L659" s="2" t="s">
        <v>102</v>
      </c>
      <c r="M659" s="1" t="s">
        <v>25</v>
      </c>
    </row>
    <row r="660" ht="15.75" customHeight="1">
      <c r="A660" s="2" t="s">
        <v>767</v>
      </c>
      <c r="B660" s="1" t="s">
        <v>41</v>
      </c>
      <c r="C660" s="1" t="s">
        <v>27</v>
      </c>
      <c r="D660" s="2" t="s">
        <v>272</v>
      </c>
      <c r="E660" s="2" t="s">
        <v>37</v>
      </c>
      <c r="F660" s="1" t="s">
        <v>18</v>
      </c>
      <c r="G660" s="1" t="s">
        <v>19</v>
      </c>
      <c r="H660" s="1" t="s">
        <v>20</v>
      </c>
      <c r="I660" s="2" t="s">
        <v>17</v>
      </c>
      <c r="J660" s="1" t="s">
        <v>38</v>
      </c>
      <c r="K660" s="1" t="s">
        <v>598</v>
      </c>
      <c r="L660" s="2" t="s">
        <v>79</v>
      </c>
      <c r="M660" s="1" t="s">
        <v>20</v>
      </c>
    </row>
    <row r="661" ht="15.75" customHeight="1">
      <c r="A661" s="2" t="s">
        <v>768</v>
      </c>
      <c r="B661" s="1" t="s">
        <v>41</v>
      </c>
      <c r="C661" s="1" t="s">
        <v>15</v>
      </c>
      <c r="D661" s="2" t="s">
        <v>76</v>
      </c>
      <c r="E661" s="2" t="s">
        <v>57</v>
      </c>
      <c r="F661" s="1" t="s">
        <v>18</v>
      </c>
      <c r="G661" s="1" t="s">
        <v>56</v>
      </c>
      <c r="H661" s="1" t="s">
        <v>20</v>
      </c>
      <c r="I661" s="2" t="s">
        <v>37</v>
      </c>
      <c r="J661" s="1" t="s">
        <v>69</v>
      </c>
      <c r="K661" s="1" t="s">
        <v>598</v>
      </c>
      <c r="L661" s="2" t="s">
        <v>95</v>
      </c>
      <c r="M661" s="1" t="s">
        <v>25</v>
      </c>
    </row>
    <row r="662" ht="15.75" customHeight="1">
      <c r="A662" s="2" t="s">
        <v>769</v>
      </c>
      <c r="B662" s="1" t="s">
        <v>14</v>
      </c>
      <c r="C662" s="1" t="s">
        <v>15</v>
      </c>
      <c r="D662" s="2" t="s">
        <v>76</v>
      </c>
      <c r="E662" s="2" t="s">
        <v>17</v>
      </c>
      <c r="F662" s="1" t="s">
        <v>87</v>
      </c>
      <c r="G662" s="1" t="s">
        <v>36</v>
      </c>
      <c r="H662" s="1" t="s">
        <v>20</v>
      </c>
      <c r="I662" s="2" t="s">
        <v>21</v>
      </c>
      <c r="J662" s="1" t="s">
        <v>38</v>
      </c>
      <c r="K662" s="1" t="s">
        <v>598</v>
      </c>
      <c r="L662" s="2" t="s">
        <v>47</v>
      </c>
      <c r="M662" s="1" t="s">
        <v>20</v>
      </c>
    </row>
    <row r="663" ht="15.75" customHeight="1">
      <c r="A663" s="2" t="s">
        <v>770</v>
      </c>
      <c r="B663" s="1" t="s">
        <v>41</v>
      </c>
      <c r="C663" s="1" t="s">
        <v>27</v>
      </c>
      <c r="D663" s="2" t="s">
        <v>16</v>
      </c>
      <c r="E663" s="2" t="s">
        <v>21</v>
      </c>
      <c r="F663" s="1" t="s">
        <v>55</v>
      </c>
      <c r="G663" s="1" t="s">
        <v>19</v>
      </c>
      <c r="H663" s="1" t="s">
        <v>25</v>
      </c>
      <c r="I663" s="2" t="s">
        <v>37</v>
      </c>
      <c r="J663" s="1" t="s">
        <v>22</v>
      </c>
      <c r="K663" s="1" t="s">
        <v>598</v>
      </c>
      <c r="L663" s="2" t="s">
        <v>118</v>
      </c>
      <c r="M663" s="1" t="s">
        <v>20</v>
      </c>
    </row>
    <row r="664" ht="15.75" customHeight="1">
      <c r="A664" s="2" t="s">
        <v>771</v>
      </c>
      <c r="B664" s="1" t="s">
        <v>41</v>
      </c>
      <c r="C664" s="1" t="s">
        <v>15</v>
      </c>
      <c r="D664" s="2" t="s">
        <v>99</v>
      </c>
      <c r="E664" s="2" t="s">
        <v>17</v>
      </c>
      <c r="F664" s="1" t="s">
        <v>30</v>
      </c>
      <c r="G664" s="1" t="s">
        <v>36</v>
      </c>
      <c r="H664" s="1" t="s">
        <v>25</v>
      </c>
      <c r="I664" s="2" t="s">
        <v>29</v>
      </c>
      <c r="J664" s="1" t="s">
        <v>51</v>
      </c>
      <c r="K664" s="1" t="s">
        <v>598</v>
      </c>
      <c r="L664" s="2" t="s">
        <v>102</v>
      </c>
      <c r="M664" s="1" t="s">
        <v>25</v>
      </c>
    </row>
    <row r="665" ht="15.75" customHeight="1">
      <c r="A665" s="2" t="s">
        <v>772</v>
      </c>
      <c r="B665" s="1" t="s">
        <v>14</v>
      </c>
      <c r="C665" s="1" t="s">
        <v>15</v>
      </c>
      <c r="D665" s="2" t="s">
        <v>42</v>
      </c>
      <c r="E665" s="2" t="s">
        <v>35</v>
      </c>
      <c r="F665" s="1" t="s">
        <v>87</v>
      </c>
      <c r="G665" s="1" t="s">
        <v>36</v>
      </c>
      <c r="H665" s="1" t="s">
        <v>20</v>
      </c>
      <c r="I665" s="2" t="s">
        <v>17</v>
      </c>
      <c r="J665" s="1" t="s">
        <v>22</v>
      </c>
      <c r="K665" s="1" t="s">
        <v>598</v>
      </c>
      <c r="L665" s="2" t="s">
        <v>83</v>
      </c>
      <c r="M665" s="1" t="s">
        <v>25</v>
      </c>
    </row>
    <row r="666" ht="15.75" customHeight="1">
      <c r="A666" s="2" t="s">
        <v>773</v>
      </c>
      <c r="B666" s="1" t="s">
        <v>14</v>
      </c>
      <c r="C666" s="1" t="s">
        <v>15</v>
      </c>
      <c r="D666" s="2" t="s">
        <v>34</v>
      </c>
      <c r="E666" s="2" t="s">
        <v>21</v>
      </c>
      <c r="F666" s="1" t="s">
        <v>87</v>
      </c>
      <c r="G666" s="1" t="s">
        <v>19</v>
      </c>
      <c r="H666" s="1" t="s">
        <v>20</v>
      </c>
      <c r="I666" s="2" t="s">
        <v>21</v>
      </c>
      <c r="J666" s="1" t="s">
        <v>51</v>
      </c>
      <c r="K666" s="1" t="s">
        <v>598</v>
      </c>
      <c r="L666" s="2" t="s">
        <v>100</v>
      </c>
      <c r="M666" s="1" t="s">
        <v>20</v>
      </c>
    </row>
    <row r="667" ht="15.75" customHeight="1">
      <c r="A667" s="2" t="s">
        <v>774</v>
      </c>
      <c r="B667" s="1" t="s">
        <v>14</v>
      </c>
      <c r="C667" s="1" t="s">
        <v>27</v>
      </c>
      <c r="D667" s="2" t="s">
        <v>144</v>
      </c>
      <c r="E667" s="2" t="s">
        <v>17</v>
      </c>
      <c r="F667" s="1" t="s">
        <v>87</v>
      </c>
      <c r="G667" s="1" t="s">
        <v>56</v>
      </c>
      <c r="H667" s="1" t="s">
        <v>20</v>
      </c>
      <c r="I667" s="2" t="s">
        <v>57</v>
      </c>
      <c r="J667" s="1" t="s">
        <v>22</v>
      </c>
      <c r="K667" s="1" t="s">
        <v>598</v>
      </c>
      <c r="L667" s="2" t="s">
        <v>100</v>
      </c>
      <c r="M667" s="1" t="s">
        <v>25</v>
      </c>
    </row>
    <row r="668" ht="15.75" customHeight="1">
      <c r="A668" s="2" t="s">
        <v>775</v>
      </c>
      <c r="B668" s="1" t="s">
        <v>14</v>
      </c>
      <c r="C668" s="1" t="s">
        <v>15</v>
      </c>
      <c r="D668" s="2" t="s">
        <v>76</v>
      </c>
      <c r="E668" s="2" t="s">
        <v>17</v>
      </c>
      <c r="F668" s="1" t="s">
        <v>30</v>
      </c>
      <c r="G668" s="1" t="s">
        <v>19</v>
      </c>
      <c r="H668" s="1" t="s">
        <v>20</v>
      </c>
      <c r="I668" s="2" t="s">
        <v>17</v>
      </c>
      <c r="J668" s="1" t="s">
        <v>38</v>
      </c>
      <c r="K668" s="1" t="s">
        <v>598</v>
      </c>
      <c r="L668" s="2" t="s">
        <v>130</v>
      </c>
      <c r="M668" s="1" t="s">
        <v>20</v>
      </c>
    </row>
    <row r="669" ht="15.75" customHeight="1">
      <c r="A669" s="2" t="s">
        <v>776</v>
      </c>
      <c r="B669" s="1" t="s">
        <v>14</v>
      </c>
      <c r="C669" s="1" t="s">
        <v>15</v>
      </c>
      <c r="D669" s="2" t="s">
        <v>16</v>
      </c>
      <c r="E669" s="2" t="s">
        <v>35</v>
      </c>
      <c r="F669" s="1" t="s">
        <v>55</v>
      </c>
      <c r="G669" s="1" t="s">
        <v>36</v>
      </c>
      <c r="H669" s="1" t="s">
        <v>25</v>
      </c>
      <c r="I669" s="2" t="s">
        <v>37</v>
      </c>
      <c r="J669" s="1" t="s">
        <v>69</v>
      </c>
      <c r="K669" s="1" t="s">
        <v>598</v>
      </c>
      <c r="L669" s="2" t="s">
        <v>145</v>
      </c>
      <c r="M669" s="1" t="s">
        <v>25</v>
      </c>
    </row>
    <row r="670" ht="15.75" customHeight="1">
      <c r="A670" s="2" t="s">
        <v>777</v>
      </c>
      <c r="B670" s="1" t="s">
        <v>14</v>
      </c>
      <c r="C670" s="1" t="s">
        <v>15</v>
      </c>
      <c r="D670" s="2" t="s">
        <v>76</v>
      </c>
      <c r="E670" s="2" t="s">
        <v>21</v>
      </c>
      <c r="F670" s="1" t="s">
        <v>87</v>
      </c>
      <c r="G670" s="1" t="s">
        <v>36</v>
      </c>
      <c r="H670" s="1" t="s">
        <v>20</v>
      </c>
      <c r="I670" s="2" t="s">
        <v>21</v>
      </c>
      <c r="J670" s="1" t="s">
        <v>22</v>
      </c>
      <c r="K670" s="1" t="s">
        <v>598</v>
      </c>
      <c r="L670" s="2" t="s">
        <v>100</v>
      </c>
      <c r="M670" s="1" t="s">
        <v>25</v>
      </c>
    </row>
    <row r="671" ht="15.75" customHeight="1">
      <c r="A671" s="2" t="s">
        <v>778</v>
      </c>
      <c r="B671" s="1" t="s">
        <v>14</v>
      </c>
      <c r="C671" s="1" t="s">
        <v>15</v>
      </c>
      <c r="D671" s="2" t="s">
        <v>76</v>
      </c>
      <c r="E671" s="2" t="s">
        <v>37</v>
      </c>
      <c r="F671" s="1" t="s">
        <v>55</v>
      </c>
      <c r="G671" s="1" t="s">
        <v>36</v>
      </c>
      <c r="H671" s="1" t="s">
        <v>20</v>
      </c>
      <c r="I671" s="2" t="s">
        <v>37</v>
      </c>
      <c r="J671" s="1" t="s">
        <v>43</v>
      </c>
      <c r="K671" s="1" t="s">
        <v>598</v>
      </c>
      <c r="L671" s="2" t="s">
        <v>52</v>
      </c>
      <c r="M671" s="1" t="s">
        <v>25</v>
      </c>
    </row>
    <row r="672" ht="15.75" customHeight="1">
      <c r="A672" s="2" t="s">
        <v>779</v>
      </c>
      <c r="B672" s="1" t="s">
        <v>14</v>
      </c>
      <c r="C672" s="1" t="s">
        <v>27</v>
      </c>
      <c r="D672" s="2" t="s">
        <v>42</v>
      </c>
      <c r="E672" s="2" t="s">
        <v>37</v>
      </c>
      <c r="F672" s="1" t="s">
        <v>30</v>
      </c>
      <c r="G672" s="1" t="s">
        <v>36</v>
      </c>
      <c r="H672" s="1" t="s">
        <v>20</v>
      </c>
      <c r="I672" s="2" t="s">
        <v>17</v>
      </c>
      <c r="J672" s="1" t="s">
        <v>69</v>
      </c>
      <c r="K672" s="1" t="s">
        <v>598</v>
      </c>
      <c r="L672" s="2" t="s">
        <v>81</v>
      </c>
      <c r="M672" s="1" t="s">
        <v>25</v>
      </c>
    </row>
    <row r="673" ht="15.75" customHeight="1">
      <c r="A673" s="2" t="s">
        <v>780</v>
      </c>
      <c r="B673" s="1" t="s">
        <v>41</v>
      </c>
      <c r="C673" s="1" t="s">
        <v>15</v>
      </c>
      <c r="D673" s="2" t="s">
        <v>76</v>
      </c>
      <c r="E673" s="2" t="s">
        <v>17</v>
      </c>
      <c r="F673" s="1" t="s">
        <v>87</v>
      </c>
      <c r="G673" s="1" t="s">
        <v>36</v>
      </c>
      <c r="H673" s="1" t="s">
        <v>20</v>
      </c>
      <c r="I673" s="2" t="s">
        <v>21</v>
      </c>
      <c r="J673" s="1" t="s">
        <v>38</v>
      </c>
      <c r="K673" s="1" t="s">
        <v>598</v>
      </c>
      <c r="L673" s="2" t="s">
        <v>47</v>
      </c>
      <c r="M673" s="1" t="s">
        <v>20</v>
      </c>
    </row>
    <row r="674" ht="15.75" customHeight="1">
      <c r="A674" s="2" t="s">
        <v>781</v>
      </c>
      <c r="B674" s="1" t="s">
        <v>41</v>
      </c>
      <c r="C674" s="1" t="s">
        <v>15</v>
      </c>
      <c r="D674" s="2" t="s">
        <v>16</v>
      </c>
      <c r="E674" s="2" t="s">
        <v>21</v>
      </c>
      <c r="F674" s="1" t="s">
        <v>55</v>
      </c>
      <c r="G674" s="1" t="s">
        <v>19</v>
      </c>
      <c r="H674" s="1" t="s">
        <v>20</v>
      </c>
      <c r="I674" s="2" t="s">
        <v>37</v>
      </c>
      <c r="J674" s="1" t="s">
        <v>43</v>
      </c>
      <c r="K674" s="1" t="s">
        <v>598</v>
      </c>
      <c r="L674" s="2" t="s">
        <v>116</v>
      </c>
      <c r="M674" s="1" t="s">
        <v>25</v>
      </c>
    </row>
    <row r="675" ht="15.75" customHeight="1">
      <c r="A675" s="2" t="s">
        <v>782</v>
      </c>
      <c r="B675" s="1" t="s">
        <v>41</v>
      </c>
      <c r="C675" s="1" t="s">
        <v>15</v>
      </c>
      <c r="D675" s="2" t="s">
        <v>42</v>
      </c>
      <c r="E675" s="2" t="s">
        <v>57</v>
      </c>
      <c r="F675" s="1" t="s">
        <v>87</v>
      </c>
      <c r="G675" s="1" t="s">
        <v>36</v>
      </c>
      <c r="H675" s="1" t="s">
        <v>20</v>
      </c>
      <c r="I675" s="2" t="s">
        <v>21</v>
      </c>
      <c r="J675" s="1" t="s">
        <v>38</v>
      </c>
      <c r="K675" s="1" t="s">
        <v>598</v>
      </c>
      <c r="L675" s="2" t="s">
        <v>74</v>
      </c>
      <c r="M675" s="1" t="s">
        <v>20</v>
      </c>
    </row>
    <row r="676" ht="15.75" customHeight="1">
      <c r="A676" s="2" t="s">
        <v>783</v>
      </c>
      <c r="B676" s="1" t="s">
        <v>14</v>
      </c>
      <c r="C676" s="1" t="s">
        <v>15</v>
      </c>
      <c r="D676" s="2" t="s">
        <v>28</v>
      </c>
      <c r="E676" s="2" t="s">
        <v>37</v>
      </c>
      <c r="F676" s="1" t="s">
        <v>55</v>
      </c>
      <c r="G676" s="1" t="s">
        <v>19</v>
      </c>
      <c r="H676" s="1" t="s">
        <v>20</v>
      </c>
      <c r="I676" s="2" t="s">
        <v>37</v>
      </c>
      <c r="J676" s="1" t="s">
        <v>51</v>
      </c>
      <c r="K676" s="1" t="s">
        <v>598</v>
      </c>
      <c r="L676" s="2" t="s">
        <v>125</v>
      </c>
      <c r="M676" s="1" t="s">
        <v>25</v>
      </c>
    </row>
    <row r="677" ht="15.75" customHeight="1">
      <c r="A677" s="2" t="s">
        <v>784</v>
      </c>
      <c r="B677" s="1" t="s">
        <v>14</v>
      </c>
      <c r="C677" s="1" t="s">
        <v>27</v>
      </c>
      <c r="D677" s="2" t="s">
        <v>99</v>
      </c>
      <c r="E677" s="2" t="s">
        <v>29</v>
      </c>
      <c r="F677" s="1" t="s">
        <v>18</v>
      </c>
      <c r="G677" s="1" t="s">
        <v>56</v>
      </c>
      <c r="H677" s="1" t="s">
        <v>20</v>
      </c>
      <c r="I677" s="2" t="s">
        <v>57</v>
      </c>
      <c r="J677" s="1" t="s">
        <v>22</v>
      </c>
      <c r="K677" s="1" t="s">
        <v>598</v>
      </c>
      <c r="L677" s="2" t="s">
        <v>45</v>
      </c>
      <c r="M677" s="1" t="s">
        <v>25</v>
      </c>
    </row>
    <row r="678" ht="15.75" customHeight="1">
      <c r="A678" s="2" t="s">
        <v>785</v>
      </c>
      <c r="B678" s="1" t="s">
        <v>14</v>
      </c>
      <c r="C678" s="1" t="s">
        <v>27</v>
      </c>
      <c r="D678" s="2" t="s">
        <v>16</v>
      </c>
      <c r="E678" s="2" t="s">
        <v>37</v>
      </c>
      <c r="F678" s="1" t="s">
        <v>30</v>
      </c>
      <c r="G678" s="1" t="s">
        <v>31</v>
      </c>
      <c r="H678" s="1" t="s">
        <v>20</v>
      </c>
      <c r="I678" s="2" t="s">
        <v>17</v>
      </c>
      <c r="J678" s="1" t="s">
        <v>22</v>
      </c>
      <c r="K678" s="1" t="s">
        <v>598</v>
      </c>
      <c r="L678" s="2" t="s">
        <v>83</v>
      </c>
      <c r="M678" s="1" t="s">
        <v>25</v>
      </c>
    </row>
    <row r="679" ht="15.75" customHeight="1">
      <c r="A679" s="2" t="s">
        <v>786</v>
      </c>
      <c r="B679" s="1" t="s">
        <v>14</v>
      </c>
      <c r="C679" s="1" t="s">
        <v>27</v>
      </c>
      <c r="D679" s="2" t="s">
        <v>76</v>
      </c>
      <c r="E679" s="2" t="s">
        <v>57</v>
      </c>
      <c r="F679" s="1" t="s">
        <v>87</v>
      </c>
      <c r="G679" s="1" t="s">
        <v>19</v>
      </c>
      <c r="H679" s="1" t="s">
        <v>25</v>
      </c>
      <c r="I679" s="2" t="s">
        <v>21</v>
      </c>
      <c r="J679" s="1" t="s">
        <v>22</v>
      </c>
      <c r="K679" s="1" t="s">
        <v>598</v>
      </c>
      <c r="L679" s="2" t="s">
        <v>83</v>
      </c>
      <c r="M679" s="1" t="s">
        <v>25</v>
      </c>
    </row>
    <row r="680" ht="15.75" customHeight="1">
      <c r="A680" s="2" t="s">
        <v>787</v>
      </c>
      <c r="B680" s="1" t="s">
        <v>14</v>
      </c>
      <c r="C680" s="1" t="s">
        <v>27</v>
      </c>
      <c r="D680" s="2" t="s">
        <v>34</v>
      </c>
      <c r="E680" s="2" t="s">
        <v>35</v>
      </c>
      <c r="F680" s="1" t="s">
        <v>18</v>
      </c>
      <c r="G680" s="1" t="s">
        <v>56</v>
      </c>
      <c r="H680" s="1" t="s">
        <v>25</v>
      </c>
      <c r="I680" s="2" t="s">
        <v>37</v>
      </c>
      <c r="J680" s="1" t="s">
        <v>38</v>
      </c>
      <c r="K680" s="1" t="s">
        <v>23</v>
      </c>
      <c r="L680" s="2" t="s">
        <v>112</v>
      </c>
      <c r="M680" s="1" t="s">
        <v>25</v>
      </c>
    </row>
    <row r="681" ht="15.75" customHeight="1">
      <c r="A681" s="2" t="s">
        <v>788</v>
      </c>
      <c r="B681" s="1" t="s">
        <v>14</v>
      </c>
      <c r="C681" s="1" t="s">
        <v>27</v>
      </c>
      <c r="D681" s="2" t="s">
        <v>76</v>
      </c>
      <c r="E681" s="2" t="s">
        <v>57</v>
      </c>
      <c r="F681" s="1" t="s">
        <v>18</v>
      </c>
      <c r="G681" s="1" t="s">
        <v>56</v>
      </c>
      <c r="H681" s="1" t="s">
        <v>20</v>
      </c>
      <c r="I681" s="2" t="s">
        <v>37</v>
      </c>
      <c r="J681" s="1" t="s">
        <v>69</v>
      </c>
      <c r="K681" s="1" t="s">
        <v>598</v>
      </c>
      <c r="L681" s="2" t="s">
        <v>39</v>
      </c>
      <c r="M681" s="1" t="s">
        <v>25</v>
      </c>
    </row>
    <row r="682" ht="15.75" customHeight="1">
      <c r="A682" s="2" t="s">
        <v>789</v>
      </c>
      <c r="B682" s="1" t="s">
        <v>14</v>
      </c>
      <c r="C682" s="1" t="s">
        <v>15</v>
      </c>
      <c r="D682" s="2" t="s">
        <v>76</v>
      </c>
      <c r="E682" s="2" t="s">
        <v>21</v>
      </c>
      <c r="F682" s="1" t="s">
        <v>30</v>
      </c>
      <c r="G682" s="1" t="s">
        <v>19</v>
      </c>
      <c r="H682" s="1" t="s">
        <v>25</v>
      </c>
      <c r="I682" s="2" t="s">
        <v>17</v>
      </c>
      <c r="J682" s="1" t="s">
        <v>51</v>
      </c>
      <c r="K682" s="1" t="s">
        <v>598</v>
      </c>
      <c r="L682" s="2" t="s">
        <v>58</v>
      </c>
      <c r="M682" s="1" t="s">
        <v>25</v>
      </c>
    </row>
    <row r="683" ht="15.75" customHeight="1">
      <c r="A683" s="2" t="s">
        <v>790</v>
      </c>
      <c r="B683" s="1" t="s">
        <v>41</v>
      </c>
      <c r="C683" s="1" t="s">
        <v>15</v>
      </c>
      <c r="D683" s="2" t="s">
        <v>34</v>
      </c>
      <c r="E683" s="2" t="s">
        <v>57</v>
      </c>
      <c r="F683" s="1" t="s">
        <v>87</v>
      </c>
      <c r="G683" s="1" t="s">
        <v>19</v>
      </c>
      <c r="H683" s="1" t="s">
        <v>25</v>
      </c>
      <c r="I683" s="2" t="s">
        <v>21</v>
      </c>
      <c r="J683" s="1" t="s">
        <v>22</v>
      </c>
      <c r="K683" s="1" t="s">
        <v>598</v>
      </c>
      <c r="L683" s="2" t="s">
        <v>83</v>
      </c>
      <c r="M683" s="1" t="s">
        <v>25</v>
      </c>
    </row>
    <row r="684" ht="15.75" customHeight="1">
      <c r="A684" s="2" t="s">
        <v>791</v>
      </c>
      <c r="B684" s="1" t="s">
        <v>14</v>
      </c>
      <c r="C684" s="1" t="s">
        <v>27</v>
      </c>
      <c r="D684" s="2" t="s">
        <v>61</v>
      </c>
      <c r="E684" s="2" t="s">
        <v>29</v>
      </c>
      <c r="F684" s="1" t="s">
        <v>62</v>
      </c>
      <c r="G684" s="1" t="s">
        <v>31</v>
      </c>
      <c r="H684" s="1" t="s">
        <v>25</v>
      </c>
      <c r="I684" s="2" t="s">
        <v>37</v>
      </c>
      <c r="J684" s="1" t="s">
        <v>22</v>
      </c>
      <c r="K684" s="1" t="s">
        <v>598</v>
      </c>
      <c r="L684" s="2" t="s">
        <v>132</v>
      </c>
      <c r="M684" s="1" t="s">
        <v>25</v>
      </c>
    </row>
    <row r="685" ht="15.75" customHeight="1">
      <c r="A685" s="2" t="s">
        <v>792</v>
      </c>
      <c r="B685" s="1" t="s">
        <v>14</v>
      </c>
      <c r="C685" s="1" t="s">
        <v>15</v>
      </c>
      <c r="D685" s="2" t="s">
        <v>68</v>
      </c>
      <c r="E685" s="2" t="s">
        <v>35</v>
      </c>
      <c r="F685" s="1" t="s">
        <v>30</v>
      </c>
      <c r="G685" s="1" t="s">
        <v>36</v>
      </c>
      <c r="H685" s="1" t="s">
        <v>20</v>
      </c>
      <c r="I685" s="2" t="s">
        <v>29</v>
      </c>
      <c r="J685" s="1" t="s">
        <v>38</v>
      </c>
      <c r="K685" s="1" t="s">
        <v>598</v>
      </c>
      <c r="L685" s="2" t="s">
        <v>100</v>
      </c>
      <c r="M685" s="1" t="s">
        <v>25</v>
      </c>
    </row>
    <row r="686" ht="15.75" customHeight="1">
      <c r="A686" s="2" t="s">
        <v>793</v>
      </c>
      <c r="B686" s="1" t="s">
        <v>41</v>
      </c>
      <c r="C686" s="1" t="s">
        <v>15</v>
      </c>
      <c r="D686" s="2" t="s">
        <v>76</v>
      </c>
      <c r="E686" s="2" t="s">
        <v>57</v>
      </c>
      <c r="F686" s="1" t="s">
        <v>18</v>
      </c>
      <c r="G686" s="1" t="s">
        <v>19</v>
      </c>
      <c r="H686" s="1" t="s">
        <v>25</v>
      </c>
      <c r="I686" s="2" t="s">
        <v>37</v>
      </c>
      <c r="J686" s="1" t="s">
        <v>22</v>
      </c>
      <c r="K686" s="1" t="s">
        <v>598</v>
      </c>
      <c r="L686" s="2" t="s">
        <v>24</v>
      </c>
      <c r="M686" s="1" t="s">
        <v>25</v>
      </c>
    </row>
    <row r="687" ht="15.75" customHeight="1">
      <c r="A687" s="2" t="s">
        <v>794</v>
      </c>
      <c r="B687" s="1" t="s">
        <v>41</v>
      </c>
      <c r="C687" s="1" t="s">
        <v>15</v>
      </c>
      <c r="D687" s="2" t="s">
        <v>76</v>
      </c>
      <c r="E687" s="2" t="s">
        <v>29</v>
      </c>
      <c r="F687" s="1" t="s">
        <v>87</v>
      </c>
      <c r="G687" s="1" t="s">
        <v>56</v>
      </c>
      <c r="H687" s="1" t="s">
        <v>20</v>
      </c>
      <c r="I687" s="2" t="s">
        <v>37</v>
      </c>
      <c r="J687" s="1" t="s">
        <v>43</v>
      </c>
      <c r="K687" s="1" t="s">
        <v>598</v>
      </c>
      <c r="L687" s="2" t="s">
        <v>201</v>
      </c>
      <c r="M687" s="1" t="s">
        <v>20</v>
      </c>
    </row>
    <row r="688" ht="15.75" customHeight="1">
      <c r="A688" s="2" t="s">
        <v>795</v>
      </c>
      <c r="B688" s="1" t="s">
        <v>14</v>
      </c>
      <c r="C688" s="1" t="s">
        <v>15</v>
      </c>
      <c r="D688" s="2" t="s">
        <v>16</v>
      </c>
      <c r="E688" s="2" t="s">
        <v>17</v>
      </c>
      <c r="F688" s="1" t="s">
        <v>30</v>
      </c>
      <c r="G688" s="1" t="s">
        <v>31</v>
      </c>
      <c r="H688" s="1" t="s">
        <v>20</v>
      </c>
      <c r="I688" s="2" t="s">
        <v>17</v>
      </c>
      <c r="J688" s="1" t="s">
        <v>51</v>
      </c>
      <c r="K688" s="1" t="s">
        <v>598</v>
      </c>
      <c r="L688" s="2" t="s">
        <v>178</v>
      </c>
      <c r="M688" s="1" t="s">
        <v>20</v>
      </c>
    </row>
    <row r="689" ht="15.75" customHeight="1">
      <c r="A689" s="2" t="s">
        <v>796</v>
      </c>
      <c r="B689" s="1" t="s">
        <v>41</v>
      </c>
      <c r="C689" s="1" t="s">
        <v>27</v>
      </c>
      <c r="D689" s="2" t="s">
        <v>28</v>
      </c>
      <c r="E689" s="2" t="s">
        <v>21</v>
      </c>
      <c r="F689" s="1" t="s">
        <v>30</v>
      </c>
      <c r="G689" s="1" t="s">
        <v>19</v>
      </c>
      <c r="H689" s="1" t="s">
        <v>20</v>
      </c>
      <c r="I689" s="2" t="s">
        <v>37</v>
      </c>
      <c r="J689" s="1" t="s">
        <v>43</v>
      </c>
      <c r="K689" s="1" t="s">
        <v>598</v>
      </c>
      <c r="L689" s="2" t="s">
        <v>116</v>
      </c>
      <c r="M689" s="1" t="s">
        <v>25</v>
      </c>
    </row>
    <row r="690" ht="15.75" customHeight="1">
      <c r="A690" s="2" t="s">
        <v>797</v>
      </c>
      <c r="B690" s="1" t="s">
        <v>41</v>
      </c>
      <c r="D690" s="2" t="s">
        <v>76</v>
      </c>
      <c r="F690" s="1" t="s">
        <v>18</v>
      </c>
      <c r="G690" s="1" t="s">
        <v>19</v>
      </c>
      <c r="H690" s="1" t="s">
        <v>25</v>
      </c>
      <c r="I690" s="2" t="s">
        <v>37</v>
      </c>
      <c r="J690" s="1" t="s">
        <v>22</v>
      </c>
      <c r="K690" s="1" t="s">
        <v>598</v>
      </c>
      <c r="M690" s="1" t="s">
        <v>25</v>
      </c>
    </row>
    <row r="691" ht="15.75" customHeight="1">
      <c r="A691" s="2" t="s">
        <v>798</v>
      </c>
      <c r="B691" s="1" t="s">
        <v>14</v>
      </c>
      <c r="C691" s="1" t="s">
        <v>27</v>
      </c>
      <c r="D691" s="2" t="s">
        <v>28</v>
      </c>
      <c r="E691" s="2" t="s">
        <v>21</v>
      </c>
      <c r="F691" s="1" t="s">
        <v>55</v>
      </c>
      <c r="G691" s="1" t="s">
        <v>19</v>
      </c>
      <c r="H691" s="1" t="s">
        <v>20</v>
      </c>
      <c r="I691" s="2" t="s">
        <v>37</v>
      </c>
      <c r="J691" s="1" t="s">
        <v>43</v>
      </c>
      <c r="K691" s="1" t="s">
        <v>598</v>
      </c>
      <c r="L691" s="2" t="s">
        <v>107</v>
      </c>
      <c r="M691" s="1" t="s">
        <v>25</v>
      </c>
    </row>
    <row r="692" ht="15.75" customHeight="1">
      <c r="A692" s="2" t="s">
        <v>799</v>
      </c>
      <c r="B692" s="1" t="s">
        <v>41</v>
      </c>
      <c r="C692" s="1" t="s">
        <v>15</v>
      </c>
      <c r="D692" s="2" t="s">
        <v>144</v>
      </c>
      <c r="E692" s="2" t="s">
        <v>17</v>
      </c>
      <c r="F692" s="1" t="s">
        <v>18</v>
      </c>
      <c r="G692" s="1" t="s">
        <v>56</v>
      </c>
      <c r="H692" s="1" t="s">
        <v>25</v>
      </c>
      <c r="I692" s="2" t="s">
        <v>17</v>
      </c>
      <c r="J692" s="1" t="s">
        <v>38</v>
      </c>
      <c r="K692" s="1" t="s">
        <v>598</v>
      </c>
      <c r="L692" s="2" t="s">
        <v>77</v>
      </c>
      <c r="M692" s="1" t="s">
        <v>25</v>
      </c>
    </row>
    <row r="693" ht="15.75" customHeight="1">
      <c r="A693" s="2" t="s">
        <v>800</v>
      </c>
      <c r="B693" s="1" t="s">
        <v>14</v>
      </c>
      <c r="C693" s="1" t="s">
        <v>27</v>
      </c>
      <c r="D693" s="2" t="s">
        <v>272</v>
      </c>
      <c r="E693" s="2" t="s">
        <v>17</v>
      </c>
      <c r="F693" s="1" t="s">
        <v>18</v>
      </c>
      <c r="G693" s="1" t="s">
        <v>19</v>
      </c>
      <c r="H693" s="1" t="s">
        <v>20</v>
      </c>
      <c r="I693" s="2" t="s">
        <v>21</v>
      </c>
      <c r="J693" s="1" t="s">
        <v>22</v>
      </c>
      <c r="K693" s="1" t="s">
        <v>598</v>
      </c>
      <c r="L693" s="2" t="s">
        <v>93</v>
      </c>
      <c r="M693" s="1" t="s">
        <v>20</v>
      </c>
    </row>
    <row r="694" ht="15.75" customHeight="1">
      <c r="A694" s="2" t="s">
        <v>801</v>
      </c>
      <c r="B694" s="1" t="s">
        <v>14</v>
      </c>
      <c r="C694" s="1" t="s">
        <v>27</v>
      </c>
      <c r="D694" s="2" t="s">
        <v>42</v>
      </c>
      <c r="E694" s="2" t="s">
        <v>17</v>
      </c>
      <c r="F694" s="1" t="s">
        <v>18</v>
      </c>
      <c r="G694" s="1" t="s">
        <v>36</v>
      </c>
      <c r="H694" s="1" t="s">
        <v>20</v>
      </c>
      <c r="I694" s="2" t="s">
        <v>17</v>
      </c>
      <c r="J694" s="1" t="s">
        <v>38</v>
      </c>
      <c r="K694" s="1" t="s">
        <v>598</v>
      </c>
      <c r="L694" s="2" t="s">
        <v>102</v>
      </c>
      <c r="M694" s="1" t="s">
        <v>20</v>
      </c>
    </row>
    <row r="695" ht="15.75" customHeight="1">
      <c r="A695" s="2" t="s">
        <v>802</v>
      </c>
      <c r="B695" s="1" t="s">
        <v>41</v>
      </c>
      <c r="C695" s="1" t="s">
        <v>15</v>
      </c>
      <c r="D695" s="2" t="s">
        <v>76</v>
      </c>
      <c r="E695" s="2" t="s">
        <v>57</v>
      </c>
      <c r="F695" s="1" t="s">
        <v>18</v>
      </c>
      <c r="G695" s="1" t="s">
        <v>19</v>
      </c>
      <c r="H695" s="1" t="s">
        <v>25</v>
      </c>
      <c r="I695" s="2" t="s">
        <v>37</v>
      </c>
      <c r="J695" s="1" t="s">
        <v>22</v>
      </c>
      <c r="K695" s="1" t="s">
        <v>598</v>
      </c>
      <c r="L695" s="2" t="s">
        <v>45</v>
      </c>
      <c r="M695" s="1" t="s">
        <v>20</v>
      </c>
    </row>
    <row r="696" ht="15.75" customHeight="1">
      <c r="A696" s="2" t="s">
        <v>803</v>
      </c>
      <c r="B696" s="1" t="s">
        <v>41</v>
      </c>
      <c r="C696" s="1" t="s">
        <v>15</v>
      </c>
      <c r="D696" s="2" t="s">
        <v>34</v>
      </c>
      <c r="E696" s="2" t="s">
        <v>29</v>
      </c>
      <c r="F696" s="1" t="s">
        <v>87</v>
      </c>
      <c r="G696" s="1" t="s">
        <v>36</v>
      </c>
      <c r="H696" s="1" t="s">
        <v>25</v>
      </c>
      <c r="I696" s="2" t="s">
        <v>21</v>
      </c>
      <c r="J696" s="1" t="s">
        <v>22</v>
      </c>
      <c r="K696" s="1" t="s">
        <v>598</v>
      </c>
      <c r="L696" s="2" t="s">
        <v>47</v>
      </c>
      <c r="M696" s="1" t="s">
        <v>20</v>
      </c>
    </row>
    <row r="697" ht="15.75" customHeight="1">
      <c r="A697" s="2" t="s">
        <v>804</v>
      </c>
      <c r="B697" s="1" t="s">
        <v>14</v>
      </c>
      <c r="D697" s="2" t="s">
        <v>34</v>
      </c>
      <c r="E697" s="2" t="s">
        <v>35</v>
      </c>
      <c r="F697" s="1" t="s">
        <v>30</v>
      </c>
      <c r="G697" s="1" t="s">
        <v>36</v>
      </c>
      <c r="H697" s="1" t="s">
        <v>20</v>
      </c>
      <c r="I697" s="2" t="s">
        <v>37</v>
      </c>
      <c r="J697" s="1" t="s">
        <v>22</v>
      </c>
      <c r="K697" s="1" t="s">
        <v>598</v>
      </c>
      <c r="L697" s="2" t="s">
        <v>102</v>
      </c>
      <c r="M697" s="1" t="s">
        <v>25</v>
      </c>
    </row>
    <row r="698" ht="15.75" customHeight="1">
      <c r="A698" s="2" t="s">
        <v>805</v>
      </c>
      <c r="B698" s="1" t="s">
        <v>41</v>
      </c>
      <c r="C698" s="1" t="s">
        <v>27</v>
      </c>
      <c r="D698" s="2" t="s">
        <v>76</v>
      </c>
      <c r="E698" s="2" t="s">
        <v>21</v>
      </c>
      <c r="F698" s="1" t="s">
        <v>30</v>
      </c>
      <c r="G698" s="1" t="s">
        <v>36</v>
      </c>
      <c r="H698" s="1" t="s">
        <v>25</v>
      </c>
      <c r="I698" s="2" t="s">
        <v>37</v>
      </c>
      <c r="J698" s="1" t="s">
        <v>51</v>
      </c>
      <c r="K698" s="1" t="s">
        <v>598</v>
      </c>
      <c r="L698" s="2" t="s">
        <v>116</v>
      </c>
      <c r="M698" s="1" t="s">
        <v>25</v>
      </c>
    </row>
    <row r="699" ht="15.75" customHeight="1">
      <c r="A699" s="2" t="s">
        <v>806</v>
      </c>
      <c r="B699" s="1" t="s">
        <v>14</v>
      </c>
      <c r="C699" s="1" t="s">
        <v>15</v>
      </c>
      <c r="D699" s="2" t="s">
        <v>28</v>
      </c>
      <c r="E699" s="2" t="s">
        <v>21</v>
      </c>
      <c r="F699" s="1" t="s">
        <v>62</v>
      </c>
      <c r="G699" s="1" t="s">
        <v>31</v>
      </c>
      <c r="H699" s="1" t="s">
        <v>25</v>
      </c>
      <c r="I699" s="2" t="s">
        <v>37</v>
      </c>
      <c r="J699" s="1" t="s">
        <v>22</v>
      </c>
      <c r="K699" s="1" t="s">
        <v>598</v>
      </c>
      <c r="L699" s="2" t="s">
        <v>118</v>
      </c>
      <c r="M699" s="1" t="s">
        <v>25</v>
      </c>
    </row>
    <row r="700" ht="15.75" customHeight="1">
      <c r="A700" s="2" t="s">
        <v>807</v>
      </c>
      <c r="B700" s="1" t="s">
        <v>14</v>
      </c>
      <c r="C700" s="1" t="s">
        <v>27</v>
      </c>
      <c r="D700" s="2" t="s">
        <v>61</v>
      </c>
      <c r="E700" s="2" t="s">
        <v>37</v>
      </c>
      <c r="F700" s="1" t="s">
        <v>62</v>
      </c>
      <c r="G700" s="1" t="s">
        <v>31</v>
      </c>
      <c r="H700" s="1" t="s">
        <v>20</v>
      </c>
      <c r="I700" s="2" t="s">
        <v>37</v>
      </c>
      <c r="J700" s="1" t="s">
        <v>51</v>
      </c>
      <c r="K700" s="1" t="s">
        <v>598</v>
      </c>
      <c r="L700" s="2" t="s">
        <v>195</v>
      </c>
      <c r="M700" s="1" t="s">
        <v>25</v>
      </c>
    </row>
    <row r="701" ht="15.75" customHeight="1">
      <c r="A701" s="2" t="s">
        <v>808</v>
      </c>
      <c r="B701" s="1" t="s">
        <v>41</v>
      </c>
      <c r="C701" s="1" t="s">
        <v>27</v>
      </c>
      <c r="D701" s="2" t="s">
        <v>68</v>
      </c>
      <c r="E701" s="2" t="s">
        <v>21</v>
      </c>
      <c r="F701" s="1" t="s">
        <v>30</v>
      </c>
      <c r="G701" s="1" t="s">
        <v>36</v>
      </c>
      <c r="H701" s="1" t="s">
        <v>25</v>
      </c>
      <c r="I701" s="2" t="s">
        <v>37</v>
      </c>
      <c r="J701" s="1" t="s">
        <v>22</v>
      </c>
      <c r="K701" s="1" t="s">
        <v>598</v>
      </c>
      <c r="L701" s="2" t="s">
        <v>32</v>
      </c>
      <c r="M701" s="1" t="s">
        <v>20</v>
      </c>
    </row>
    <row r="702" ht="15.75" customHeight="1">
      <c r="A702" s="2" t="s">
        <v>809</v>
      </c>
      <c r="B702" s="1" t="s">
        <v>14</v>
      </c>
      <c r="C702" s="1" t="s">
        <v>15</v>
      </c>
      <c r="D702" s="2" t="s">
        <v>42</v>
      </c>
      <c r="E702" s="2" t="s">
        <v>57</v>
      </c>
      <c r="F702" s="1" t="s">
        <v>18</v>
      </c>
      <c r="G702" s="1" t="s">
        <v>56</v>
      </c>
      <c r="H702" s="1" t="s">
        <v>20</v>
      </c>
      <c r="I702" s="2" t="s">
        <v>17</v>
      </c>
      <c r="J702" s="1" t="s">
        <v>51</v>
      </c>
      <c r="K702" s="1" t="s">
        <v>598</v>
      </c>
      <c r="L702" s="2" t="s">
        <v>81</v>
      </c>
      <c r="M702" s="1" t="s">
        <v>25</v>
      </c>
    </row>
    <row r="703" ht="15.75" customHeight="1">
      <c r="A703" s="2" t="s">
        <v>810</v>
      </c>
      <c r="B703" s="1" t="s">
        <v>41</v>
      </c>
      <c r="C703" s="1" t="s">
        <v>27</v>
      </c>
      <c r="D703" s="2" t="s">
        <v>28</v>
      </c>
      <c r="E703" s="2" t="s">
        <v>21</v>
      </c>
      <c r="F703" s="1" t="s">
        <v>55</v>
      </c>
      <c r="G703" s="1" t="s">
        <v>19</v>
      </c>
      <c r="H703" s="1" t="s">
        <v>20</v>
      </c>
      <c r="I703" s="2" t="s">
        <v>37</v>
      </c>
      <c r="J703" s="1" t="s">
        <v>43</v>
      </c>
      <c r="K703" s="1" t="s">
        <v>598</v>
      </c>
      <c r="L703" s="2" t="s">
        <v>107</v>
      </c>
      <c r="M703" s="1" t="s">
        <v>25</v>
      </c>
    </row>
    <row r="704" ht="15.75" customHeight="1">
      <c r="A704" s="2" t="s">
        <v>811</v>
      </c>
      <c r="B704" s="1" t="s">
        <v>14</v>
      </c>
      <c r="C704" s="1" t="s">
        <v>27</v>
      </c>
      <c r="D704" s="2" t="s">
        <v>161</v>
      </c>
      <c r="E704" s="2" t="s">
        <v>17</v>
      </c>
      <c r="F704" s="1" t="s">
        <v>55</v>
      </c>
      <c r="G704" s="1" t="s">
        <v>36</v>
      </c>
      <c r="H704" s="1" t="s">
        <v>20</v>
      </c>
      <c r="I704" s="2" t="s">
        <v>57</v>
      </c>
      <c r="J704" s="1" t="s">
        <v>43</v>
      </c>
      <c r="K704" s="1" t="s">
        <v>598</v>
      </c>
      <c r="L704" s="2" t="s">
        <v>130</v>
      </c>
      <c r="M704" s="1" t="s">
        <v>20</v>
      </c>
    </row>
    <row r="705" ht="15.75" customHeight="1">
      <c r="A705" s="2" t="s">
        <v>812</v>
      </c>
      <c r="B705" s="1" t="s">
        <v>41</v>
      </c>
      <c r="C705" s="1" t="s">
        <v>15</v>
      </c>
      <c r="D705" s="2" t="s">
        <v>272</v>
      </c>
      <c r="E705" s="2" t="s">
        <v>21</v>
      </c>
      <c r="F705" s="1" t="s">
        <v>87</v>
      </c>
      <c r="G705" s="1" t="s">
        <v>19</v>
      </c>
      <c r="H705" s="1" t="s">
        <v>20</v>
      </c>
      <c r="I705" s="2" t="s">
        <v>21</v>
      </c>
      <c r="J705" s="1" t="s">
        <v>51</v>
      </c>
      <c r="K705" s="1" t="s">
        <v>598</v>
      </c>
      <c r="L705" s="2" t="s">
        <v>58</v>
      </c>
      <c r="M705" s="1" t="s">
        <v>25</v>
      </c>
    </row>
    <row r="706" ht="15.75" customHeight="1">
      <c r="A706" s="2" t="s">
        <v>813</v>
      </c>
      <c r="B706" s="1" t="s">
        <v>41</v>
      </c>
      <c r="C706" s="1" t="s">
        <v>15</v>
      </c>
      <c r="D706" s="2" t="s">
        <v>16</v>
      </c>
      <c r="E706" s="2" t="s">
        <v>21</v>
      </c>
      <c r="F706" s="1" t="s">
        <v>18</v>
      </c>
      <c r="G706" s="1" t="s">
        <v>36</v>
      </c>
      <c r="H706" s="1" t="s">
        <v>20</v>
      </c>
      <c r="I706" s="2" t="s">
        <v>17</v>
      </c>
      <c r="J706" s="1" t="s">
        <v>38</v>
      </c>
      <c r="K706" s="1" t="s">
        <v>598</v>
      </c>
      <c r="L706" s="2" t="s">
        <v>24</v>
      </c>
      <c r="M706" s="1" t="s">
        <v>20</v>
      </c>
    </row>
    <row r="707" ht="15.75" customHeight="1">
      <c r="A707" s="2" t="s">
        <v>814</v>
      </c>
      <c r="B707" s="1" t="s">
        <v>14</v>
      </c>
      <c r="C707" s="1" t="s">
        <v>15</v>
      </c>
      <c r="D707" s="2" t="s">
        <v>42</v>
      </c>
      <c r="E707" s="2" t="s">
        <v>57</v>
      </c>
      <c r="F707" s="1" t="s">
        <v>18</v>
      </c>
      <c r="G707" s="1" t="s">
        <v>56</v>
      </c>
      <c r="H707" s="1" t="s">
        <v>20</v>
      </c>
      <c r="I707" s="2" t="s">
        <v>17</v>
      </c>
      <c r="J707" s="1" t="s">
        <v>69</v>
      </c>
      <c r="K707" s="1" t="s">
        <v>598</v>
      </c>
      <c r="L707" s="2" t="s">
        <v>81</v>
      </c>
      <c r="M707" s="1" t="s">
        <v>25</v>
      </c>
    </row>
    <row r="708" ht="15.75" customHeight="1">
      <c r="A708" s="2" t="s">
        <v>815</v>
      </c>
      <c r="B708" s="1" t="s">
        <v>41</v>
      </c>
      <c r="C708" s="1" t="s">
        <v>15</v>
      </c>
      <c r="D708" s="2" t="s">
        <v>76</v>
      </c>
      <c r="E708" s="2" t="s">
        <v>21</v>
      </c>
      <c r="F708" s="1" t="s">
        <v>30</v>
      </c>
      <c r="G708" s="1" t="s">
        <v>19</v>
      </c>
      <c r="H708" s="1" t="s">
        <v>25</v>
      </c>
      <c r="I708" s="2" t="s">
        <v>17</v>
      </c>
      <c r="J708" s="1" t="s">
        <v>51</v>
      </c>
      <c r="K708" s="1" t="s">
        <v>598</v>
      </c>
      <c r="L708" s="2" t="s">
        <v>58</v>
      </c>
      <c r="M708" s="1" t="s">
        <v>20</v>
      </c>
    </row>
    <row r="709" ht="15.75" customHeight="1">
      <c r="A709" s="2" t="s">
        <v>816</v>
      </c>
      <c r="B709" s="1" t="s">
        <v>14</v>
      </c>
      <c r="C709" s="1" t="s">
        <v>15</v>
      </c>
      <c r="D709" s="2" t="s">
        <v>42</v>
      </c>
      <c r="E709" s="2" t="s">
        <v>17</v>
      </c>
      <c r="F709" s="1" t="s">
        <v>30</v>
      </c>
      <c r="G709" s="1" t="s">
        <v>19</v>
      </c>
      <c r="H709" s="1" t="s">
        <v>20</v>
      </c>
      <c r="I709" s="2" t="s">
        <v>17</v>
      </c>
      <c r="J709" s="1" t="s">
        <v>22</v>
      </c>
      <c r="K709" s="1" t="s">
        <v>598</v>
      </c>
      <c r="L709" s="2" t="s">
        <v>102</v>
      </c>
      <c r="M709" s="1" t="s">
        <v>20</v>
      </c>
    </row>
    <row r="710" ht="15.75" customHeight="1">
      <c r="A710" s="2" t="s">
        <v>817</v>
      </c>
      <c r="B710" s="1" t="s">
        <v>14</v>
      </c>
      <c r="C710" s="1" t="s">
        <v>27</v>
      </c>
      <c r="D710" s="2" t="s">
        <v>42</v>
      </c>
      <c r="E710" s="2" t="s">
        <v>35</v>
      </c>
      <c r="F710" s="1" t="s">
        <v>18</v>
      </c>
      <c r="G710" s="1" t="s">
        <v>56</v>
      </c>
      <c r="H710" s="1" t="s">
        <v>20</v>
      </c>
      <c r="I710" s="2" t="s">
        <v>57</v>
      </c>
      <c r="J710" s="1" t="s">
        <v>69</v>
      </c>
      <c r="K710" s="1" t="s">
        <v>598</v>
      </c>
      <c r="L710" s="2" t="s">
        <v>39</v>
      </c>
      <c r="M710" s="1" t="s">
        <v>25</v>
      </c>
    </row>
    <row r="711" ht="15.75" customHeight="1">
      <c r="A711" s="2" t="s">
        <v>818</v>
      </c>
      <c r="B711" s="1" t="s">
        <v>41</v>
      </c>
      <c r="C711" s="1" t="s">
        <v>15</v>
      </c>
      <c r="D711" s="2" t="s">
        <v>42</v>
      </c>
      <c r="E711" s="2" t="s">
        <v>37</v>
      </c>
      <c r="F711" s="1" t="s">
        <v>18</v>
      </c>
      <c r="G711" s="1" t="s">
        <v>56</v>
      </c>
      <c r="H711" s="1" t="s">
        <v>20</v>
      </c>
      <c r="I711" s="2" t="s">
        <v>17</v>
      </c>
      <c r="J711" s="1" t="s">
        <v>69</v>
      </c>
      <c r="K711" s="1" t="s">
        <v>598</v>
      </c>
      <c r="L711" s="2" t="s">
        <v>81</v>
      </c>
      <c r="M711" s="1" t="s">
        <v>25</v>
      </c>
    </row>
    <row r="712" ht="15.75" customHeight="1">
      <c r="A712" s="2" t="s">
        <v>819</v>
      </c>
      <c r="B712" s="1" t="s">
        <v>14</v>
      </c>
      <c r="C712" s="1" t="s">
        <v>27</v>
      </c>
      <c r="D712" s="2" t="s">
        <v>76</v>
      </c>
      <c r="E712" s="2" t="s">
        <v>21</v>
      </c>
      <c r="F712" s="1" t="s">
        <v>55</v>
      </c>
      <c r="G712" s="1" t="s">
        <v>36</v>
      </c>
      <c r="H712" s="1" t="s">
        <v>20</v>
      </c>
      <c r="I712" s="2" t="s">
        <v>37</v>
      </c>
      <c r="J712" s="1" t="s">
        <v>43</v>
      </c>
      <c r="K712" s="1" t="s">
        <v>598</v>
      </c>
      <c r="L712" s="2" t="s">
        <v>104</v>
      </c>
      <c r="M712" s="1" t="s">
        <v>20</v>
      </c>
    </row>
    <row r="713" ht="15.75" customHeight="1">
      <c r="A713" s="2" t="s">
        <v>820</v>
      </c>
      <c r="B713" s="1" t="s">
        <v>14</v>
      </c>
      <c r="C713" s="1" t="s">
        <v>15</v>
      </c>
      <c r="D713" s="2" t="s">
        <v>42</v>
      </c>
      <c r="E713" s="2" t="s">
        <v>37</v>
      </c>
      <c r="F713" s="1" t="s">
        <v>30</v>
      </c>
      <c r="G713" s="1" t="s">
        <v>36</v>
      </c>
      <c r="H713" s="1" t="s">
        <v>20</v>
      </c>
      <c r="I713" s="2" t="s">
        <v>17</v>
      </c>
      <c r="J713" s="1" t="s">
        <v>69</v>
      </c>
      <c r="K713" s="1" t="s">
        <v>598</v>
      </c>
      <c r="L713" s="2" t="s">
        <v>63</v>
      </c>
      <c r="M713" s="1" t="s">
        <v>25</v>
      </c>
    </row>
    <row r="714" ht="15.75" customHeight="1">
      <c r="A714" s="2" t="s">
        <v>821</v>
      </c>
      <c r="B714" s="1" t="s">
        <v>14</v>
      </c>
      <c r="C714" s="1" t="s">
        <v>15</v>
      </c>
      <c r="D714" s="2" t="s">
        <v>16</v>
      </c>
      <c r="E714" s="2" t="s">
        <v>37</v>
      </c>
      <c r="F714" s="1" t="s">
        <v>55</v>
      </c>
      <c r="G714" s="1" t="s">
        <v>36</v>
      </c>
      <c r="H714" s="1" t="s">
        <v>25</v>
      </c>
      <c r="I714" s="2" t="s">
        <v>37</v>
      </c>
      <c r="J714" s="1" t="s">
        <v>38</v>
      </c>
      <c r="K714" s="1" t="s">
        <v>598</v>
      </c>
      <c r="L714" s="2" t="s">
        <v>81</v>
      </c>
      <c r="M714" s="1" t="s">
        <v>25</v>
      </c>
    </row>
    <row r="715" ht="15.75" customHeight="1">
      <c r="A715" s="2" t="s">
        <v>822</v>
      </c>
      <c r="B715" s="1" t="s">
        <v>41</v>
      </c>
      <c r="C715" s="1" t="s">
        <v>15</v>
      </c>
      <c r="D715" s="2" t="s">
        <v>42</v>
      </c>
      <c r="E715" s="2" t="s">
        <v>37</v>
      </c>
      <c r="F715" s="1" t="s">
        <v>18</v>
      </c>
      <c r="G715" s="1" t="s">
        <v>19</v>
      </c>
      <c r="H715" s="1" t="s">
        <v>20</v>
      </c>
      <c r="I715" s="2" t="s">
        <v>17</v>
      </c>
      <c r="J715" s="1" t="s">
        <v>38</v>
      </c>
      <c r="K715" s="1" t="s">
        <v>598</v>
      </c>
      <c r="L715" s="2" t="s">
        <v>79</v>
      </c>
      <c r="M715" s="1" t="s">
        <v>25</v>
      </c>
    </row>
    <row r="716" ht="15.75" customHeight="1">
      <c r="A716" s="2" t="s">
        <v>823</v>
      </c>
      <c r="B716" s="1" t="s">
        <v>14</v>
      </c>
      <c r="C716" s="1" t="s">
        <v>27</v>
      </c>
      <c r="D716" s="2" t="s">
        <v>16</v>
      </c>
      <c r="E716" s="2" t="s">
        <v>21</v>
      </c>
      <c r="F716" s="1" t="s">
        <v>55</v>
      </c>
      <c r="G716" s="1" t="s">
        <v>19</v>
      </c>
      <c r="H716" s="1" t="s">
        <v>20</v>
      </c>
      <c r="I716" s="2" t="s">
        <v>37</v>
      </c>
      <c r="J716" s="1" t="s">
        <v>43</v>
      </c>
      <c r="K716" s="1" t="s">
        <v>598</v>
      </c>
      <c r="L716" s="2" t="s">
        <v>118</v>
      </c>
      <c r="M716" s="1" t="s">
        <v>20</v>
      </c>
    </row>
    <row r="717" ht="15.75" customHeight="1">
      <c r="A717" s="2" t="s">
        <v>824</v>
      </c>
      <c r="B717" s="1" t="s">
        <v>14</v>
      </c>
      <c r="C717" s="1" t="s">
        <v>15</v>
      </c>
      <c r="D717" s="2" t="s">
        <v>76</v>
      </c>
      <c r="E717" s="2" t="s">
        <v>17</v>
      </c>
      <c r="F717" s="1" t="s">
        <v>87</v>
      </c>
      <c r="G717" s="1" t="s">
        <v>36</v>
      </c>
      <c r="H717" s="1" t="s">
        <v>20</v>
      </c>
      <c r="I717" s="2" t="s">
        <v>21</v>
      </c>
      <c r="J717" s="1" t="s">
        <v>38</v>
      </c>
      <c r="K717" s="1" t="s">
        <v>598</v>
      </c>
      <c r="L717" s="2" t="s">
        <v>153</v>
      </c>
      <c r="M717" s="1" t="s">
        <v>20</v>
      </c>
    </row>
    <row r="718" ht="15.75" customHeight="1">
      <c r="A718" s="2" t="s">
        <v>825</v>
      </c>
      <c r="B718" s="1" t="s">
        <v>41</v>
      </c>
      <c r="C718" s="1" t="s">
        <v>15</v>
      </c>
      <c r="D718" s="2" t="s">
        <v>34</v>
      </c>
      <c r="E718" s="2" t="s">
        <v>21</v>
      </c>
      <c r="F718" s="1" t="s">
        <v>87</v>
      </c>
      <c r="G718" s="1" t="s">
        <v>19</v>
      </c>
      <c r="H718" s="1" t="s">
        <v>25</v>
      </c>
      <c r="I718" s="2" t="s">
        <v>21</v>
      </c>
      <c r="J718" s="1" t="s">
        <v>22</v>
      </c>
      <c r="K718" s="1" t="s">
        <v>598</v>
      </c>
      <c r="L718" s="2" t="s">
        <v>100</v>
      </c>
      <c r="M718" s="1" t="s">
        <v>25</v>
      </c>
    </row>
    <row r="719" ht="15.75" customHeight="1">
      <c r="A719" s="2" t="s">
        <v>826</v>
      </c>
      <c r="B719" s="1" t="s">
        <v>41</v>
      </c>
      <c r="C719" s="1" t="s">
        <v>27</v>
      </c>
      <c r="D719" s="2" t="s">
        <v>68</v>
      </c>
      <c r="E719" s="2" t="s">
        <v>57</v>
      </c>
      <c r="F719" s="1" t="s">
        <v>18</v>
      </c>
      <c r="G719" s="1" t="s">
        <v>56</v>
      </c>
      <c r="H719" s="1" t="s">
        <v>20</v>
      </c>
      <c r="I719" s="2" t="s">
        <v>17</v>
      </c>
      <c r="J719" s="1" t="s">
        <v>51</v>
      </c>
      <c r="K719" s="1" t="s">
        <v>598</v>
      </c>
      <c r="L719" s="2" t="s">
        <v>79</v>
      </c>
      <c r="M719" s="1" t="s">
        <v>20</v>
      </c>
    </row>
    <row r="720" ht="15.75" customHeight="1">
      <c r="A720" s="2" t="s">
        <v>827</v>
      </c>
      <c r="B720" s="1" t="s">
        <v>14</v>
      </c>
      <c r="C720" s="1" t="s">
        <v>27</v>
      </c>
      <c r="D720" s="2" t="s">
        <v>42</v>
      </c>
      <c r="E720" s="2" t="s">
        <v>57</v>
      </c>
      <c r="F720" s="1" t="s">
        <v>87</v>
      </c>
      <c r="G720" s="1" t="s">
        <v>36</v>
      </c>
      <c r="H720" s="1" t="s">
        <v>20</v>
      </c>
      <c r="I720" s="2" t="s">
        <v>21</v>
      </c>
      <c r="J720" s="1" t="s">
        <v>38</v>
      </c>
      <c r="K720" s="1" t="s">
        <v>598</v>
      </c>
      <c r="L720" s="2" t="s">
        <v>47</v>
      </c>
      <c r="M720" s="1" t="s">
        <v>20</v>
      </c>
    </row>
    <row r="721" ht="15.75" customHeight="1">
      <c r="A721" s="2" t="s">
        <v>828</v>
      </c>
      <c r="B721" s="1" t="s">
        <v>14</v>
      </c>
      <c r="C721" s="1" t="s">
        <v>15</v>
      </c>
      <c r="D721" s="2" t="s">
        <v>42</v>
      </c>
      <c r="E721" s="2" t="s">
        <v>35</v>
      </c>
      <c r="F721" s="1" t="s">
        <v>87</v>
      </c>
      <c r="G721" s="1" t="s">
        <v>36</v>
      </c>
      <c r="H721" s="1" t="s">
        <v>20</v>
      </c>
      <c r="I721" s="2" t="s">
        <v>37</v>
      </c>
      <c r="J721" s="1" t="s">
        <v>22</v>
      </c>
      <c r="K721" s="1" t="s">
        <v>598</v>
      </c>
      <c r="L721" s="2" t="s">
        <v>153</v>
      </c>
      <c r="M721" s="1" t="s">
        <v>25</v>
      </c>
    </row>
    <row r="722" ht="15.75" customHeight="1">
      <c r="A722" s="2" t="s">
        <v>829</v>
      </c>
      <c r="B722" s="1" t="s">
        <v>41</v>
      </c>
      <c r="C722" s="1" t="s">
        <v>15</v>
      </c>
      <c r="D722" s="2" t="s">
        <v>16</v>
      </c>
      <c r="E722" s="2" t="s">
        <v>35</v>
      </c>
      <c r="F722" s="1" t="s">
        <v>55</v>
      </c>
      <c r="G722" s="1" t="s">
        <v>36</v>
      </c>
      <c r="H722" s="1" t="s">
        <v>25</v>
      </c>
      <c r="I722" s="2" t="s">
        <v>29</v>
      </c>
      <c r="J722" s="1" t="s">
        <v>38</v>
      </c>
      <c r="K722" s="1" t="s">
        <v>598</v>
      </c>
      <c r="L722" s="2" t="s">
        <v>39</v>
      </c>
      <c r="M722" s="1" t="s">
        <v>20</v>
      </c>
    </row>
    <row r="723" ht="15.75" customHeight="1">
      <c r="A723" s="2" t="s">
        <v>830</v>
      </c>
      <c r="B723" s="1" t="s">
        <v>41</v>
      </c>
      <c r="C723" s="1" t="s">
        <v>27</v>
      </c>
      <c r="D723" s="2" t="s">
        <v>276</v>
      </c>
      <c r="E723" s="2" t="s">
        <v>57</v>
      </c>
      <c r="F723" s="1" t="s">
        <v>18</v>
      </c>
      <c r="G723" s="1" t="s">
        <v>56</v>
      </c>
      <c r="H723" s="1" t="s">
        <v>20</v>
      </c>
      <c r="I723" s="2" t="s">
        <v>57</v>
      </c>
      <c r="J723" s="1" t="s">
        <v>43</v>
      </c>
      <c r="K723" s="1" t="s">
        <v>598</v>
      </c>
      <c r="L723" s="2" t="s">
        <v>24</v>
      </c>
      <c r="M723" s="1" t="s">
        <v>20</v>
      </c>
    </row>
    <row r="724" ht="15.75" customHeight="1">
      <c r="A724" s="2" t="s">
        <v>831</v>
      </c>
      <c r="B724" s="1" t="s">
        <v>41</v>
      </c>
      <c r="C724" s="1" t="s">
        <v>15</v>
      </c>
      <c r="D724" s="2" t="s">
        <v>42</v>
      </c>
      <c r="E724" s="2" t="s">
        <v>29</v>
      </c>
      <c r="F724" s="1" t="s">
        <v>87</v>
      </c>
      <c r="G724" s="1" t="s">
        <v>56</v>
      </c>
      <c r="H724" s="1" t="s">
        <v>25</v>
      </c>
      <c r="I724" s="2" t="s">
        <v>37</v>
      </c>
      <c r="J724" s="1" t="s">
        <v>51</v>
      </c>
      <c r="K724" s="1" t="s">
        <v>598</v>
      </c>
      <c r="L724" s="2" t="s">
        <v>201</v>
      </c>
      <c r="M724" s="1" t="s">
        <v>25</v>
      </c>
    </row>
    <row r="725" ht="15.75" customHeight="1">
      <c r="A725" s="2" t="s">
        <v>832</v>
      </c>
      <c r="B725" s="1" t="s">
        <v>41</v>
      </c>
      <c r="C725" s="1" t="s">
        <v>15</v>
      </c>
      <c r="D725" s="2" t="s">
        <v>34</v>
      </c>
      <c r="E725" s="2" t="s">
        <v>37</v>
      </c>
      <c r="F725" s="1" t="s">
        <v>62</v>
      </c>
      <c r="G725" s="1" t="s">
        <v>19</v>
      </c>
      <c r="H725" s="1" t="s">
        <v>20</v>
      </c>
      <c r="I725" s="2" t="s">
        <v>37</v>
      </c>
      <c r="J725" s="1" t="s">
        <v>43</v>
      </c>
      <c r="K725" s="1" t="s">
        <v>598</v>
      </c>
      <c r="L725" s="2" t="s">
        <v>195</v>
      </c>
      <c r="M725" s="1" t="s">
        <v>25</v>
      </c>
    </row>
    <row r="726" ht="15.75" customHeight="1">
      <c r="A726" s="2" t="s">
        <v>833</v>
      </c>
      <c r="B726" s="1" t="s">
        <v>14</v>
      </c>
      <c r="C726" s="1" t="s">
        <v>27</v>
      </c>
      <c r="D726" s="2" t="s">
        <v>28</v>
      </c>
      <c r="E726" s="2" t="s">
        <v>37</v>
      </c>
      <c r="F726" s="1" t="s">
        <v>55</v>
      </c>
      <c r="G726" s="1" t="s">
        <v>19</v>
      </c>
      <c r="H726" s="1" t="s">
        <v>20</v>
      </c>
      <c r="I726" s="2" t="s">
        <v>37</v>
      </c>
      <c r="J726" s="1" t="s">
        <v>51</v>
      </c>
      <c r="K726" s="1" t="s">
        <v>598</v>
      </c>
      <c r="L726" s="2" t="s">
        <v>195</v>
      </c>
      <c r="M726" s="1" t="s">
        <v>25</v>
      </c>
    </row>
    <row r="727" ht="15.75" customHeight="1">
      <c r="A727" s="2" t="s">
        <v>834</v>
      </c>
      <c r="B727" s="1" t="s">
        <v>14</v>
      </c>
      <c r="C727" s="1" t="s">
        <v>27</v>
      </c>
      <c r="D727" s="2" t="s">
        <v>144</v>
      </c>
      <c r="E727" s="2" t="s">
        <v>37</v>
      </c>
      <c r="F727" s="1" t="s">
        <v>87</v>
      </c>
      <c r="G727" s="1" t="s">
        <v>56</v>
      </c>
      <c r="H727" s="1" t="s">
        <v>20</v>
      </c>
      <c r="I727" s="2" t="s">
        <v>29</v>
      </c>
      <c r="J727" s="1" t="s">
        <v>22</v>
      </c>
      <c r="K727" s="1" t="s">
        <v>598</v>
      </c>
      <c r="L727" s="2" t="s">
        <v>24</v>
      </c>
      <c r="M727" s="1" t="s">
        <v>20</v>
      </c>
    </row>
    <row r="728" ht="15.75" customHeight="1">
      <c r="A728" s="2" t="s">
        <v>835</v>
      </c>
      <c r="B728" s="1" t="s">
        <v>14</v>
      </c>
      <c r="C728" s="1" t="s">
        <v>27</v>
      </c>
      <c r="D728" s="2" t="s">
        <v>61</v>
      </c>
      <c r="E728" s="2" t="s">
        <v>37</v>
      </c>
      <c r="F728" s="1" t="s">
        <v>55</v>
      </c>
      <c r="G728" s="1" t="s">
        <v>50</v>
      </c>
      <c r="H728" s="1" t="s">
        <v>25</v>
      </c>
      <c r="I728" s="2" t="s">
        <v>37</v>
      </c>
      <c r="J728" s="1" t="s">
        <v>22</v>
      </c>
      <c r="K728" s="1" t="s">
        <v>598</v>
      </c>
      <c r="L728" s="2" t="s">
        <v>201</v>
      </c>
      <c r="M728" s="1" t="s">
        <v>25</v>
      </c>
    </row>
    <row r="729" ht="15.75" customHeight="1">
      <c r="A729" s="2" t="s">
        <v>836</v>
      </c>
      <c r="B729" s="1" t="s">
        <v>14</v>
      </c>
      <c r="C729" s="1" t="s">
        <v>27</v>
      </c>
      <c r="D729" s="2" t="s">
        <v>42</v>
      </c>
      <c r="E729" s="2" t="s">
        <v>17</v>
      </c>
      <c r="F729" s="1" t="s">
        <v>87</v>
      </c>
      <c r="G729" s="1" t="s">
        <v>36</v>
      </c>
      <c r="H729" s="1" t="s">
        <v>20</v>
      </c>
      <c r="I729" s="2" t="s">
        <v>17</v>
      </c>
      <c r="J729" s="1" t="s">
        <v>22</v>
      </c>
      <c r="K729" s="1" t="s">
        <v>598</v>
      </c>
      <c r="L729" s="2" t="s">
        <v>130</v>
      </c>
      <c r="M729" s="1" t="s">
        <v>20</v>
      </c>
    </row>
    <row r="730" ht="15.75" customHeight="1">
      <c r="A730" s="2" t="s">
        <v>837</v>
      </c>
      <c r="B730" s="1" t="s">
        <v>14</v>
      </c>
      <c r="C730" s="1" t="s">
        <v>27</v>
      </c>
      <c r="D730" s="2" t="s">
        <v>16</v>
      </c>
      <c r="E730" s="2" t="s">
        <v>21</v>
      </c>
      <c r="F730" s="1" t="s">
        <v>55</v>
      </c>
      <c r="G730" s="1" t="s">
        <v>19</v>
      </c>
      <c r="H730" s="1" t="s">
        <v>20</v>
      </c>
      <c r="I730" s="2" t="s">
        <v>37</v>
      </c>
      <c r="J730" s="1" t="s">
        <v>43</v>
      </c>
      <c r="K730" s="1" t="s">
        <v>598</v>
      </c>
      <c r="L730" s="2" t="s">
        <v>245</v>
      </c>
      <c r="M730" s="1" t="s">
        <v>25</v>
      </c>
    </row>
    <row r="731" ht="15.75" customHeight="1">
      <c r="A731" s="2" t="s">
        <v>838</v>
      </c>
      <c r="B731" s="1" t="s">
        <v>14</v>
      </c>
      <c r="C731" s="1" t="s">
        <v>15</v>
      </c>
      <c r="D731" s="2" t="s">
        <v>76</v>
      </c>
      <c r="E731" s="2" t="s">
        <v>29</v>
      </c>
      <c r="F731" s="1" t="s">
        <v>18</v>
      </c>
      <c r="G731" s="1" t="s">
        <v>36</v>
      </c>
      <c r="H731" s="1" t="s">
        <v>20</v>
      </c>
      <c r="I731" s="2" t="s">
        <v>17</v>
      </c>
      <c r="J731" s="1" t="s">
        <v>22</v>
      </c>
      <c r="K731" s="1" t="s">
        <v>598</v>
      </c>
      <c r="L731" s="2" t="s">
        <v>125</v>
      </c>
      <c r="M731" s="1" t="s">
        <v>20</v>
      </c>
    </row>
    <row r="732" ht="15.75" customHeight="1">
      <c r="A732" s="2" t="s">
        <v>839</v>
      </c>
      <c r="B732" s="1" t="s">
        <v>41</v>
      </c>
      <c r="C732" s="1" t="s">
        <v>15</v>
      </c>
      <c r="D732" s="2" t="s">
        <v>76</v>
      </c>
      <c r="E732" s="2" t="s">
        <v>57</v>
      </c>
      <c r="F732" s="1" t="s">
        <v>18</v>
      </c>
      <c r="G732" s="1" t="s">
        <v>19</v>
      </c>
      <c r="H732" s="1" t="s">
        <v>20</v>
      </c>
      <c r="I732" s="2" t="s">
        <v>37</v>
      </c>
      <c r="J732" s="1" t="s">
        <v>38</v>
      </c>
      <c r="K732" s="1" t="s">
        <v>598</v>
      </c>
      <c r="L732" s="2" t="s">
        <v>45</v>
      </c>
      <c r="M732" s="1" t="s">
        <v>20</v>
      </c>
    </row>
    <row r="733" ht="15.75" customHeight="1">
      <c r="A733" s="2" t="s">
        <v>840</v>
      </c>
      <c r="B733" s="1" t="s">
        <v>14</v>
      </c>
      <c r="C733" s="1" t="s">
        <v>27</v>
      </c>
      <c r="D733" s="2" t="s">
        <v>76</v>
      </c>
      <c r="E733" s="2" t="s">
        <v>37</v>
      </c>
      <c r="F733" s="1" t="s">
        <v>55</v>
      </c>
      <c r="G733" s="1" t="s">
        <v>36</v>
      </c>
      <c r="H733" s="1" t="s">
        <v>25</v>
      </c>
      <c r="I733" s="2" t="s">
        <v>37</v>
      </c>
      <c r="J733" s="1" t="s">
        <v>51</v>
      </c>
      <c r="K733" s="1" t="s">
        <v>598</v>
      </c>
      <c r="L733" s="2" t="s">
        <v>195</v>
      </c>
      <c r="M733" s="1" t="s">
        <v>20</v>
      </c>
    </row>
    <row r="734" ht="15.75" customHeight="1">
      <c r="A734" s="2" t="s">
        <v>841</v>
      </c>
      <c r="B734" s="1" t="s">
        <v>41</v>
      </c>
      <c r="C734" s="1" t="s">
        <v>15</v>
      </c>
      <c r="D734" s="2" t="s">
        <v>76</v>
      </c>
      <c r="E734" s="2" t="s">
        <v>21</v>
      </c>
      <c r="F734" s="1" t="s">
        <v>87</v>
      </c>
      <c r="G734" s="1" t="s">
        <v>36</v>
      </c>
      <c r="H734" s="1" t="s">
        <v>20</v>
      </c>
      <c r="I734" s="2" t="s">
        <v>17</v>
      </c>
      <c r="J734" s="1" t="s">
        <v>38</v>
      </c>
      <c r="K734" s="1" t="s">
        <v>598</v>
      </c>
      <c r="L734" s="2" t="s">
        <v>79</v>
      </c>
      <c r="M734" s="1" t="s">
        <v>20</v>
      </c>
    </row>
    <row r="735" ht="15.75" customHeight="1">
      <c r="A735" s="2" t="s">
        <v>842</v>
      </c>
      <c r="B735" s="1" t="s">
        <v>41</v>
      </c>
      <c r="C735" s="1" t="s">
        <v>27</v>
      </c>
      <c r="D735" s="2" t="s">
        <v>144</v>
      </c>
      <c r="E735" s="2" t="s">
        <v>17</v>
      </c>
      <c r="F735" s="1" t="s">
        <v>18</v>
      </c>
      <c r="G735" s="1" t="s">
        <v>56</v>
      </c>
      <c r="H735" s="1" t="s">
        <v>25</v>
      </c>
      <c r="I735" s="2" t="s">
        <v>57</v>
      </c>
      <c r="J735" s="1" t="s">
        <v>22</v>
      </c>
      <c r="K735" s="1" t="s">
        <v>598</v>
      </c>
      <c r="L735" s="2" t="s">
        <v>102</v>
      </c>
      <c r="M735" s="1" t="s">
        <v>25</v>
      </c>
    </row>
    <row r="736" ht="15.75" customHeight="1">
      <c r="A736" s="2" t="s">
        <v>843</v>
      </c>
      <c r="B736" s="1" t="s">
        <v>41</v>
      </c>
      <c r="C736" s="1" t="s">
        <v>15</v>
      </c>
      <c r="D736" s="2" t="s">
        <v>144</v>
      </c>
      <c r="E736" s="2" t="s">
        <v>17</v>
      </c>
      <c r="F736" s="1" t="s">
        <v>18</v>
      </c>
      <c r="G736" s="1" t="s">
        <v>56</v>
      </c>
      <c r="H736" s="1" t="s">
        <v>25</v>
      </c>
      <c r="I736" s="2" t="s">
        <v>29</v>
      </c>
      <c r="J736" s="1" t="s">
        <v>22</v>
      </c>
      <c r="K736" s="1" t="s">
        <v>598</v>
      </c>
      <c r="L736" s="2" t="s">
        <v>77</v>
      </c>
      <c r="M736" s="1" t="s">
        <v>20</v>
      </c>
    </row>
    <row r="737" ht="15.75" customHeight="1">
      <c r="A737" s="2" t="s">
        <v>844</v>
      </c>
      <c r="B737" s="1" t="s">
        <v>41</v>
      </c>
      <c r="C737" s="1" t="s">
        <v>15</v>
      </c>
      <c r="D737" s="2" t="s">
        <v>28</v>
      </c>
      <c r="E737" s="2" t="s">
        <v>21</v>
      </c>
      <c r="F737" s="1" t="s">
        <v>30</v>
      </c>
      <c r="G737" s="1" t="s">
        <v>19</v>
      </c>
      <c r="H737" s="1" t="s">
        <v>20</v>
      </c>
      <c r="I737" s="2" t="s">
        <v>17</v>
      </c>
      <c r="J737" s="1" t="s">
        <v>43</v>
      </c>
      <c r="K737" s="1" t="s">
        <v>598</v>
      </c>
      <c r="L737" s="2" t="s">
        <v>107</v>
      </c>
      <c r="M737" s="1" t="s">
        <v>25</v>
      </c>
    </row>
    <row r="738" ht="15.75" customHeight="1">
      <c r="A738" s="2" t="s">
        <v>845</v>
      </c>
      <c r="B738" s="1" t="s">
        <v>14</v>
      </c>
      <c r="C738" s="1" t="s">
        <v>27</v>
      </c>
      <c r="D738" s="2" t="s">
        <v>16</v>
      </c>
      <c r="E738" s="2" t="s">
        <v>21</v>
      </c>
      <c r="F738" s="1" t="s">
        <v>55</v>
      </c>
      <c r="G738" s="1" t="s">
        <v>19</v>
      </c>
      <c r="H738" s="1" t="s">
        <v>20</v>
      </c>
      <c r="I738" s="2" t="s">
        <v>17</v>
      </c>
      <c r="J738" s="1" t="s">
        <v>43</v>
      </c>
      <c r="K738" s="1" t="s">
        <v>598</v>
      </c>
      <c r="L738" s="2" t="s">
        <v>109</v>
      </c>
      <c r="M738" s="1" t="s">
        <v>25</v>
      </c>
    </row>
    <row r="739" ht="15.75" customHeight="1">
      <c r="A739" s="2" t="s">
        <v>846</v>
      </c>
      <c r="B739" s="1" t="s">
        <v>14</v>
      </c>
      <c r="C739" s="1" t="s">
        <v>27</v>
      </c>
      <c r="D739" s="2" t="s">
        <v>42</v>
      </c>
      <c r="E739" s="2" t="s">
        <v>37</v>
      </c>
      <c r="F739" s="1" t="s">
        <v>62</v>
      </c>
      <c r="G739" s="1" t="s">
        <v>19</v>
      </c>
      <c r="H739" s="1" t="s">
        <v>25</v>
      </c>
      <c r="I739" s="2" t="s">
        <v>37</v>
      </c>
      <c r="J739" s="1" t="s">
        <v>51</v>
      </c>
      <c r="K739" s="1" t="s">
        <v>598</v>
      </c>
      <c r="L739" s="2" t="s">
        <v>195</v>
      </c>
      <c r="M739" s="1" t="s">
        <v>25</v>
      </c>
    </row>
    <row r="740" ht="15.75" customHeight="1">
      <c r="A740" s="2" t="s">
        <v>847</v>
      </c>
      <c r="B740" s="1" t="s">
        <v>41</v>
      </c>
      <c r="C740" s="1" t="s">
        <v>15</v>
      </c>
      <c r="D740" s="2" t="s">
        <v>16</v>
      </c>
      <c r="E740" s="2" t="s">
        <v>37</v>
      </c>
      <c r="F740" s="1" t="s">
        <v>30</v>
      </c>
      <c r="G740" s="1" t="s">
        <v>31</v>
      </c>
      <c r="H740" s="1" t="s">
        <v>25</v>
      </c>
      <c r="I740" s="2" t="s">
        <v>17</v>
      </c>
      <c r="J740" s="1" t="s">
        <v>51</v>
      </c>
      <c r="K740" s="1" t="s">
        <v>598</v>
      </c>
      <c r="L740" s="2" t="s">
        <v>83</v>
      </c>
      <c r="M740" s="1" t="s">
        <v>20</v>
      </c>
    </row>
    <row r="741" ht="15.75" customHeight="1">
      <c r="A741" s="2" t="s">
        <v>848</v>
      </c>
      <c r="B741" s="1" t="s">
        <v>14</v>
      </c>
      <c r="C741" s="1" t="s">
        <v>15</v>
      </c>
      <c r="D741" s="2" t="s">
        <v>76</v>
      </c>
      <c r="E741" s="2" t="s">
        <v>37</v>
      </c>
      <c r="F741" s="1" t="s">
        <v>30</v>
      </c>
      <c r="G741" s="1" t="s">
        <v>36</v>
      </c>
      <c r="H741" s="1" t="s">
        <v>20</v>
      </c>
      <c r="I741" s="2" t="s">
        <v>17</v>
      </c>
      <c r="J741" s="1" t="s">
        <v>69</v>
      </c>
      <c r="K741" s="1" t="s">
        <v>598</v>
      </c>
      <c r="L741" s="2" t="s">
        <v>72</v>
      </c>
      <c r="M741" s="1" t="s">
        <v>25</v>
      </c>
    </row>
    <row r="742" ht="15.75" customHeight="1">
      <c r="A742" s="2" t="s">
        <v>849</v>
      </c>
      <c r="B742" s="1" t="s">
        <v>14</v>
      </c>
      <c r="C742" s="1" t="s">
        <v>27</v>
      </c>
      <c r="D742" s="2" t="s">
        <v>16</v>
      </c>
      <c r="E742" s="2" t="s">
        <v>57</v>
      </c>
      <c r="F742" s="1" t="s">
        <v>30</v>
      </c>
      <c r="G742" s="1" t="s">
        <v>31</v>
      </c>
      <c r="H742" s="1" t="s">
        <v>25</v>
      </c>
      <c r="I742" s="2" t="s">
        <v>21</v>
      </c>
      <c r="J742" s="1" t="s">
        <v>22</v>
      </c>
      <c r="K742" s="1" t="s">
        <v>598</v>
      </c>
      <c r="L742" s="2" t="s">
        <v>116</v>
      </c>
      <c r="M742" s="1" t="s">
        <v>25</v>
      </c>
    </row>
    <row r="743" ht="15.75" customHeight="1">
      <c r="A743" s="2" t="s">
        <v>850</v>
      </c>
      <c r="B743" s="1" t="s">
        <v>14</v>
      </c>
      <c r="C743" s="1" t="s">
        <v>15</v>
      </c>
      <c r="D743" s="2" t="s">
        <v>16</v>
      </c>
      <c r="E743" s="2" t="s">
        <v>17</v>
      </c>
      <c r="F743" s="1" t="s">
        <v>30</v>
      </c>
      <c r="G743" s="1" t="s">
        <v>31</v>
      </c>
      <c r="H743" s="1" t="s">
        <v>20</v>
      </c>
      <c r="I743" s="2" t="s">
        <v>17</v>
      </c>
      <c r="J743" s="1" t="s">
        <v>51</v>
      </c>
      <c r="K743" s="1" t="s">
        <v>598</v>
      </c>
      <c r="L743" s="2" t="s">
        <v>125</v>
      </c>
      <c r="M743" s="1" t="s">
        <v>20</v>
      </c>
    </row>
    <row r="744" ht="15.75" customHeight="1">
      <c r="A744" s="2" t="s">
        <v>851</v>
      </c>
      <c r="B744" s="1" t="s">
        <v>41</v>
      </c>
      <c r="C744" s="1" t="s">
        <v>27</v>
      </c>
      <c r="D744" s="2" t="s">
        <v>28</v>
      </c>
      <c r="E744" s="2" t="s">
        <v>21</v>
      </c>
      <c r="F744" s="1" t="s">
        <v>55</v>
      </c>
      <c r="G744" s="1" t="s">
        <v>19</v>
      </c>
      <c r="H744" s="1" t="s">
        <v>20</v>
      </c>
      <c r="I744" s="2" t="s">
        <v>37</v>
      </c>
      <c r="J744" s="1" t="s">
        <v>43</v>
      </c>
      <c r="K744" s="1" t="s">
        <v>598</v>
      </c>
      <c r="L744" s="2" t="s">
        <v>116</v>
      </c>
      <c r="M744" s="1" t="s">
        <v>25</v>
      </c>
    </row>
    <row r="745" ht="15.75" customHeight="1">
      <c r="A745" s="2" t="s">
        <v>852</v>
      </c>
      <c r="B745" s="1" t="s">
        <v>14</v>
      </c>
      <c r="C745" s="1" t="s">
        <v>27</v>
      </c>
      <c r="D745" s="2" t="s">
        <v>276</v>
      </c>
      <c r="E745" s="2" t="s">
        <v>17</v>
      </c>
      <c r="F745" s="1" t="s">
        <v>18</v>
      </c>
      <c r="G745" s="1" t="s">
        <v>56</v>
      </c>
      <c r="H745" s="1" t="s">
        <v>20</v>
      </c>
      <c r="I745" s="2" t="s">
        <v>29</v>
      </c>
      <c r="J745" s="1" t="s">
        <v>43</v>
      </c>
      <c r="K745" s="1" t="s">
        <v>598</v>
      </c>
      <c r="L745" s="2" t="s">
        <v>77</v>
      </c>
      <c r="M745" s="1" t="s">
        <v>25</v>
      </c>
    </row>
    <row r="746" ht="15.75" customHeight="1">
      <c r="A746" s="2" t="s">
        <v>853</v>
      </c>
      <c r="B746" s="1" t="s">
        <v>14</v>
      </c>
      <c r="C746" s="1" t="s">
        <v>15</v>
      </c>
      <c r="D746" s="2" t="s">
        <v>42</v>
      </c>
      <c r="E746" s="2" t="s">
        <v>57</v>
      </c>
      <c r="F746" s="1" t="s">
        <v>30</v>
      </c>
      <c r="G746" s="1" t="s">
        <v>36</v>
      </c>
      <c r="H746" s="1" t="s">
        <v>20</v>
      </c>
      <c r="I746" s="2" t="s">
        <v>17</v>
      </c>
      <c r="J746" s="1" t="s">
        <v>69</v>
      </c>
      <c r="K746" s="1" t="s">
        <v>598</v>
      </c>
      <c r="L746" s="2" t="s">
        <v>91</v>
      </c>
      <c r="M746" s="1" t="s">
        <v>25</v>
      </c>
    </row>
    <row r="747" ht="15.75" customHeight="1">
      <c r="A747" s="2" t="s">
        <v>854</v>
      </c>
      <c r="B747" s="1" t="s">
        <v>14</v>
      </c>
      <c r="C747" s="1" t="s">
        <v>27</v>
      </c>
      <c r="D747" s="2" t="s">
        <v>76</v>
      </c>
      <c r="E747" s="2" t="s">
        <v>57</v>
      </c>
      <c r="F747" s="1" t="s">
        <v>87</v>
      </c>
      <c r="G747" s="1" t="s">
        <v>19</v>
      </c>
      <c r="H747" s="1" t="s">
        <v>20</v>
      </c>
      <c r="I747" s="2" t="s">
        <v>21</v>
      </c>
      <c r="J747" s="1" t="s">
        <v>51</v>
      </c>
      <c r="K747" s="1" t="s">
        <v>598</v>
      </c>
      <c r="L747" s="2" t="s">
        <v>83</v>
      </c>
      <c r="M747" s="1" t="s">
        <v>20</v>
      </c>
    </row>
    <row r="748" ht="15.75" customHeight="1">
      <c r="A748" s="2" t="s">
        <v>855</v>
      </c>
      <c r="B748" s="1" t="s">
        <v>14</v>
      </c>
      <c r="C748" s="1" t="s">
        <v>15</v>
      </c>
      <c r="D748" s="2" t="s">
        <v>76</v>
      </c>
      <c r="E748" s="2" t="s">
        <v>37</v>
      </c>
      <c r="F748" s="1" t="s">
        <v>18</v>
      </c>
      <c r="G748" s="1" t="s">
        <v>56</v>
      </c>
      <c r="H748" s="1" t="s">
        <v>20</v>
      </c>
      <c r="I748" s="2" t="s">
        <v>21</v>
      </c>
      <c r="J748" s="1" t="s">
        <v>69</v>
      </c>
      <c r="K748" s="1" t="s">
        <v>598</v>
      </c>
      <c r="L748" s="2" t="s">
        <v>91</v>
      </c>
      <c r="M748" s="1" t="s">
        <v>25</v>
      </c>
    </row>
    <row r="749" ht="15.75" customHeight="1">
      <c r="A749" s="2" t="s">
        <v>856</v>
      </c>
      <c r="B749" s="1" t="s">
        <v>41</v>
      </c>
      <c r="C749" s="1" t="s">
        <v>15</v>
      </c>
      <c r="D749" s="2" t="s">
        <v>42</v>
      </c>
      <c r="E749" s="2" t="s">
        <v>17</v>
      </c>
      <c r="F749" s="1" t="s">
        <v>18</v>
      </c>
      <c r="G749" s="1" t="s">
        <v>36</v>
      </c>
      <c r="H749" s="1" t="s">
        <v>25</v>
      </c>
      <c r="I749" s="2" t="s">
        <v>17</v>
      </c>
      <c r="J749" s="1" t="s">
        <v>22</v>
      </c>
      <c r="K749" s="1" t="s">
        <v>598</v>
      </c>
      <c r="L749" s="2" t="s">
        <v>102</v>
      </c>
      <c r="M749" s="1" t="s">
        <v>25</v>
      </c>
    </row>
    <row r="750" ht="15.75" customHeight="1">
      <c r="A750" s="2" t="s">
        <v>857</v>
      </c>
      <c r="B750" s="1" t="s">
        <v>14</v>
      </c>
      <c r="C750" s="1" t="s">
        <v>27</v>
      </c>
      <c r="D750" s="2" t="s">
        <v>144</v>
      </c>
      <c r="E750" s="2" t="s">
        <v>37</v>
      </c>
      <c r="F750" s="1" t="s">
        <v>87</v>
      </c>
      <c r="G750" s="1" t="s">
        <v>56</v>
      </c>
      <c r="H750" s="1" t="s">
        <v>20</v>
      </c>
      <c r="I750" s="2" t="s">
        <v>29</v>
      </c>
      <c r="J750" s="1" t="s">
        <v>38</v>
      </c>
      <c r="K750" s="1" t="s">
        <v>598</v>
      </c>
      <c r="L750" s="2" t="s">
        <v>403</v>
      </c>
      <c r="M750" s="1" t="s">
        <v>25</v>
      </c>
    </row>
    <row r="751" ht="15.75" customHeight="1">
      <c r="A751" s="2" t="s">
        <v>858</v>
      </c>
      <c r="B751" s="1" t="s">
        <v>14</v>
      </c>
      <c r="C751" s="1" t="s">
        <v>15</v>
      </c>
      <c r="D751" s="2" t="s">
        <v>42</v>
      </c>
      <c r="E751" s="2" t="s">
        <v>37</v>
      </c>
      <c r="F751" s="1" t="s">
        <v>30</v>
      </c>
      <c r="G751" s="1" t="s">
        <v>36</v>
      </c>
      <c r="H751" s="1" t="s">
        <v>20</v>
      </c>
      <c r="I751" s="2" t="s">
        <v>17</v>
      </c>
      <c r="J751" s="1" t="s">
        <v>38</v>
      </c>
      <c r="K751" s="1" t="s">
        <v>598</v>
      </c>
      <c r="L751" s="2" t="s">
        <v>81</v>
      </c>
      <c r="M751" s="1" t="s">
        <v>25</v>
      </c>
    </row>
    <row r="752" ht="15.75" customHeight="1">
      <c r="A752" s="2" t="s">
        <v>859</v>
      </c>
      <c r="B752" s="1" t="s">
        <v>14</v>
      </c>
      <c r="C752" s="1" t="s">
        <v>27</v>
      </c>
      <c r="D752" s="2" t="s">
        <v>28</v>
      </c>
      <c r="E752" s="2" t="s">
        <v>37</v>
      </c>
      <c r="F752" s="1" t="s">
        <v>55</v>
      </c>
      <c r="G752" s="1" t="s">
        <v>19</v>
      </c>
      <c r="H752" s="1" t="s">
        <v>20</v>
      </c>
      <c r="I752" s="2" t="s">
        <v>37</v>
      </c>
      <c r="J752" s="1" t="s">
        <v>51</v>
      </c>
      <c r="K752" s="1" t="s">
        <v>598</v>
      </c>
      <c r="L752" s="2" t="s">
        <v>52</v>
      </c>
      <c r="M752" s="1" t="s">
        <v>25</v>
      </c>
    </row>
    <row r="753" ht="15.75" customHeight="1">
      <c r="A753" s="2" t="s">
        <v>860</v>
      </c>
      <c r="B753" s="1" t="s">
        <v>14</v>
      </c>
      <c r="C753" s="1" t="s">
        <v>27</v>
      </c>
      <c r="D753" s="2" t="s">
        <v>76</v>
      </c>
      <c r="E753" s="2" t="s">
        <v>17</v>
      </c>
      <c r="F753" s="1" t="s">
        <v>87</v>
      </c>
      <c r="G753" s="1" t="s">
        <v>36</v>
      </c>
      <c r="H753" s="1" t="s">
        <v>20</v>
      </c>
      <c r="I753" s="2" t="s">
        <v>21</v>
      </c>
      <c r="J753" s="1" t="s">
        <v>38</v>
      </c>
      <c r="K753" s="1" t="s">
        <v>598</v>
      </c>
      <c r="L753" s="2" t="s">
        <v>47</v>
      </c>
      <c r="M753" s="1" t="s">
        <v>25</v>
      </c>
    </row>
    <row r="754" ht="15.75" customHeight="1">
      <c r="A754" s="2" t="s">
        <v>861</v>
      </c>
      <c r="B754" s="1" t="s">
        <v>14</v>
      </c>
      <c r="C754" s="1" t="s">
        <v>27</v>
      </c>
      <c r="D754" s="2" t="s">
        <v>76</v>
      </c>
      <c r="E754" s="2" t="s">
        <v>21</v>
      </c>
      <c r="F754" s="1" t="s">
        <v>30</v>
      </c>
      <c r="G754" s="1" t="s">
        <v>36</v>
      </c>
      <c r="H754" s="1" t="s">
        <v>20</v>
      </c>
      <c r="I754" s="2" t="s">
        <v>37</v>
      </c>
      <c r="J754" s="1" t="s">
        <v>43</v>
      </c>
      <c r="K754" s="1" t="s">
        <v>598</v>
      </c>
      <c r="L754" s="2" t="s">
        <v>104</v>
      </c>
      <c r="M754" s="1" t="s">
        <v>25</v>
      </c>
    </row>
    <row r="755" ht="15.75" customHeight="1">
      <c r="A755" s="2" t="s">
        <v>862</v>
      </c>
      <c r="B755" s="1" t="s">
        <v>41</v>
      </c>
      <c r="C755" s="1" t="s">
        <v>15</v>
      </c>
      <c r="D755" s="2" t="s">
        <v>16</v>
      </c>
      <c r="E755" s="2" t="s">
        <v>21</v>
      </c>
      <c r="F755" s="1" t="s">
        <v>30</v>
      </c>
      <c r="G755" s="1" t="s">
        <v>19</v>
      </c>
      <c r="H755" s="1" t="s">
        <v>25</v>
      </c>
      <c r="I755" s="2" t="s">
        <v>17</v>
      </c>
      <c r="J755" s="1" t="s">
        <v>51</v>
      </c>
      <c r="K755" s="1" t="s">
        <v>598</v>
      </c>
      <c r="L755" s="2" t="s">
        <v>245</v>
      </c>
      <c r="M755" s="1" t="s">
        <v>25</v>
      </c>
    </row>
    <row r="756" ht="15.75" customHeight="1">
      <c r="A756" s="2" t="s">
        <v>863</v>
      </c>
      <c r="B756" s="1" t="s">
        <v>14</v>
      </c>
      <c r="C756" s="1" t="s">
        <v>15</v>
      </c>
      <c r="D756" s="2" t="s">
        <v>16</v>
      </c>
      <c r="E756" s="2" t="s">
        <v>57</v>
      </c>
      <c r="F756" s="1" t="s">
        <v>55</v>
      </c>
      <c r="G756" s="1" t="s">
        <v>36</v>
      </c>
      <c r="H756" s="1" t="s">
        <v>20</v>
      </c>
      <c r="I756" s="2" t="s">
        <v>37</v>
      </c>
      <c r="J756" s="1" t="s">
        <v>43</v>
      </c>
      <c r="K756" s="1" t="s">
        <v>598</v>
      </c>
      <c r="L756" s="2" t="s">
        <v>81</v>
      </c>
      <c r="M756" s="1" t="s">
        <v>20</v>
      </c>
    </row>
    <row r="757" ht="15.75" customHeight="1">
      <c r="A757" s="2" t="s">
        <v>864</v>
      </c>
      <c r="B757" s="1" t="s">
        <v>14</v>
      </c>
      <c r="C757" s="1" t="s">
        <v>27</v>
      </c>
      <c r="D757" s="2" t="s">
        <v>76</v>
      </c>
      <c r="E757" s="2" t="s">
        <v>29</v>
      </c>
      <c r="F757" s="1" t="s">
        <v>55</v>
      </c>
      <c r="G757" s="1" t="s">
        <v>36</v>
      </c>
      <c r="H757" s="1" t="s">
        <v>25</v>
      </c>
      <c r="I757" s="2" t="s">
        <v>37</v>
      </c>
      <c r="J757" s="1" t="s">
        <v>38</v>
      </c>
      <c r="K757" s="1" t="s">
        <v>598</v>
      </c>
      <c r="L757" s="2" t="s">
        <v>201</v>
      </c>
      <c r="M757" s="1" t="s">
        <v>25</v>
      </c>
    </row>
    <row r="758" ht="15.75" customHeight="1">
      <c r="A758" s="2" t="s">
        <v>865</v>
      </c>
      <c r="B758" s="1" t="s">
        <v>14</v>
      </c>
      <c r="C758" s="1" t="s">
        <v>27</v>
      </c>
      <c r="D758" s="2" t="s">
        <v>16</v>
      </c>
      <c r="E758" s="2" t="s">
        <v>17</v>
      </c>
      <c r="F758" s="1" t="s">
        <v>18</v>
      </c>
      <c r="G758" s="1" t="s">
        <v>19</v>
      </c>
      <c r="H758" s="1" t="s">
        <v>25</v>
      </c>
      <c r="I758" s="2" t="s">
        <v>17</v>
      </c>
      <c r="J758" s="1" t="s">
        <v>22</v>
      </c>
      <c r="K758" s="1" t="s">
        <v>598</v>
      </c>
      <c r="L758" s="2" t="s">
        <v>47</v>
      </c>
      <c r="M758" s="1" t="s">
        <v>20</v>
      </c>
    </row>
    <row r="759" ht="15.75" customHeight="1">
      <c r="A759" s="2" t="s">
        <v>866</v>
      </c>
      <c r="B759" s="1" t="s">
        <v>41</v>
      </c>
      <c r="C759" s="1" t="s">
        <v>27</v>
      </c>
      <c r="D759" s="2" t="s">
        <v>28</v>
      </c>
      <c r="E759" s="2" t="s">
        <v>17</v>
      </c>
      <c r="F759" s="1" t="s">
        <v>55</v>
      </c>
      <c r="G759" s="1" t="s">
        <v>31</v>
      </c>
      <c r="H759" s="1" t="s">
        <v>20</v>
      </c>
      <c r="I759" s="2" t="s">
        <v>37</v>
      </c>
      <c r="J759" s="1" t="s">
        <v>51</v>
      </c>
      <c r="K759" s="1" t="s">
        <v>598</v>
      </c>
      <c r="L759" s="2" t="s">
        <v>178</v>
      </c>
      <c r="M759" s="1" t="s">
        <v>20</v>
      </c>
    </row>
    <row r="760" ht="15.75" customHeight="1">
      <c r="A760" s="2" t="s">
        <v>867</v>
      </c>
      <c r="B760" s="1" t="s">
        <v>41</v>
      </c>
      <c r="C760" s="1" t="s">
        <v>15</v>
      </c>
      <c r="D760" s="2" t="s">
        <v>34</v>
      </c>
      <c r="E760" s="2" t="s">
        <v>35</v>
      </c>
      <c r="F760" s="1" t="s">
        <v>87</v>
      </c>
      <c r="G760" s="1" t="s">
        <v>19</v>
      </c>
      <c r="H760" s="1" t="s">
        <v>25</v>
      </c>
      <c r="I760" s="2" t="s">
        <v>21</v>
      </c>
      <c r="J760" s="1" t="s">
        <v>22</v>
      </c>
      <c r="K760" s="1" t="s">
        <v>598</v>
      </c>
      <c r="L760" s="2" t="s">
        <v>83</v>
      </c>
      <c r="M760" s="1" t="s">
        <v>25</v>
      </c>
    </row>
    <row r="761" ht="15.75" customHeight="1">
      <c r="A761" s="2" t="s">
        <v>868</v>
      </c>
      <c r="B761" s="1" t="s">
        <v>41</v>
      </c>
      <c r="C761" s="1" t="s">
        <v>15</v>
      </c>
      <c r="D761" s="2" t="s">
        <v>76</v>
      </c>
      <c r="E761" s="2" t="s">
        <v>29</v>
      </c>
      <c r="F761" s="1" t="s">
        <v>87</v>
      </c>
      <c r="G761" s="1" t="s">
        <v>36</v>
      </c>
      <c r="H761" s="1" t="s">
        <v>20</v>
      </c>
      <c r="I761" s="2" t="s">
        <v>21</v>
      </c>
      <c r="J761" s="1" t="s">
        <v>38</v>
      </c>
      <c r="K761" s="1" t="s">
        <v>598</v>
      </c>
      <c r="L761" s="2" t="s">
        <v>32</v>
      </c>
      <c r="M761" s="1" t="s">
        <v>20</v>
      </c>
    </row>
    <row r="762" ht="15.75" customHeight="1">
      <c r="A762" s="2" t="s">
        <v>869</v>
      </c>
      <c r="B762" s="1" t="s">
        <v>41</v>
      </c>
      <c r="C762" s="1" t="s">
        <v>27</v>
      </c>
      <c r="D762" s="2" t="s">
        <v>61</v>
      </c>
      <c r="E762" s="2" t="s">
        <v>29</v>
      </c>
      <c r="F762" s="1" t="s">
        <v>62</v>
      </c>
      <c r="G762" s="1" t="s">
        <v>31</v>
      </c>
      <c r="H762" s="1" t="s">
        <v>25</v>
      </c>
      <c r="I762" s="2" t="s">
        <v>37</v>
      </c>
      <c r="J762" s="1" t="s">
        <v>22</v>
      </c>
      <c r="K762" s="1" t="s">
        <v>598</v>
      </c>
      <c r="L762" s="2" t="s">
        <v>52</v>
      </c>
      <c r="M762" s="1" t="s">
        <v>25</v>
      </c>
    </row>
    <row r="763" ht="15.75" customHeight="1">
      <c r="A763" s="2" t="s">
        <v>870</v>
      </c>
      <c r="B763" s="1" t="s">
        <v>14</v>
      </c>
      <c r="C763" s="1" t="s">
        <v>15</v>
      </c>
      <c r="D763" s="2" t="s">
        <v>76</v>
      </c>
      <c r="E763" s="2" t="s">
        <v>35</v>
      </c>
      <c r="F763" s="1" t="s">
        <v>18</v>
      </c>
      <c r="G763" s="1" t="s">
        <v>56</v>
      </c>
      <c r="H763" s="1" t="s">
        <v>20</v>
      </c>
      <c r="I763" s="2" t="s">
        <v>29</v>
      </c>
      <c r="J763" s="1" t="s">
        <v>69</v>
      </c>
      <c r="K763" s="1" t="s">
        <v>598</v>
      </c>
      <c r="L763" s="2" t="s">
        <v>81</v>
      </c>
      <c r="M763" s="1" t="s">
        <v>25</v>
      </c>
    </row>
    <row r="764" ht="15.75" customHeight="1">
      <c r="A764" s="2" t="s">
        <v>871</v>
      </c>
      <c r="B764" s="1" t="s">
        <v>41</v>
      </c>
      <c r="C764" s="1" t="s">
        <v>27</v>
      </c>
      <c r="D764" s="2" t="s">
        <v>272</v>
      </c>
      <c r="E764" s="2" t="s">
        <v>37</v>
      </c>
      <c r="F764" s="1" t="s">
        <v>18</v>
      </c>
      <c r="G764" s="1" t="s">
        <v>19</v>
      </c>
      <c r="H764" s="1" t="s">
        <v>20</v>
      </c>
      <c r="I764" s="2" t="s">
        <v>21</v>
      </c>
      <c r="J764" s="1" t="s">
        <v>38</v>
      </c>
      <c r="K764" s="1" t="s">
        <v>598</v>
      </c>
      <c r="L764" s="2" t="s">
        <v>153</v>
      </c>
      <c r="M764" s="1" t="s">
        <v>20</v>
      </c>
    </row>
    <row r="765" ht="15.75" customHeight="1">
      <c r="A765" s="2" t="s">
        <v>872</v>
      </c>
      <c r="B765" s="1" t="s">
        <v>14</v>
      </c>
      <c r="C765" s="1" t="s">
        <v>27</v>
      </c>
      <c r="D765" s="2" t="s">
        <v>272</v>
      </c>
      <c r="E765" s="2" t="s">
        <v>17</v>
      </c>
      <c r="F765" s="1" t="s">
        <v>87</v>
      </c>
      <c r="G765" s="1" t="s">
        <v>19</v>
      </c>
      <c r="H765" s="1" t="s">
        <v>20</v>
      </c>
      <c r="I765" s="2" t="s">
        <v>21</v>
      </c>
      <c r="J765" s="1" t="s">
        <v>22</v>
      </c>
      <c r="K765" s="1" t="s">
        <v>598</v>
      </c>
      <c r="L765" s="2" t="s">
        <v>58</v>
      </c>
      <c r="M765" s="1" t="s">
        <v>20</v>
      </c>
    </row>
    <row r="766" ht="15.75" customHeight="1">
      <c r="A766" s="2" t="s">
        <v>873</v>
      </c>
      <c r="B766" s="1" t="s">
        <v>14</v>
      </c>
      <c r="C766" s="1" t="s">
        <v>15</v>
      </c>
      <c r="D766" s="2" t="s">
        <v>76</v>
      </c>
      <c r="E766" s="2" t="s">
        <v>21</v>
      </c>
      <c r="F766" s="1" t="s">
        <v>30</v>
      </c>
      <c r="G766" s="1" t="s">
        <v>19</v>
      </c>
      <c r="H766" s="1" t="s">
        <v>25</v>
      </c>
      <c r="I766" s="2" t="s">
        <v>17</v>
      </c>
      <c r="J766" s="1" t="s">
        <v>51</v>
      </c>
      <c r="K766" s="1" t="s">
        <v>598</v>
      </c>
      <c r="L766" s="2" t="s">
        <v>245</v>
      </c>
      <c r="M766" s="1" t="s">
        <v>25</v>
      </c>
    </row>
    <row r="767" ht="15.75" customHeight="1">
      <c r="A767" s="2" t="s">
        <v>874</v>
      </c>
      <c r="B767" s="1" t="s">
        <v>41</v>
      </c>
      <c r="C767" s="1" t="s">
        <v>15</v>
      </c>
      <c r="D767" s="2" t="s">
        <v>42</v>
      </c>
      <c r="E767" s="2" t="s">
        <v>21</v>
      </c>
      <c r="F767" s="1" t="s">
        <v>30</v>
      </c>
      <c r="G767" s="1" t="s">
        <v>19</v>
      </c>
      <c r="H767" s="1" t="s">
        <v>20</v>
      </c>
      <c r="I767" s="2" t="s">
        <v>37</v>
      </c>
      <c r="J767" s="1" t="s">
        <v>43</v>
      </c>
      <c r="K767" s="1" t="s">
        <v>598</v>
      </c>
      <c r="L767" s="2" t="s">
        <v>93</v>
      </c>
      <c r="M767" s="1" t="s">
        <v>20</v>
      </c>
    </row>
    <row r="768" ht="15.75" customHeight="1">
      <c r="A768" s="2" t="s">
        <v>875</v>
      </c>
      <c r="B768" s="1" t="s">
        <v>14</v>
      </c>
      <c r="C768" s="1" t="s">
        <v>27</v>
      </c>
      <c r="D768" s="2" t="s">
        <v>272</v>
      </c>
      <c r="E768" s="2" t="s">
        <v>57</v>
      </c>
      <c r="F768" s="1" t="s">
        <v>18</v>
      </c>
      <c r="G768" s="1" t="s">
        <v>19</v>
      </c>
      <c r="H768" s="1" t="s">
        <v>20</v>
      </c>
      <c r="I768" s="2" t="s">
        <v>29</v>
      </c>
      <c r="J768" s="1" t="s">
        <v>69</v>
      </c>
      <c r="K768" s="1" t="s">
        <v>598</v>
      </c>
      <c r="L768" s="2" t="s">
        <v>24</v>
      </c>
      <c r="M768" s="1" t="s">
        <v>25</v>
      </c>
    </row>
    <row r="769" ht="15.75" customHeight="1">
      <c r="A769" s="2" t="s">
        <v>876</v>
      </c>
      <c r="B769" s="1" t="s">
        <v>14</v>
      </c>
      <c r="C769" s="1" t="s">
        <v>15</v>
      </c>
      <c r="D769" s="2" t="s">
        <v>76</v>
      </c>
      <c r="E769" s="2" t="s">
        <v>37</v>
      </c>
      <c r="F769" s="1" t="s">
        <v>30</v>
      </c>
      <c r="G769" s="1" t="s">
        <v>36</v>
      </c>
      <c r="H769" s="1" t="s">
        <v>20</v>
      </c>
      <c r="I769" s="2" t="s">
        <v>37</v>
      </c>
      <c r="J769" s="1" t="s">
        <v>38</v>
      </c>
      <c r="K769" s="1" t="s">
        <v>598</v>
      </c>
      <c r="L769" s="2" t="s">
        <v>330</v>
      </c>
      <c r="M769" s="1" t="s">
        <v>20</v>
      </c>
    </row>
    <row r="770" ht="15.75" customHeight="1">
      <c r="A770" s="2" t="s">
        <v>877</v>
      </c>
      <c r="B770" s="1" t="s">
        <v>14</v>
      </c>
      <c r="C770" s="1" t="s">
        <v>15</v>
      </c>
      <c r="D770" s="2" t="s">
        <v>161</v>
      </c>
      <c r="E770" s="2" t="s">
        <v>17</v>
      </c>
      <c r="F770" s="1" t="s">
        <v>55</v>
      </c>
      <c r="G770" s="1" t="s">
        <v>36</v>
      </c>
      <c r="H770" s="1" t="s">
        <v>25</v>
      </c>
      <c r="I770" s="2" t="s">
        <v>57</v>
      </c>
      <c r="J770" s="1" t="s">
        <v>38</v>
      </c>
      <c r="K770" s="1" t="s">
        <v>598</v>
      </c>
      <c r="L770" s="2" t="s">
        <v>77</v>
      </c>
      <c r="M770" s="1" t="s">
        <v>25</v>
      </c>
    </row>
    <row r="771" ht="15.75" customHeight="1">
      <c r="A771" s="2" t="s">
        <v>878</v>
      </c>
      <c r="B771" s="1" t="s">
        <v>14</v>
      </c>
      <c r="C771" s="1" t="s">
        <v>15</v>
      </c>
      <c r="D771" s="2" t="s">
        <v>99</v>
      </c>
      <c r="E771" s="2" t="s">
        <v>57</v>
      </c>
      <c r="F771" s="1" t="s">
        <v>18</v>
      </c>
      <c r="G771" s="1" t="s">
        <v>56</v>
      </c>
      <c r="H771" s="1" t="s">
        <v>20</v>
      </c>
      <c r="I771" s="2" t="s">
        <v>57</v>
      </c>
      <c r="J771" s="1" t="s">
        <v>22</v>
      </c>
      <c r="K771" s="1" t="s">
        <v>598</v>
      </c>
      <c r="L771" s="2" t="s">
        <v>100</v>
      </c>
      <c r="M771" s="1" t="s">
        <v>25</v>
      </c>
    </row>
    <row r="772" ht="15.75" customHeight="1">
      <c r="A772" s="2" t="s">
        <v>879</v>
      </c>
      <c r="B772" s="1" t="s">
        <v>14</v>
      </c>
      <c r="C772" s="1" t="s">
        <v>27</v>
      </c>
      <c r="D772" s="2" t="s">
        <v>76</v>
      </c>
      <c r="E772" s="2" t="s">
        <v>17</v>
      </c>
      <c r="F772" s="1" t="s">
        <v>87</v>
      </c>
      <c r="G772" s="1" t="s">
        <v>19</v>
      </c>
      <c r="H772" s="1" t="s">
        <v>25</v>
      </c>
      <c r="I772" s="2" t="s">
        <v>21</v>
      </c>
      <c r="J772" s="1" t="s">
        <v>22</v>
      </c>
      <c r="K772" s="1" t="s">
        <v>598</v>
      </c>
      <c r="M772" s="1" t="s">
        <v>25</v>
      </c>
    </row>
    <row r="773" ht="15.75" customHeight="1">
      <c r="A773" s="2" t="s">
        <v>880</v>
      </c>
      <c r="B773" s="1" t="s">
        <v>14</v>
      </c>
      <c r="C773" s="1" t="s">
        <v>27</v>
      </c>
      <c r="D773" s="2" t="s">
        <v>34</v>
      </c>
      <c r="E773" s="2" t="s">
        <v>17</v>
      </c>
      <c r="F773" s="1" t="s">
        <v>30</v>
      </c>
      <c r="G773" s="1" t="s">
        <v>19</v>
      </c>
      <c r="H773" s="1" t="s">
        <v>25</v>
      </c>
      <c r="I773" s="2" t="s">
        <v>17</v>
      </c>
      <c r="J773" s="1" t="s">
        <v>22</v>
      </c>
      <c r="K773" s="1" t="s">
        <v>598</v>
      </c>
      <c r="L773" s="2" t="s">
        <v>83</v>
      </c>
      <c r="M773" s="1" t="s">
        <v>20</v>
      </c>
    </row>
    <row r="774" ht="15.75" customHeight="1">
      <c r="A774" s="2" t="s">
        <v>881</v>
      </c>
      <c r="B774" s="1" t="s">
        <v>41</v>
      </c>
      <c r="C774" s="1" t="s">
        <v>27</v>
      </c>
      <c r="D774" s="2" t="s">
        <v>76</v>
      </c>
      <c r="E774" s="2" t="s">
        <v>57</v>
      </c>
      <c r="F774" s="1" t="s">
        <v>87</v>
      </c>
      <c r="G774" s="1" t="s">
        <v>19</v>
      </c>
      <c r="H774" s="1" t="s">
        <v>20</v>
      </c>
      <c r="I774" s="2" t="s">
        <v>21</v>
      </c>
      <c r="J774" s="1" t="s">
        <v>51</v>
      </c>
      <c r="K774" s="1" t="s">
        <v>598</v>
      </c>
      <c r="L774" s="2" t="s">
        <v>83</v>
      </c>
      <c r="M774" s="1" t="s">
        <v>20</v>
      </c>
    </row>
    <row r="775" ht="15.75" customHeight="1">
      <c r="A775" s="2" t="s">
        <v>882</v>
      </c>
      <c r="B775" s="1" t="s">
        <v>14</v>
      </c>
      <c r="C775" s="1" t="s">
        <v>15</v>
      </c>
      <c r="D775" s="2" t="s">
        <v>76</v>
      </c>
      <c r="E775" s="2" t="s">
        <v>17</v>
      </c>
      <c r="F775" s="1" t="s">
        <v>87</v>
      </c>
      <c r="G775" s="1" t="s">
        <v>19</v>
      </c>
      <c r="H775" s="1" t="s">
        <v>20</v>
      </c>
      <c r="I775" s="2" t="s">
        <v>21</v>
      </c>
      <c r="J775" s="1" t="s">
        <v>22</v>
      </c>
      <c r="K775" s="1" t="s">
        <v>598</v>
      </c>
      <c r="L775" s="2" t="s">
        <v>93</v>
      </c>
      <c r="M775" s="1" t="s">
        <v>25</v>
      </c>
    </row>
    <row r="776" ht="15.75" customHeight="1">
      <c r="A776" s="2" t="s">
        <v>883</v>
      </c>
      <c r="B776" s="1" t="s">
        <v>14</v>
      </c>
      <c r="C776" s="1" t="s">
        <v>15</v>
      </c>
      <c r="D776" s="2" t="s">
        <v>34</v>
      </c>
      <c r="E776" s="2" t="s">
        <v>29</v>
      </c>
      <c r="F776" s="1" t="s">
        <v>87</v>
      </c>
      <c r="G776" s="1" t="s">
        <v>36</v>
      </c>
      <c r="H776" s="1" t="s">
        <v>20</v>
      </c>
      <c r="I776" s="2" t="s">
        <v>21</v>
      </c>
      <c r="J776" s="1" t="s">
        <v>22</v>
      </c>
      <c r="K776" s="1" t="s">
        <v>598</v>
      </c>
      <c r="L776" s="2" t="s">
        <v>47</v>
      </c>
      <c r="M776" s="1" t="s">
        <v>20</v>
      </c>
    </row>
    <row r="777" ht="15.75" customHeight="1">
      <c r="A777" s="2" t="s">
        <v>884</v>
      </c>
      <c r="B777" s="1" t="s">
        <v>14</v>
      </c>
      <c r="C777" s="1" t="s">
        <v>27</v>
      </c>
      <c r="D777" s="2" t="s">
        <v>42</v>
      </c>
      <c r="E777" s="2" t="s">
        <v>37</v>
      </c>
      <c r="F777" s="1" t="s">
        <v>62</v>
      </c>
      <c r="G777" s="1" t="s">
        <v>19</v>
      </c>
      <c r="H777" s="1" t="s">
        <v>20</v>
      </c>
      <c r="I777" s="2" t="s">
        <v>37</v>
      </c>
      <c r="J777" s="1" t="s">
        <v>69</v>
      </c>
      <c r="K777" s="1" t="s">
        <v>598</v>
      </c>
      <c r="L777" s="2" t="s">
        <v>66</v>
      </c>
      <c r="M777" s="1" t="s">
        <v>25</v>
      </c>
    </row>
    <row r="778" ht="15.75" customHeight="1">
      <c r="A778" s="2" t="s">
        <v>885</v>
      </c>
      <c r="B778" s="1" t="s">
        <v>41</v>
      </c>
      <c r="C778" s="1" t="s">
        <v>27</v>
      </c>
      <c r="D778" s="2" t="s">
        <v>42</v>
      </c>
      <c r="E778" s="2" t="s">
        <v>37</v>
      </c>
      <c r="F778" s="1" t="s">
        <v>18</v>
      </c>
      <c r="G778" s="1" t="s">
        <v>56</v>
      </c>
      <c r="H778" s="1" t="s">
        <v>25</v>
      </c>
      <c r="I778" s="2" t="s">
        <v>17</v>
      </c>
      <c r="J778" s="1" t="s">
        <v>38</v>
      </c>
      <c r="K778" s="1" t="s">
        <v>598</v>
      </c>
      <c r="L778" s="2" t="s">
        <v>81</v>
      </c>
      <c r="M778" s="1" t="s">
        <v>20</v>
      </c>
    </row>
    <row r="779" ht="15.75" customHeight="1">
      <c r="A779" s="2" t="s">
        <v>886</v>
      </c>
      <c r="B779" s="1" t="s">
        <v>41</v>
      </c>
      <c r="C779" s="1" t="s">
        <v>27</v>
      </c>
      <c r="D779" s="2" t="s">
        <v>16</v>
      </c>
      <c r="E779" s="2" t="s">
        <v>21</v>
      </c>
      <c r="F779" s="1" t="s">
        <v>55</v>
      </c>
      <c r="G779" s="1" t="s">
        <v>19</v>
      </c>
      <c r="H779" s="1" t="s">
        <v>20</v>
      </c>
      <c r="I779" s="2" t="s">
        <v>37</v>
      </c>
      <c r="J779" s="1" t="s">
        <v>43</v>
      </c>
      <c r="K779" s="1" t="s">
        <v>598</v>
      </c>
      <c r="L779" s="2" t="s">
        <v>245</v>
      </c>
      <c r="M779" s="1" t="s">
        <v>25</v>
      </c>
    </row>
    <row r="780" ht="15.75" customHeight="1">
      <c r="A780" s="2" t="s">
        <v>887</v>
      </c>
      <c r="B780" s="1" t="s">
        <v>14</v>
      </c>
      <c r="C780" s="1" t="s">
        <v>27</v>
      </c>
      <c r="D780" s="2" t="s">
        <v>68</v>
      </c>
      <c r="E780" s="2" t="s">
        <v>35</v>
      </c>
      <c r="F780" s="1" t="s">
        <v>30</v>
      </c>
      <c r="G780" s="1" t="s">
        <v>36</v>
      </c>
      <c r="H780" s="1" t="s">
        <v>20</v>
      </c>
      <c r="I780" s="2" t="s">
        <v>29</v>
      </c>
      <c r="J780" s="1" t="s">
        <v>22</v>
      </c>
      <c r="K780" s="1" t="s">
        <v>598</v>
      </c>
      <c r="L780" s="2" t="s">
        <v>45</v>
      </c>
      <c r="M780" s="1" t="s">
        <v>25</v>
      </c>
    </row>
    <row r="781" ht="15.75" customHeight="1">
      <c r="A781" s="2" t="s">
        <v>888</v>
      </c>
      <c r="B781" s="1" t="s">
        <v>14</v>
      </c>
      <c r="C781" s="1" t="s">
        <v>27</v>
      </c>
      <c r="D781" s="2" t="s">
        <v>34</v>
      </c>
      <c r="E781" s="2" t="s">
        <v>29</v>
      </c>
      <c r="F781" s="1" t="s">
        <v>30</v>
      </c>
      <c r="G781" s="1" t="s">
        <v>36</v>
      </c>
      <c r="H781" s="1" t="s">
        <v>25</v>
      </c>
      <c r="I781" s="2" t="s">
        <v>37</v>
      </c>
      <c r="J781" s="1" t="s">
        <v>38</v>
      </c>
      <c r="K781" s="1" t="s">
        <v>598</v>
      </c>
      <c r="L781" s="2" t="s">
        <v>52</v>
      </c>
      <c r="M781" s="1" t="s">
        <v>20</v>
      </c>
    </row>
    <row r="782" ht="15.75" customHeight="1">
      <c r="A782" s="2" t="s">
        <v>889</v>
      </c>
      <c r="B782" s="1" t="s">
        <v>14</v>
      </c>
      <c r="C782" s="1" t="s">
        <v>15</v>
      </c>
      <c r="D782" s="2" t="s">
        <v>76</v>
      </c>
      <c r="E782" s="2" t="s">
        <v>37</v>
      </c>
      <c r="F782" s="1" t="s">
        <v>30</v>
      </c>
      <c r="G782" s="1" t="s">
        <v>36</v>
      </c>
      <c r="H782" s="1" t="s">
        <v>20</v>
      </c>
      <c r="I782" s="2" t="s">
        <v>17</v>
      </c>
      <c r="J782" s="1" t="s">
        <v>69</v>
      </c>
      <c r="K782" s="1" t="s">
        <v>598</v>
      </c>
      <c r="L782" s="2" t="s">
        <v>72</v>
      </c>
      <c r="M782" s="1" t="s">
        <v>25</v>
      </c>
    </row>
    <row r="783" ht="15.75" customHeight="1">
      <c r="A783" s="2" t="s">
        <v>890</v>
      </c>
      <c r="B783" s="1" t="s">
        <v>14</v>
      </c>
      <c r="C783" s="1" t="s">
        <v>27</v>
      </c>
      <c r="D783" s="2" t="s">
        <v>34</v>
      </c>
      <c r="E783" s="2" t="s">
        <v>57</v>
      </c>
      <c r="F783" s="1" t="s">
        <v>18</v>
      </c>
      <c r="G783" s="1" t="s">
        <v>56</v>
      </c>
      <c r="H783" s="1" t="s">
        <v>20</v>
      </c>
      <c r="I783" s="2" t="s">
        <v>21</v>
      </c>
      <c r="J783" s="1" t="s">
        <v>22</v>
      </c>
      <c r="K783" s="1" t="s">
        <v>598</v>
      </c>
      <c r="L783" s="2" t="s">
        <v>32</v>
      </c>
      <c r="M783" s="1" t="s">
        <v>25</v>
      </c>
    </row>
    <row r="784" ht="15.75" customHeight="1">
      <c r="A784" s="2" t="s">
        <v>891</v>
      </c>
      <c r="B784" s="1" t="s">
        <v>41</v>
      </c>
      <c r="C784" s="1" t="s">
        <v>27</v>
      </c>
      <c r="D784" s="2" t="s">
        <v>42</v>
      </c>
      <c r="E784" s="2" t="s">
        <v>57</v>
      </c>
      <c r="F784" s="1" t="s">
        <v>18</v>
      </c>
      <c r="G784" s="1" t="s">
        <v>36</v>
      </c>
      <c r="H784" s="1" t="s">
        <v>20</v>
      </c>
      <c r="I784" s="2" t="s">
        <v>37</v>
      </c>
      <c r="J784" s="1" t="s">
        <v>38</v>
      </c>
      <c r="K784" s="1" t="s">
        <v>598</v>
      </c>
      <c r="L784" s="2" t="s">
        <v>32</v>
      </c>
      <c r="M784" s="1" t="s">
        <v>20</v>
      </c>
    </row>
    <row r="785" ht="15.75" customHeight="1">
      <c r="A785" s="2" t="s">
        <v>892</v>
      </c>
      <c r="B785" s="1" t="s">
        <v>14</v>
      </c>
      <c r="C785" s="1" t="s">
        <v>27</v>
      </c>
      <c r="D785" s="2" t="s">
        <v>76</v>
      </c>
      <c r="E785" s="2" t="s">
        <v>57</v>
      </c>
      <c r="F785" s="1" t="s">
        <v>18</v>
      </c>
      <c r="G785" s="1" t="s">
        <v>19</v>
      </c>
      <c r="H785" s="1" t="s">
        <v>20</v>
      </c>
      <c r="I785" s="2" t="s">
        <v>29</v>
      </c>
      <c r="J785" s="1" t="s">
        <v>43</v>
      </c>
      <c r="K785" s="1" t="s">
        <v>598</v>
      </c>
      <c r="L785" s="2" t="s">
        <v>24</v>
      </c>
      <c r="M785" s="1" t="s">
        <v>25</v>
      </c>
    </row>
    <row r="786" ht="15.75" customHeight="1">
      <c r="A786" s="2" t="s">
        <v>893</v>
      </c>
      <c r="B786" s="1" t="s">
        <v>41</v>
      </c>
      <c r="C786" s="1" t="s">
        <v>15</v>
      </c>
      <c r="D786" s="2" t="s">
        <v>49</v>
      </c>
      <c r="E786" s="2" t="s">
        <v>37</v>
      </c>
      <c r="F786" s="1" t="s">
        <v>55</v>
      </c>
      <c r="G786" s="1" t="s">
        <v>50</v>
      </c>
      <c r="H786" s="1" t="s">
        <v>20</v>
      </c>
      <c r="I786" s="2" t="s">
        <v>37</v>
      </c>
      <c r="J786" s="1" t="s">
        <v>51</v>
      </c>
      <c r="K786" s="1" t="s">
        <v>598</v>
      </c>
      <c r="L786" s="2" t="s">
        <v>201</v>
      </c>
      <c r="M786" s="1" t="s">
        <v>20</v>
      </c>
    </row>
    <row r="787" ht="15.75" customHeight="1">
      <c r="A787" s="2" t="s">
        <v>894</v>
      </c>
      <c r="B787" s="1" t="s">
        <v>41</v>
      </c>
      <c r="C787" s="1" t="s">
        <v>15</v>
      </c>
      <c r="D787" s="2" t="s">
        <v>16</v>
      </c>
      <c r="E787" s="2" t="s">
        <v>21</v>
      </c>
      <c r="F787" s="1" t="s">
        <v>55</v>
      </c>
      <c r="G787" s="1" t="s">
        <v>19</v>
      </c>
      <c r="H787" s="1" t="s">
        <v>25</v>
      </c>
      <c r="I787" s="2" t="s">
        <v>37</v>
      </c>
      <c r="J787" s="1" t="s">
        <v>22</v>
      </c>
      <c r="K787" s="1" t="s">
        <v>598</v>
      </c>
      <c r="L787" s="2" t="s">
        <v>118</v>
      </c>
      <c r="M787" s="1" t="s">
        <v>20</v>
      </c>
    </row>
    <row r="788" ht="15.75" customHeight="1">
      <c r="A788" s="2" t="s">
        <v>895</v>
      </c>
      <c r="B788" s="1" t="s">
        <v>14</v>
      </c>
      <c r="C788" s="1" t="s">
        <v>15</v>
      </c>
      <c r="D788" s="2" t="s">
        <v>272</v>
      </c>
      <c r="E788" s="2" t="s">
        <v>17</v>
      </c>
      <c r="F788" s="1" t="s">
        <v>18</v>
      </c>
      <c r="G788" s="1" t="s">
        <v>19</v>
      </c>
      <c r="H788" s="1" t="s">
        <v>20</v>
      </c>
      <c r="I788" s="2" t="s">
        <v>17</v>
      </c>
      <c r="J788" s="1" t="s">
        <v>22</v>
      </c>
      <c r="K788" s="1" t="s">
        <v>598</v>
      </c>
      <c r="L788" s="2" t="s">
        <v>74</v>
      </c>
      <c r="M788" s="1" t="s">
        <v>25</v>
      </c>
    </row>
    <row r="789" ht="15.75" customHeight="1">
      <c r="A789" s="2" t="s">
        <v>896</v>
      </c>
      <c r="B789" s="1" t="s">
        <v>41</v>
      </c>
      <c r="C789" s="1" t="s">
        <v>15</v>
      </c>
      <c r="D789" s="2" t="s">
        <v>42</v>
      </c>
      <c r="E789" s="2" t="s">
        <v>37</v>
      </c>
      <c r="F789" s="1" t="s">
        <v>18</v>
      </c>
      <c r="G789" s="1" t="s">
        <v>56</v>
      </c>
      <c r="H789" s="1" t="s">
        <v>25</v>
      </c>
      <c r="I789" s="2" t="s">
        <v>17</v>
      </c>
      <c r="J789" s="1" t="s">
        <v>38</v>
      </c>
      <c r="K789" s="1" t="s">
        <v>598</v>
      </c>
      <c r="L789" s="2" t="s">
        <v>81</v>
      </c>
      <c r="M789" s="1" t="s">
        <v>20</v>
      </c>
    </row>
    <row r="790" ht="15.75" customHeight="1">
      <c r="A790" s="2" t="s">
        <v>897</v>
      </c>
      <c r="B790" s="1" t="s">
        <v>41</v>
      </c>
      <c r="C790" s="1" t="s">
        <v>15</v>
      </c>
      <c r="D790" s="2" t="s">
        <v>61</v>
      </c>
      <c r="E790" s="2" t="s">
        <v>37</v>
      </c>
      <c r="F790" s="1" t="s">
        <v>62</v>
      </c>
      <c r="G790" s="1" t="s">
        <v>31</v>
      </c>
      <c r="H790" s="1" t="s">
        <v>20</v>
      </c>
      <c r="I790" s="2" t="s">
        <v>37</v>
      </c>
      <c r="J790" s="1" t="s">
        <v>51</v>
      </c>
      <c r="K790" s="1" t="s">
        <v>598</v>
      </c>
      <c r="L790" s="2" t="s">
        <v>195</v>
      </c>
      <c r="M790" s="1" t="s">
        <v>25</v>
      </c>
    </row>
    <row r="791" ht="15.75" customHeight="1">
      <c r="A791" s="2" t="s">
        <v>898</v>
      </c>
      <c r="B791" s="1" t="s">
        <v>14</v>
      </c>
      <c r="C791" s="1" t="s">
        <v>27</v>
      </c>
      <c r="D791" s="2" t="s">
        <v>76</v>
      </c>
      <c r="E791" s="2" t="s">
        <v>37</v>
      </c>
      <c r="F791" s="1" t="s">
        <v>55</v>
      </c>
      <c r="G791" s="1" t="s">
        <v>36</v>
      </c>
      <c r="H791" s="1" t="s">
        <v>25</v>
      </c>
      <c r="I791" s="2" t="s">
        <v>37</v>
      </c>
      <c r="J791" s="1" t="s">
        <v>51</v>
      </c>
      <c r="K791" s="1" t="s">
        <v>598</v>
      </c>
      <c r="L791" s="2" t="s">
        <v>125</v>
      </c>
      <c r="M791" s="1" t="s">
        <v>20</v>
      </c>
    </row>
    <row r="792" ht="15.75" customHeight="1">
      <c r="A792" s="2" t="s">
        <v>899</v>
      </c>
      <c r="B792" s="1" t="s">
        <v>41</v>
      </c>
      <c r="C792" s="1" t="s">
        <v>15</v>
      </c>
      <c r="D792" s="2" t="s">
        <v>34</v>
      </c>
      <c r="E792" s="2" t="s">
        <v>37</v>
      </c>
      <c r="F792" s="1" t="s">
        <v>62</v>
      </c>
      <c r="G792" s="1" t="s">
        <v>19</v>
      </c>
      <c r="H792" s="1" t="s">
        <v>25</v>
      </c>
      <c r="I792" s="2" t="s">
        <v>37</v>
      </c>
      <c r="J792" s="1" t="s">
        <v>51</v>
      </c>
      <c r="K792" s="1" t="s">
        <v>598</v>
      </c>
      <c r="L792" s="2" t="s">
        <v>52</v>
      </c>
      <c r="M792" s="1" t="s">
        <v>25</v>
      </c>
    </row>
    <row r="793" ht="15.75" customHeight="1">
      <c r="A793" s="2" t="s">
        <v>900</v>
      </c>
      <c r="B793" s="1" t="s">
        <v>14</v>
      </c>
      <c r="C793" s="1" t="s">
        <v>27</v>
      </c>
      <c r="D793" s="2" t="s">
        <v>16</v>
      </c>
      <c r="E793" s="2" t="s">
        <v>21</v>
      </c>
      <c r="F793" s="1" t="s">
        <v>55</v>
      </c>
      <c r="G793" s="1" t="s">
        <v>19</v>
      </c>
      <c r="H793" s="1" t="s">
        <v>20</v>
      </c>
      <c r="I793" s="2" t="s">
        <v>37</v>
      </c>
      <c r="J793" s="1" t="s">
        <v>43</v>
      </c>
      <c r="K793" s="1" t="s">
        <v>598</v>
      </c>
      <c r="L793" s="2" t="s">
        <v>118</v>
      </c>
      <c r="M793" s="1" t="s">
        <v>20</v>
      </c>
    </row>
    <row r="794" ht="15.75" customHeight="1">
      <c r="A794" s="2" t="s">
        <v>901</v>
      </c>
      <c r="B794" s="1" t="s">
        <v>41</v>
      </c>
      <c r="C794" s="1" t="s">
        <v>27</v>
      </c>
      <c r="D794" s="2" t="s">
        <v>28</v>
      </c>
      <c r="E794" s="2" t="s">
        <v>17</v>
      </c>
      <c r="F794" s="1" t="s">
        <v>55</v>
      </c>
      <c r="G794" s="1" t="s">
        <v>31</v>
      </c>
      <c r="H794" s="1" t="s">
        <v>25</v>
      </c>
      <c r="I794" s="2" t="s">
        <v>17</v>
      </c>
      <c r="J794" s="1" t="s">
        <v>43</v>
      </c>
      <c r="K794" s="1" t="s">
        <v>598</v>
      </c>
      <c r="L794" s="2" t="s">
        <v>132</v>
      </c>
      <c r="M794" s="1" t="s">
        <v>25</v>
      </c>
    </row>
    <row r="795" ht="15.75" customHeight="1">
      <c r="A795" s="2" t="s">
        <v>902</v>
      </c>
      <c r="B795" s="1" t="s">
        <v>14</v>
      </c>
      <c r="C795" s="1" t="s">
        <v>27</v>
      </c>
      <c r="D795" s="2" t="s">
        <v>28</v>
      </c>
      <c r="E795" s="2" t="s">
        <v>17</v>
      </c>
      <c r="F795" s="1" t="s">
        <v>55</v>
      </c>
      <c r="G795" s="1" t="s">
        <v>31</v>
      </c>
      <c r="H795" s="1" t="s">
        <v>20</v>
      </c>
      <c r="I795" s="2" t="s">
        <v>17</v>
      </c>
      <c r="J795" s="1" t="s">
        <v>38</v>
      </c>
      <c r="K795" s="1" t="s">
        <v>598</v>
      </c>
      <c r="L795" s="2" t="s">
        <v>132</v>
      </c>
      <c r="M795" s="1" t="s">
        <v>20</v>
      </c>
    </row>
    <row r="796" ht="15.75" customHeight="1">
      <c r="A796" s="2" t="s">
        <v>903</v>
      </c>
      <c r="B796" s="1" t="s">
        <v>14</v>
      </c>
      <c r="C796" s="1" t="s">
        <v>27</v>
      </c>
      <c r="D796" s="2" t="s">
        <v>272</v>
      </c>
      <c r="E796" s="2" t="s">
        <v>37</v>
      </c>
      <c r="F796" s="1" t="s">
        <v>87</v>
      </c>
      <c r="G796" s="1" t="s">
        <v>56</v>
      </c>
      <c r="H796" s="1" t="s">
        <v>20</v>
      </c>
      <c r="I796" s="2" t="s">
        <v>37</v>
      </c>
      <c r="J796" s="1" t="s">
        <v>43</v>
      </c>
      <c r="K796" s="1" t="s">
        <v>598</v>
      </c>
      <c r="L796" s="2" t="s">
        <v>403</v>
      </c>
      <c r="M796" s="1" t="s">
        <v>25</v>
      </c>
    </row>
    <row r="797" ht="15.75" customHeight="1">
      <c r="A797" s="2" t="s">
        <v>904</v>
      </c>
      <c r="B797" s="1" t="s">
        <v>41</v>
      </c>
      <c r="C797" s="1" t="s">
        <v>27</v>
      </c>
      <c r="D797" s="2" t="s">
        <v>76</v>
      </c>
      <c r="E797" s="2" t="s">
        <v>37</v>
      </c>
      <c r="F797" s="1" t="s">
        <v>55</v>
      </c>
      <c r="G797" s="1" t="s">
        <v>36</v>
      </c>
      <c r="H797" s="1" t="s">
        <v>20</v>
      </c>
      <c r="I797" s="2" t="s">
        <v>37</v>
      </c>
      <c r="J797" s="1" t="s">
        <v>43</v>
      </c>
      <c r="K797" s="1" t="s">
        <v>598</v>
      </c>
      <c r="L797" s="2" t="s">
        <v>178</v>
      </c>
      <c r="M797" s="1" t="s">
        <v>25</v>
      </c>
    </row>
    <row r="798" ht="15.75" customHeight="1">
      <c r="A798" s="2" t="s">
        <v>905</v>
      </c>
      <c r="B798" s="1" t="s">
        <v>14</v>
      </c>
      <c r="C798" s="1" t="s">
        <v>27</v>
      </c>
      <c r="D798" s="2" t="s">
        <v>42</v>
      </c>
      <c r="E798" s="2" t="s">
        <v>35</v>
      </c>
      <c r="F798" s="1" t="s">
        <v>30</v>
      </c>
      <c r="G798" s="1" t="s">
        <v>36</v>
      </c>
      <c r="H798" s="1" t="s">
        <v>20</v>
      </c>
      <c r="I798" s="2" t="s">
        <v>37</v>
      </c>
      <c r="J798" s="1" t="s">
        <v>51</v>
      </c>
      <c r="K798" s="1" t="s">
        <v>598</v>
      </c>
      <c r="L798" s="2" t="s">
        <v>330</v>
      </c>
      <c r="M798" s="1" t="s">
        <v>20</v>
      </c>
    </row>
    <row r="799" ht="15.75" customHeight="1">
      <c r="A799" s="2" t="s">
        <v>906</v>
      </c>
      <c r="B799" s="1" t="s">
        <v>41</v>
      </c>
      <c r="C799" s="1" t="s">
        <v>27</v>
      </c>
      <c r="D799" s="2" t="s">
        <v>76</v>
      </c>
      <c r="E799" s="2" t="s">
        <v>21</v>
      </c>
      <c r="F799" s="1" t="s">
        <v>30</v>
      </c>
      <c r="G799" s="1" t="s">
        <v>19</v>
      </c>
      <c r="H799" s="1" t="s">
        <v>20</v>
      </c>
      <c r="I799" s="2" t="s">
        <v>17</v>
      </c>
      <c r="J799" s="1" t="s">
        <v>43</v>
      </c>
      <c r="K799" s="1" t="s">
        <v>598</v>
      </c>
      <c r="L799" s="2" t="s">
        <v>245</v>
      </c>
      <c r="M799" s="1" t="s">
        <v>20</v>
      </c>
    </row>
    <row r="800" ht="15.75" customHeight="1">
      <c r="A800" s="2" t="s">
        <v>907</v>
      </c>
      <c r="B800" s="1" t="s">
        <v>41</v>
      </c>
      <c r="C800" s="1" t="s">
        <v>15</v>
      </c>
      <c r="D800" s="2" t="s">
        <v>28</v>
      </c>
      <c r="E800" s="2" t="s">
        <v>21</v>
      </c>
      <c r="F800" s="1" t="s">
        <v>55</v>
      </c>
      <c r="G800" s="1" t="s">
        <v>19</v>
      </c>
      <c r="H800" s="1" t="s">
        <v>25</v>
      </c>
      <c r="I800" s="2" t="s">
        <v>37</v>
      </c>
      <c r="J800" s="1" t="s">
        <v>22</v>
      </c>
      <c r="K800" s="1" t="s">
        <v>598</v>
      </c>
      <c r="L800" s="2" t="s">
        <v>261</v>
      </c>
      <c r="M800" s="1" t="s">
        <v>20</v>
      </c>
    </row>
    <row r="801" ht="15.75" customHeight="1">
      <c r="A801" s="2" t="s">
        <v>908</v>
      </c>
      <c r="B801" s="1" t="s">
        <v>41</v>
      </c>
      <c r="C801" s="1" t="s">
        <v>15</v>
      </c>
      <c r="D801" s="2" t="s">
        <v>272</v>
      </c>
      <c r="E801" s="2" t="s">
        <v>17</v>
      </c>
      <c r="F801" s="1" t="s">
        <v>87</v>
      </c>
      <c r="G801" s="1" t="s">
        <v>19</v>
      </c>
      <c r="H801" s="1" t="s">
        <v>20</v>
      </c>
      <c r="I801" s="2" t="s">
        <v>21</v>
      </c>
      <c r="J801" s="1" t="s">
        <v>51</v>
      </c>
      <c r="K801" s="1" t="s">
        <v>598</v>
      </c>
      <c r="L801" s="2" t="s">
        <v>58</v>
      </c>
      <c r="M801" s="1" t="s">
        <v>20</v>
      </c>
    </row>
    <row r="802" ht="15.75" customHeight="1">
      <c r="A802" s="2" t="s">
        <v>909</v>
      </c>
      <c r="B802" s="1" t="s">
        <v>41</v>
      </c>
      <c r="C802" s="1" t="s">
        <v>27</v>
      </c>
      <c r="D802" s="2" t="s">
        <v>76</v>
      </c>
      <c r="E802" s="2" t="s">
        <v>57</v>
      </c>
      <c r="F802" s="1" t="s">
        <v>18</v>
      </c>
      <c r="G802" s="1" t="s">
        <v>36</v>
      </c>
      <c r="H802" s="1" t="s">
        <v>20</v>
      </c>
      <c r="I802" s="2" t="s">
        <v>37</v>
      </c>
      <c r="J802" s="1" t="s">
        <v>38</v>
      </c>
      <c r="K802" s="1" t="s">
        <v>598</v>
      </c>
      <c r="L802" s="2" t="s">
        <v>32</v>
      </c>
      <c r="M802" s="1" t="s">
        <v>20</v>
      </c>
    </row>
    <row r="803" ht="15.75" customHeight="1">
      <c r="A803" s="2" t="s">
        <v>910</v>
      </c>
      <c r="B803" s="1" t="s">
        <v>14</v>
      </c>
      <c r="C803" s="1" t="s">
        <v>27</v>
      </c>
      <c r="D803" s="2" t="s">
        <v>42</v>
      </c>
      <c r="E803" s="2" t="s">
        <v>57</v>
      </c>
      <c r="F803" s="1" t="s">
        <v>87</v>
      </c>
      <c r="G803" s="1" t="s">
        <v>56</v>
      </c>
      <c r="H803" s="1" t="s">
        <v>20</v>
      </c>
      <c r="I803" s="2" t="s">
        <v>37</v>
      </c>
      <c r="J803" s="1" t="s">
        <v>43</v>
      </c>
      <c r="K803" s="1" t="s">
        <v>598</v>
      </c>
      <c r="L803" s="2" t="s">
        <v>662</v>
      </c>
      <c r="M803" s="1" t="s">
        <v>25</v>
      </c>
    </row>
    <row r="804" ht="15.75" customHeight="1">
      <c r="A804" s="2" t="s">
        <v>911</v>
      </c>
      <c r="B804" s="1" t="s">
        <v>14</v>
      </c>
      <c r="C804" s="1" t="s">
        <v>27</v>
      </c>
      <c r="D804" s="2" t="s">
        <v>16</v>
      </c>
      <c r="E804" s="2" t="s">
        <v>21</v>
      </c>
      <c r="F804" s="1" t="s">
        <v>30</v>
      </c>
      <c r="G804" s="1" t="s">
        <v>19</v>
      </c>
      <c r="H804" s="1" t="s">
        <v>20</v>
      </c>
      <c r="I804" s="2" t="s">
        <v>17</v>
      </c>
      <c r="J804" s="1" t="s">
        <v>43</v>
      </c>
      <c r="K804" s="1" t="s">
        <v>598</v>
      </c>
      <c r="L804" s="2" t="s">
        <v>245</v>
      </c>
      <c r="M804" s="1" t="s">
        <v>25</v>
      </c>
    </row>
    <row r="805" ht="15.75" customHeight="1">
      <c r="A805" s="2" t="s">
        <v>912</v>
      </c>
      <c r="B805" s="1" t="s">
        <v>14</v>
      </c>
      <c r="C805" s="1" t="s">
        <v>27</v>
      </c>
      <c r="D805" s="2" t="s">
        <v>16</v>
      </c>
      <c r="E805" s="2" t="s">
        <v>21</v>
      </c>
      <c r="F805" s="1" t="s">
        <v>55</v>
      </c>
      <c r="G805" s="1" t="s">
        <v>19</v>
      </c>
      <c r="H805" s="1" t="s">
        <v>20</v>
      </c>
      <c r="I805" s="2" t="s">
        <v>37</v>
      </c>
      <c r="J805" s="1" t="s">
        <v>43</v>
      </c>
      <c r="K805" s="1" t="s">
        <v>598</v>
      </c>
      <c r="L805" s="2" t="s">
        <v>118</v>
      </c>
      <c r="M805" s="1" t="s">
        <v>20</v>
      </c>
    </row>
    <row r="806" ht="15.75" customHeight="1">
      <c r="A806" s="2" t="s">
        <v>913</v>
      </c>
      <c r="B806" s="1" t="s">
        <v>14</v>
      </c>
      <c r="C806" s="1" t="s">
        <v>27</v>
      </c>
      <c r="D806" s="2" t="s">
        <v>16</v>
      </c>
      <c r="E806" s="2" t="s">
        <v>21</v>
      </c>
      <c r="F806" s="1" t="s">
        <v>55</v>
      </c>
      <c r="G806" s="1" t="s">
        <v>19</v>
      </c>
      <c r="H806" s="1" t="s">
        <v>25</v>
      </c>
      <c r="I806" s="2" t="s">
        <v>37</v>
      </c>
      <c r="J806" s="1" t="s">
        <v>22</v>
      </c>
      <c r="K806" s="1" t="s">
        <v>598</v>
      </c>
      <c r="L806" s="2" t="s">
        <v>245</v>
      </c>
      <c r="M806" s="1" t="s">
        <v>20</v>
      </c>
    </row>
    <row r="807" ht="15.75" customHeight="1">
      <c r="A807" s="2" t="s">
        <v>914</v>
      </c>
      <c r="B807" s="1" t="s">
        <v>41</v>
      </c>
      <c r="C807" s="1" t="s">
        <v>15</v>
      </c>
      <c r="D807" s="2" t="s">
        <v>16</v>
      </c>
      <c r="F807" s="1" t="s">
        <v>55</v>
      </c>
      <c r="G807" s="1" t="s">
        <v>19</v>
      </c>
      <c r="H807" s="1" t="s">
        <v>20</v>
      </c>
      <c r="I807" s="2" t="s">
        <v>37</v>
      </c>
      <c r="J807" s="1" t="s">
        <v>43</v>
      </c>
      <c r="K807" s="1" t="s">
        <v>598</v>
      </c>
      <c r="L807" s="2" t="s">
        <v>109</v>
      </c>
      <c r="M807" s="1" t="s">
        <v>25</v>
      </c>
    </row>
    <row r="808" ht="15.75" customHeight="1">
      <c r="A808" s="2" t="s">
        <v>915</v>
      </c>
      <c r="B808" s="1" t="s">
        <v>14</v>
      </c>
      <c r="C808" s="1" t="s">
        <v>15</v>
      </c>
      <c r="D808" s="2" t="s">
        <v>49</v>
      </c>
      <c r="E808" s="2" t="s">
        <v>37</v>
      </c>
      <c r="F808" s="1" t="s">
        <v>55</v>
      </c>
      <c r="G808" s="1" t="s">
        <v>50</v>
      </c>
      <c r="H808" s="1" t="s">
        <v>20</v>
      </c>
      <c r="I808" s="2" t="s">
        <v>37</v>
      </c>
      <c r="J808" s="1" t="s">
        <v>51</v>
      </c>
      <c r="K808" s="1" t="s">
        <v>598</v>
      </c>
      <c r="L808" s="2" t="s">
        <v>201</v>
      </c>
      <c r="M808" s="1" t="s">
        <v>25</v>
      </c>
    </row>
    <row r="809" ht="15.75" customHeight="1">
      <c r="A809" s="2" t="s">
        <v>916</v>
      </c>
      <c r="B809" s="1" t="s">
        <v>41</v>
      </c>
      <c r="C809" s="1" t="s">
        <v>15</v>
      </c>
      <c r="D809" s="2" t="s">
        <v>76</v>
      </c>
      <c r="E809" s="2" t="s">
        <v>21</v>
      </c>
      <c r="F809" s="1" t="s">
        <v>30</v>
      </c>
      <c r="G809" s="1" t="s">
        <v>36</v>
      </c>
      <c r="H809" s="1" t="s">
        <v>25</v>
      </c>
      <c r="I809" s="2" t="s">
        <v>37</v>
      </c>
      <c r="J809" s="1" t="s">
        <v>51</v>
      </c>
      <c r="K809" s="1" t="s">
        <v>598</v>
      </c>
      <c r="L809" s="2" t="s">
        <v>104</v>
      </c>
      <c r="M809" s="1" t="s">
        <v>20</v>
      </c>
    </row>
    <row r="810" ht="15.75" customHeight="1">
      <c r="A810" s="2" t="s">
        <v>917</v>
      </c>
      <c r="B810" s="1" t="s">
        <v>41</v>
      </c>
      <c r="C810" s="1" t="s">
        <v>27</v>
      </c>
      <c r="D810" s="2" t="s">
        <v>28</v>
      </c>
      <c r="E810" s="2" t="s">
        <v>37</v>
      </c>
      <c r="F810" s="1" t="s">
        <v>55</v>
      </c>
      <c r="G810" s="1" t="s">
        <v>19</v>
      </c>
      <c r="H810" s="1" t="s">
        <v>20</v>
      </c>
      <c r="I810" s="2" t="s">
        <v>37</v>
      </c>
      <c r="J810" s="1" t="s">
        <v>51</v>
      </c>
      <c r="K810" s="1" t="s">
        <v>598</v>
      </c>
      <c r="L810" s="2" t="s">
        <v>52</v>
      </c>
      <c r="M810" s="1" t="s">
        <v>20</v>
      </c>
    </row>
    <row r="811" ht="15.75" customHeight="1">
      <c r="A811" s="2" t="s">
        <v>918</v>
      </c>
      <c r="B811" s="1" t="s">
        <v>14</v>
      </c>
      <c r="C811" s="1" t="s">
        <v>15</v>
      </c>
      <c r="D811" s="2" t="s">
        <v>16</v>
      </c>
      <c r="E811" s="2" t="s">
        <v>57</v>
      </c>
      <c r="F811" s="1" t="s">
        <v>55</v>
      </c>
      <c r="G811" s="1" t="s">
        <v>36</v>
      </c>
      <c r="H811" s="1" t="s">
        <v>20</v>
      </c>
      <c r="I811" s="2" t="s">
        <v>37</v>
      </c>
      <c r="J811" s="1" t="s">
        <v>43</v>
      </c>
      <c r="K811" s="1" t="s">
        <v>598</v>
      </c>
      <c r="L811" s="2" t="s">
        <v>403</v>
      </c>
      <c r="M811" s="1" t="s">
        <v>25</v>
      </c>
    </row>
    <row r="812" ht="15.75" customHeight="1">
      <c r="A812" s="2" t="s">
        <v>919</v>
      </c>
      <c r="B812" s="1" t="s">
        <v>41</v>
      </c>
      <c r="C812" s="1" t="s">
        <v>15</v>
      </c>
      <c r="D812" s="2" t="s">
        <v>42</v>
      </c>
      <c r="E812" s="2" t="s">
        <v>29</v>
      </c>
      <c r="F812" s="1" t="s">
        <v>87</v>
      </c>
      <c r="G812" s="1" t="s">
        <v>56</v>
      </c>
      <c r="H812" s="1" t="s">
        <v>20</v>
      </c>
      <c r="I812" s="2" t="s">
        <v>37</v>
      </c>
      <c r="J812" s="1" t="s">
        <v>43</v>
      </c>
      <c r="K812" s="1" t="s">
        <v>598</v>
      </c>
      <c r="L812" s="2" t="s">
        <v>132</v>
      </c>
      <c r="M812" s="1" t="s">
        <v>20</v>
      </c>
    </row>
    <row r="813" ht="15.75" customHeight="1">
      <c r="A813" s="2" t="s">
        <v>920</v>
      </c>
      <c r="B813" s="1" t="s">
        <v>14</v>
      </c>
      <c r="C813" s="1" t="s">
        <v>27</v>
      </c>
      <c r="D813" s="2" t="s">
        <v>76</v>
      </c>
      <c r="E813" s="2" t="s">
        <v>21</v>
      </c>
      <c r="F813" s="1" t="s">
        <v>30</v>
      </c>
      <c r="G813" s="1" t="s">
        <v>19</v>
      </c>
      <c r="H813" s="1" t="s">
        <v>25</v>
      </c>
      <c r="I813" s="2" t="s">
        <v>37</v>
      </c>
      <c r="J813" s="1" t="s">
        <v>51</v>
      </c>
      <c r="K813" s="1" t="s">
        <v>598</v>
      </c>
      <c r="L813" s="2" t="s">
        <v>109</v>
      </c>
      <c r="M813" s="1" t="s">
        <v>25</v>
      </c>
    </row>
    <row r="814" ht="15.75" customHeight="1">
      <c r="A814" s="2" t="s">
        <v>921</v>
      </c>
      <c r="B814" s="1" t="s">
        <v>41</v>
      </c>
      <c r="C814" s="1" t="s">
        <v>15</v>
      </c>
      <c r="D814" s="2" t="s">
        <v>42</v>
      </c>
      <c r="E814" s="2" t="s">
        <v>57</v>
      </c>
      <c r="F814" s="1" t="s">
        <v>18</v>
      </c>
      <c r="G814" s="1" t="s">
        <v>56</v>
      </c>
      <c r="H814" s="1" t="s">
        <v>20</v>
      </c>
      <c r="I814" s="2" t="s">
        <v>37</v>
      </c>
      <c r="J814" s="1" t="s">
        <v>69</v>
      </c>
      <c r="K814" s="1" t="s">
        <v>598</v>
      </c>
      <c r="L814" s="2" t="s">
        <v>145</v>
      </c>
      <c r="M814" s="1" t="s">
        <v>25</v>
      </c>
    </row>
    <row r="815" ht="15.75" customHeight="1">
      <c r="A815" s="2" t="s">
        <v>922</v>
      </c>
      <c r="B815" s="1" t="s">
        <v>14</v>
      </c>
      <c r="C815" s="1" t="s">
        <v>15</v>
      </c>
      <c r="D815" s="2" t="s">
        <v>42</v>
      </c>
      <c r="E815" s="2" t="s">
        <v>37</v>
      </c>
      <c r="F815" s="1" t="s">
        <v>55</v>
      </c>
      <c r="G815" s="1" t="s">
        <v>36</v>
      </c>
      <c r="H815" s="1" t="s">
        <v>20</v>
      </c>
      <c r="I815" s="2" t="s">
        <v>37</v>
      </c>
      <c r="J815" s="1" t="s">
        <v>69</v>
      </c>
      <c r="K815" s="1" t="s">
        <v>598</v>
      </c>
      <c r="L815" s="2" t="s">
        <v>201</v>
      </c>
      <c r="M815" s="1" t="s">
        <v>25</v>
      </c>
    </row>
    <row r="816" ht="15.75" customHeight="1">
      <c r="A816" s="2" t="s">
        <v>923</v>
      </c>
      <c r="B816" s="1" t="s">
        <v>41</v>
      </c>
      <c r="C816" s="1" t="s">
        <v>15</v>
      </c>
      <c r="D816" s="2" t="s">
        <v>42</v>
      </c>
      <c r="E816" s="2" t="s">
        <v>57</v>
      </c>
      <c r="F816" s="1" t="s">
        <v>18</v>
      </c>
      <c r="G816" s="1" t="s">
        <v>56</v>
      </c>
      <c r="H816" s="1" t="s">
        <v>20</v>
      </c>
      <c r="I816" s="2" t="s">
        <v>37</v>
      </c>
      <c r="J816" s="1" t="s">
        <v>51</v>
      </c>
      <c r="K816" s="1" t="s">
        <v>598</v>
      </c>
      <c r="L816" s="2" t="s">
        <v>112</v>
      </c>
      <c r="M816" s="1" t="s">
        <v>20</v>
      </c>
    </row>
    <row r="817" ht="15.75" customHeight="1">
      <c r="A817" s="2" t="s">
        <v>924</v>
      </c>
      <c r="B817" s="1" t="s">
        <v>14</v>
      </c>
      <c r="C817" s="1" t="s">
        <v>27</v>
      </c>
      <c r="D817" s="2" t="s">
        <v>16</v>
      </c>
      <c r="E817" s="2" t="s">
        <v>21</v>
      </c>
      <c r="F817" s="1" t="s">
        <v>30</v>
      </c>
      <c r="G817" s="1" t="s">
        <v>19</v>
      </c>
      <c r="H817" s="1" t="s">
        <v>25</v>
      </c>
      <c r="I817" s="2" t="s">
        <v>37</v>
      </c>
      <c r="J817" s="1" t="s">
        <v>51</v>
      </c>
      <c r="K817" s="1" t="s">
        <v>598</v>
      </c>
      <c r="L817" s="2" t="s">
        <v>116</v>
      </c>
      <c r="M817" s="1" t="s">
        <v>25</v>
      </c>
    </row>
    <row r="818" ht="15.75" customHeight="1">
      <c r="A818" s="2" t="s">
        <v>925</v>
      </c>
      <c r="B818" s="1" t="s">
        <v>14</v>
      </c>
      <c r="C818" s="1" t="s">
        <v>15</v>
      </c>
      <c r="D818" s="2" t="s">
        <v>76</v>
      </c>
      <c r="E818" s="2" t="s">
        <v>29</v>
      </c>
      <c r="F818" s="1" t="s">
        <v>87</v>
      </c>
      <c r="G818" s="1" t="s">
        <v>36</v>
      </c>
      <c r="H818" s="1" t="s">
        <v>20</v>
      </c>
      <c r="I818" s="2" t="s">
        <v>21</v>
      </c>
      <c r="J818" s="1" t="s">
        <v>38</v>
      </c>
      <c r="K818" s="1" t="s">
        <v>598</v>
      </c>
      <c r="L818" s="2" t="s">
        <v>32</v>
      </c>
      <c r="M818" s="1" t="s">
        <v>20</v>
      </c>
    </row>
    <row r="819" ht="15.75" customHeight="1">
      <c r="A819" s="2" t="s">
        <v>926</v>
      </c>
      <c r="B819" s="1" t="s">
        <v>14</v>
      </c>
      <c r="C819" s="1" t="s">
        <v>15</v>
      </c>
      <c r="D819" s="2" t="s">
        <v>76</v>
      </c>
      <c r="E819" s="2" t="s">
        <v>29</v>
      </c>
      <c r="F819" s="1" t="s">
        <v>87</v>
      </c>
      <c r="G819" s="1" t="s">
        <v>36</v>
      </c>
      <c r="H819" s="1" t="s">
        <v>20</v>
      </c>
      <c r="I819" s="2" t="s">
        <v>21</v>
      </c>
      <c r="J819" s="1" t="s">
        <v>38</v>
      </c>
      <c r="K819" s="1" t="s">
        <v>598</v>
      </c>
      <c r="L819" s="2" t="s">
        <v>24</v>
      </c>
      <c r="M819" s="1" t="s">
        <v>20</v>
      </c>
    </row>
    <row r="820" ht="15.75" customHeight="1">
      <c r="A820" s="2" t="s">
        <v>927</v>
      </c>
      <c r="B820" s="1" t="s">
        <v>14</v>
      </c>
      <c r="C820" s="1" t="s">
        <v>27</v>
      </c>
      <c r="D820" s="2" t="s">
        <v>16</v>
      </c>
      <c r="E820" s="2" t="s">
        <v>21</v>
      </c>
      <c r="F820" s="1" t="s">
        <v>30</v>
      </c>
      <c r="G820" s="1" t="s">
        <v>19</v>
      </c>
      <c r="H820" s="1" t="s">
        <v>20</v>
      </c>
      <c r="I820" s="2" t="s">
        <v>17</v>
      </c>
      <c r="J820" s="1" t="s">
        <v>43</v>
      </c>
      <c r="K820" s="1" t="s">
        <v>598</v>
      </c>
      <c r="L820" s="2" t="s">
        <v>116</v>
      </c>
      <c r="M820" s="1" t="s">
        <v>25</v>
      </c>
    </row>
    <row r="821" ht="15.75" customHeight="1">
      <c r="A821" s="2" t="s">
        <v>928</v>
      </c>
      <c r="B821" s="1" t="s">
        <v>41</v>
      </c>
      <c r="C821" s="1" t="s">
        <v>15</v>
      </c>
      <c r="D821" s="2" t="s">
        <v>16</v>
      </c>
      <c r="E821" s="2" t="s">
        <v>21</v>
      </c>
      <c r="F821" s="1" t="s">
        <v>55</v>
      </c>
      <c r="G821" s="1" t="s">
        <v>19</v>
      </c>
      <c r="H821" s="1" t="s">
        <v>20</v>
      </c>
      <c r="I821" s="2" t="s">
        <v>37</v>
      </c>
      <c r="J821" s="1" t="s">
        <v>43</v>
      </c>
      <c r="K821" s="1" t="s">
        <v>598</v>
      </c>
      <c r="L821" s="2" t="s">
        <v>116</v>
      </c>
      <c r="M821" s="1" t="s">
        <v>25</v>
      </c>
    </row>
    <row r="822" ht="15.75" customHeight="1">
      <c r="A822" s="2" t="s">
        <v>929</v>
      </c>
      <c r="B822" s="1" t="s">
        <v>41</v>
      </c>
      <c r="C822" s="1" t="s">
        <v>27</v>
      </c>
      <c r="D822" s="2" t="s">
        <v>276</v>
      </c>
      <c r="E822" s="2" t="s">
        <v>17</v>
      </c>
      <c r="F822" s="1" t="s">
        <v>18</v>
      </c>
      <c r="G822" s="1" t="s">
        <v>56</v>
      </c>
      <c r="H822" s="1" t="s">
        <v>20</v>
      </c>
      <c r="I822" s="2" t="s">
        <v>17</v>
      </c>
      <c r="J822" s="1" t="s">
        <v>43</v>
      </c>
      <c r="K822" s="1" t="s">
        <v>598</v>
      </c>
      <c r="L822" s="2" t="s">
        <v>32</v>
      </c>
      <c r="M822" s="1" t="s">
        <v>25</v>
      </c>
    </row>
    <row r="823" ht="15.75" customHeight="1">
      <c r="A823" s="2" t="s">
        <v>930</v>
      </c>
      <c r="B823" s="1" t="s">
        <v>14</v>
      </c>
      <c r="C823" s="1" t="s">
        <v>27</v>
      </c>
      <c r="D823" s="2" t="s">
        <v>76</v>
      </c>
      <c r="E823" s="2" t="s">
        <v>21</v>
      </c>
      <c r="F823" s="1" t="s">
        <v>30</v>
      </c>
      <c r="G823" s="1" t="s">
        <v>19</v>
      </c>
      <c r="H823" s="1" t="s">
        <v>20</v>
      </c>
      <c r="I823" s="2" t="s">
        <v>37</v>
      </c>
      <c r="J823" s="1" t="s">
        <v>43</v>
      </c>
      <c r="K823" s="1" t="s">
        <v>598</v>
      </c>
      <c r="L823" s="2" t="s">
        <v>58</v>
      </c>
      <c r="M823" s="1" t="s">
        <v>20</v>
      </c>
    </row>
    <row r="824" ht="15.75" customHeight="1">
      <c r="A824" s="2" t="s">
        <v>931</v>
      </c>
      <c r="B824" s="1" t="s">
        <v>14</v>
      </c>
      <c r="C824" s="1" t="s">
        <v>27</v>
      </c>
      <c r="D824" s="2" t="s">
        <v>28</v>
      </c>
      <c r="E824" s="2" t="s">
        <v>21</v>
      </c>
      <c r="F824" s="1" t="s">
        <v>55</v>
      </c>
      <c r="G824" s="1" t="s">
        <v>19</v>
      </c>
      <c r="H824" s="1" t="s">
        <v>20</v>
      </c>
      <c r="I824" s="2" t="s">
        <v>37</v>
      </c>
      <c r="J824" s="1" t="s">
        <v>43</v>
      </c>
      <c r="K824" s="1" t="s">
        <v>598</v>
      </c>
      <c r="L824" s="2" t="s">
        <v>104</v>
      </c>
      <c r="M824" s="1" t="s">
        <v>25</v>
      </c>
    </row>
    <row r="825" ht="15.75" customHeight="1">
      <c r="A825" s="2" t="s">
        <v>932</v>
      </c>
      <c r="B825" s="1" t="s">
        <v>41</v>
      </c>
      <c r="C825" s="1" t="s">
        <v>15</v>
      </c>
      <c r="D825" s="2" t="s">
        <v>42</v>
      </c>
      <c r="E825" s="2" t="s">
        <v>57</v>
      </c>
      <c r="F825" s="1" t="s">
        <v>55</v>
      </c>
      <c r="G825" s="1" t="s">
        <v>36</v>
      </c>
      <c r="H825" s="1" t="s">
        <v>20</v>
      </c>
      <c r="I825" s="2" t="s">
        <v>21</v>
      </c>
      <c r="J825" s="1" t="s">
        <v>43</v>
      </c>
      <c r="K825" s="1" t="s">
        <v>598</v>
      </c>
      <c r="L825" s="2" t="s">
        <v>52</v>
      </c>
      <c r="M825" s="1" t="s">
        <v>20</v>
      </c>
    </row>
    <row r="826" ht="15.75" customHeight="1">
      <c r="A826" s="2" t="s">
        <v>933</v>
      </c>
      <c r="B826" s="1" t="s">
        <v>41</v>
      </c>
      <c r="C826" s="1" t="s">
        <v>27</v>
      </c>
      <c r="D826" s="2" t="s">
        <v>276</v>
      </c>
      <c r="E826" s="2" t="s">
        <v>37</v>
      </c>
      <c r="F826" s="1" t="s">
        <v>18</v>
      </c>
      <c r="G826" s="1" t="s">
        <v>56</v>
      </c>
      <c r="H826" s="1" t="s">
        <v>25</v>
      </c>
      <c r="I826" s="2" t="s">
        <v>29</v>
      </c>
      <c r="J826" s="1" t="s">
        <v>22</v>
      </c>
      <c r="K826" s="1" t="s">
        <v>598</v>
      </c>
      <c r="L826" s="2" t="s">
        <v>153</v>
      </c>
      <c r="M826" s="1" t="s">
        <v>20</v>
      </c>
    </row>
    <row r="827" ht="15.75" customHeight="1">
      <c r="A827" s="2" t="s">
        <v>934</v>
      </c>
      <c r="B827" s="1" t="s">
        <v>14</v>
      </c>
      <c r="C827" s="1" t="s">
        <v>27</v>
      </c>
      <c r="D827" s="2" t="s">
        <v>42</v>
      </c>
      <c r="E827" s="2" t="s">
        <v>29</v>
      </c>
      <c r="F827" s="1" t="s">
        <v>55</v>
      </c>
      <c r="G827" s="1" t="s">
        <v>36</v>
      </c>
      <c r="H827" s="1" t="s">
        <v>25</v>
      </c>
      <c r="I827" s="2" t="s">
        <v>17</v>
      </c>
      <c r="J827" s="1" t="s">
        <v>51</v>
      </c>
      <c r="K827" s="1" t="s">
        <v>598</v>
      </c>
      <c r="L827" s="2" t="s">
        <v>132</v>
      </c>
      <c r="M827" s="1" t="s">
        <v>20</v>
      </c>
    </row>
    <row r="828" ht="15.75" customHeight="1">
      <c r="A828" s="2" t="s">
        <v>935</v>
      </c>
      <c r="B828" s="1" t="s">
        <v>14</v>
      </c>
      <c r="C828" s="1" t="s">
        <v>27</v>
      </c>
      <c r="D828" s="2" t="s">
        <v>42</v>
      </c>
      <c r="E828" s="2" t="s">
        <v>57</v>
      </c>
      <c r="F828" s="1" t="s">
        <v>87</v>
      </c>
      <c r="G828" s="1" t="s">
        <v>36</v>
      </c>
      <c r="H828" s="1" t="s">
        <v>20</v>
      </c>
      <c r="I828" s="2" t="s">
        <v>21</v>
      </c>
      <c r="J828" s="1" t="s">
        <v>38</v>
      </c>
      <c r="K828" s="1" t="s">
        <v>598</v>
      </c>
      <c r="L828" s="2" t="s">
        <v>47</v>
      </c>
      <c r="M828" s="1" t="s">
        <v>20</v>
      </c>
    </row>
    <row r="829" ht="15.75" customHeight="1">
      <c r="A829" s="2" t="s">
        <v>936</v>
      </c>
      <c r="B829" s="1" t="s">
        <v>41</v>
      </c>
      <c r="C829" s="1" t="s">
        <v>15</v>
      </c>
      <c r="D829" s="2" t="s">
        <v>34</v>
      </c>
      <c r="E829" s="2" t="s">
        <v>29</v>
      </c>
      <c r="F829" s="1" t="s">
        <v>18</v>
      </c>
      <c r="G829" s="1" t="s">
        <v>19</v>
      </c>
      <c r="H829" s="1" t="s">
        <v>20</v>
      </c>
      <c r="I829" s="2" t="s">
        <v>37</v>
      </c>
      <c r="J829" s="1" t="s">
        <v>38</v>
      </c>
      <c r="K829" s="1" t="s">
        <v>598</v>
      </c>
      <c r="L829" s="2" t="s">
        <v>45</v>
      </c>
      <c r="M829" s="1" t="s">
        <v>20</v>
      </c>
    </row>
    <row r="830" ht="15.75" customHeight="1">
      <c r="A830" s="2" t="s">
        <v>937</v>
      </c>
      <c r="B830" s="1" t="s">
        <v>41</v>
      </c>
      <c r="C830" s="1" t="s">
        <v>15</v>
      </c>
      <c r="D830" s="2" t="s">
        <v>16</v>
      </c>
      <c r="E830" s="2" t="s">
        <v>21</v>
      </c>
      <c r="F830" s="1" t="s">
        <v>62</v>
      </c>
      <c r="G830" s="1" t="s">
        <v>31</v>
      </c>
      <c r="H830" s="1" t="s">
        <v>20</v>
      </c>
      <c r="I830" s="2" t="s">
        <v>37</v>
      </c>
      <c r="J830" s="1" t="s">
        <v>43</v>
      </c>
      <c r="K830" s="1" t="s">
        <v>598</v>
      </c>
      <c r="L830" s="2" t="s">
        <v>107</v>
      </c>
      <c r="M830" s="1" t="s">
        <v>25</v>
      </c>
    </row>
    <row r="831" ht="15.75" customHeight="1">
      <c r="A831" s="2" t="s">
        <v>938</v>
      </c>
      <c r="B831" s="1" t="s">
        <v>41</v>
      </c>
      <c r="C831" s="1" t="s">
        <v>27</v>
      </c>
      <c r="D831" s="2" t="s">
        <v>71</v>
      </c>
      <c r="E831" s="2" t="s">
        <v>17</v>
      </c>
      <c r="F831" s="1" t="s">
        <v>87</v>
      </c>
      <c r="G831" s="1" t="s">
        <v>56</v>
      </c>
      <c r="H831" s="1" t="s">
        <v>25</v>
      </c>
      <c r="I831" s="2" t="s">
        <v>57</v>
      </c>
      <c r="J831" s="1" t="s">
        <v>22</v>
      </c>
      <c r="K831" s="1" t="s">
        <v>598</v>
      </c>
      <c r="L831" s="2" t="s">
        <v>128</v>
      </c>
      <c r="M831" s="1" t="s">
        <v>25</v>
      </c>
    </row>
    <row r="832" ht="15.75" customHeight="1">
      <c r="A832" s="2" t="s">
        <v>939</v>
      </c>
      <c r="B832" s="1" t="s">
        <v>14</v>
      </c>
      <c r="C832" s="1" t="s">
        <v>27</v>
      </c>
      <c r="D832" s="2" t="s">
        <v>76</v>
      </c>
      <c r="E832" s="2" t="s">
        <v>37</v>
      </c>
      <c r="F832" s="1" t="s">
        <v>55</v>
      </c>
      <c r="G832" s="1" t="s">
        <v>36</v>
      </c>
      <c r="H832" s="1" t="s">
        <v>25</v>
      </c>
      <c r="I832" s="2" t="s">
        <v>37</v>
      </c>
      <c r="J832" s="1" t="s">
        <v>43</v>
      </c>
      <c r="K832" s="1" t="s">
        <v>598</v>
      </c>
      <c r="L832" s="2" t="s">
        <v>178</v>
      </c>
      <c r="M832" s="1" t="s">
        <v>25</v>
      </c>
    </row>
    <row r="833" ht="15.75" customHeight="1">
      <c r="A833" s="2" t="s">
        <v>940</v>
      </c>
      <c r="B833" s="1" t="s">
        <v>14</v>
      </c>
      <c r="C833" s="1" t="s">
        <v>15</v>
      </c>
      <c r="D833" s="2" t="s">
        <v>42</v>
      </c>
      <c r="E833" s="2" t="s">
        <v>57</v>
      </c>
      <c r="F833" s="1" t="s">
        <v>18</v>
      </c>
      <c r="G833" s="1" t="s">
        <v>36</v>
      </c>
      <c r="H833" s="1" t="s">
        <v>20</v>
      </c>
      <c r="I833" s="2" t="s">
        <v>37</v>
      </c>
      <c r="J833" s="1" t="s">
        <v>22</v>
      </c>
      <c r="K833" s="1" t="s">
        <v>598</v>
      </c>
      <c r="L833" s="2" t="s">
        <v>32</v>
      </c>
      <c r="M833" s="1" t="s">
        <v>20</v>
      </c>
    </row>
    <row r="834" ht="15.75" customHeight="1">
      <c r="A834" s="2" t="s">
        <v>941</v>
      </c>
      <c r="B834" s="1" t="s">
        <v>14</v>
      </c>
      <c r="C834" s="1" t="s">
        <v>15</v>
      </c>
      <c r="D834" s="2" t="s">
        <v>76</v>
      </c>
      <c r="E834" s="2" t="s">
        <v>21</v>
      </c>
      <c r="F834" s="1" t="s">
        <v>87</v>
      </c>
      <c r="G834" s="1" t="s">
        <v>36</v>
      </c>
      <c r="H834" s="1" t="s">
        <v>20</v>
      </c>
      <c r="I834" s="2" t="s">
        <v>21</v>
      </c>
      <c r="J834" s="1" t="s">
        <v>22</v>
      </c>
      <c r="K834" s="1" t="s">
        <v>598</v>
      </c>
      <c r="L834" s="2" t="s">
        <v>135</v>
      </c>
      <c r="M834" s="1" t="s">
        <v>25</v>
      </c>
    </row>
    <row r="835" ht="15.75" customHeight="1">
      <c r="A835" s="2" t="s">
        <v>942</v>
      </c>
      <c r="B835" s="1" t="s">
        <v>41</v>
      </c>
      <c r="C835" s="1" t="s">
        <v>15</v>
      </c>
      <c r="D835" s="2" t="s">
        <v>42</v>
      </c>
      <c r="E835" s="2" t="s">
        <v>21</v>
      </c>
      <c r="F835" s="1" t="s">
        <v>18</v>
      </c>
      <c r="G835" s="1" t="s">
        <v>36</v>
      </c>
      <c r="H835" s="1" t="s">
        <v>25</v>
      </c>
      <c r="I835" s="2" t="s">
        <v>17</v>
      </c>
      <c r="J835" s="1" t="s">
        <v>22</v>
      </c>
      <c r="K835" s="1" t="s">
        <v>598</v>
      </c>
      <c r="L835" s="2" t="s">
        <v>153</v>
      </c>
      <c r="M835" s="1" t="s">
        <v>20</v>
      </c>
    </row>
    <row r="836" ht="15.75" customHeight="1">
      <c r="A836" s="2" t="s">
        <v>943</v>
      </c>
      <c r="B836" s="1" t="s">
        <v>41</v>
      </c>
      <c r="C836" s="1" t="s">
        <v>15</v>
      </c>
      <c r="D836" s="2" t="s">
        <v>42</v>
      </c>
      <c r="E836" s="2" t="s">
        <v>37</v>
      </c>
      <c r="F836" s="1" t="s">
        <v>62</v>
      </c>
      <c r="G836" s="1" t="s">
        <v>19</v>
      </c>
      <c r="H836" s="1" t="s">
        <v>25</v>
      </c>
      <c r="I836" s="2" t="s">
        <v>37</v>
      </c>
      <c r="J836" s="1" t="s">
        <v>38</v>
      </c>
      <c r="K836" s="1" t="s">
        <v>598</v>
      </c>
      <c r="L836" s="2" t="s">
        <v>66</v>
      </c>
      <c r="M836" s="1" t="s">
        <v>20</v>
      </c>
    </row>
    <row r="837" ht="15.75" customHeight="1">
      <c r="A837" s="2" t="s">
        <v>944</v>
      </c>
      <c r="B837" s="1" t="s">
        <v>41</v>
      </c>
      <c r="C837" s="1" t="s">
        <v>15</v>
      </c>
      <c r="D837" s="2" t="s">
        <v>76</v>
      </c>
      <c r="E837" s="2" t="s">
        <v>29</v>
      </c>
      <c r="F837" s="1" t="s">
        <v>18</v>
      </c>
      <c r="G837" s="1" t="s">
        <v>19</v>
      </c>
      <c r="H837" s="1" t="s">
        <v>20</v>
      </c>
      <c r="I837" s="2" t="s">
        <v>21</v>
      </c>
      <c r="J837" s="1" t="s">
        <v>38</v>
      </c>
      <c r="K837" s="1" t="s">
        <v>598</v>
      </c>
      <c r="L837" s="2" t="s">
        <v>100</v>
      </c>
      <c r="M837" s="1" t="s">
        <v>20</v>
      </c>
    </row>
    <row r="838" ht="15.75" customHeight="1">
      <c r="A838" s="2" t="s">
        <v>945</v>
      </c>
      <c r="B838" s="1" t="s">
        <v>14</v>
      </c>
      <c r="C838" s="1" t="s">
        <v>15</v>
      </c>
      <c r="D838" s="2" t="s">
        <v>16</v>
      </c>
      <c r="E838" s="2" t="s">
        <v>21</v>
      </c>
      <c r="F838" s="1" t="s">
        <v>30</v>
      </c>
      <c r="G838" s="1" t="s">
        <v>19</v>
      </c>
      <c r="H838" s="1" t="s">
        <v>20</v>
      </c>
      <c r="I838" s="2" t="s">
        <v>37</v>
      </c>
      <c r="J838" s="1" t="s">
        <v>43</v>
      </c>
      <c r="K838" s="1" t="s">
        <v>598</v>
      </c>
      <c r="L838" s="2" t="s">
        <v>118</v>
      </c>
      <c r="M838" s="1" t="s">
        <v>25</v>
      </c>
    </row>
    <row r="839" ht="15.75" customHeight="1">
      <c r="A839" s="2" t="s">
        <v>946</v>
      </c>
      <c r="B839" s="1" t="s">
        <v>14</v>
      </c>
      <c r="C839" s="1" t="s">
        <v>27</v>
      </c>
      <c r="D839" s="2" t="s">
        <v>76</v>
      </c>
      <c r="E839" s="2" t="s">
        <v>17</v>
      </c>
      <c r="F839" s="1" t="s">
        <v>87</v>
      </c>
      <c r="G839" s="1" t="s">
        <v>19</v>
      </c>
      <c r="H839" s="1" t="s">
        <v>20</v>
      </c>
      <c r="I839" s="2" t="s">
        <v>21</v>
      </c>
      <c r="J839" s="1" t="s">
        <v>22</v>
      </c>
      <c r="K839" s="1" t="s">
        <v>598</v>
      </c>
      <c r="L839" s="2" t="s">
        <v>58</v>
      </c>
      <c r="M839" s="1" t="s">
        <v>25</v>
      </c>
    </row>
    <row r="840" ht="15.75" customHeight="1">
      <c r="A840" s="2" t="s">
        <v>947</v>
      </c>
      <c r="B840" s="1" t="s">
        <v>41</v>
      </c>
      <c r="C840" s="1" t="s">
        <v>15</v>
      </c>
      <c r="D840" s="2" t="s">
        <v>34</v>
      </c>
      <c r="E840" s="2" t="s">
        <v>29</v>
      </c>
      <c r="F840" s="1" t="s">
        <v>18</v>
      </c>
      <c r="G840" s="1" t="s">
        <v>19</v>
      </c>
      <c r="H840" s="1" t="s">
        <v>20</v>
      </c>
      <c r="I840" s="2" t="s">
        <v>37</v>
      </c>
      <c r="J840" s="1" t="s">
        <v>38</v>
      </c>
      <c r="K840" s="1" t="s">
        <v>598</v>
      </c>
      <c r="L840" s="2" t="s">
        <v>45</v>
      </c>
      <c r="M840" s="1" t="s">
        <v>20</v>
      </c>
    </row>
    <row r="841" ht="15.75" customHeight="1">
      <c r="A841" s="2" t="s">
        <v>948</v>
      </c>
      <c r="B841" s="1" t="s">
        <v>41</v>
      </c>
      <c r="C841" s="1" t="s">
        <v>15</v>
      </c>
      <c r="D841" s="2" t="s">
        <v>34</v>
      </c>
      <c r="E841" s="2" t="s">
        <v>29</v>
      </c>
      <c r="F841" s="1" t="s">
        <v>87</v>
      </c>
      <c r="G841" s="1" t="s">
        <v>36</v>
      </c>
      <c r="H841" s="1" t="s">
        <v>20</v>
      </c>
      <c r="I841" s="2" t="s">
        <v>21</v>
      </c>
      <c r="J841" s="1" t="s">
        <v>22</v>
      </c>
      <c r="K841" s="1" t="s">
        <v>598</v>
      </c>
      <c r="L841" s="2" t="s">
        <v>153</v>
      </c>
      <c r="M841" s="1" t="s">
        <v>20</v>
      </c>
    </row>
    <row r="842" ht="15.75" customHeight="1">
      <c r="A842" s="2" t="s">
        <v>949</v>
      </c>
      <c r="B842" s="1" t="s">
        <v>14</v>
      </c>
      <c r="C842" s="1" t="s">
        <v>27</v>
      </c>
      <c r="D842" s="2" t="s">
        <v>42</v>
      </c>
      <c r="E842" s="2" t="s">
        <v>57</v>
      </c>
      <c r="F842" s="1" t="s">
        <v>30</v>
      </c>
      <c r="G842" s="1" t="s">
        <v>36</v>
      </c>
      <c r="H842" s="1" t="s">
        <v>20</v>
      </c>
      <c r="I842" s="2" t="s">
        <v>37</v>
      </c>
      <c r="J842" s="1" t="s">
        <v>69</v>
      </c>
      <c r="K842" s="1" t="s">
        <v>598</v>
      </c>
      <c r="L842" s="2" t="s">
        <v>201</v>
      </c>
      <c r="M842" s="1" t="s">
        <v>25</v>
      </c>
    </row>
    <row r="843" ht="15.75" customHeight="1">
      <c r="A843" s="2" t="s">
        <v>950</v>
      </c>
      <c r="B843" s="1" t="s">
        <v>14</v>
      </c>
      <c r="C843" s="1" t="s">
        <v>27</v>
      </c>
      <c r="D843" s="2" t="s">
        <v>161</v>
      </c>
      <c r="E843" s="2" t="s">
        <v>37</v>
      </c>
      <c r="F843" s="1" t="s">
        <v>87</v>
      </c>
      <c r="G843" s="1" t="s">
        <v>56</v>
      </c>
      <c r="H843" s="1" t="s">
        <v>20</v>
      </c>
      <c r="I843" s="2" t="s">
        <v>29</v>
      </c>
      <c r="J843" s="1" t="s">
        <v>43</v>
      </c>
      <c r="K843" s="1" t="s">
        <v>598</v>
      </c>
      <c r="L843" s="2" t="s">
        <v>421</v>
      </c>
      <c r="M843" s="1" t="s">
        <v>25</v>
      </c>
    </row>
    <row r="844" ht="15.75" customHeight="1">
      <c r="A844" s="2" t="s">
        <v>951</v>
      </c>
      <c r="B844" s="1" t="s">
        <v>14</v>
      </c>
      <c r="C844" s="1" t="s">
        <v>15</v>
      </c>
      <c r="D844" s="2" t="s">
        <v>76</v>
      </c>
      <c r="E844" s="2" t="s">
        <v>17</v>
      </c>
      <c r="F844" s="1" t="s">
        <v>30</v>
      </c>
      <c r="G844" s="1" t="s">
        <v>19</v>
      </c>
      <c r="H844" s="1" t="s">
        <v>20</v>
      </c>
      <c r="I844" s="2" t="s">
        <v>17</v>
      </c>
      <c r="J844" s="1" t="s">
        <v>38</v>
      </c>
      <c r="K844" s="1" t="s">
        <v>598</v>
      </c>
      <c r="L844" s="2" t="s">
        <v>77</v>
      </c>
      <c r="M844" s="1" t="s">
        <v>20</v>
      </c>
    </row>
    <row r="845" ht="15.75" customHeight="1">
      <c r="A845" s="2" t="s">
        <v>952</v>
      </c>
      <c r="B845" s="1" t="s">
        <v>41</v>
      </c>
      <c r="C845" s="1" t="s">
        <v>27</v>
      </c>
      <c r="D845" s="2" t="s">
        <v>34</v>
      </c>
      <c r="E845" s="2" t="s">
        <v>37</v>
      </c>
      <c r="F845" s="1" t="s">
        <v>62</v>
      </c>
      <c r="G845" s="1" t="s">
        <v>19</v>
      </c>
      <c r="H845" s="1" t="s">
        <v>25</v>
      </c>
      <c r="I845" s="2" t="s">
        <v>37</v>
      </c>
      <c r="J845" s="1" t="s">
        <v>51</v>
      </c>
      <c r="K845" s="1" t="s">
        <v>598</v>
      </c>
      <c r="L845" s="2" t="s">
        <v>132</v>
      </c>
      <c r="M845" s="1" t="s">
        <v>25</v>
      </c>
    </row>
    <row r="846" ht="15.75" customHeight="1">
      <c r="A846" s="2" t="s">
        <v>953</v>
      </c>
      <c r="B846" s="1" t="s">
        <v>14</v>
      </c>
      <c r="C846" s="1" t="s">
        <v>15</v>
      </c>
      <c r="D846" s="2" t="s">
        <v>16</v>
      </c>
      <c r="E846" s="2" t="s">
        <v>35</v>
      </c>
      <c r="F846" s="1" t="s">
        <v>55</v>
      </c>
      <c r="G846" s="1" t="s">
        <v>36</v>
      </c>
      <c r="H846" s="1" t="s">
        <v>20</v>
      </c>
      <c r="I846" s="2" t="s">
        <v>37</v>
      </c>
      <c r="J846" s="1" t="s">
        <v>69</v>
      </c>
      <c r="K846" s="1" t="s">
        <v>598</v>
      </c>
      <c r="L846" s="2" t="s">
        <v>39</v>
      </c>
      <c r="M846" s="1" t="s">
        <v>25</v>
      </c>
    </row>
    <row r="847" ht="15.75" customHeight="1">
      <c r="A847" s="2" t="s">
        <v>954</v>
      </c>
      <c r="B847" s="1" t="s">
        <v>41</v>
      </c>
      <c r="C847" s="1" t="s">
        <v>15</v>
      </c>
      <c r="D847" s="2" t="s">
        <v>61</v>
      </c>
      <c r="E847" s="2" t="s">
        <v>29</v>
      </c>
      <c r="F847" s="1" t="s">
        <v>62</v>
      </c>
      <c r="G847" s="1" t="s">
        <v>31</v>
      </c>
      <c r="H847" s="1" t="s">
        <v>20</v>
      </c>
      <c r="I847" s="2" t="s">
        <v>37</v>
      </c>
      <c r="J847" s="1" t="s">
        <v>51</v>
      </c>
      <c r="K847" s="1" t="s">
        <v>598</v>
      </c>
      <c r="L847" s="2" t="s">
        <v>52</v>
      </c>
      <c r="M847" s="1" t="s">
        <v>25</v>
      </c>
    </row>
    <row r="848" ht="15.75" customHeight="1">
      <c r="A848" s="2" t="s">
        <v>955</v>
      </c>
      <c r="B848" s="1" t="s">
        <v>14</v>
      </c>
      <c r="C848" s="1" t="s">
        <v>15</v>
      </c>
      <c r="D848" s="2" t="s">
        <v>42</v>
      </c>
      <c r="E848" s="2" t="s">
        <v>57</v>
      </c>
      <c r="F848" s="1" t="s">
        <v>30</v>
      </c>
      <c r="G848" s="1" t="s">
        <v>36</v>
      </c>
      <c r="H848" s="1" t="s">
        <v>25</v>
      </c>
      <c r="I848" s="2" t="s">
        <v>17</v>
      </c>
      <c r="J848" s="1" t="s">
        <v>51</v>
      </c>
      <c r="K848" s="1" t="s">
        <v>598</v>
      </c>
      <c r="L848" s="2" t="s">
        <v>91</v>
      </c>
      <c r="M848" s="1" t="s">
        <v>25</v>
      </c>
    </row>
    <row r="849" ht="15.75" customHeight="1">
      <c r="A849" s="2" t="s">
        <v>956</v>
      </c>
      <c r="B849" s="1" t="s">
        <v>41</v>
      </c>
      <c r="C849" s="1" t="s">
        <v>15</v>
      </c>
      <c r="D849" s="2" t="s">
        <v>16</v>
      </c>
      <c r="E849" s="2" t="s">
        <v>21</v>
      </c>
      <c r="F849" s="1" t="s">
        <v>62</v>
      </c>
      <c r="G849" s="1" t="s">
        <v>31</v>
      </c>
      <c r="H849" s="1" t="s">
        <v>20</v>
      </c>
      <c r="I849" s="2" t="s">
        <v>37</v>
      </c>
      <c r="J849" s="1" t="s">
        <v>43</v>
      </c>
      <c r="K849" s="1" t="s">
        <v>598</v>
      </c>
      <c r="L849" s="2" t="s">
        <v>97</v>
      </c>
      <c r="M849" s="1" t="s">
        <v>25</v>
      </c>
    </row>
    <row r="850" ht="15.75" customHeight="1">
      <c r="A850" s="2" t="s">
        <v>957</v>
      </c>
      <c r="B850" s="1" t="s">
        <v>41</v>
      </c>
      <c r="C850" s="1" t="s">
        <v>27</v>
      </c>
      <c r="D850" s="2" t="s">
        <v>144</v>
      </c>
      <c r="E850" s="2" t="s">
        <v>21</v>
      </c>
      <c r="F850" s="1" t="s">
        <v>87</v>
      </c>
      <c r="G850" s="1" t="s">
        <v>56</v>
      </c>
      <c r="H850" s="1" t="s">
        <v>25</v>
      </c>
      <c r="I850" s="2" t="s">
        <v>37</v>
      </c>
      <c r="J850" s="1" t="s">
        <v>22</v>
      </c>
      <c r="K850" s="1" t="s">
        <v>598</v>
      </c>
      <c r="L850" s="2" t="s">
        <v>79</v>
      </c>
      <c r="M850" s="1" t="s">
        <v>20</v>
      </c>
    </row>
    <row r="851" ht="15.75" customHeight="1">
      <c r="A851" s="2" t="s">
        <v>958</v>
      </c>
      <c r="B851" s="1" t="s">
        <v>14</v>
      </c>
      <c r="C851" s="1" t="s">
        <v>15</v>
      </c>
      <c r="D851" s="2" t="s">
        <v>16</v>
      </c>
      <c r="E851" s="2" t="s">
        <v>35</v>
      </c>
      <c r="F851" s="1" t="s">
        <v>55</v>
      </c>
      <c r="G851" s="1" t="s">
        <v>36</v>
      </c>
      <c r="H851" s="1" t="s">
        <v>25</v>
      </c>
      <c r="I851" s="2" t="s">
        <v>37</v>
      </c>
      <c r="J851" s="1" t="s">
        <v>38</v>
      </c>
      <c r="K851" s="1" t="s">
        <v>598</v>
      </c>
      <c r="L851" s="2" t="s">
        <v>39</v>
      </c>
      <c r="M851" s="1" t="s">
        <v>25</v>
      </c>
    </row>
    <row r="852" ht="15.75" customHeight="1">
      <c r="A852" s="2" t="s">
        <v>959</v>
      </c>
      <c r="B852" s="1" t="s">
        <v>41</v>
      </c>
      <c r="C852" s="1" t="s">
        <v>15</v>
      </c>
      <c r="D852" s="2" t="s">
        <v>144</v>
      </c>
      <c r="E852" s="2" t="s">
        <v>37</v>
      </c>
      <c r="F852" s="1" t="s">
        <v>18</v>
      </c>
      <c r="G852" s="1" t="s">
        <v>56</v>
      </c>
      <c r="H852" s="1" t="s">
        <v>25</v>
      </c>
      <c r="I852" s="2" t="s">
        <v>57</v>
      </c>
      <c r="J852" s="1" t="s">
        <v>22</v>
      </c>
      <c r="K852" s="1" t="s">
        <v>598</v>
      </c>
      <c r="L852" s="2" t="s">
        <v>297</v>
      </c>
      <c r="M852" s="1" t="s">
        <v>25</v>
      </c>
    </row>
    <row r="853" ht="15.75" customHeight="1">
      <c r="A853" s="2" t="s">
        <v>960</v>
      </c>
      <c r="B853" s="1" t="s">
        <v>14</v>
      </c>
      <c r="C853" s="1" t="s">
        <v>27</v>
      </c>
      <c r="D853" s="2" t="s">
        <v>76</v>
      </c>
      <c r="E853" s="2" t="s">
        <v>21</v>
      </c>
      <c r="F853" s="1" t="s">
        <v>30</v>
      </c>
      <c r="G853" s="1" t="s">
        <v>19</v>
      </c>
      <c r="H853" s="1" t="s">
        <v>20</v>
      </c>
      <c r="I853" s="2" t="s">
        <v>17</v>
      </c>
      <c r="J853" s="1" t="s">
        <v>43</v>
      </c>
      <c r="K853" s="1" t="s">
        <v>598</v>
      </c>
      <c r="L853" s="2" t="s">
        <v>104</v>
      </c>
      <c r="M853" s="1" t="s">
        <v>20</v>
      </c>
    </row>
    <row r="854" ht="15.75" customHeight="1">
      <c r="A854" s="2" t="s">
        <v>961</v>
      </c>
      <c r="B854" s="1" t="s">
        <v>41</v>
      </c>
      <c r="C854" s="1" t="s">
        <v>27</v>
      </c>
      <c r="D854" s="2" t="s">
        <v>272</v>
      </c>
      <c r="E854" s="2" t="s">
        <v>37</v>
      </c>
      <c r="F854" s="1" t="s">
        <v>18</v>
      </c>
      <c r="G854" s="1" t="s">
        <v>19</v>
      </c>
      <c r="H854" s="1" t="s">
        <v>25</v>
      </c>
      <c r="I854" s="2" t="s">
        <v>17</v>
      </c>
      <c r="J854" s="1" t="s">
        <v>22</v>
      </c>
      <c r="K854" s="1" t="s">
        <v>598</v>
      </c>
      <c r="L854" s="2" t="s">
        <v>135</v>
      </c>
      <c r="M854" s="1" t="s">
        <v>20</v>
      </c>
    </row>
    <row r="855" ht="15.75" customHeight="1">
      <c r="A855" s="2" t="s">
        <v>962</v>
      </c>
      <c r="B855" s="1" t="s">
        <v>41</v>
      </c>
      <c r="C855" s="1" t="s">
        <v>27</v>
      </c>
      <c r="D855" s="2" t="s">
        <v>76</v>
      </c>
      <c r="E855" s="2" t="s">
        <v>17</v>
      </c>
      <c r="F855" s="1" t="s">
        <v>87</v>
      </c>
      <c r="G855" s="1" t="s">
        <v>36</v>
      </c>
      <c r="H855" s="1" t="s">
        <v>20</v>
      </c>
      <c r="I855" s="2" t="s">
        <v>21</v>
      </c>
      <c r="J855" s="1" t="s">
        <v>38</v>
      </c>
      <c r="K855" s="1" t="s">
        <v>598</v>
      </c>
      <c r="L855" s="2" t="s">
        <v>74</v>
      </c>
      <c r="M855" s="1" t="s">
        <v>20</v>
      </c>
    </row>
    <row r="856" ht="15.75" customHeight="1">
      <c r="A856" s="2" t="s">
        <v>963</v>
      </c>
      <c r="B856" s="1" t="s">
        <v>14</v>
      </c>
      <c r="C856" s="1" t="s">
        <v>15</v>
      </c>
      <c r="D856" s="2" t="s">
        <v>76</v>
      </c>
      <c r="E856" s="2" t="s">
        <v>21</v>
      </c>
      <c r="F856" s="1" t="s">
        <v>30</v>
      </c>
      <c r="G856" s="1" t="s">
        <v>36</v>
      </c>
      <c r="H856" s="1" t="s">
        <v>20</v>
      </c>
      <c r="I856" s="2" t="s">
        <v>37</v>
      </c>
      <c r="J856" s="1" t="s">
        <v>43</v>
      </c>
      <c r="K856" s="1" t="s">
        <v>598</v>
      </c>
      <c r="L856" s="2" t="s">
        <v>104</v>
      </c>
      <c r="M856" s="1" t="s">
        <v>25</v>
      </c>
    </row>
    <row r="857" ht="15.75" customHeight="1">
      <c r="A857" s="2" t="s">
        <v>964</v>
      </c>
      <c r="B857" s="1" t="s">
        <v>41</v>
      </c>
      <c r="C857" s="1" t="s">
        <v>15</v>
      </c>
      <c r="D857" s="2" t="s">
        <v>28</v>
      </c>
      <c r="E857" s="2" t="s">
        <v>21</v>
      </c>
      <c r="F857" s="1" t="s">
        <v>30</v>
      </c>
      <c r="G857" s="1" t="s">
        <v>19</v>
      </c>
      <c r="H857" s="1" t="s">
        <v>25</v>
      </c>
      <c r="I857" s="2" t="s">
        <v>17</v>
      </c>
      <c r="J857" s="1" t="s">
        <v>51</v>
      </c>
      <c r="K857" s="1" t="s">
        <v>598</v>
      </c>
      <c r="L857" s="2" t="s">
        <v>109</v>
      </c>
      <c r="M857" s="1" t="s">
        <v>25</v>
      </c>
    </row>
    <row r="858" ht="15.75" customHeight="1">
      <c r="A858" s="2" t="s">
        <v>965</v>
      </c>
      <c r="B858" s="1" t="s">
        <v>41</v>
      </c>
      <c r="C858" s="1" t="s">
        <v>27</v>
      </c>
      <c r="D858" s="2" t="s">
        <v>16</v>
      </c>
      <c r="E858" s="2" t="s">
        <v>21</v>
      </c>
      <c r="F858" s="1" t="s">
        <v>30</v>
      </c>
      <c r="G858" s="1" t="s">
        <v>19</v>
      </c>
      <c r="H858" s="1" t="s">
        <v>20</v>
      </c>
      <c r="I858" s="2" t="s">
        <v>17</v>
      </c>
      <c r="J858" s="1" t="s">
        <v>43</v>
      </c>
      <c r="K858" s="1" t="s">
        <v>598</v>
      </c>
      <c r="L858" s="2" t="s">
        <v>245</v>
      </c>
      <c r="M858" s="1" t="s">
        <v>25</v>
      </c>
    </row>
    <row r="859" ht="15.75" customHeight="1">
      <c r="A859" s="2" t="s">
        <v>966</v>
      </c>
      <c r="B859" s="1" t="s">
        <v>14</v>
      </c>
      <c r="C859" s="1" t="s">
        <v>15</v>
      </c>
      <c r="D859" s="2" t="s">
        <v>76</v>
      </c>
      <c r="E859" s="2" t="s">
        <v>17</v>
      </c>
      <c r="F859" s="1" t="s">
        <v>18</v>
      </c>
      <c r="G859" s="1" t="s">
        <v>36</v>
      </c>
      <c r="H859" s="1" t="s">
        <v>20</v>
      </c>
      <c r="I859" s="2" t="s">
        <v>17</v>
      </c>
      <c r="J859" s="1" t="s">
        <v>22</v>
      </c>
      <c r="K859" s="1" t="s">
        <v>598</v>
      </c>
      <c r="L859" s="2" t="s">
        <v>83</v>
      </c>
      <c r="M859" s="1" t="s">
        <v>20</v>
      </c>
    </row>
    <row r="860" ht="15.75" customHeight="1">
      <c r="A860" s="2" t="s">
        <v>967</v>
      </c>
      <c r="B860" s="1" t="s">
        <v>14</v>
      </c>
      <c r="C860" s="1" t="s">
        <v>27</v>
      </c>
      <c r="D860" s="2" t="s">
        <v>16</v>
      </c>
      <c r="E860" s="2" t="s">
        <v>21</v>
      </c>
      <c r="F860" s="1" t="s">
        <v>18</v>
      </c>
      <c r="G860" s="1" t="s">
        <v>36</v>
      </c>
      <c r="H860" s="1" t="s">
        <v>25</v>
      </c>
      <c r="I860" s="2" t="s">
        <v>17</v>
      </c>
      <c r="J860" s="1" t="s">
        <v>22</v>
      </c>
      <c r="K860" s="1" t="s">
        <v>598</v>
      </c>
      <c r="L860" s="2" t="s">
        <v>24</v>
      </c>
      <c r="M860" s="1" t="s">
        <v>25</v>
      </c>
    </row>
    <row r="861" ht="15.75" customHeight="1">
      <c r="A861" s="2" t="s">
        <v>968</v>
      </c>
      <c r="B861" s="1" t="s">
        <v>14</v>
      </c>
      <c r="C861" s="1" t="s">
        <v>27</v>
      </c>
      <c r="D861" s="2" t="s">
        <v>28</v>
      </c>
      <c r="E861" s="2" t="s">
        <v>37</v>
      </c>
      <c r="F861" s="1" t="s">
        <v>55</v>
      </c>
      <c r="G861" s="1" t="s">
        <v>19</v>
      </c>
      <c r="H861" s="1" t="s">
        <v>20</v>
      </c>
      <c r="I861" s="2" t="s">
        <v>37</v>
      </c>
      <c r="J861" s="1" t="s">
        <v>51</v>
      </c>
      <c r="K861" s="1" t="s">
        <v>598</v>
      </c>
      <c r="L861" s="2" t="s">
        <v>195</v>
      </c>
      <c r="M861" s="1" t="s">
        <v>25</v>
      </c>
    </row>
    <row r="862" ht="15.75" customHeight="1">
      <c r="A862" s="2" t="s">
        <v>969</v>
      </c>
      <c r="B862" s="1" t="s">
        <v>41</v>
      </c>
      <c r="C862" s="1" t="s">
        <v>27</v>
      </c>
      <c r="D862" s="2" t="s">
        <v>28</v>
      </c>
      <c r="E862" s="2" t="s">
        <v>21</v>
      </c>
      <c r="F862" s="1" t="s">
        <v>30</v>
      </c>
      <c r="G862" s="1" t="s">
        <v>19</v>
      </c>
      <c r="H862" s="1" t="s">
        <v>20</v>
      </c>
      <c r="I862" s="2" t="s">
        <v>17</v>
      </c>
      <c r="J862" s="1" t="s">
        <v>43</v>
      </c>
      <c r="K862" s="1" t="s">
        <v>598</v>
      </c>
      <c r="L862" s="2" t="s">
        <v>104</v>
      </c>
      <c r="M862" s="1" t="s">
        <v>25</v>
      </c>
    </row>
    <row r="863" ht="15.75" customHeight="1">
      <c r="A863" s="2" t="s">
        <v>970</v>
      </c>
      <c r="B863" s="1" t="s">
        <v>14</v>
      </c>
      <c r="C863" s="1" t="s">
        <v>15</v>
      </c>
      <c r="D863" s="2" t="s">
        <v>61</v>
      </c>
      <c r="E863" s="2" t="s">
        <v>37</v>
      </c>
      <c r="F863" s="1" t="s">
        <v>55</v>
      </c>
      <c r="G863" s="1" t="s">
        <v>50</v>
      </c>
      <c r="H863" s="1" t="s">
        <v>25</v>
      </c>
      <c r="I863" s="2" t="s">
        <v>37</v>
      </c>
      <c r="J863" s="1" t="s">
        <v>51</v>
      </c>
      <c r="K863" s="1" t="s">
        <v>598</v>
      </c>
      <c r="L863" s="2" t="s">
        <v>201</v>
      </c>
      <c r="M863" s="1" t="s">
        <v>20</v>
      </c>
    </row>
    <row r="864" ht="15.75" customHeight="1">
      <c r="A864" s="2" t="s">
        <v>971</v>
      </c>
      <c r="B864" s="1" t="s">
        <v>14</v>
      </c>
      <c r="C864" s="1" t="s">
        <v>27</v>
      </c>
      <c r="D864" s="2" t="s">
        <v>272</v>
      </c>
      <c r="E864" s="2" t="s">
        <v>21</v>
      </c>
      <c r="F864" s="1" t="s">
        <v>87</v>
      </c>
      <c r="G864" s="1" t="s">
        <v>19</v>
      </c>
      <c r="H864" s="1" t="s">
        <v>20</v>
      </c>
      <c r="I864" s="2" t="s">
        <v>21</v>
      </c>
      <c r="J864" s="1" t="s">
        <v>51</v>
      </c>
      <c r="K864" s="1" t="s">
        <v>598</v>
      </c>
      <c r="L864" s="2" t="s">
        <v>104</v>
      </c>
      <c r="M864" s="1" t="s">
        <v>20</v>
      </c>
    </row>
    <row r="865" ht="15.75" customHeight="1">
      <c r="A865" s="2" t="s">
        <v>972</v>
      </c>
      <c r="B865" s="1" t="s">
        <v>41</v>
      </c>
      <c r="C865" s="1" t="s">
        <v>27</v>
      </c>
      <c r="D865" s="2" t="s">
        <v>34</v>
      </c>
      <c r="E865" s="2" t="s">
        <v>21</v>
      </c>
      <c r="F865" s="1" t="s">
        <v>18</v>
      </c>
      <c r="G865" s="1" t="s">
        <v>56</v>
      </c>
      <c r="H865" s="1" t="s">
        <v>25</v>
      </c>
      <c r="I865" s="2" t="s">
        <v>17</v>
      </c>
      <c r="J865" s="1" t="s">
        <v>22</v>
      </c>
      <c r="K865" s="1" t="s">
        <v>598</v>
      </c>
      <c r="L865" s="2" t="s">
        <v>79</v>
      </c>
      <c r="M865" s="1" t="s">
        <v>20</v>
      </c>
    </row>
    <row r="866" ht="15.75" customHeight="1">
      <c r="A866" s="2" t="s">
        <v>973</v>
      </c>
      <c r="B866" s="1" t="s">
        <v>41</v>
      </c>
      <c r="C866" s="1" t="s">
        <v>27</v>
      </c>
      <c r="D866" s="2" t="s">
        <v>16</v>
      </c>
      <c r="E866" s="2" t="s">
        <v>21</v>
      </c>
      <c r="F866" s="1" t="s">
        <v>55</v>
      </c>
      <c r="G866" s="1" t="s">
        <v>19</v>
      </c>
      <c r="H866" s="1" t="s">
        <v>20</v>
      </c>
      <c r="I866" s="2" t="s">
        <v>37</v>
      </c>
      <c r="J866" s="1" t="s">
        <v>43</v>
      </c>
      <c r="K866" s="1" t="s">
        <v>598</v>
      </c>
      <c r="L866" s="2" t="s">
        <v>109</v>
      </c>
      <c r="M866" s="1" t="s">
        <v>25</v>
      </c>
    </row>
    <row r="867" ht="15.75" customHeight="1">
      <c r="A867" s="2" t="s">
        <v>974</v>
      </c>
      <c r="B867" s="1" t="s">
        <v>41</v>
      </c>
      <c r="C867" s="1" t="s">
        <v>15</v>
      </c>
      <c r="D867" s="2" t="s">
        <v>34</v>
      </c>
      <c r="E867" s="2" t="s">
        <v>21</v>
      </c>
      <c r="F867" s="1" t="s">
        <v>18</v>
      </c>
      <c r="G867" s="1" t="s">
        <v>56</v>
      </c>
      <c r="H867" s="1" t="s">
        <v>25</v>
      </c>
      <c r="I867" s="2" t="s">
        <v>17</v>
      </c>
      <c r="J867" s="1" t="s">
        <v>22</v>
      </c>
      <c r="K867" s="1" t="s">
        <v>598</v>
      </c>
      <c r="L867" s="2" t="s">
        <v>79</v>
      </c>
      <c r="M867" s="1" t="s">
        <v>20</v>
      </c>
    </row>
    <row r="868" ht="15.75" customHeight="1">
      <c r="A868" s="2" t="s">
        <v>975</v>
      </c>
      <c r="B868" s="1" t="s">
        <v>14</v>
      </c>
      <c r="C868" s="1" t="s">
        <v>27</v>
      </c>
      <c r="D868" s="2" t="s">
        <v>76</v>
      </c>
      <c r="E868" s="2" t="s">
        <v>37</v>
      </c>
      <c r="F868" s="1" t="s">
        <v>55</v>
      </c>
      <c r="G868" s="1" t="s">
        <v>36</v>
      </c>
      <c r="H868" s="1" t="s">
        <v>20</v>
      </c>
      <c r="I868" s="2" t="s">
        <v>37</v>
      </c>
      <c r="J868" s="1" t="s">
        <v>69</v>
      </c>
      <c r="K868" s="1" t="s">
        <v>598</v>
      </c>
      <c r="L868" s="2" t="s">
        <v>72</v>
      </c>
      <c r="M868" s="1" t="s">
        <v>25</v>
      </c>
    </row>
    <row r="869" ht="15.75" customHeight="1">
      <c r="A869" s="2" t="s">
        <v>976</v>
      </c>
      <c r="B869" s="1" t="s">
        <v>14</v>
      </c>
      <c r="D869" s="2" t="s">
        <v>42</v>
      </c>
      <c r="E869" s="2" t="s">
        <v>29</v>
      </c>
      <c r="F869" s="1" t="s">
        <v>30</v>
      </c>
      <c r="G869" s="1" t="s">
        <v>36</v>
      </c>
      <c r="H869" s="1" t="s">
        <v>20</v>
      </c>
      <c r="I869" s="2" t="s">
        <v>17</v>
      </c>
      <c r="J869" s="1" t="s">
        <v>43</v>
      </c>
      <c r="K869" s="1" t="s">
        <v>598</v>
      </c>
      <c r="L869" s="2" t="s">
        <v>195</v>
      </c>
      <c r="M869" s="1" t="s">
        <v>25</v>
      </c>
    </row>
    <row r="870" ht="15.75" customHeight="1">
      <c r="A870" s="2" t="s">
        <v>977</v>
      </c>
      <c r="B870" s="1" t="s">
        <v>41</v>
      </c>
      <c r="C870" s="1" t="s">
        <v>27</v>
      </c>
      <c r="D870" s="2" t="s">
        <v>28</v>
      </c>
      <c r="E870" s="2" t="s">
        <v>35</v>
      </c>
      <c r="F870" s="1" t="s">
        <v>62</v>
      </c>
      <c r="G870" s="1" t="s">
        <v>19</v>
      </c>
      <c r="H870" s="1" t="s">
        <v>20</v>
      </c>
      <c r="I870" s="2" t="s">
        <v>29</v>
      </c>
      <c r="J870" s="1" t="s">
        <v>69</v>
      </c>
      <c r="K870" s="1" t="s">
        <v>598</v>
      </c>
      <c r="L870" s="2" t="s">
        <v>39</v>
      </c>
      <c r="M870" s="1" t="s">
        <v>20</v>
      </c>
    </row>
    <row r="871" ht="15.75" customHeight="1">
      <c r="A871" s="2" t="s">
        <v>978</v>
      </c>
      <c r="B871" s="1" t="s">
        <v>41</v>
      </c>
      <c r="C871" s="1" t="s">
        <v>15</v>
      </c>
      <c r="D871" s="2" t="s">
        <v>276</v>
      </c>
      <c r="E871" s="2" t="s">
        <v>29</v>
      </c>
      <c r="F871" s="1" t="s">
        <v>18</v>
      </c>
      <c r="G871" s="1" t="s">
        <v>56</v>
      </c>
      <c r="H871" s="1" t="s">
        <v>25</v>
      </c>
      <c r="I871" s="2" t="s">
        <v>57</v>
      </c>
      <c r="J871" s="1" t="s">
        <v>51</v>
      </c>
      <c r="K871" s="1" t="s">
        <v>598</v>
      </c>
      <c r="L871" s="2" t="s">
        <v>24</v>
      </c>
      <c r="M871" s="1" t="s">
        <v>25</v>
      </c>
    </row>
    <row r="872" ht="15.75" customHeight="1">
      <c r="A872" s="2" t="s">
        <v>979</v>
      </c>
      <c r="B872" s="1" t="s">
        <v>14</v>
      </c>
      <c r="C872" s="1" t="s">
        <v>27</v>
      </c>
      <c r="D872" s="2" t="s">
        <v>76</v>
      </c>
      <c r="E872" s="2" t="s">
        <v>17</v>
      </c>
      <c r="F872" s="1" t="s">
        <v>30</v>
      </c>
      <c r="G872" s="1" t="s">
        <v>19</v>
      </c>
      <c r="H872" s="1" t="s">
        <v>20</v>
      </c>
      <c r="I872" s="2" t="s">
        <v>17</v>
      </c>
      <c r="J872" s="1" t="s">
        <v>22</v>
      </c>
      <c r="K872" s="1" t="s">
        <v>598</v>
      </c>
      <c r="L872" s="2" t="s">
        <v>130</v>
      </c>
      <c r="M872" s="1" t="s">
        <v>25</v>
      </c>
    </row>
    <row r="873" ht="15.75" customHeight="1">
      <c r="A873" s="2" t="s">
        <v>980</v>
      </c>
      <c r="B873" s="1" t="s">
        <v>14</v>
      </c>
      <c r="C873" s="1" t="s">
        <v>27</v>
      </c>
      <c r="D873" s="2" t="s">
        <v>76</v>
      </c>
      <c r="E873" s="2" t="s">
        <v>37</v>
      </c>
      <c r="F873" s="1" t="s">
        <v>55</v>
      </c>
      <c r="G873" s="1" t="s">
        <v>36</v>
      </c>
      <c r="H873" s="1" t="s">
        <v>20</v>
      </c>
      <c r="I873" s="2" t="s">
        <v>37</v>
      </c>
      <c r="J873" s="1" t="s">
        <v>69</v>
      </c>
      <c r="K873" s="1" t="s">
        <v>598</v>
      </c>
      <c r="L873" s="2" t="s">
        <v>72</v>
      </c>
      <c r="M873" s="1" t="s">
        <v>25</v>
      </c>
    </row>
    <row r="874" ht="15.75" customHeight="1">
      <c r="A874" s="2" t="s">
        <v>981</v>
      </c>
      <c r="B874" s="1" t="s">
        <v>41</v>
      </c>
      <c r="C874" s="1" t="s">
        <v>15</v>
      </c>
      <c r="D874" s="2" t="s">
        <v>42</v>
      </c>
      <c r="E874" s="2" t="s">
        <v>29</v>
      </c>
      <c r="F874" s="1" t="s">
        <v>87</v>
      </c>
      <c r="G874" s="1" t="s">
        <v>56</v>
      </c>
      <c r="H874" s="1" t="s">
        <v>20</v>
      </c>
      <c r="I874" s="2" t="s">
        <v>37</v>
      </c>
      <c r="J874" s="1" t="s">
        <v>43</v>
      </c>
      <c r="K874" s="1" t="s">
        <v>598</v>
      </c>
      <c r="L874" s="2" t="s">
        <v>201</v>
      </c>
      <c r="M874" s="1" t="s">
        <v>20</v>
      </c>
    </row>
    <row r="875" ht="15.75" customHeight="1">
      <c r="A875" s="2" t="s">
        <v>982</v>
      </c>
      <c r="B875" s="1" t="s">
        <v>14</v>
      </c>
      <c r="C875" s="1" t="s">
        <v>27</v>
      </c>
      <c r="D875" s="2" t="s">
        <v>272</v>
      </c>
      <c r="E875" s="2" t="s">
        <v>29</v>
      </c>
      <c r="F875" s="1" t="s">
        <v>18</v>
      </c>
      <c r="G875" s="1" t="s">
        <v>19</v>
      </c>
      <c r="H875" s="1" t="s">
        <v>20</v>
      </c>
      <c r="I875" s="2" t="s">
        <v>37</v>
      </c>
      <c r="J875" s="1" t="s">
        <v>38</v>
      </c>
      <c r="K875" s="1" t="s">
        <v>598</v>
      </c>
      <c r="L875" s="2" t="s">
        <v>100</v>
      </c>
      <c r="M875" s="1" t="s">
        <v>25</v>
      </c>
    </row>
    <row r="876" ht="15.75" customHeight="1">
      <c r="A876" s="2" t="s">
        <v>983</v>
      </c>
      <c r="B876" s="1" t="s">
        <v>14</v>
      </c>
      <c r="C876" s="1" t="s">
        <v>15</v>
      </c>
      <c r="D876" s="2" t="s">
        <v>28</v>
      </c>
      <c r="E876" s="2" t="s">
        <v>17</v>
      </c>
      <c r="F876" s="1" t="s">
        <v>18</v>
      </c>
      <c r="G876" s="1" t="s">
        <v>19</v>
      </c>
      <c r="H876" s="1" t="s">
        <v>20</v>
      </c>
      <c r="I876" s="2" t="s">
        <v>17</v>
      </c>
      <c r="J876" s="1" t="s">
        <v>43</v>
      </c>
      <c r="K876" s="1" t="s">
        <v>598</v>
      </c>
      <c r="L876" s="2" t="s">
        <v>201</v>
      </c>
      <c r="M876" s="1" t="s">
        <v>20</v>
      </c>
    </row>
    <row r="877" ht="15.75" customHeight="1">
      <c r="A877" s="2" t="s">
        <v>984</v>
      </c>
      <c r="B877" s="1" t="s">
        <v>41</v>
      </c>
      <c r="C877" s="1" t="s">
        <v>15</v>
      </c>
      <c r="D877" s="2" t="s">
        <v>42</v>
      </c>
      <c r="E877" s="2" t="s">
        <v>37</v>
      </c>
      <c r="F877" s="1" t="s">
        <v>18</v>
      </c>
      <c r="G877" s="1" t="s">
        <v>19</v>
      </c>
      <c r="H877" s="1" t="s">
        <v>20</v>
      </c>
      <c r="I877" s="2" t="s">
        <v>21</v>
      </c>
      <c r="J877" s="1" t="s">
        <v>38</v>
      </c>
      <c r="K877" s="1" t="s">
        <v>598</v>
      </c>
      <c r="L877" s="2" t="s">
        <v>79</v>
      </c>
      <c r="M877" s="1" t="s">
        <v>20</v>
      </c>
    </row>
    <row r="878" ht="15.75" customHeight="1">
      <c r="A878" s="2" t="s">
        <v>985</v>
      </c>
      <c r="B878" s="1" t="s">
        <v>41</v>
      </c>
      <c r="C878" s="1" t="s">
        <v>27</v>
      </c>
      <c r="D878" s="2" t="s">
        <v>28</v>
      </c>
      <c r="E878" s="2" t="s">
        <v>21</v>
      </c>
      <c r="F878" s="1" t="s">
        <v>62</v>
      </c>
      <c r="G878" s="1" t="s">
        <v>31</v>
      </c>
      <c r="H878" s="1" t="s">
        <v>25</v>
      </c>
      <c r="I878" s="2" t="s">
        <v>37</v>
      </c>
      <c r="J878" s="1" t="s">
        <v>22</v>
      </c>
      <c r="K878" s="1" t="s">
        <v>598</v>
      </c>
      <c r="L878" s="2" t="s">
        <v>107</v>
      </c>
      <c r="M878" s="1" t="s">
        <v>25</v>
      </c>
    </row>
    <row r="879" ht="15.75" customHeight="1">
      <c r="A879" s="2" t="s">
        <v>986</v>
      </c>
      <c r="B879" s="1" t="s">
        <v>14</v>
      </c>
      <c r="C879" s="1" t="s">
        <v>27</v>
      </c>
      <c r="D879" s="2" t="s">
        <v>42</v>
      </c>
      <c r="E879" s="2" t="s">
        <v>35</v>
      </c>
      <c r="F879" s="1" t="s">
        <v>18</v>
      </c>
      <c r="G879" s="1" t="s">
        <v>56</v>
      </c>
      <c r="H879" s="1" t="s">
        <v>20</v>
      </c>
      <c r="I879" s="2" t="s">
        <v>37</v>
      </c>
      <c r="J879" s="1" t="s">
        <v>38</v>
      </c>
      <c r="K879" s="1" t="s">
        <v>598</v>
      </c>
      <c r="L879" s="2" t="s">
        <v>145</v>
      </c>
      <c r="M879" s="1" t="s">
        <v>25</v>
      </c>
    </row>
    <row r="880" ht="15.75" customHeight="1">
      <c r="A880" s="2" t="s">
        <v>987</v>
      </c>
      <c r="B880" s="1" t="s">
        <v>14</v>
      </c>
      <c r="C880" s="1" t="s">
        <v>27</v>
      </c>
      <c r="D880" s="2" t="s">
        <v>272</v>
      </c>
      <c r="E880" s="2" t="s">
        <v>37</v>
      </c>
      <c r="F880" s="1" t="s">
        <v>87</v>
      </c>
      <c r="G880" s="1" t="s">
        <v>56</v>
      </c>
      <c r="H880" s="1" t="s">
        <v>20</v>
      </c>
      <c r="I880" s="2" t="s">
        <v>37</v>
      </c>
      <c r="J880" s="1" t="s">
        <v>43</v>
      </c>
      <c r="K880" s="1" t="s">
        <v>598</v>
      </c>
      <c r="L880" s="2" t="s">
        <v>988</v>
      </c>
      <c r="M880" s="1" t="s">
        <v>25</v>
      </c>
    </row>
    <row r="881" ht="15.75" customHeight="1">
      <c r="A881" s="2" t="s">
        <v>989</v>
      </c>
      <c r="B881" s="1" t="s">
        <v>14</v>
      </c>
      <c r="C881" s="1" t="s">
        <v>27</v>
      </c>
      <c r="D881" s="2" t="s">
        <v>68</v>
      </c>
      <c r="E881" s="2" t="s">
        <v>57</v>
      </c>
      <c r="F881" s="1" t="s">
        <v>55</v>
      </c>
      <c r="G881" s="1" t="s">
        <v>36</v>
      </c>
      <c r="H881" s="1" t="s">
        <v>20</v>
      </c>
      <c r="I881" s="2" t="s">
        <v>37</v>
      </c>
      <c r="J881" s="1" t="s">
        <v>51</v>
      </c>
      <c r="K881" s="1" t="s">
        <v>598</v>
      </c>
      <c r="L881" s="2" t="s">
        <v>77</v>
      </c>
      <c r="M881" s="1" t="s">
        <v>25</v>
      </c>
    </row>
    <row r="882" ht="15.75" customHeight="1">
      <c r="A882" s="2" t="s">
        <v>990</v>
      </c>
      <c r="B882" s="1" t="s">
        <v>14</v>
      </c>
      <c r="C882" s="1" t="s">
        <v>27</v>
      </c>
      <c r="D882" s="2" t="s">
        <v>34</v>
      </c>
      <c r="E882" s="2" t="s">
        <v>37</v>
      </c>
      <c r="F882" s="1" t="s">
        <v>87</v>
      </c>
      <c r="G882" s="1" t="s">
        <v>36</v>
      </c>
      <c r="H882" s="1" t="s">
        <v>20</v>
      </c>
      <c r="I882" s="2" t="s">
        <v>21</v>
      </c>
      <c r="J882" s="1" t="s">
        <v>22</v>
      </c>
      <c r="K882" s="1" t="s">
        <v>598</v>
      </c>
      <c r="L882" s="2" t="s">
        <v>153</v>
      </c>
      <c r="M882" s="1" t="s">
        <v>20</v>
      </c>
    </row>
    <row r="883" ht="15.75" customHeight="1">
      <c r="A883" s="2" t="s">
        <v>991</v>
      </c>
      <c r="B883" s="1" t="s">
        <v>14</v>
      </c>
      <c r="C883" s="1" t="s">
        <v>15</v>
      </c>
      <c r="D883" s="2" t="s">
        <v>34</v>
      </c>
      <c r="E883" s="2" t="s">
        <v>57</v>
      </c>
      <c r="F883" s="1" t="s">
        <v>87</v>
      </c>
      <c r="G883" s="1" t="s">
        <v>56</v>
      </c>
      <c r="H883" s="1" t="s">
        <v>20</v>
      </c>
      <c r="I883" s="2" t="s">
        <v>37</v>
      </c>
      <c r="J883" s="1" t="s">
        <v>22</v>
      </c>
      <c r="K883" s="1" t="s">
        <v>598</v>
      </c>
      <c r="L883" s="2" t="s">
        <v>992</v>
      </c>
      <c r="M883" s="1" t="s">
        <v>20</v>
      </c>
    </row>
    <row r="884" ht="15.75" customHeight="1">
      <c r="A884" s="2" t="s">
        <v>993</v>
      </c>
      <c r="B884" s="1" t="s">
        <v>14</v>
      </c>
      <c r="C884" s="1" t="s">
        <v>27</v>
      </c>
      <c r="D884" s="2" t="s">
        <v>28</v>
      </c>
      <c r="E884" s="2" t="s">
        <v>21</v>
      </c>
      <c r="F884" s="1" t="s">
        <v>87</v>
      </c>
      <c r="G884" s="1" t="s">
        <v>19</v>
      </c>
      <c r="H884" s="1" t="s">
        <v>20</v>
      </c>
      <c r="I884" s="2" t="s">
        <v>21</v>
      </c>
      <c r="J884" s="1" t="s">
        <v>22</v>
      </c>
      <c r="K884" s="1" t="s">
        <v>598</v>
      </c>
      <c r="L884" s="2" t="s">
        <v>104</v>
      </c>
      <c r="M884" s="1" t="s">
        <v>25</v>
      </c>
    </row>
    <row r="885" ht="15.75" customHeight="1">
      <c r="A885" s="2" t="s">
        <v>994</v>
      </c>
      <c r="B885" s="1" t="s">
        <v>14</v>
      </c>
      <c r="C885" s="1" t="s">
        <v>15</v>
      </c>
      <c r="D885" s="2" t="s">
        <v>76</v>
      </c>
      <c r="E885" s="2" t="s">
        <v>17</v>
      </c>
      <c r="F885" s="1" t="s">
        <v>18</v>
      </c>
      <c r="G885" s="1" t="s">
        <v>36</v>
      </c>
      <c r="H885" s="1" t="s">
        <v>20</v>
      </c>
      <c r="I885" s="2" t="s">
        <v>17</v>
      </c>
      <c r="J885" s="1" t="s">
        <v>38</v>
      </c>
      <c r="K885" s="1" t="s">
        <v>598</v>
      </c>
      <c r="L885" s="2" t="s">
        <v>125</v>
      </c>
      <c r="M885" s="1" t="s">
        <v>20</v>
      </c>
    </row>
    <row r="886" ht="15.75" customHeight="1">
      <c r="A886" s="2" t="s">
        <v>995</v>
      </c>
      <c r="B886" s="1" t="s">
        <v>14</v>
      </c>
      <c r="C886" s="1" t="s">
        <v>27</v>
      </c>
      <c r="D886" s="2" t="s">
        <v>34</v>
      </c>
      <c r="E886" s="2" t="s">
        <v>57</v>
      </c>
      <c r="F886" s="1" t="s">
        <v>87</v>
      </c>
      <c r="G886" s="1" t="s">
        <v>56</v>
      </c>
      <c r="H886" s="1" t="s">
        <v>20</v>
      </c>
      <c r="I886" s="2" t="s">
        <v>37</v>
      </c>
      <c r="J886" s="1" t="s">
        <v>43</v>
      </c>
      <c r="K886" s="1" t="s">
        <v>598</v>
      </c>
      <c r="L886" s="2" t="s">
        <v>155</v>
      </c>
      <c r="M886" s="1" t="s">
        <v>25</v>
      </c>
    </row>
    <row r="887" ht="15.75" customHeight="1">
      <c r="A887" s="2" t="s">
        <v>996</v>
      </c>
      <c r="B887" s="1" t="s">
        <v>14</v>
      </c>
      <c r="C887" s="1" t="s">
        <v>15</v>
      </c>
      <c r="D887" s="2" t="s">
        <v>61</v>
      </c>
      <c r="E887" s="2" t="s">
        <v>37</v>
      </c>
      <c r="F887" s="1" t="s">
        <v>62</v>
      </c>
      <c r="G887" s="1" t="s">
        <v>31</v>
      </c>
      <c r="H887" s="1" t="s">
        <v>20</v>
      </c>
      <c r="I887" s="2" t="s">
        <v>37</v>
      </c>
      <c r="J887" s="1" t="s">
        <v>22</v>
      </c>
      <c r="K887" s="1" t="s">
        <v>598</v>
      </c>
      <c r="L887" s="2" t="s">
        <v>195</v>
      </c>
      <c r="M887" s="1" t="s">
        <v>25</v>
      </c>
    </row>
    <row r="888" ht="15.75" customHeight="1">
      <c r="A888" s="2" t="s">
        <v>997</v>
      </c>
      <c r="B888" s="1" t="s">
        <v>14</v>
      </c>
      <c r="C888" s="1" t="s">
        <v>27</v>
      </c>
      <c r="D888" s="2" t="s">
        <v>42</v>
      </c>
      <c r="E888" s="2" t="s">
        <v>29</v>
      </c>
      <c r="F888" s="1" t="s">
        <v>87</v>
      </c>
      <c r="G888" s="1" t="s">
        <v>36</v>
      </c>
      <c r="H888" s="1" t="s">
        <v>20</v>
      </c>
      <c r="I888" s="2" t="s">
        <v>21</v>
      </c>
      <c r="J888" s="1" t="s">
        <v>38</v>
      </c>
      <c r="K888" s="1" t="s">
        <v>598</v>
      </c>
      <c r="L888" s="2" t="s">
        <v>93</v>
      </c>
      <c r="M888" s="1" t="s">
        <v>25</v>
      </c>
    </row>
    <row r="889" ht="15.75" customHeight="1">
      <c r="A889" s="2" t="s">
        <v>998</v>
      </c>
      <c r="B889" s="1" t="s">
        <v>14</v>
      </c>
      <c r="C889" s="1" t="s">
        <v>27</v>
      </c>
      <c r="D889" s="2" t="s">
        <v>272</v>
      </c>
      <c r="E889" s="2" t="s">
        <v>21</v>
      </c>
      <c r="F889" s="1" t="s">
        <v>87</v>
      </c>
      <c r="G889" s="1" t="s">
        <v>19</v>
      </c>
      <c r="H889" s="1" t="s">
        <v>20</v>
      </c>
      <c r="I889" s="2" t="s">
        <v>21</v>
      </c>
      <c r="J889" s="1" t="s">
        <v>22</v>
      </c>
      <c r="K889" s="1" t="s">
        <v>598</v>
      </c>
      <c r="L889" s="2" t="s">
        <v>104</v>
      </c>
      <c r="M889" s="1" t="s">
        <v>25</v>
      </c>
    </row>
    <row r="890" ht="15.75" customHeight="1">
      <c r="A890" s="2" t="s">
        <v>999</v>
      </c>
      <c r="B890" s="1" t="s">
        <v>41</v>
      </c>
      <c r="C890" s="1" t="s">
        <v>15</v>
      </c>
      <c r="D890" s="2" t="s">
        <v>76</v>
      </c>
      <c r="E890" s="2" t="s">
        <v>57</v>
      </c>
      <c r="F890" s="1" t="s">
        <v>18</v>
      </c>
      <c r="G890" s="1" t="s">
        <v>19</v>
      </c>
      <c r="H890" s="1" t="s">
        <v>25</v>
      </c>
      <c r="I890" s="2" t="s">
        <v>37</v>
      </c>
      <c r="J890" s="1" t="s">
        <v>22</v>
      </c>
      <c r="K890" s="1" t="s">
        <v>598</v>
      </c>
      <c r="L890" s="2" t="s">
        <v>24</v>
      </c>
      <c r="M890" s="1" t="s">
        <v>25</v>
      </c>
    </row>
    <row r="891" ht="15.75" customHeight="1">
      <c r="A891" s="2" t="s">
        <v>1000</v>
      </c>
      <c r="B891" s="1" t="s">
        <v>14</v>
      </c>
      <c r="C891" s="1" t="s">
        <v>15</v>
      </c>
      <c r="D891" s="2" t="s">
        <v>42</v>
      </c>
      <c r="E891" s="2" t="s">
        <v>17</v>
      </c>
      <c r="F891" s="1" t="s">
        <v>87</v>
      </c>
      <c r="G891" s="1" t="s">
        <v>19</v>
      </c>
      <c r="H891" s="1" t="s">
        <v>20</v>
      </c>
      <c r="I891" s="2" t="s">
        <v>21</v>
      </c>
      <c r="J891" s="1" t="s">
        <v>22</v>
      </c>
      <c r="K891" s="1" t="s">
        <v>598</v>
      </c>
      <c r="L891" s="2" t="s">
        <v>74</v>
      </c>
      <c r="M891" s="1" t="s">
        <v>20</v>
      </c>
    </row>
    <row r="892" ht="15.75" customHeight="1">
      <c r="A892" s="2" t="s">
        <v>1001</v>
      </c>
      <c r="B892" s="1" t="s">
        <v>14</v>
      </c>
      <c r="C892" s="1" t="s">
        <v>15</v>
      </c>
      <c r="D892" s="2" t="s">
        <v>16</v>
      </c>
      <c r="E892" s="2" t="s">
        <v>37</v>
      </c>
      <c r="F892" s="1" t="s">
        <v>30</v>
      </c>
      <c r="G892" s="1" t="s">
        <v>31</v>
      </c>
      <c r="H892" s="1" t="s">
        <v>20</v>
      </c>
      <c r="I892" s="2" t="s">
        <v>17</v>
      </c>
      <c r="J892" s="1" t="s">
        <v>22</v>
      </c>
      <c r="K892" s="1" t="s">
        <v>598</v>
      </c>
      <c r="L892" s="2" t="s">
        <v>125</v>
      </c>
      <c r="M892" s="1" t="s">
        <v>25</v>
      </c>
    </row>
    <row r="893" ht="15.75" customHeight="1">
      <c r="A893" s="2" t="s">
        <v>1002</v>
      </c>
      <c r="B893" s="1" t="s">
        <v>41</v>
      </c>
      <c r="C893" s="1" t="s">
        <v>27</v>
      </c>
      <c r="D893" s="2" t="s">
        <v>99</v>
      </c>
      <c r="E893" s="2" t="s">
        <v>17</v>
      </c>
      <c r="F893" s="1" t="s">
        <v>87</v>
      </c>
      <c r="G893" s="1" t="s">
        <v>56</v>
      </c>
      <c r="H893" s="1" t="s">
        <v>20</v>
      </c>
      <c r="I893" s="2" t="s">
        <v>29</v>
      </c>
      <c r="J893" s="1" t="s">
        <v>38</v>
      </c>
      <c r="K893" s="1" t="s">
        <v>598</v>
      </c>
      <c r="L893" s="2" t="s">
        <v>662</v>
      </c>
      <c r="M893" s="1" t="s">
        <v>20</v>
      </c>
    </row>
    <row r="894" ht="15.75" customHeight="1">
      <c r="A894" s="2" t="s">
        <v>1003</v>
      </c>
      <c r="B894" s="1" t="s">
        <v>41</v>
      </c>
      <c r="C894" s="1" t="s">
        <v>15</v>
      </c>
      <c r="D894" s="2" t="s">
        <v>42</v>
      </c>
      <c r="E894" s="2" t="s">
        <v>57</v>
      </c>
      <c r="F894" s="1" t="s">
        <v>18</v>
      </c>
      <c r="G894" s="1" t="s">
        <v>19</v>
      </c>
      <c r="H894" s="1" t="s">
        <v>20</v>
      </c>
      <c r="I894" s="2" t="s">
        <v>37</v>
      </c>
      <c r="J894" s="1" t="s">
        <v>38</v>
      </c>
      <c r="K894" s="1" t="s">
        <v>598</v>
      </c>
      <c r="L894" s="2" t="s">
        <v>32</v>
      </c>
      <c r="M894" s="1" t="s">
        <v>20</v>
      </c>
    </row>
    <row r="895" ht="15.75" customHeight="1">
      <c r="A895" s="2" t="s">
        <v>1004</v>
      </c>
      <c r="B895" s="1" t="s">
        <v>14</v>
      </c>
      <c r="C895" s="1" t="s">
        <v>27</v>
      </c>
      <c r="D895" s="2" t="s">
        <v>76</v>
      </c>
      <c r="E895" s="2" t="s">
        <v>17</v>
      </c>
      <c r="F895" s="1" t="s">
        <v>87</v>
      </c>
      <c r="G895" s="1" t="s">
        <v>36</v>
      </c>
      <c r="H895" s="1" t="s">
        <v>20</v>
      </c>
      <c r="I895" s="2" t="s">
        <v>21</v>
      </c>
      <c r="J895" s="1" t="s">
        <v>22</v>
      </c>
      <c r="K895" s="1" t="s">
        <v>598</v>
      </c>
      <c r="L895" s="2" t="s">
        <v>74</v>
      </c>
      <c r="M895" s="1" t="s">
        <v>25</v>
      </c>
    </row>
    <row r="896" ht="15.75" customHeight="1">
      <c r="A896" s="2" t="s">
        <v>1005</v>
      </c>
      <c r="B896" s="1" t="s">
        <v>14</v>
      </c>
      <c r="C896" s="1" t="s">
        <v>27</v>
      </c>
      <c r="D896" s="2" t="s">
        <v>42</v>
      </c>
      <c r="E896" s="2" t="s">
        <v>29</v>
      </c>
      <c r="F896" s="1" t="s">
        <v>87</v>
      </c>
      <c r="G896" s="1" t="s">
        <v>36</v>
      </c>
      <c r="H896" s="1" t="s">
        <v>20</v>
      </c>
      <c r="I896" s="2" t="s">
        <v>21</v>
      </c>
      <c r="J896" s="1" t="s">
        <v>22</v>
      </c>
      <c r="K896" s="1" t="s">
        <v>598</v>
      </c>
      <c r="L896" s="2" t="s">
        <v>74</v>
      </c>
      <c r="M896" s="1" t="s">
        <v>20</v>
      </c>
    </row>
    <row r="897" ht="15.75" customHeight="1">
      <c r="A897" s="2" t="s">
        <v>1006</v>
      </c>
      <c r="B897" s="1" t="s">
        <v>14</v>
      </c>
      <c r="C897" s="1" t="s">
        <v>15</v>
      </c>
      <c r="D897" s="2" t="s">
        <v>272</v>
      </c>
      <c r="E897" s="2" t="s">
        <v>57</v>
      </c>
      <c r="F897" s="1" t="s">
        <v>18</v>
      </c>
      <c r="G897" s="1" t="s">
        <v>56</v>
      </c>
      <c r="H897" s="1" t="s">
        <v>20</v>
      </c>
      <c r="I897" s="2" t="s">
        <v>37</v>
      </c>
      <c r="J897" s="1" t="s">
        <v>51</v>
      </c>
      <c r="K897" s="1" t="s">
        <v>598</v>
      </c>
      <c r="L897" s="2" t="s">
        <v>421</v>
      </c>
      <c r="M897" s="1" t="s">
        <v>20</v>
      </c>
    </row>
    <row r="898" ht="15.75" customHeight="1">
      <c r="A898" s="2" t="s">
        <v>1007</v>
      </c>
      <c r="B898" s="1" t="s">
        <v>14</v>
      </c>
      <c r="C898" s="1" t="s">
        <v>15</v>
      </c>
      <c r="D898" s="2" t="s">
        <v>272</v>
      </c>
      <c r="E898" s="2" t="s">
        <v>17</v>
      </c>
      <c r="F898" s="1" t="s">
        <v>18</v>
      </c>
      <c r="G898" s="1" t="s">
        <v>19</v>
      </c>
      <c r="H898" s="1" t="s">
        <v>20</v>
      </c>
      <c r="I898" s="2" t="s">
        <v>21</v>
      </c>
      <c r="J898" s="1" t="s">
        <v>22</v>
      </c>
      <c r="K898" s="1" t="s">
        <v>598</v>
      </c>
      <c r="L898" s="2" t="s">
        <v>93</v>
      </c>
      <c r="M898" s="1" t="s">
        <v>20</v>
      </c>
    </row>
    <row r="899" ht="15.75" customHeight="1">
      <c r="A899" s="2" t="s">
        <v>1008</v>
      </c>
      <c r="B899" s="1" t="s">
        <v>14</v>
      </c>
      <c r="C899" s="1" t="s">
        <v>27</v>
      </c>
      <c r="D899" s="2" t="s">
        <v>28</v>
      </c>
      <c r="E899" s="2" t="s">
        <v>21</v>
      </c>
      <c r="F899" s="1" t="s">
        <v>62</v>
      </c>
      <c r="G899" s="1" t="s">
        <v>31</v>
      </c>
      <c r="H899" s="1" t="s">
        <v>25</v>
      </c>
      <c r="I899" s="2" t="s">
        <v>37</v>
      </c>
      <c r="J899" s="1" t="s">
        <v>22</v>
      </c>
      <c r="K899" s="1" t="s">
        <v>598</v>
      </c>
      <c r="L899" s="2" t="s">
        <v>118</v>
      </c>
      <c r="M899" s="1" t="s">
        <v>25</v>
      </c>
    </row>
    <row r="900" ht="15.75" customHeight="1">
      <c r="A900" s="2" t="s">
        <v>1009</v>
      </c>
      <c r="B900" s="1" t="s">
        <v>41</v>
      </c>
      <c r="C900" s="1" t="s">
        <v>27</v>
      </c>
      <c r="D900" s="2" t="s">
        <v>42</v>
      </c>
      <c r="E900" s="2" t="s">
        <v>35</v>
      </c>
      <c r="F900" s="1" t="s">
        <v>18</v>
      </c>
      <c r="G900" s="1" t="s">
        <v>56</v>
      </c>
      <c r="H900" s="1" t="s">
        <v>20</v>
      </c>
      <c r="I900" s="2" t="s">
        <v>29</v>
      </c>
      <c r="J900" s="1" t="s">
        <v>69</v>
      </c>
      <c r="K900" s="1" t="s">
        <v>598</v>
      </c>
      <c r="L900" s="2" t="s">
        <v>39</v>
      </c>
      <c r="M900" s="1" t="s">
        <v>20</v>
      </c>
    </row>
    <row r="901" ht="15.75" customHeight="1">
      <c r="A901" s="2" t="s">
        <v>1010</v>
      </c>
      <c r="B901" s="1" t="s">
        <v>14</v>
      </c>
      <c r="C901" s="1" t="s">
        <v>15</v>
      </c>
      <c r="D901" s="2" t="s">
        <v>42</v>
      </c>
      <c r="E901" s="2" t="s">
        <v>35</v>
      </c>
      <c r="F901" s="1" t="s">
        <v>87</v>
      </c>
      <c r="G901" s="1" t="s">
        <v>36</v>
      </c>
      <c r="H901" s="1" t="s">
        <v>20</v>
      </c>
      <c r="I901" s="2" t="s">
        <v>29</v>
      </c>
      <c r="J901" s="1" t="s">
        <v>69</v>
      </c>
      <c r="K901" s="1" t="s">
        <v>598</v>
      </c>
      <c r="L901" s="2" t="s">
        <v>130</v>
      </c>
      <c r="M901" s="1" t="s">
        <v>25</v>
      </c>
    </row>
    <row r="902" ht="15.75" customHeight="1">
      <c r="A902" s="2" t="s">
        <v>1011</v>
      </c>
      <c r="B902" s="1" t="s">
        <v>14</v>
      </c>
      <c r="C902" s="1" t="s">
        <v>27</v>
      </c>
      <c r="D902" s="2" t="s">
        <v>16</v>
      </c>
      <c r="E902" s="2" t="s">
        <v>57</v>
      </c>
      <c r="F902" s="1" t="s">
        <v>55</v>
      </c>
      <c r="G902" s="1" t="s">
        <v>19</v>
      </c>
      <c r="H902" s="1" t="s">
        <v>20</v>
      </c>
      <c r="I902" s="2" t="s">
        <v>37</v>
      </c>
      <c r="J902" s="1" t="s">
        <v>22</v>
      </c>
      <c r="K902" s="1" t="s">
        <v>598</v>
      </c>
      <c r="L902" s="2" t="s">
        <v>102</v>
      </c>
      <c r="M902" s="1" t="s">
        <v>20</v>
      </c>
    </row>
    <row r="903" ht="15.75" customHeight="1">
      <c r="A903" s="2" t="s">
        <v>1012</v>
      </c>
      <c r="B903" s="1" t="s">
        <v>41</v>
      </c>
      <c r="C903" s="1" t="s">
        <v>15</v>
      </c>
      <c r="D903" s="2" t="s">
        <v>76</v>
      </c>
      <c r="E903" s="2" t="s">
        <v>57</v>
      </c>
      <c r="F903" s="1" t="s">
        <v>18</v>
      </c>
      <c r="G903" s="1" t="s">
        <v>19</v>
      </c>
      <c r="H903" s="1" t="s">
        <v>20</v>
      </c>
      <c r="I903" s="2" t="s">
        <v>37</v>
      </c>
      <c r="J903" s="1" t="s">
        <v>38</v>
      </c>
      <c r="K903" s="1" t="s">
        <v>598</v>
      </c>
      <c r="L903" s="2" t="s">
        <v>24</v>
      </c>
      <c r="M903" s="1" t="s">
        <v>20</v>
      </c>
    </row>
    <row r="904" ht="15.75" customHeight="1">
      <c r="A904" s="2" t="s">
        <v>1013</v>
      </c>
      <c r="B904" s="1" t="s">
        <v>41</v>
      </c>
      <c r="C904" s="1" t="s">
        <v>27</v>
      </c>
      <c r="D904" s="2" t="s">
        <v>34</v>
      </c>
      <c r="E904" s="2" t="s">
        <v>29</v>
      </c>
      <c r="F904" s="1" t="s">
        <v>18</v>
      </c>
      <c r="G904" s="1" t="s">
        <v>19</v>
      </c>
      <c r="H904" s="1" t="s">
        <v>20</v>
      </c>
      <c r="I904" s="2" t="s">
        <v>21</v>
      </c>
      <c r="J904" s="1" t="s">
        <v>38</v>
      </c>
      <c r="K904" s="1" t="s">
        <v>598</v>
      </c>
      <c r="L904" s="2" t="s">
        <v>100</v>
      </c>
      <c r="M904" s="1" t="s">
        <v>25</v>
      </c>
    </row>
    <row r="905" ht="15.75" customHeight="1">
      <c r="A905" s="2" t="s">
        <v>1014</v>
      </c>
      <c r="B905" s="1" t="s">
        <v>41</v>
      </c>
      <c r="C905" s="1" t="s">
        <v>27</v>
      </c>
      <c r="D905" s="2" t="s">
        <v>68</v>
      </c>
      <c r="E905" s="2" t="s">
        <v>57</v>
      </c>
      <c r="F905" s="1" t="s">
        <v>87</v>
      </c>
      <c r="G905" s="1" t="s">
        <v>56</v>
      </c>
      <c r="H905" s="1" t="s">
        <v>20</v>
      </c>
      <c r="I905" s="2" t="s">
        <v>17</v>
      </c>
      <c r="J905" s="1" t="s">
        <v>43</v>
      </c>
      <c r="K905" s="1" t="s">
        <v>598</v>
      </c>
      <c r="L905" s="2" t="s">
        <v>662</v>
      </c>
      <c r="M905" s="1" t="s">
        <v>25</v>
      </c>
    </row>
    <row r="906" ht="15.75" customHeight="1">
      <c r="A906" s="2" t="s">
        <v>1015</v>
      </c>
      <c r="B906" s="1" t="s">
        <v>41</v>
      </c>
      <c r="C906" s="1" t="s">
        <v>15</v>
      </c>
      <c r="D906" s="2" t="s">
        <v>76</v>
      </c>
      <c r="E906" s="2" t="s">
        <v>37</v>
      </c>
      <c r="F906" s="1" t="s">
        <v>18</v>
      </c>
      <c r="G906" s="1" t="s">
        <v>19</v>
      </c>
      <c r="H906" s="1" t="s">
        <v>25</v>
      </c>
      <c r="I906" s="2" t="s">
        <v>21</v>
      </c>
      <c r="J906" s="1" t="s">
        <v>22</v>
      </c>
      <c r="K906" s="1" t="s">
        <v>598</v>
      </c>
      <c r="L906" s="2" t="s">
        <v>47</v>
      </c>
      <c r="M906" s="1" t="s">
        <v>20</v>
      </c>
    </row>
    <row r="907" ht="15.75" customHeight="1">
      <c r="A907" s="2" t="s">
        <v>1016</v>
      </c>
      <c r="B907" s="1" t="s">
        <v>41</v>
      </c>
      <c r="C907" s="1" t="s">
        <v>27</v>
      </c>
      <c r="D907" s="2" t="s">
        <v>68</v>
      </c>
      <c r="E907" s="2" t="s">
        <v>57</v>
      </c>
      <c r="F907" s="1" t="s">
        <v>18</v>
      </c>
      <c r="G907" s="1" t="s">
        <v>56</v>
      </c>
      <c r="H907" s="1" t="s">
        <v>20</v>
      </c>
      <c r="I907" s="2" t="s">
        <v>17</v>
      </c>
      <c r="J907" s="1" t="s">
        <v>51</v>
      </c>
      <c r="K907" s="1" t="s">
        <v>598</v>
      </c>
      <c r="L907" s="2" t="s">
        <v>79</v>
      </c>
      <c r="M907" s="1" t="s">
        <v>20</v>
      </c>
    </row>
    <row r="908" ht="15.75" customHeight="1">
      <c r="A908" s="2" t="s">
        <v>1017</v>
      </c>
      <c r="B908" s="1" t="s">
        <v>14</v>
      </c>
      <c r="C908" s="1" t="s">
        <v>27</v>
      </c>
      <c r="D908" s="2" t="s">
        <v>76</v>
      </c>
      <c r="E908" s="2" t="s">
        <v>17</v>
      </c>
      <c r="F908" s="1" t="s">
        <v>87</v>
      </c>
      <c r="G908" s="1" t="s">
        <v>36</v>
      </c>
      <c r="H908" s="1" t="s">
        <v>20</v>
      </c>
      <c r="I908" s="2" t="s">
        <v>21</v>
      </c>
      <c r="J908" s="1" t="s">
        <v>38</v>
      </c>
      <c r="K908" s="1" t="s">
        <v>598</v>
      </c>
      <c r="L908" s="2" t="s">
        <v>93</v>
      </c>
      <c r="M908" s="1" t="s">
        <v>20</v>
      </c>
    </row>
    <row r="909" ht="15.75" customHeight="1">
      <c r="A909" s="2" t="s">
        <v>1018</v>
      </c>
      <c r="B909" s="1" t="s">
        <v>14</v>
      </c>
      <c r="C909" s="1" t="s">
        <v>27</v>
      </c>
      <c r="D909" s="2" t="s">
        <v>272</v>
      </c>
      <c r="E909" s="2" t="s">
        <v>57</v>
      </c>
      <c r="F909" s="1" t="s">
        <v>18</v>
      </c>
      <c r="G909" s="1" t="s">
        <v>56</v>
      </c>
      <c r="H909" s="1" t="s">
        <v>20</v>
      </c>
      <c r="I909" s="2" t="s">
        <v>37</v>
      </c>
      <c r="J909" s="1" t="s">
        <v>69</v>
      </c>
      <c r="K909" s="1" t="s">
        <v>598</v>
      </c>
      <c r="L909" s="2" t="s">
        <v>95</v>
      </c>
      <c r="M909" s="1" t="s">
        <v>25</v>
      </c>
    </row>
    <row r="910" ht="15.75" customHeight="1">
      <c r="A910" s="2" t="s">
        <v>1019</v>
      </c>
      <c r="B910" s="1" t="s">
        <v>41</v>
      </c>
      <c r="D910" s="2" t="s">
        <v>272</v>
      </c>
      <c r="E910" s="2" t="s">
        <v>29</v>
      </c>
      <c r="F910" s="1" t="s">
        <v>18</v>
      </c>
      <c r="G910" s="1" t="s">
        <v>19</v>
      </c>
      <c r="H910" s="1" t="s">
        <v>20</v>
      </c>
      <c r="I910" s="2" t="s">
        <v>37</v>
      </c>
      <c r="J910" s="1" t="s">
        <v>38</v>
      </c>
      <c r="K910" s="1" t="s">
        <v>598</v>
      </c>
      <c r="L910" s="2" t="s">
        <v>45</v>
      </c>
      <c r="M910" s="1" t="s">
        <v>20</v>
      </c>
    </row>
    <row r="911" ht="15.75" customHeight="1">
      <c r="A911" s="2" t="s">
        <v>1020</v>
      </c>
      <c r="B911" s="1" t="s">
        <v>14</v>
      </c>
      <c r="C911" s="1" t="s">
        <v>27</v>
      </c>
      <c r="D911" s="2" t="s">
        <v>76</v>
      </c>
      <c r="E911" s="2" t="s">
        <v>21</v>
      </c>
      <c r="F911" s="1" t="s">
        <v>87</v>
      </c>
      <c r="G911" s="1" t="s">
        <v>19</v>
      </c>
      <c r="H911" s="1" t="s">
        <v>20</v>
      </c>
      <c r="I911" s="2" t="s">
        <v>21</v>
      </c>
      <c r="J911" s="1" t="s">
        <v>51</v>
      </c>
      <c r="K911" s="1" t="s">
        <v>598</v>
      </c>
      <c r="L911" s="2" t="s">
        <v>135</v>
      </c>
      <c r="M911" s="1" t="s">
        <v>20</v>
      </c>
    </row>
    <row r="912" ht="15.75" customHeight="1">
      <c r="A912" s="2" t="s">
        <v>1021</v>
      </c>
      <c r="B912" s="1" t="s">
        <v>14</v>
      </c>
      <c r="C912" s="1" t="s">
        <v>27</v>
      </c>
      <c r="D912" s="2" t="s">
        <v>16</v>
      </c>
      <c r="E912" s="2" t="s">
        <v>57</v>
      </c>
      <c r="F912" s="1" t="s">
        <v>55</v>
      </c>
      <c r="G912" s="1" t="s">
        <v>19</v>
      </c>
      <c r="H912" s="1" t="s">
        <v>20</v>
      </c>
      <c r="I912" s="2" t="s">
        <v>37</v>
      </c>
      <c r="J912" s="1" t="s">
        <v>38</v>
      </c>
      <c r="K912" s="1" t="s">
        <v>598</v>
      </c>
      <c r="L912" s="2" t="s">
        <v>130</v>
      </c>
      <c r="M912" s="1" t="s">
        <v>25</v>
      </c>
    </row>
    <row r="913" ht="15.75" customHeight="1">
      <c r="A913" s="2" t="s">
        <v>1022</v>
      </c>
      <c r="B913" s="1" t="s">
        <v>14</v>
      </c>
      <c r="C913" s="1" t="s">
        <v>15</v>
      </c>
      <c r="D913" s="2" t="s">
        <v>34</v>
      </c>
      <c r="E913" s="2" t="s">
        <v>35</v>
      </c>
      <c r="F913" s="1" t="s">
        <v>18</v>
      </c>
      <c r="G913" s="1" t="s">
        <v>56</v>
      </c>
      <c r="H913" s="1" t="s">
        <v>20</v>
      </c>
      <c r="I913" s="2" t="s">
        <v>37</v>
      </c>
      <c r="J913" s="1" t="s">
        <v>43</v>
      </c>
      <c r="K913" s="1" t="s">
        <v>598</v>
      </c>
      <c r="L913" s="2" t="s">
        <v>421</v>
      </c>
      <c r="M913" s="1" t="s">
        <v>25</v>
      </c>
    </row>
    <row r="914" ht="15.75" customHeight="1">
      <c r="A914" s="2" t="s">
        <v>1023</v>
      </c>
      <c r="B914" s="1" t="s">
        <v>14</v>
      </c>
      <c r="C914" s="1" t="s">
        <v>15</v>
      </c>
      <c r="D914" s="2" t="s">
        <v>16</v>
      </c>
      <c r="E914" s="2" t="s">
        <v>29</v>
      </c>
      <c r="F914" s="1" t="s">
        <v>30</v>
      </c>
      <c r="G914" s="1" t="s">
        <v>31</v>
      </c>
      <c r="H914" s="1" t="s">
        <v>20</v>
      </c>
      <c r="I914" s="2" t="s">
        <v>17</v>
      </c>
      <c r="J914" s="1" t="s">
        <v>51</v>
      </c>
      <c r="K914" s="1" t="s">
        <v>598</v>
      </c>
      <c r="L914" s="2" t="s">
        <v>104</v>
      </c>
      <c r="M914" s="1" t="s">
        <v>25</v>
      </c>
    </row>
    <row r="915" ht="15.75" customHeight="1">
      <c r="A915" s="2" t="s">
        <v>1024</v>
      </c>
      <c r="B915" s="1" t="s">
        <v>41</v>
      </c>
      <c r="C915" s="1" t="s">
        <v>27</v>
      </c>
      <c r="D915" s="2" t="s">
        <v>76</v>
      </c>
      <c r="E915" s="2" t="s">
        <v>37</v>
      </c>
      <c r="F915" s="1" t="s">
        <v>18</v>
      </c>
      <c r="G915" s="1" t="s">
        <v>19</v>
      </c>
      <c r="H915" s="1" t="s">
        <v>20</v>
      </c>
      <c r="I915" s="2" t="s">
        <v>21</v>
      </c>
      <c r="J915" s="1" t="s">
        <v>38</v>
      </c>
      <c r="K915" s="1" t="s">
        <v>598</v>
      </c>
      <c r="L915" s="2" t="s">
        <v>47</v>
      </c>
      <c r="M915" s="1" t="s">
        <v>20</v>
      </c>
    </row>
    <row r="916" ht="15.75" customHeight="1">
      <c r="A916" s="2" t="s">
        <v>1025</v>
      </c>
      <c r="B916" s="1" t="s">
        <v>41</v>
      </c>
      <c r="C916" s="1" t="s">
        <v>27</v>
      </c>
      <c r="D916" s="2" t="s">
        <v>34</v>
      </c>
      <c r="E916" s="2" t="s">
        <v>35</v>
      </c>
      <c r="F916" s="1" t="s">
        <v>87</v>
      </c>
      <c r="G916" s="1" t="s">
        <v>19</v>
      </c>
      <c r="H916" s="1" t="s">
        <v>25</v>
      </c>
      <c r="I916" s="2" t="s">
        <v>21</v>
      </c>
      <c r="J916" s="1" t="s">
        <v>22</v>
      </c>
      <c r="K916" s="1" t="s">
        <v>598</v>
      </c>
      <c r="L916" s="2" t="s">
        <v>83</v>
      </c>
      <c r="M916" s="1" t="s">
        <v>25</v>
      </c>
    </row>
    <row r="917" ht="15.75" customHeight="1">
      <c r="A917" s="2" t="s">
        <v>1026</v>
      </c>
      <c r="B917" s="1" t="s">
        <v>14</v>
      </c>
      <c r="C917" s="1" t="s">
        <v>27</v>
      </c>
      <c r="D917" s="2" t="s">
        <v>76</v>
      </c>
      <c r="E917" s="2" t="s">
        <v>29</v>
      </c>
      <c r="F917" s="1" t="s">
        <v>87</v>
      </c>
      <c r="G917" s="1" t="s">
        <v>56</v>
      </c>
      <c r="H917" s="1" t="s">
        <v>20</v>
      </c>
      <c r="I917" s="2" t="s">
        <v>37</v>
      </c>
      <c r="J917" s="1" t="s">
        <v>69</v>
      </c>
      <c r="K917" s="1" t="s">
        <v>598</v>
      </c>
      <c r="L917" s="2" t="s">
        <v>421</v>
      </c>
      <c r="M917" s="1" t="s">
        <v>25</v>
      </c>
    </row>
    <row r="918" ht="15.75" customHeight="1">
      <c r="A918" s="2" t="s">
        <v>1027</v>
      </c>
      <c r="B918" s="1" t="s">
        <v>41</v>
      </c>
      <c r="C918" s="1" t="s">
        <v>27</v>
      </c>
      <c r="D918" s="2" t="s">
        <v>42</v>
      </c>
      <c r="E918" s="2" t="s">
        <v>29</v>
      </c>
      <c r="F918" s="1" t="s">
        <v>87</v>
      </c>
      <c r="G918" s="1" t="s">
        <v>36</v>
      </c>
      <c r="H918" s="1" t="s">
        <v>25</v>
      </c>
      <c r="I918" s="2" t="s">
        <v>21</v>
      </c>
      <c r="J918" s="1" t="s">
        <v>22</v>
      </c>
      <c r="K918" s="1" t="s">
        <v>598</v>
      </c>
      <c r="L918" s="2" t="s">
        <v>74</v>
      </c>
      <c r="M918" s="1" t="s">
        <v>20</v>
      </c>
    </row>
    <row r="919" ht="15.75" customHeight="1">
      <c r="A919" s="2" t="s">
        <v>1028</v>
      </c>
      <c r="B919" s="1" t="s">
        <v>41</v>
      </c>
      <c r="C919" s="1" t="s">
        <v>27</v>
      </c>
      <c r="D919" s="2" t="s">
        <v>276</v>
      </c>
      <c r="E919" s="2" t="s">
        <v>29</v>
      </c>
      <c r="F919" s="1" t="s">
        <v>18</v>
      </c>
      <c r="G919" s="1" t="s">
        <v>56</v>
      </c>
      <c r="H919" s="1" t="s">
        <v>20</v>
      </c>
      <c r="I919" s="2" t="s">
        <v>57</v>
      </c>
      <c r="J919" s="1" t="s">
        <v>38</v>
      </c>
      <c r="K919" s="1" t="s">
        <v>598</v>
      </c>
      <c r="L919" s="2" t="s">
        <v>100</v>
      </c>
      <c r="M919" s="1" t="s">
        <v>20</v>
      </c>
    </row>
    <row r="920" ht="15.75" customHeight="1">
      <c r="A920" s="2" t="s">
        <v>1029</v>
      </c>
      <c r="B920" s="1" t="s">
        <v>14</v>
      </c>
      <c r="C920" s="1" t="s">
        <v>15</v>
      </c>
      <c r="D920" s="2" t="s">
        <v>42</v>
      </c>
      <c r="E920" s="2" t="s">
        <v>21</v>
      </c>
      <c r="F920" s="1" t="s">
        <v>30</v>
      </c>
      <c r="G920" s="1" t="s">
        <v>19</v>
      </c>
      <c r="H920" s="1" t="s">
        <v>20</v>
      </c>
      <c r="I920" s="2" t="s">
        <v>37</v>
      </c>
      <c r="J920" s="1" t="s">
        <v>43</v>
      </c>
      <c r="K920" s="1" t="s">
        <v>598</v>
      </c>
      <c r="L920" s="2" t="s">
        <v>93</v>
      </c>
      <c r="M920" s="1" t="s">
        <v>20</v>
      </c>
    </row>
    <row r="921" ht="15.75" customHeight="1">
      <c r="A921" s="2" t="s">
        <v>1030</v>
      </c>
      <c r="B921" s="1" t="s">
        <v>14</v>
      </c>
      <c r="C921" s="1" t="s">
        <v>15</v>
      </c>
      <c r="D921" s="2" t="s">
        <v>16</v>
      </c>
      <c r="E921" s="2" t="s">
        <v>57</v>
      </c>
      <c r="F921" s="1" t="s">
        <v>55</v>
      </c>
      <c r="G921" s="1" t="s">
        <v>36</v>
      </c>
      <c r="H921" s="1" t="s">
        <v>20</v>
      </c>
      <c r="I921" s="2" t="s">
        <v>37</v>
      </c>
      <c r="J921" s="1" t="s">
        <v>69</v>
      </c>
      <c r="K921" s="1" t="s">
        <v>598</v>
      </c>
      <c r="L921" s="2" t="s">
        <v>145</v>
      </c>
      <c r="M921" s="1" t="s">
        <v>25</v>
      </c>
    </row>
    <row r="922" ht="15.75" customHeight="1">
      <c r="A922" s="2" t="s">
        <v>1031</v>
      </c>
      <c r="B922" s="1" t="s">
        <v>14</v>
      </c>
      <c r="C922" s="1" t="s">
        <v>27</v>
      </c>
      <c r="D922" s="2" t="s">
        <v>28</v>
      </c>
      <c r="E922" s="2" t="s">
        <v>37</v>
      </c>
      <c r="F922" s="1" t="s">
        <v>55</v>
      </c>
      <c r="G922" s="1" t="s">
        <v>19</v>
      </c>
      <c r="H922" s="1" t="s">
        <v>20</v>
      </c>
      <c r="I922" s="2" t="s">
        <v>37</v>
      </c>
      <c r="J922" s="1" t="s">
        <v>51</v>
      </c>
      <c r="K922" s="1" t="s">
        <v>598</v>
      </c>
      <c r="L922" s="2" t="s">
        <v>178</v>
      </c>
      <c r="M922" s="1" t="s">
        <v>25</v>
      </c>
    </row>
    <row r="923" ht="15.75" customHeight="1">
      <c r="A923" s="2" t="s">
        <v>1032</v>
      </c>
      <c r="B923" s="1" t="s">
        <v>41</v>
      </c>
      <c r="C923" s="1" t="s">
        <v>15</v>
      </c>
      <c r="D923" s="2" t="s">
        <v>42</v>
      </c>
      <c r="E923" s="2" t="s">
        <v>29</v>
      </c>
      <c r="F923" s="1" t="s">
        <v>30</v>
      </c>
      <c r="G923" s="1" t="s">
        <v>36</v>
      </c>
      <c r="H923" s="1" t="s">
        <v>20</v>
      </c>
      <c r="I923" s="2" t="s">
        <v>17</v>
      </c>
      <c r="J923" s="1" t="s">
        <v>43</v>
      </c>
      <c r="K923" s="1" t="s">
        <v>598</v>
      </c>
      <c r="L923" s="2" t="s">
        <v>195</v>
      </c>
      <c r="M923" s="1" t="s">
        <v>20</v>
      </c>
    </row>
    <row r="924" ht="15.75" customHeight="1">
      <c r="A924" s="2" t="s">
        <v>1033</v>
      </c>
      <c r="B924" s="1" t="s">
        <v>14</v>
      </c>
      <c r="C924" s="1" t="s">
        <v>15</v>
      </c>
      <c r="D924" s="2" t="s">
        <v>16</v>
      </c>
      <c r="E924" s="2" t="s">
        <v>29</v>
      </c>
      <c r="F924" s="1" t="s">
        <v>30</v>
      </c>
      <c r="G924" s="1" t="s">
        <v>36</v>
      </c>
      <c r="H924" s="1" t="s">
        <v>25</v>
      </c>
      <c r="I924" s="2" t="s">
        <v>37</v>
      </c>
      <c r="J924" s="1" t="s">
        <v>51</v>
      </c>
      <c r="K924" s="1" t="s">
        <v>598</v>
      </c>
      <c r="L924" s="2" t="s">
        <v>66</v>
      </c>
      <c r="M924" s="1" t="s">
        <v>20</v>
      </c>
    </row>
    <row r="925" ht="15.75" customHeight="1">
      <c r="A925" s="2" t="s">
        <v>1034</v>
      </c>
      <c r="B925" s="1" t="s">
        <v>41</v>
      </c>
      <c r="C925" s="1" t="s">
        <v>27</v>
      </c>
      <c r="D925" s="2" t="s">
        <v>42</v>
      </c>
      <c r="E925" s="2" t="s">
        <v>29</v>
      </c>
      <c r="F925" s="1" t="s">
        <v>87</v>
      </c>
      <c r="G925" s="1" t="s">
        <v>56</v>
      </c>
      <c r="H925" s="1" t="s">
        <v>25</v>
      </c>
      <c r="I925" s="2" t="s">
        <v>37</v>
      </c>
      <c r="J925" s="1" t="s">
        <v>51</v>
      </c>
      <c r="K925" s="1" t="s">
        <v>598</v>
      </c>
      <c r="L925" s="2" t="s">
        <v>201</v>
      </c>
      <c r="M925" s="1" t="s">
        <v>20</v>
      </c>
    </row>
    <row r="926" ht="15.75" customHeight="1">
      <c r="A926" s="2" t="s">
        <v>1035</v>
      </c>
      <c r="B926" s="1" t="s">
        <v>41</v>
      </c>
      <c r="C926" s="1" t="s">
        <v>27</v>
      </c>
      <c r="D926" s="2" t="s">
        <v>68</v>
      </c>
      <c r="E926" s="2" t="s">
        <v>37</v>
      </c>
      <c r="F926" s="1" t="s">
        <v>30</v>
      </c>
      <c r="G926" s="1" t="s">
        <v>36</v>
      </c>
      <c r="H926" s="1" t="s">
        <v>20</v>
      </c>
      <c r="I926" s="2" t="s">
        <v>17</v>
      </c>
      <c r="J926" s="1" t="s">
        <v>38</v>
      </c>
      <c r="K926" s="1" t="s">
        <v>598</v>
      </c>
      <c r="L926" s="2" t="s">
        <v>125</v>
      </c>
      <c r="M926" s="1" t="s">
        <v>20</v>
      </c>
    </row>
    <row r="927" ht="15.75" customHeight="1">
      <c r="A927" s="2" t="s">
        <v>1036</v>
      </c>
      <c r="B927" s="1" t="s">
        <v>41</v>
      </c>
      <c r="C927" s="1" t="s">
        <v>15</v>
      </c>
      <c r="D927" s="2" t="s">
        <v>272</v>
      </c>
      <c r="E927" s="2" t="s">
        <v>21</v>
      </c>
      <c r="F927" s="1" t="s">
        <v>87</v>
      </c>
      <c r="G927" s="1" t="s">
        <v>19</v>
      </c>
      <c r="H927" s="1" t="s">
        <v>20</v>
      </c>
      <c r="I927" s="2" t="s">
        <v>21</v>
      </c>
      <c r="J927" s="1" t="s">
        <v>51</v>
      </c>
      <c r="K927" s="1" t="s">
        <v>598</v>
      </c>
      <c r="L927" s="2" t="s">
        <v>58</v>
      </c>
      <c r="M927" s="1" t="s">
        <v>20</v>
      </c>
    </row>
    <row r="928" ht="15.75" customHeight="1">
      <c r="A928" s="2" t="s">
        <v>1037</v>
      </c>
      <c r="B928" s="1" t="s">
        <v>41</v>
      </c>
      <c r="C928" s="1" t="s">
        <v>15</v>
      </c>
      <c r="D928" s="2" t="s">
        <v>16</v>
      </c>
      <c r="E928" s="2" t="s">
        <v>37</v>
      </c>
      <c r="F928" s="1" t="s">
        <v>55</v>
      </c>
      <c r="G928" s="1" t="s">
        <v>36</v>
      </c>
      <c r="H928" s="1" t="s">
        <v>20</v>
      </c>
      <c r="I928" s="2" t="s">
        <v>37</v>
      </c>
      <c r="J928" s="1" t="s">
        <v>69</v>
      </c>
      <c r="K928" s="1" t="s">
        <v>598</v>
      </c>
      <c r="L928" s="2" t="s">
        <v>330</v>
      </c>
      <c r="M928" s="1" t="s">
        <v>25</v>
      </c>
    </row>
    <row r="929" ht="15.75" customHeight="1">
      <c r="A929" s="2" t="s">
        <v>1038</v>
      </c>
      <c r="B929" s="1" t="s">
        <v>14</v>
      </c>
      <c r="C929" s="1" t="s">
        <v>15</v>
      </c>
      <c r="D929" s="2" t="s">
        <v>42</v>
      </c>
      <c r="E929" s="2" t="s">
        <v>21</v>
      </c>
      <c r="F929" s="1" t="s">
        <v>87</v>
      </c>
      <c r="G929" s="1" t="s">
        <v>36</v>
      </c>
      <c r="H929" s="1" t="s">
        <v>20</v>
      </c>
      <c r="I929" s="2" t="s">
        <v>21</v>
      </c>
      <c r="J929" s="1" t="s">
        <v>38</v>
      </c>
      <c r="K929" s="1" t="s">
        <v>598</v>
      </c>
      <c r="L929" s="2" t="s">
        <v>135</v>
      </c>
      <c r="M929" s="1" t="s">
        <v>25</v>
      </c>
    </row>
    <row r="930" ht="15.75" customHeight="1">
      <c r="A930" s="2" t="s">
        <v>1039</v>
      </c>
      <c r="B930" s="1" t="s">
        <v>14</v>
      </c>
      <c r="C930" s="1" t="s">
        <v>27</v>
      </c>
      <c r="D930" s="2" t="s">
        <v>76</v>
      </c>
      <c r="E930" s="2" t="s">
        <v>37</v>
      </c>
      <c r="F930" s="1" t="s">
        <v>55</v>
      </c>
      <c r="G930" s="1" t="s">
        <v>36</v>
      </c>
      <c r="H930" s="1" t="s">
        <v>20</v>
      </c>
      <c r="I930" s="2" t="s">
        <v>37</v>
      </c>
      <c r="J930" s="1" t="s">
        <v>43</v>
      </c>
      <c r="K930" s="1" t="s">
        <v>598</v>
      </c>
      <c r="L930" s="2" t="s">
        <v>125</v>
      </c>
      <c r="M930" s="1" t="s">
        <v>25</v>
      </c>
    </row>
    <row r="931" ht="15.75" customHeight="1">
      <c r="A931" s="2" t="s">
        <v>1040</v>
      </c>
      <c r="B931" s="1" t="s">
        <v>14</v>
      </c>
      <c r="C931" s="1" t="s">
        <v>27</v>
      </c>
      <c r="D931" s="2" t="s">
        <v>76</v>
      </c>
      <c r="E931" s="2" t="s">
        <v>37</v>
      </c>
      <c r="F931" s="1" t="s">
        <v>55</v>
      </c>
      <c r="G931" s="1" t="s">
        <v>36</v>
      </c>
      <c r="H931" s="1" t="s">
        <v>20</v>
      </c>
      <c r="I931" s="2" t="s">
        <v>37</v>
      </c>
      <c r="J931" s="1" t="s">
        <v>43</v>
      </c>
      <c r="K931" s="1" t="s">
        <v>598</v>
      </c>
      <c r="L931" s="2" t="s">
        <v>52</v>
      </c>
      <c r="M931" s="1" t="s">
        <v>25</v>
      </c>
    </row>
    <row r="932" ht="15.75" customHeight="1">
      <c r="A932" s="2" t="s">
        <v>1041</v>
      </c>
      <c r="B932" s="1" t="s">
        <v>14</v>
      </c>
      <c r="C932" s="1" t="s">
        <v>27</v>
      </c>
      <c r="D932" s="2" t="s">
        <v>42</v>
      </c>
      <c r="E932" s="2" t="s">
        <v>35</v>
      </c>
      <c r="F932" s="1" t="s">
        <v>87</v>
      </c>
      <c r="G932" s="1" t="s">
        <v>36</v>
      </c>
      <c r="H932" s="1" t="s">
        <v>25</v>
      </c>
      <c r="I932" s="2" t="s">
        <v>29</v>
      </c>
      <c r="J932" s="1" t="s">
        <v>69</v>
      </c>
      <c r="K932" s="1" t="s">
        <v>598</v>
      </c>
      <c r="L932" s="2" t="s">
        <v>83</v>
      </c>
      <c r="M932" s="1" t="s">
        <v>25</v>
      </c>
    </row>
    <row r="933" ht="15.75" customHeight="1">
      <c r="A933" s="2" t="s">
        <v>1042</v>
      </c>
      <c r="B933" s="1" t="s">
        <v>14</v>
      </c>
      <c r="C933" s="1" t="s">
        <v>15</v>
      </c>
      <c r="D933" s="2" t="s">
        <v>16</v>
      </c>
      <c r="E933" s="2" t="s">
        <v>17</v>
      </c>
      <c r="F933" s="1" t="s">
        <v>30</v>
      </c>
      <c r="G933" s="1" t="s">
        <v>31</v>
      </c>
      <c r="H933" s="1" t="s">
        <v>20</v>
      </c>
      <c r="I933" s="2" t="s">
        <v>17</v>
      </c>
      <c r="J933" s="1" t="s">
        <v>51</v>
      </c>
      <c r="K933" s="1" t="s">
        <v>598</v>
      </c>
      <c r="L933" s="2" t="s">
        <v>195</v>
      </c>
      <c r="M933" s="1" t="s">
        <v>20</v>
      </c>
    </row>
    <row r="934" ht="15.75" customHeight="1">
      <c r="A934" s="2" t="s">
        <v>1043</v>
      </c>
      <c r="B934" s="1" t="s">
        <v>41</v>
      </c>
      <c r="C934" s="1" t="s">
        <v>15</v>
      </c>
      <c r="D934" s="2" t="s">
        <v>16</v>
      </c>
      <c r="E934" s="2" t="s">
        <v>21</v>
      </c>
      <c r="F934" s="1" t="s">
        <v>55</v>
      </c>
      <c r="G934" s="1" t="s">
        <v>19</v>
      </c>
      <c r="H934" s="1" t="s">
        <v>25</v>
      </c>
      <c r="I934" s="2" t="s">
        <v>37</v>
      </c>
      <c r="J934" s="1" t="s">
        <v>22</v>
      </c>
      <c r="K934" s="1" t="s">
        <v>598</v>
      </c>
      <c r="L934" s="2" t="s">
        <v>245</v>
      </c>
      <c r="M934" s="1" t="s">
        <v>20</v>
      </c>
    </row>
    <row r="935" ht="15.75" customHeight="1">
      <c r="A935" s="2" t="s">
        <v>1044</v>
      </c>
      <c r="B935" s="1" t="s">
        <v>41</v>
      </c>
      <c r="C935" s="1" t="s">
        <v>27</v>
      </c>
      <c r="D935" s="2" t="s">
        <v>76</v>
      </c>
      <c r="E935" s="2" t="s">
        <v>21</v>
      </c>
      <c r="F935" s="1" t="s">
        <v>30</v>
      </c>
      <c r="G935" s="1" t="s">
        <v>19</v>
      </c>
      <c r="H935" s="1" t="s">
        <v>20</v>
      </c>
      <c r="J935" s="1" t="s">
        <v>43</v>
      </c>
      <c r="K935" s="1" t="s">
        <v>598</v>
      </c>
      <c r="L935" s="2" t="s">
        <v>97</v>
      </c>
      <c r="M935" s="1" t="s">
        <v>25</v>
      </c>
    </row>
    <row r="936" ht="15.75" customHeight="1">
      <c r="A936" s="2" t="s">
        <v>1045</v>
      </c>
      <c r="B936" s="1" t="s">
        <v>14</v>
      </c>
      <c r="C936" s="1" t="s">
        <v>27</v>
      </c>
      <c r="D936" s="2" t="s">
        <v>76</v>
      </c>
      <c r="E936" s="2" t="s">
        <v>37</v>
      </c>
      <c r="F936" s="1" t="s">
        <v>18</v>
      </c>
      <c r="G936" s="1" t="s">
        <v>56</v>
      </c>
      <c r="H936" s="1" t="s">
        <v>20</v>
      </c>
      <c r="I936" s="2" t="s">
        <v>21</v>
      </c>
      <c r="J936" s="1" t="s">
        <v>38</v>
      </c>
      <c r="K936" s="1" t="s">
        <v>598</v>
      </c>
      <c r="L936" s="2" t="s">
        <v>81</v>
      </c>
      <c r="M936" s="1" t="s">
        <v>25</v>
      </c>
    </row>
    <row r="937" ht="15.75" customHeight="1">
      <c r="A937" s="2" t="s">
        <v>1046</v>
      </c>
      <c r="B937" s="1" t="s">
        <v>14</v>
      </c>
      <c r="C937" s="1" t="s">
        <v>15</v>
      </c>
      <c r="D937" s="2" t="s">
        <v>76</v>
      </c>
      <c r="E937" s="2" t="s">
        <v>17</v>
      </c>
      <c r="F937" s="1" t="s">
        <v>30</v>
      </c>
      <c r="G937" s="1" t="s">
        <v>19</v>
      </c>
      <c r="H937" s="1" t="s">
        <v>20</v>
      </c>
      <c r="I937" s="2" t="s">
        <v>17</v>
      </c>
      <c r="J937" s="1" t="s">
        <v>22</v>
      </c>
      <c r="K937" s="1" t="s">
        <v>598</v>
      </c>
      <c r="L937" s="2" t="s">
        <v>77</v>
      </c>
      <c r="M937" s="1" t="s">
        <v>20</v>
      </c>
    </row>
    <row r="938" ht="15.75" customHeight="1">
      <c r="A938" s="2" t="s">
        <v>1047</v>
      </c>
      <c r="B938" s="1" t="s">
        <v>14</v>
      </c>
      <c r="C938" s="1" t="s">
        <v>15</v>
      </c>
      <c r="D938" s="2" t="s">
        <v>76</v>
      </c>
      <c r="E938" s="2" t="s">
        <v>57</v>
      </c>
      <c r="F938" s="1" t="s">
        <v>18</v>
      </c>
      <c r="G938" s="1" t="s">
        <v>56</v>
      </c>
      <c r="H938" s="1" t="s">
        <v>20</v>
      </c>
      <c r="I938" s="2" t="s">
        <v>37</v>
      </c>
      <c r="J938" s="1" t="s">
        <v>38</v>
      </c>
      <c r="K938" s="1" t="s">
        <v>598</v>
      </c>
      <c r="L938" s="2" t="s">
        <v>39</v>
      </c>
      <c r="M938" s="1" t="s">
        <v>25</v>
      </c>
    </row>
    <row r="939" ht="15.75" customHeight="1">
      <c r="A939" s="2" t="s">
        <v>1048</v>
      </c>
      <c r="B939" s="1" t="s">
        <v>14</v>
      </c>
      <c r="C939" s="1" t="s">
        <v>27</v>
      </c>
      <c r="D939" s="2" t="s">
        <v>42</v>
      </c>
      <c r="E939" s="2" t="s">
        <v>57</v>
      </c>
      <c r="F939" s="1" t="s">
        <v>87</v>
      </c>
      <c r="G939" s="1" t="s">
        <v>36</v>
      </c>
      <c r="H939" s="1" t="s">
        <v>20</v>
      </c>
      <c r="I939" s="2" t="s">
        <v>21</v>
      </c>
      <c r="J939" s="1" t="s">
        <v>22</v>
      </c>
      <c r="K939" s="1" t="s">
        <v>598</v>
      </c>
      <c r="L939" s="2" t="s">
        <v>47</v>
      </c>
      <c r="M939" s="1" t="s">
        <v>20</v>
      </c>
    </row>
    <row r="940" ht="15.75" customHeight="1">
      <c r="A940" s="2" t="s">
        <v>1049</v>
      </c>
      <c r="B940" s="1" t="s">
        <v>14</v>
      </c>
      <c r="C940" s="1" t="s">
        <v>15</v>
      </c>
      <c r="D940" s="2" t="s">
        <v>16</v>
      </c>
      <c r="E940" s="2" t="s">
        <v>21</v>
      </c>
      <c r="F940" s="1" t="s">
        <v>55</v>
      </c>
      <c r="G940" s="1" t="s">
        <v>19</v>
      </c>
      <c r="H940" s="1" t="s">
        <v>20</v>
      </c>
      <c r="I940" s="2" t="s">
        <v>37</v>
      </c>
      <c r="J940" s="1" t="s">
        <v>43</v>
      </c>
      <c r="K940" s="1" t="s">
        <v>598</v>
      </c>
      <c r="L940" s="2" t="s">
        <v>245</v>
      </c>
      <c r="M940" s="1" t="s">
        <v>25</v>
      </c>
    </row>
    <row r="941" ht="15.75" customHeight="1">
      <c r="A941" s="2" t="s">
        <v>1050</v>
      </c>
      <c r="B941" s="1" t="s">
        <v>41</v>
      </c>
      <c r="C941" s="1" t="s">
        <v>27</v>
      </c>
      <c r="D941" s="2" t="s">
        <v>34</v>
      </c>
      <c r="E941" s="2" t="s">
        <v>37</v>
      </c>
      <c r="F941" s="1" t="s">
        <v>62</v>
      </c>
      <c r="G941" s="1" t="s">
        <v>19</v>
      </c>
      <c r="H941" s="1" t="s">
        <v>25</v>
      </c>
      <c r="I941" s="2" t="s">
        <v>37</v>
      </c>
      <c r="J941" s="1" t="s">
        <v>51</v>
      </c>
      <c r="K941" s="1" t="s">
        <v>598</v>
      </c>
      <c r="L941" s="2" t="s">
        <v>52</v>
      </c>
      <c r="M941" s="1" t="s">
        <v>25</v>
      </c>
    </row>
    <row r="942" ht="15.75" customHeight="1">
      <c r="A942" s="2" t="s">
        <v>1051</v>
      </c>
      <c r="B942" s="1" t="s">
        <v>41</v>
      </c>
      <c r="C942" s="1" t="s">
        <v>15</v>
      </c>
      <c r="D942" s="2" t="s">
        <v>76</v>
      </c>
      <c r="E942" s="2" t="s">
        <v>17</v>
      </c>
      <c r="F942" s="1" t="s">
        <v>87</v>
      </c>
      <c r="G942" s="1" t="s">
        <v>19</v>
      </c>
      <c r="H942" s="1" t="s">
        <v>20</v>
      </c>
      <c r="I942" s="2" t="s">
        <v>21</v>
      </c>
      <c r="J942" s="1" t="s">
        <v>51</v>
      </c>
      <c r="K942" s="1" t="s">
        <v>598</v>
      </c>
      <c r="L942" s="2" t="s">
        <v>74</v>
      </c>
      <c r="M942" s="1" t="s">
        <v>25</v>
      </c>
    </row>
    <row r="943" ht="15.75" customHeight="1">
      <c r="A943" s="2" t="s">
        <v>1052</v>
      </c>
      <c r="B943" s="1" t="s">
        <v>14</v>
      </c>
      <c r="C943" s="1" t="s">
        <v>15</v>
      </c>
      <c r="D943" s="2" t="s">
        <v>76</v>
      </c>
      <c r="E943" s="2" t="s">
        <v>17</v>
      </c>
      <c r="F943" s="1" t="s">
        <v>87</v>
      </c>
      <c r="G943" s="1" t="s">
        <v>19</v>
      </c>
      <c r="H943" s="1" t="s">
        <v>20</v>
      </c>
      <c r="I943" s="2" t="s">
        <v>21</v>
      </c>
      <c r="J943" s="1" t="s">
        <v>38</v>
      </c>
      <c r="K943" s="1" t="s">
        <v>598</v>
      </c>
      <c r="L943" s="2" t="s">
        <v>93</v>
      </c>
      <c r="M943" s="1" t="s">
        <v>20</v>
      </c>
    </row>
    <row r="944" ht="15.75" customHeight="1">
      <c r="A944" s="2" t="s">
        <v>1053</v>
      </c>
      <c r="B944" s="1" t="s">
        <v>14</v>
      </c>
      <c r="C944" s="1" t="s">
        <v>15</v>
      </c>
      <c r="D944" s="2" t="s">
        <v>16</v>
      </c>
      <c r="E944" s="2" t="s">
        <v>29</v>
      </c>
      <c r="F944" s="1" t="s">
        <v>30</v>
      </c>
      <c r="G944" s="1" t="s">
        <v>36</v>
      </c>
      <c r="H944" s="1" t="s">
        <v>20</v>
      </c>
      <c r="I944" s="2" t="s">
        <v>37</v>
      </c>
      <c r="J944" s="1" t="s">
        <v>43</v>
      </c>
      <c r="K944" s="1" t="s">
        <v>598</v>
      </c>
      <c r="L944" s="2" t="s">
        <v>66</v>
      </c>
      <c r="M944" s="1" t="s">
        <v>25</v>
      </c>
    </row>
    <row r="945" ht="15.75" customHeight="1">
      <c r="A945" s="2" t="s">
        <v>1054</v>
      </c>
      <c r="B945" s="1" t="s">
        <v>14</v>
      </c>
      <c r="C945" s="1" t="s">
        <v>15</v>
      </c>
      <c r="D945" s="2" t="s">
        <v>76</v>
      </c>
      <c r="E945" s="2" t="s">
        <v>57</v>
      </c>
      <c r="F945" s="1" t="s">
        <v>18</v>
      </c>
      <c r="G945" s="1" t="s">
        <v>19</v>
      </c>
      <c r="I945" s="2" t="s">
        <v>37</v>
      </c>
      <c r="J945" s="1" t="s">
        <v>22</v>
      </c>
      <c r="K945" s="1" t="s">
        <v>598</v>
      </c>
      <c r="L945" s="2" t="s">
        <v>24</v>
      </c>
      <c r="M945" s="1" t="s">
        <v>25</v>
      </c>
    </row>
    <row r="946" ht="15.75" customHeight="1">
      <c r="A946" s="2" t="s">
        <v>1055</v>
      </c>
      <c r="B946" s="1" t="s">
        <v>14</v>
      </c>
      <c r="C946" s="1" t="s">
        <v>15</v>
      </c>
      <c r="D946" s="2" t="s">
        <v>272</v>
      </c>
      <c r="E946" s="2" t="s">
        <v>17</v>
      </c>
      <c r="F946" s="1" t="s">
        <v>18</v>
      </c>
      <c r="G946" s="1" t="s">
        <v>19</v>
      </c>
      <c r="H946" s="1" t="s">
        <v>20</v>
      </c>
      <c r="I946" s="2" t="s">
        <v>21</v>
      </c>
      <c r="J946" s="1" t="s">
        <v>38</v>
      </c>
      <c r="K946" s="1" t="s">
        <v>598</v>
      </c>
      <c r="L946" s="2" t="s">
        <v>93</v>
      </c>
      <c r="M946" s="1" t="s">
        <v>20</v>
      </c>
    </row>
    <row r="947" ht="15.75" customHeight="1">
      <c r="A947" s="2" t="s">
        <v>1056</v>
      </c>
      <c r="B947" s="1" t="s">
        <v>41</v>
      </c>
      <c r="C947" s="1" t="s">
        <v>27</v>
      </c>
      <c r="D947" s="2" t="s">
        <v>272</v>
      </c>
      <c r="E947" s="2" t="s">
        <v>37</v>
      </c>
      <c r="F947" s="1" t="s">
        <v>18</v>
      </c>
      <c r="G947" s="1" t="s">
        <v>19</v>
      </c>
      <c r="H947" s="1" t="s">
        <v>25</v>
      </c>
      <c r="I947" s="2" t="s">
        <v>17</v>
      </c>
      <c r="J947" s="1" t="s">
        <v>22</v>
      </c>
      <c r="K947" s="1" t="s">
        <v>598</v>
      </c>
      <c r="L947" s="2" t="s">
        <v>79</v>
      </c>
      <c r="M947" s="1" t="s">
        <v>20</v>
      </c>
    </row>
    <row r="948" ht="15.75" customHeight="1">
      <c r="A948" s="2" t="s">
        <v>1057</v>
      </c>
      <c r="B948" s="1" t="s">
        <v>14</v>
      </c>
      <c r="C948" s="1" t="s">
        <v>15</v>
      </c>
      <c r="D948" s="2" t="s">
        <v>68</v>
      </c>
      <c r="E948" s="2" t="s">
        <v>35</v>
      </c>
      <c r="F948" s="1" t="s">
        <v>18</v>
      </c>
      <c r="G948" s="1" t="s">
        <v>56</v>
      </c>
      <c r="H948" s="1" t="s">
        <v>20</v>
      </c>
      <c r="I948" s="2" t="s">
        <v>37</v>
      </c>
      <c r="J948" s="1" t="s">
        <v>51</v>
      </c>
      <c r="K948" s="1" t="s">
        <v>598</v>
      </c>
      <c r="L948" s="2" t="s">
        <v>95</v>
      </c>
      <c r="M948" s="1" t="s">
        <v>20</v>
      </c>
    </row>
    <row r="949" ht="15.75" customHeight="1">
      <c r="A949" s="2" t="s">
        <v>1058</v>
      </c>
      <c r="B949" s="1" t="s">
        <v>41</v>
      </c>
      <c r="C949" s="1" t="s">
        <v>15</v>
      </c>
      <c r="D949" s="2" t="s">
        <v>68</v>
      </c>
      <c r="E949" s="2" t="s">
        <v>57</v>
      </c>
      <c r="F949" s="1" t="s">
        <v>55</v>
      </c>
      <c r="G949" s="1" t="s">
        <v>36</v>
      </c>
      <c r="H949" s="1" t="s">
        <v>25</v>
      </c>
      <c r="I949" s="2" t="s">
        <v>29</v>
      </c>
      <c r="J949" s="1" t="s">
        <v>51</v>
      </c>
      <c r="K949" s="1" t="s">
        <v>598</v>
      </c>
      <c r="L949" s="2" t="s">
        <v>77</v>
      </c>
      <c r="M949" s="1" t="s">
        <v>20</v>
      </c>
    </row>
    <row r="950" ht="15.75" customHeight="1">
      <c r="A950" s="2" t="s">
        <v>1059</v>
      </c>
      <c r="B950" s="1" t="s">
        <v>41</v>
      </c>
      <c r="C950" s="1" t="s">
        <v>15</v>
      </c>
      <c r="D950" s="2" t="s">
        <v>76</v>
      </c>
      <c r="E950" s="2" t="s">
        <v>21</v>
      </c>
      <c r="F950" s="1" t="s">
        <v>87</v>
      </c>
      <c r="G950" s="1" t="s">
        <v>19</v>
      </c>
      <c r="H950" s="1" t="s">
        <v>25</v>
      </c>
      <c r="I950" s="2" t="s">
        <v>21</v>
      </c>
      <c r="J950" s="1" t="s">
        <v>22</v>
      </c>
      <c r="K950" s="1" t="s">
        <v>598</v>
      </c>
      <c r="L950" s="2" t="s">
        <v>100</v>
      </c>
      <c r="M950" s="1" t="s">
        <v>25</v>
      </c>
    </row>
    <row r="951" ht="15.75" customHeight="1">
      <c r="A951" s="2" t="s">
        <v>1060</v>
      </c>
      <c r="B951" s="1" t="s">
        <v>14</v>
      </c>
      <c r="C951" s="1" t="s">
        <v>27</v>
      </c>
      <c r="D951" s="2" t="s">
        <v>42</v>
      </c>
      <c r="E951" s="2" t="s">
        <v>37</v>
      </c>
      <c r="F951" s="1" t="s">
        <v>62</v>
      </c>
      <c r="G951" s="1" t="s">
        <v>19</v>
      </c>
      <c r="H951" s="1" t="s">
        <v>20</v>
      </c>
      <c r="I951" s="2" t="s">
        <v>37</v>
      </c>
      <c r="J951" s="1" t="s">
        <v>69</v>
      </c>
      <c r="K951" s="1" t="s">
        <v>598</v>
      </c>
      <c r="L951" s="2" t="s">
        <v>201</v>
      </c>
      <c r="M951" s="1" t="s">
        <v>25</v>
      </c>
    </row>
    <row r="952" ht="15.75" customHeight="1">
      <c r="A952" s="2" t="s">
        <v>1061</v>
      </c>
      <c r="B952" s="1" t="s">
        <v>41</v>
      </c>
      <c r="C952" s="1" t="s">
        <v>15</v>
      </c>
      <c r="D952" s="2" t="s">
        <v>42</v>
      </c>
      <c r="E952" s="2" t="s">
        <v>17</v>
      </c>
      <c r="F952" s="1" t="s">
        <v>87</v>
      </c>
      <c r="G952" s="1" t="s">
        <v>36</v>
      </c>
      <c r="H952" s="1" t="s">
        <v>20</v>
      </c>
      <c r="I952" s="2" t="s">
        <v>21</v>
      </c>
      <c r="J952" s="1" t="s">
        <v>38</v>
      </c>
      <c r="K952" s="1" t="s">
        <v>598</v>
      </c>
      <c r="L952" s="2" t="s">
        <v>93</v>
      </c>
      <c r="M952" s="1" t="s">
        <v>25</v>
      </c>
    </row>
    <row r="953" ht="15.75" customHeight="1">
      <c r="A953" s="2" t="s">
        <v>1062</v>
      </c>
      <c r="B953" s="1" t="s">
        <v>14</v>
      </c>
      <c r="D953" s="2" t="s">
        <v>42</v>
      </c>
      <c r="E953" s="2" t="s">
        <v>21</v>
      </c>
      <c r="F953" s="1" t="s">
        <v>18</v>
      </c>
      <c r="G953" s="1" t="s">
        <v>36</v>
      </c>
      <c r="H953" s="1" t="s">
        <v>25</v>
      </c>
      <c r="I953" s="2" t="s">
        <v>17</v>
      </c>
      <c r="J953" s="1" t="s">
        <v>22</v>
      </c>
      <c r="K953" s="1" t="s">
        <v>598</v>
      </c>
      <c r="L953" s="2" t="s">
        <v>79</v>
      </c>
      <c r="M953" s="1" t="s">
        <v>25</v>
      </c>
    </row>
    <row r="954" ht="15.75" customHeight="1">
      <c r="A954" s="2" t="s">
        <v>1063</v>
      </c>
      <c r="B954" s="1" t="s">
        <v>14</v>
      </c>
      <c r="C954" s="1" t="s">
        <v>15</v>
      </c>
      <c r="D954" s="2" t="s">
        <v>42</v>
      </c>
      <c r="E954" s="2" t="s">
        <v>57</v>
      </c>
      <c r="F954" s="1" t="s">
        <v>18</v>
      </c>
      <c r="G954" s="1" t="s">
        <v>56</v>
      </c>
      <c r="H954" s="1" t="s">
        <v>25</v>
      </c>
      <c r="I954" s="2" t="s">
        <v>17</v>
      </c>
      <c r="J954" s="1" t="s">
        <v>51</v>
      </c>
      <c r="K954" s="1" t="s">
        <v>598</v>
      </c>
      <c r="L954" s="2" t="s">
        <v>81</v>
      </c>
      <c r="M954" s="1" t="s">
        <v>25</v>
      </c>
    </row>
    <row r="955" ht="15.75" customHeight="1">
      <c r="A955" s="2" t="s">
        <v>1064</v>
      </c>
      <c r="B955" s="1" t="s">
        <v>41</v>
      </c>
      <c r="C955" s="1" t="s">
        <v>15</v>
      </c>
      <c r="D955" s="2" t="s">
        <v>16</v>
      </c>
      <c r="E955" s="2" t="s">
        <v>29</v>
      </c>
      <c r="F955" s="1" t="s">
        <v>30</v>
      </c>
      <c r="G955" s="1" t="s">
        <v>31</v>
      </c>
      <c r="H955" s="1" t="s">
        <v>20</v>
      </c>
      <c r="I955" s="2" t="s">
        <v>17</v>
      </c>
      <c r="J955" s="1" t="s">
        <v>51</v>
      </c>
      <c r="K955" s="1" t="s">
        <v>598</v>
      </c>
      <c r="L955" s="2" t="s">
        <v>116</v>
      </c>
      <c r="M955" s="1" t="s">
        <v>20</v>
      </c>
    </row>
    <row r="956" ht="15.75" customHeight="1">
      <c r="A956" s="2" t="s">
        <v>1065</v>
      </c>
      <c r="B956" s="1" t="s">
        <v>14</v>
      </c>
      <c r="C956" s="1" t="s">
        <v>27</v>
      </c>
      <c r="D956" s="2" t="s">
        <v>76</v>
      </c>
      <c r="E956" s="2" t="s">
        <v>17</v>
      </c>
      <c r="F956" s="1" t="s">
        <v>18</v>
      </c>
      <c r="G956" s="1" t="s">
        <v>36</v>
      </c>
      <c r="H956" s="1" t="s">
        <v>20</v>
      </c>
      <c r="I956" s="2" t="s">
        <v>17</v>
      </c>
      <c r="J956" s="1" t="s">
        <v>22</v>
      </c>
      <c r="K956" s="1" t="s">
        <v>598</v>
      </c>
      <c r="L956" s="2" t="s">
        <v>125</v>
      </c>
      <c r="M956" s="1" t="s">
        <v>20</v>
      </c>
    </row>
    <row r="957" ht="15.75" customHeight="1">
      <c r="A957" s="2" t="s">
        <v>1066</v>
      </c>
      <c r="B957" s="1" t="s">
        <v>14</v>
      </c>
      <c r="C957" s="1" t="s">
        <v>15</v>
      </c>
      <c r="D957" s="2" t="s">
        <v>16</v>
      </c>
      <c r="E957" s="2" t="s">
        <v>57</v>
      </c>
      <c r="F957" s="1" t="s">
        <v>55</v>
      </c>
      <c r="G957" s="1" t="s">
        <v>19</v>
      </c>
      <c r="H957" s="1" t="s">
        <v>20</v>
      </c>
      <c r="I957" s="2" t="s">
        <v>37</v>
      </c>
      <c r="J957" s="1" t="s">
        <v>38</v>
      </c>
      <c r="K957" s="1" t="s">
        <v>598</v>
      </c>
      <c r="L957" s="2" t="s">
        <v>32</v>
      </c>
      <c r="M957" s="1" t="s">
        <v>25</v>
      </c>
    </row>
    <row r="958" ht="15.75" customHeight="1">
      <c r="A958" s="2" t="s">
        <v>1067</v>
      </c>
      <c r="B958" s="1" t="s">
        <v>14</v>
      </c>
      <c r="C958" s="1" t="s">
        <v>15</v>
      </c>
      <c r="D958" s="2" t="s">
        <v>42</v>
      </c>
      <c r="E958" s="2" t="s">
        <v>57</v>
      </c>
      <c r="F958" s="1" t="s">
        <v>87</v>
      </c>
      <c r="G958" s="1" t="s">
        <v>36</v>
      </c>
      <c r="H958" s="1" t="s">
        <v>20</v>
      </c>
      <c r="I958" s="2" t="s">
        <v>21</v>
      </c>
      <c r="J958" s="1" t="s">
        <v>38</v>
      </c>
      <c r="K958" s="1" t="s">
        <v>598</v>
      </c>
      <c r="L958" s="2" t="s">
        <v>74</v>
      </c>
      <c r="M958" s="1" t="s">
        <v>20</v>
      </c>
    </row>
    <row r="959" ht="15.75" customHeight="1">
      <c r="A959" s="2" t="s">
        <v>1068</v>
      </c>
      <c r="B959" s="1" t="s">
        <v>14</v>
      </c>
      <c r="C959" s="1" t="s">
        <v>15</v>
      </c>
      <c r="D959" s="2" t="s">
        <v>76</v>
      </c>
      <c r="E959" s="2" t="s">
        <v>21</v>
      </c>
      <c r="F959" s="1" t="s">
        <v>30</v>
      </c>
      <c r="G959" s="1" t="s">
        <v>36</v>
      </c>
      <c r="H959" s="1" t="s">
        <v>20</v>
      </c>
      <c r="I959" s="2" t="s">
        <v>37</v>
      </c>
      <c r="J959" s="1" t="s">
        <v>43</v>
      </c>
      <c r="K959" s="1" t="s">
        <v>598</v>
      </c>
      <c r="L959" s="2" t="s">
        <v>116</v>
      </c>
      <c r="M959" s="1" t="s">
        <v>25</v>
      </c>
    </row>
    <row r="960" ht="15.75" customHeight="1">
      <c r="A960" s="2" t="s">
        <v>1069</v>
      </c>
      <c r="B960" s="1" t="s">
        <v>14</v>
      </c>
      <c r="C960" s="1" t="s">
        <v>27</v>
      </c>
      <c r="D960" s="2" t="s">
        <v>68</v>
      </c>
      <c r="E960" s="2" t="s">
        <v>35</v>
      </c>
      <c r="F960" s="1" t="s">
        <v>87</v>
      </c>
      <c r="G960" s="1" t="s">
        <v>36</v>
      </c>
      <c r="H960" s="1" t="s">
        <v>20</v>
      </c>
      <c r="I960" s="2" t="s">
        <v>21</v>
      </c>
      <c r="J960" s="1" t="s">
        <v>22</v>
      </c>
      <c r="K960" s="1" t="s">
        <v>598</v>
      </c>
      <c r="L960" s="2" t="s">
        <v>83</v>
      </c>
      <c r="M960" s="1" t="s">
        <v>20</v>
      </c>
    </row>
    <row r="961" ht="15.75" customHeight="1">
      <c r="A961" s="2" t="s">
        <v>1070</v>
      </c>
      <c r="B961" s="1" t="s">
        <v>14</v>
      </c>
      <c r="C961" s="1" t="s">
        <v>27</v>
      </c>
      <c r="D961" s="2" t="s">
        <v>76</v>
      </c>
      <c r="E961" s="2" t="s">
        <v>17</v>
      </c>
      <c r="F961" s="1" t="s">
        <v>30</v>
      </c>
      <c r="G961" s="1" t="s">
        <v>19</v>
      </c>
      <c r="H961" s="1" t="s">
        <v>20</v>
      </c>
      <c r="I961" s="2" t="s">
        <v>17</v>
      </c>
      <c r="J961" s="1" t="s">
        <v>38</v>
      </c>
      <c r="K961" s="1" t="s">
        <v>598</v>
      </c>
      <c r="L961" s="2" t="s">
        <v>77</v>
      </c>
      <c r="M961" s="1" t="s">
        <v>20</v>
      </c>
    </row>
    <row r="962" ht="15.75" customHeight="1">
      <c r="A962" s="2" t="s">
        <v>1071</v>
      </c>
      <c r="B962" s="1" t="s">
        <v>41</v>
      </c>
      <c r="C962" s="1" t="s">
        <v>27</v>
      </c>
      <c r="D962" s="2" t="s">
        <v>99</v>
      </c>
      <c r="F962" s="1" t="s">
        <v>30</v>
      </c>
      <c r="G962" s="1" t="s">
        <v>36</v>
      </c>
      <c r="H962" s="1" t="s">
        <v>25</v>
      </c>
      <c r="I962" s="2" t="s">
        <v>57</v>
      </c>
      <c r="J962" s="1" t="s">
        <v>51</v>
      </c>
      <c r="K962" s="1" t="s">
        <v>598</v>
      </c>
      <c r="L962" s="2" t="s">
        <v>77</v>
      </c>
      <c r="M962" s="1" t="s">
        <v>25</v>
      </c>
    </row>
    <row r="963" ht="15.75" customHeight="1">
      <c r="A963" s="2" t="s">
        <v>1072</v>
      </c>
      <c r="B963" s="1" t="s">
        <v>14</v>
      </c>
      <c r="C963" s="1" t="s">
        <v>15</v>
      </c>
      <c r="D963" s="2" t="s">
        <v>161</v>
      </c>
      <c r="E963" s="2" t="s">
        <v>37</v>
      </c>
      <c r="F963" s="1" t="s">
        <v>18</v>
      </c>
      <c r="G963" s="1" t="s">
        <v>56</v>
      </c>
      <c r="H963" s="1" t="s">
        <v>20</v>
      </c>
      <c r="I963" s="2" t="s">
        <v>29</v>
      </c>
      <c r="J963" s="1" t="s">
        <v>43</v>
      </c>
      <c r="K963" s="1" t="s">
        <v>598</v>
      </c>
      <c r="L963" s="2" t="s">
        <v>112</v>
      </c>
      <c r="M963" s="1" t="s">
        <v>25</v>
      </c>
    </row>
    <row r="964" ht="15.75" customHeight="1">
      <c r="A964" s="2" t="s">
        <v>1073</v>
      </c>
      <c r="B964" s="1" t="s">
        <v>14</v>
      </c>
      <c r="C964" s="1" t="s">
        <v>27</v>
      </c>
      <c r="D964" s="2" t="s">
        <v>76</v>
      </c>
      <c r="E964" s="2" t="s">
        <v>37</v>
      </c>
      <c r="F964" s="1" t="s">
        <v>30</v>
      </c>
      <c r="G964" s="1" t="s">
        <v>36</v>
      </c>
      <c r="H964" s="1" t="s">
        <v>20</v>
      </c>
      <c r="I964" s="2" t="s">
        <v>37</v>
      </c>
      <c r="J964" s="1" t="s">
        <v>69</v>
      </c>
      <c r="K964" s="1" t="s">
        <v>598</v>
      </c>
      <c r="L964" s="2" t="s">
        <v>72</v>
      </c>
      <c r="M964" s="1" t="s">
        <v>25</v>
      </c>
    </row>
    <row r="965" ht="15.75" customHeight="1">
      <c r="A965" s="2" t="s">
        <v>1074</v>
      </c>
      <c r="B965" s="1" t="s">
        <v>14</v>
      </c>
      <c r="C965" s="1" t="s">
        <v>15</v>
      </c>
      <c r="D965" s="2" t="s">
        <v>68</v>
      </c>
      <c r="E965" s="2" t="s">
        <v>35</v>
      </c>
      <c r="F965" s="1" t="s">
        <v>18</v>
      </c>
      <c r="G965" s="1" t="s">
        <v>56</v>
      </c>
      <c r="H965" s="1" t="s">
        <v>20</v>
      </c>
      <c r="I965" s="2" t="s">
        <v>37</v>
      </c>
      <c r="J965" s="1" t="s">
        <v>51</v>
      </c>
      <c r="K965" s="1" t="s">
        <v>598</v>
      </c>
      <c r="L965" s="2" t="s">
        <v>128</v>
      </c>
      <c r="M965" s="1" t="s">
        <v>20</v>
      </c>
    </row>
    <row r="966" ht="15.75" customHeight="1">
      <c r="A966" s="2" t="s">
        <v>1075</v>
      </c>
      <c r="B966" s="1" t="s">
        <v>41</v>
      </c>
      <c r="C966" s="1" t="s">
        <v>27</v>
      </c>
      <c r="D966" s="2" t="s">
        <v>42</v>
      </c>
      <c r="E966" s="2" t="s">
        <v>57</v>
      </c>
      <c r="F966" s="1" t="s">
        <v>30</v>
      </c>
      <c r="G966" s="1" t="s">
        <v>36</v>
      </c>
      <c r="H966" s="1" t="s">
        <v>20</v>
      </c>
      <c r="I966" s="2" t="s">
        <v>17</v>
      </c>
      <c r="J966" s="1" t="s">
        <v>69</v>
      </c>
      <c r="K966" s="1" t="s">
        <v>598</v>
      </c>
      <c r="L966" s="2" t="s">
        <v>91</v>
      </c>
      <c r="M966" s="1" t="s">
        <v>25</v>
      </c>
    </row>
    <row r="967" ht="15.75" customHeight="1">
      <c r="A967" s="2" t="s">
        <v>1076</v>
      </c>
      <c r="B967" s="1" t="s">
        <v>41</v>
      </c>
      <c r="C967" s="1" t="s">
        <v>15</v>
      </c>
      <c r="D967" s="2" t="s">
        <v>272</v>
      </c>
      <c r="E967" s="2" t="s">
        <v>29</v>
      </c>
      <c r="F967" s="1" t="s">
        <v>18</v>
      </c>
      <c r="G967" s="1" t="s">
        <v>19</v>
      </c>
      <c r="H967" s="1" t="s">
        <v>25</v>
      </c>
      <c r="I967" s="2" t="s">
        <v>17</v>
      </c>
      <c r="J967" s="1" t="s">
        <v>22</v>
      </c>
      <c r="K967" s="1" t="s">
        <v>598</v>
      </c>
      <c r="L967" s="2" t="s">
        <v>100</v>
      </c>
      <c r="M967" s="1" t="s">
        <v>25</v>
      </c>
    </row>
    <row r="968" ht="15.75" customHeight="1">
      <c r="A968" s="2" t="s">
        <v>1077</v>
      </c>
      <c r="B968" s="1" t="s">
        <v>14</v>
      </c>
      <c r="C968" s="1" t="s">
        <v>15</v>
      </c>
      <c r="D968" s="2" t="s">
        <v>272</v>
      </c>
      <c r="E968" s="2" t="s">
        <v>21</v>
      </c>
      <c r="F968" s="1" t="s">
        <v>87</v>
      </c>
      <c r="G968" s="1" t="s">
        <v>19</v>
      </c>
      <c r="H968" s="1" t="s">
        <v>20</v>
      </c>
      <c r="I968" s="2" t="s">
        <v>21</v>
      </c>
      <c r="J968" s="1" t="s">
        <v>51</v>
      </c>
      <c r="K968" s="1" t="s">
        <v>598</v>
      </c>
      <c r="L968" s="2" t="s">
        <v>58</v>
      </c>
      <c r="M968" s="1" t="s">
        <v>20</v>
      </c>
    </row>
    <row r="969" ht="15.75" customHeight="1">
      <c r="A969" s="2" t="s">
        <v>1078</v>
      </c>
      <c r="B969" s="1" t="s">
        <v>14</v>
      </c>
      <c r="C969" s="1" t="s">
        <v>27</v>
      </c>
      <c r="D969" s="2" t="s">
        <v>34</v>
      </c>
      <c r="E969" s="2" t="s">
        <v>29</v>
      </c>
      <c r="F969" s="1" t="s">
        <v>18</v>
      </c>
      <c r="G969" s="1" t="s">
        <v>56</v>
      </c>
      <c r="H969" s="1" t="s">
        <v>20</v>
      </c>
      <c r="I969" s="2" t="s">
        <v>17</v>
      </c>
      <c r="J969" s="1" t="s">
        <v>51</v>
      </c>
      <c r="K969" s="1" t="s">
        <v>598</v>
      </c>
      <c r="L969" s="2" t="s">
        <v>91</v>
      </c>
      <c r="M969" s="1" t="s">
        <v>25</v>
      </c>
    </row>
    <row r="970" ht="15.75" customHeight="1">
      <c r="A970" s="2" t="s">
        <v>1079</v>
      </c>
      <c r="B970" s="1" t="s">
        <v>41</v>
      </c>
      <c r="C970" s="1" t="s">
        <v>27</v>
      </c>
      <c r="D970" s="2" t="s">
        <v>28</v>
      </c>
      <c r="E970" s="2" t="s">
        <v>21</v>
      </c>
      <c r="F970" s="1" t="s">
        <v>62</v>
      </c>
      <c r="G970" s="1" t="s">
        <v>31</v>
      </c>
      <c r="H970" s="1" t="s">
        <v>25</v>
      </c>
      <c r="I970" s="2" t="s">
        <v>37</v>
      </c>
      <c r="J970" s="1" t="s">
        <v>43</v>
      </c>
      <c r="K970" s="1" t="s">
        <v>598</v>
      </c>
      <c r="L970" s="2" t="s">
        <v>245</v>
      </c>
      <c r="M970" s="1" t="s">
        <v>25</v>
      </c>
    </row>
    <row r="971" ht="15.75" customHeight="1">
      <c r="A971" s="2" t="s">
        <v>1080</v>
      </c>
      <c r="B971" s="1" t="s">
        <v>14</v>
      </c>
      <c r="C971" s="1" t="s">
        <v>27</v>
      </c>
      <c r="D971" s="2" t="s">
        <v>76</v>
      </c>
      <c r="E971" s="2" t="s">
        <v>21</v>
      </c>
      <c r="F971" s="1" t="s">
        <v>87</v>
      </c>
      <c r="G971" s="1" t="s">
        <v>36</v>
      </c>
      <c r="H971" s="1" t="s">
        <v>25</v>
      </c>
      <c r="I971" s="2" t="s">
        <v>21</v>
      </c>
      <c r="J971" s="1" t="s">
        <v>22</v>
      </c>
      <c r="K971" s="1" t="s">
        <v>598</v>
      </c>
      <c r="L971" s="2" t="s">
        <v>135</v>
      </c>
      <c r="M971" s="1" t="s">
        <v>25</v>
      </c>
    </row>
    <row r="972" ht="15.75" customHeight="1">
      <c r="A972" s="2" t="s">
        <v>1081</v>
      </c>
      <c r="B972" s="1" t="s">
        <v>14</v>
      </c>
      <c r="C972" s="1" t="s">
        <v>15</v>
      </c>
      <c r="D972" s="2" t="s">
        <v>76</v>
      </c>
      <c r="E972" s="2" t="s">
        <v>21</v>
      </c>
      <c r="F972" s="1" t="s">
        <v>30</v>
      </c>
      <c r="G972" s="1" t="s">
        <v>19</v>
      </c>
      <c r="H972" s="1" t="s">
        <v>20</v>
      </c>
      <c r="I972" s="2" t="s">
        <v>37</v>
      </c>
      <c r="J972" s="1" t="s">
        <v>43</v>
      </c>
      <c r="K972" s="1" t="s">
        <v>598</v>
      </c>
      <c r="L972" s="2" t="s">
        <v>109</v>
      </c>
      <c r="M972" s="1" t="s">
        <v>25</v>
      </c>
    </row>
    <row r="973" ht="15.75" customHeight="1">
      <c r="A973" s="2" t="s">
        <v>1082</v>
      </c>
      <c r="B973" s="1" t="s">
        <v>41</v>
      </c>
      <c r="C973" s="1" t="s">
        <v>15</v>
      </c>
      <c r="D973" s="2" t="s">
        <v>76</v>
      </c>
      <c r="E973" s="2" t="s">
        <v>37</v>
      </c>
      <c r="F973" s="1" t="s">
        <v>62</v>
      </c>
      <c r="G973" s="1" t="s">
        <v>19</v>
      </c>
      <c r="H973" s="1" t="s">
        <v>25</v>
      </c>
      <c r="I973" s="2" t="s">
        <v>37</v>
      </c>
      <c r="J973" s="1" t="s">
        <v>51</v>
      </c>
      <c r="K973" s="1" t="s">
        <v>598</v>
      </c>
      <c r="L973" s="2" t="s">
        <v>178</v>
      </c>
      <c r="M973" s="1" t="s">
        <v>25</v>
      </c>
    </row>
    <row r="974" ht="15.75" customHeight="1">
      <c r="A974" s="2" t="s">
        <v>1083</v>
      </c>
      <c r="B974" s="1" t="s">
        <v>14</v>
      </c>
      <c r="C974" s="1" t="s">
        <v>15</v>
      </c>
      <c r="D974" s="2" t="s">
        <v>28</v>
      </c>
      <c r="E974" s="2" t="s">
        <v>17</v>
      </c>
      <c r="F974" s="1" t="s">
        <v>55</v>
      </c>
      <c r="G974" s="1" t="s">
        <v>31</v>
      </c>
      <c r="H974" s="1" t="s">
        <v>20</v>
      </c>
      <c r="I974" s="2" t="s">
        <v>17</v>
      </c>
      <c r="J974" s="1" t="s">
        <v>43</v>
      </c>
      <c r="K974" s="1" t="s">
        <v>598</v>
      </c>
      <c r="L974" s="2" t="s">
        <v>132</v>
      </c>
      <c r="M974" s="1" t="s">
        <v>25</v>
      </c>
    </row>
    <row r="975" ht="15.75" customHeight="1">
      <c r="A975" s="2" t="s">
        <v>1084</v>
      </c>
      <c r="B975" s="1" t="s">
        <v>14</v>
      </c>
      <c r="D975" s="2" t="s">
        <v>76</v>
      </c>
      <c r="E975" s="2" t="s">
        <v>17</v>
      </c>
      <c r="F975" s="1" t="s">
        <v>30</v>
      </c>
      <c r="G975" s="1" t="s">
        <v>19</v>
      </c>
      <c r="H975" s="1" t="s">
        <v>25</v>
      </c>
      <c r="I975" s="2" t="s">
        <v>17</v>
      </c>
      <c r="J975" s="1" t="s">
        <v>22</v>
      </c>
      <c r="K975" s="1" t="s">
        <v>598</v>
      </c>
      <c r="L975" s="2" t="s">
        <v>83</v>
      </c>
      <c r="M975" s="1" t="s">
        <v>25</v>
      </c>
    </row>
    <row r="976" ht="15.75" customHeight="1">
      <c r="A976" s="2" t="s">
        <v>1085</v>
      </c>
      <c r="B976" s="1" t="s">
        <v>14</v>
      </c>
      <c r="C976" s="1" t="s">
        <v>27</v>
      </c>
      <c r="D976" s="2" t="s">
        <v>42</v>
      </c>
      <c r="E976" s="2" t="s">
        <v>29</v>
      </c>
      <c r="F976" s="1" t="s">
        <v>87</v>
      </c>
      <c r="G976" s="1" t="s">
        <v>56</v>
      </c>
      <c r="H976" s="1" t="s">
        <v>20</v>
      </c>
      <c r="I976" s="2" t="s">
        <v>37</v>
      </c>
      <c r="J976" s="1" t="s">
        <v>43</v>
      </c>
      <c r="K976" s="1" t="s">
        <v>598</v>
      </c>
      <c r="L976" s="2" t="s">
        <v>201</v>
      </c>
      <c r="M976" s="1" t="s">
        <v>20</v>
      </c>
    </row>
    <row r="977" ht="15.75" customHeight="1">
      <c r="A977" s="2" t="s">
        <v>1086</v>
      </c>
      <c r="B977" s="1" t="s">
        <v>14</v>
      </c>
      <c r="C977" s="1" t="s">
        <v>27</v>
      </c>
      <c r="D977" s="2" t="s">
        <v>42</v>
      </c>
      <c r="E977" s="2" t="s">
        <v>29</v>
      </c>
      <c r="F977" s="1" t="s">
        <v>87</v>
      </c>
      <c r="G977" s="1" t="s">
        <v>36</v>
      </c>
      <c r="H977" s="1" t="s">
        <v>20</v>
      </c>
      <c r="I977" s="2" t="s">
        <v>21</v>
      </c>
      <c r="J977" s="1" t="s">
        <v>22</v>
      </c>
      <c r="K977" s="1" t="s">
        <v>598</v>
      </c>
      <c r="L977" s="2" t="s">
        <v>74</v>
      </c>
      <c r="M977" s="1" t="s">
        <v>20</v>
      </c>
    </row>
    <row r="978" ht="15.75" customHeight="1">
      <c r="A978" s="2" t="s">
        <v>1087</v>
      </c>
      <c r="B978" s="1" t="s">
        <v>14</v>
      </c>
      <c r="C978" s="1" t="s">
        <v>15</v>
      </c>
      <c r="D978" s="2" t="s">
        <v>76</v>
      </c>
      <c r="E978" s="2" t="s">
        <v>29</v>
      </c>
      <c r="F978" s="1" t="s">
        <v>18</v>
      </c>
      <c r="G978" s="1" t="s">
        <v>56</v>
      </c>
      <c r="H978" s="1" t="s">
        <v>20</v>
      </c>
      <c r="I978" s="2" t="s">
        <v>37</v>
      </c>
      <c r="J978" s="1" t="s">
        <v>69</v>
      </c>
      <c r="K978" s="1" t="s">
        <v>598</v>
      </c>
      <c r="L978" s="2" t="s">
        <v>128</v>
      </c>
      <c r="M978" s="1" t="s">
        <v>25</v>
      </c>
    </row>
    <row r="979" ht="15.75" customHeight="1">
      <c r="A979" s="2" t="s">
        <v>1088</v>
      </c>
      <c r="B979" s="1" t="s">
        <v>41</v>
      </c>
      <c r="C979" s="1" t="s">
        <v>15</v>
      </c>
      <c r="D979" s="2" t="s">
        <v>34</v>
      </c>
      <c r="E979" s="2" t="s">
        <v>57</v>
      </c>
      <c r="F979" s="1" t="s">
        <v>87</v>
      </c>
      <c r="G979" s="1" t="s">
        <v>56</v>
      </c>
      <c r="H979" s="1" t="s">
        <v>20</v>
      </c>
      <c r="I979" s="2" t="s">
        <v>37</v>
      </c>
      <c r="J979" s="1" t="s">
        <v>43</v>
      </c>
      <c r="K979" s="1" t="s">
        <v>598</v>
      </c>
      <c r="L979" s="2" t="s">
        <v>122</v>
      </c>
      <c r="M979" s="1" t="s">
        <v>25</v>
      </c>
    </row>
    <row r="980" ht="15.75" customHeight="1">
      <c r="A980" s="2" t="s">
        <v>1089</v>
      </c>
      <c r="B980" s="1" t="s">
        <v>14</v>
      </c>
      <c r="C980" s="1" t="s">
        <v>27</v>
      </c>
      <c r="D980" s="2" t="s">
        <v>34</v>
      </c>
      <c r="E980" s="2" t="s">
        <v>35</v>
      </c>
      <c r="F980" s="1" t="s">
        <v>30</v>
      </c>
      <c r="G980" s="1" t="s">
        <v>36</v>
      </c>
      <c r="H980" s="1" t="s">
        <v>20</v>
      </c>
      <c r="I980" s="2" t="s">
        <v>29</v>
      </c>
      <c r="J980" s="1" t="s">
        <v>43</v>
      </c>
      <c r="K980" s="1" t="s">
        <v>598</v>
      </c>
      <c r="L980" s="2" t="s">
        <v>77</v>
      </c>
      <c r="M980" s="1" t="s">
        <v>25</v>
      </c>
    </row>
    <row r="981" ht="15.75" customHeight="1">
      <c r="A981" s="2" t="s">
        <v>1090</v>
      </c>
      <c r="B981" s="1" t="s">
        <v>41</v>
      </c>
      <c r="C981" s="1" t="s">
        <v>27</v>
      </c>
      <c r="D981" s="2" t="s">
        <v>16</v>
      </c>
      <c r="E981" s="2" t="s">
        <v>21</v>
      </c>
      <c r="F981" s="1" t="s">
        <v>55</v>
      </c>
      <c r="G981" s="1" t="s">
        <v>19</v>
      </c>
      <c r="H981" s="1" t="s">
        <v>20</v>
      </c>
      <c r="I981" s="2" t="s">
        <v>17</v>
      </c>
      <c r="J981" s="1" t="s">
        <v>43</v>
      </c>
      <c r="K981" s="1" t="s">
        <v>598</v>
      </c>
      <c r="L981" s="2" t="s">
        <v>109</v>
      </c>
      <c r="M981" s="1" t="s">
        <v>25</v>
      </c>
    </row>
    <row r="982" ht="15.75" customHeight="1">
      <c r="A982" s="2" t="s">
        <v>1091</v>
      </c>
      <c r="B982" s="1" t="s">
        <v>41</v>
      </c>
      <c r="C982" s="1" t="s">
        <v>15</v>
      </c>
      <c r="D982" s="2" t="s">
        <v>34</v>
      </c>
      <c r="E982" s="2" t="s">
        <v>29</v>
      </c>
      <c r="F982" s="1" t="s">
        <v>18</v>
      </c>
      <c r="G982" s="1" t="s">
        <v>19</v>
      </c>
      <c r="H982" s="1" t="s">
        <v>20</v>
      </c>
      <c r="I982" s="2" t="s">
        <v>29</v>
      </c>
      <c r="J982" s="1" t="s">
        <v>69</v>
      </c>
      <c r="K982" s="1" t="s">
        <v>598</v>
      </c>
      <c r="L982" s="2" t="s">
        <v>100</v>
      </c>
      <c r="M982" s="1" t="s">
        <v>20</v>
      </c>
    </row>
    <row r="983" ht="15.75" customHeight="1">
      <c r="A983" s="2" t="s">
        <v>1092</v>
      </c>
      <c r="B983" s="1" t="s">
        <v>14</v>
      </c>
      <c r="C983" s="1" t="s">
        <v>27</v>
      </c>
      <c r="D983" s="2" t="s">
        <v>276</v>
      </c>
      <c r="E983" s="2" t="s">
        <v>35</v>
      </c>
      <c r="F983" s="1" t="s">
        <v>30</v>
      </c>
      <c r="G983" s="1" t="s">
        <v>36</v>
      </c>
      <c r="H983" s="1" t="s">
        <v>20</v>
      </c>
      <c r="I983" s="2" t="s">
        <v>57</v>
      </c>
      <c r="J983" s="1" t="s">
        <v>38</v>
      </c>
      <c r="K983" s="1" t="s">
        <v>598</v>
      </c>
      <c r="L983" s="2" t="s">
        <v>130</v>
      </c>
      <c r="M983" s="1" t="s">
        <v>25</v>
      </c>
    </row>
    <row r="984" ht="15.75" customHeight="1">
      <c r="A984" s="2" t="s">
        <v>1093</v>
      </c>
      <c r="B984" s="1" t="s">
        <v>41</v>
      </c>
      <c r="C984" s="1" t="s">
        <v>27</v>
      </c>
      <c r="D984" s="2" t="s">
        <v>16</v>
      </c>
      <c r="E984" s="2" t="s">
        <v>37</v>
      </c>
      <c r="F984" s="1" t="s">
        <v>30</v>
      </c>
      <c r="G984" s="1" t="s">
        <v>31</v>
      </c>
      <c r="H984" s="1" t="s">
        <v>25</v>
      </c>
      <c r="I984" s="2" t="s">
        <v>17</v>
      </c>
      <c r="J984" s="1" t="s">
        <v>51</v>
      </c>
      <c r="K984" s="1" t="s">
        <v>598</v>
      </c>
      <c r="L984" s="2" t="s">
        <v>83</v>
      </c>
      <c r="M984" s="1" t="s">
        <v>20</v>
      </c>
    </row>
    <row r="985" ht="15.75" customHeight="1">
      <c r="A985" s="2" t="s">
        <v>1094</v>
      </c>
      <c r="B985" s="1" t="s">
        <v>14</v>
      </c>
      <c r="C985" s="1" t="s">
        <v>27</v>
      </c>
      <c r="D985" s="2" t="s">
        <v>144</v>
      </c>
      <c r="E985" s="2" t="s">
        <v>37</v>
      </c>
      <c r="F985" s="1" t="s">
        <v>87</v>
      </c>
      <c r="G985" s="1" t="s">
        <v>56</v>
      </c>
      <c r="H985" s="1" t="s">
        <v>20</v>
      </c>
      <c r="I985" s="2" t="s">
        <v>37</v>
      </c>
      <c r="J985" s="1" t="s">
        <v>22</v>
      </c>
      <c r="K985" s="1" t="s">
        <v>598</v>
      </c>
      <c r="L985" s="2" t="s">
        <v>45</v>
      </c>
      <c r="M985" s="1" t="s">
        <v>25</v>
      </c>
    </row>
    <row r="986" ht="15.75" customHeight="1">
      <c r="A986" s="2" t="s">
        <v>1095</v>
      </c>
      <c r="B986" s="1" t="s">
        <v>14</v>
      </c>
      <c r="C986" s="1" t="s">
        <v>27</v>
      </c>
      <c r="D986" s="2" t="s">
        <v>76</v>
      </c>
      <c r="E986" s="2" t="s">
        <v>37</v>
      </c>
      <c r="F986" s="1" t="s">
        <v>55</v>
      </c>
      <c r="G986" s="1" t="s">
        <v>36</v>
      </c>
      <c r="H986" s="1" t="s">
        <v>25</v>
      </c>
      <c r="I986" s="2" t="s">
        <v>37</v>
      </c>
      <c r="J986" s="1" t="s">
        <v>51</v>
      </c>
      <c r="K986" s="1" t="s">
        <v>598</v>
      </c>
      <c r="L986" s="2" t="s">
        <v>125</v>
      </c>
      <c r="M986" s="1" t="s">
        <v>20</v>
      </c>
    </row>
    <row r="987" ht="15.75" customHeight="1">
      <c r="A987" s="2" t="s">
        <v>1096</v>
      </c>
      <c r="B987" s="1" t="s">
        <v>41</v>
      </c>
      <c r="C987" s="1" t="s">
        <v>15</v>
      </c>
      <c r="D987" s="2" t="s">
        <v>272</v>
      </c>
      <c r="E987" s="2" t="s">
        <v>57</v>
      </c>
      <c r="F987" s="1" t="s">
        <v>18</v>
      </c>
      <c r="G987" s="1" t="s">
        <v>19</v>
      </c>
      <c r="H987" s="1" t="s">
        <v>20</v>
      </c>
      <c r="I987" s="2" t="s">
        <v>37</v>
      </c>
      <c r="J987" s="1" t="s">
        <v>22</v>
      </c>
      <c r="K987" s="1" t="s">
        <v>598</v>
      </c>
      <c r="L987" s="2" t="s">
        <v>24</v>
      </c>
      <c r="M987" s="1" t="s">
        <v>25</v>
      </c>
    </row>
    <row r="988" ht="15.75" customHeight="1">
      <c r="A988" s="2" t="s">
        <v>1097</v>
      </c>
      <c r="B988" s="1" t="s">
        <v>41</v>
      </c>
      <c r="C988" s="1" t="s">
        <v>27</v>
      </c>
      <c r="D988" s="2" t="s">
        <v>16</v>
      </c>
      <c r="E988" s="2" t="s">
        <v>35</v>
      </c>
      <c r="F988" s="1" t="s">
        <v>55</v>
      </c>
      <c r="G988" s="1" t="s">
        <v>36</v>
      </c>
      <c r="H988" s="1" t="s">
        <v>20</v>
      </c>
      <c r="I988" s="2" t="s">
        <v>57</v>
      </c>
      <c r="J988" s="1" t="s">
        <v>69</v>
      </c>
      <c r="K988" s="1" t="s">
        <v>598</v>
      </c>
      <c r="M988" s="1" t="s">
        <v>20</v>
      </c>
    </row>
    <row r="989" ht="15.75" customHeight="1">
      <c r="A989" s="2" t="s">
        <v>1098</v>
      </c>
      <c r="B989" s="1" t="s">
        <v>41</v>
      </c>
      <c r="C989" s="1" t="s">
        <v>15</v>
      </c>
      <c r="D989" s="2" t="s">
        <v>76</v>
      </c>
      <c r="E989" s="2" t="s">
        <v>29</v>
      </c>
      <c r="F989" s="1" t="s">
        <v>87</v>
      </c>
      <c r="G989" s="1" t="s">
        <v>56</v>
      </c>
      <c r="H989" s="1" t="s">
        <v>20</v>
      </c>
      <c r="I989" s="2" t="s">
        <v>37</v>
      </c>
      <c r="J989" s="1" t="s">
        <v>69</v>
      </c>
      <c r="K989" s="1" t="s">
        <v>598</v>
      </c>
      <c r="L989" s="2" t="s">
        <v>128</v>
      </c>
      <c r="M989" s="1" t="s">
        <v>25</v>
      </c>
    </row>
    <row r="990" ht="15.75" customHeight="1">
      <c r="A990" s="2" t="s">
        <v>1099</v>
      </c>
      <c r="B990" s="1" t="s">
        <v>14</v>
      </c>
      <c r="C990" s="1" t="s">
        <v>27</v>
      </c>
      <c r="D990" s="2" t="s">
        <v>42</v>
      </c>
      <c r="E990" s="2" t="s">
        <v>35</v>
      </c>
      <c r="F990" s="1" t="s">
        <v>18</v>
      </c>
      <c r="G990" s="1" t="s">
        <v>56</v>
      </c>
      <c r="H990" s="1" t="s">
        <v>20</v>
      </c>
      <c r="I990" s="2" t="s">
        <v>37</v>
      </c>
      <c r="J990" s="1" t="s">
        <v>69</v>
      </c>
      <c r="K990" s="1" t="s">
        <v>598</v>
      </c>
      <c r="L990" s="2" t="s">
        <v>95</v>
      </c>
      <c r="M990" s="1" t="s">
        <v>25</v>
      </c>
    </row>
    <row r="991" ht="15.75" customHeight="1">
      <c r="A991" s="2" t="s">
        <v>1100</v>
      </c>
      <c r="B991" s="1" t="s">
        <v>14</v>
      </c>
      <c r="C991" s="1" t="s">
        <v>27</v>
      </c>
      <c r="D991" s="2" t="s">
        <v>76</v>
      </c>
      <c r="E991" s="2" t="s">
        <v>57</v>
      </c>
      <c r="F991" s="1" t="s">
        <v>18</v>
      </c>
      <c r="G991" s="1" t="s">
        <v>19</v>
      </c>
      <c r="H991" s="1" t="s">
        <v>25</v>
      </c>
      <c r="I991" s="2" t="s">
        <v>29</v>
      </c>
      <c r="J991" s="1" t="s">
        <v>69</v>
      </c>
      <c r="K991" s="1" t="s">
        <v>598</v>
      </c>
      <c r="L991" s="2" t="s">
        <v>24</v>
      </c>
      <c r="M991" s="1" t="s">
        <v>25</v>
      </c>
    </row>
    <row r="992" ht="15.75" customHeight="1">
      <c r="A992" s="2" t="s">
        <v>1101</v>
      </c>
      <c r="B992" s="1" t="s">
        <v>41</v>
      </c>
      <c r="C992" s="1" t="s">
        <v>15</v>
      </c>
      <c r="D992" s="2" t="s">
        <v>28</v>
      </c>
      <c r="E992" s="2" t="s">
        <v>21</v>
      </c>
      <c r="F992" s="1" t="s">
        <v>55</v>
      </c>
      <c r="G992" s="1" t="s">
        <v>19</v>
      </c>
      <c r="H992" s="1" t="s">
        <v>25</v>
      </c>
      <c r="I992" s="2" t="s">
        <v>37</v>
      </c>
      <c r="J992" s="1" t="s">
        <v>43</v>
      </c>
      <c r="K992" s="1" t="s">
        <v>598</v>
      </c>
      <c r="L992" s="2" t="s">
        <v>107</v>
      </c>
      <c r="M992" s="1" t="s">
        <v>25</v>
      </c>
    </row>
    <row r="993" ht="15.75" customHeight="1">
      <c r="A993" s="2" t="s">
        <v>1102</v>
      </c>
      <c r="B993" s="1" t="s">
        <v>41</v>
      </c>
      <c r="C993" s="1" t="s">
        <v>15</v>
      </c>
      <c r="D993" s="2" t="s">
        <v>76</v>
      </c>
      <c r="E993" s="2" t="s">
        <v>17</v>
      </c>
      <c r="F993" s="1" t="s">
        <v>87</v>
      </c>
      <c r="G993" s="1" t="s">
        <v>36</v>
      </c>
      <c r="H993" s="1" t="s">
        <v>20</v>
      </c>
      <c r="I993" s="2" t="s">
        <v>21</v>
      </c>
      <c r="J993" s="1" t="s">
        <v>38</v>
      </c>
      <c r="K993" s="1" t="s">
        <v>598</v>
      </c>
      <c r="L993" s="2" t="s">
        <v>47</v>
      </c>
      <c r="M993" s="1" t="s">
        <v>20</v>
      </c>
    </row>
    <row r="994" ht="15.75" customHeight="1">
      <c r="A994" s="2" t="s">
        <v>1103</v>
      </c>
      <c r="B994" s="1" t="s">
        <v>14</v>
      </c>
      <c r="C994" s="1" t="s">
        <v>27</v>
      </c>
      <c r="D994" s="2" t="s">
        <v>68</v>
      </c>
      <c r="E994" s="2" t="s">
        <v>37</v>
      </c>
      <c r="F994" s="1" t="s">
        <v>30</v>
      </c>
      <c r="G994" s="1" t="s">
        <v>36</v>
      </c>
      <c r="H994" s="1" t="s">
        <v>25</v>
      </c>
      <c r="I994" s="2" t="s">
        <v>21</v>
      </c>
      <c r="J994" s="1" t="s">
        <v>43</v>
      </c>
      <c r="K994" s="1" t="s">
        <v>598</v>
      </c>
      <c r="L994" s="2" t="s">
        <v>195</v>
      </c>
      <c r="M994" s="1" t="s">
        <v>20</v>
      </c>
    </row>
    <row r="995" ht="15.75" customHeight="1">
      <c r="A995" s="2" t="s">
        <v>1104</v>
      </c>
      <c r="B995" s="1" t="s">
        <v>41</v>
      </c>
      <c r="C995" s="1" t="s">
        <v>27</v>
      </c>
      <c r="D995" s="2" t="s">
        <v>216</v>
      </c>
      <c r="E995" s="2" t="s">
        <v>17</v>
      </c>
      <c r="F995" s="1" t="s">
        <v>30</v>
      </c>
      <c r="G995" s="1" t="s">
        <v>36</v>
      </c>
      <c r="H995" s="1" t="s">
        <v>25</v>
      </c>
      <c r="I995" s="2" t="s">
        <v>29</v>
      </c>
      <c r="J995" s="1" t="s">
        <v>22</v>
      </c>
      <c r="K995" s="1" t="s">
        <v>598</v>
      </c>
      <c r="L995" s="2" t="s">
        <v>102</v>
      </c>
      <c r="M995" s="1" t="s">
        <v>20</v>
      </c>
    </row>
    <row r="996" ht="15.75" customHeight="1">
      <c r="A996" s="2" t="s">
        <v>1105</v>
      </c>
      <c r="B996" s="1" t="s">
        <v>14</v>
      </c>
      <c r="C996" s="1" t="s">
        <v>27</v>
      </c>
      <c r="D996" s="2" t="s">
        <v>34</v>
      </c>
      <c r="E996" s="2" t="s">
        <v>35</v>
      </c>
      <c r="F996" s="1" t="s">
        <v>30</v>
      </c>
      <c r="G996" s="1" t="s">
        <v>36</v>
      </c>
      <c r="H996" s="1" t="s">
        <v>20</v>
      </c>
      <c r="I996" s="2" t="s">
        <v>29</v>
      </c>
      <c r="J996" s="1" t="s">
        <v>51</v>
      </c>
      <c r="K996" s="1" t="s">
        <v>598</v>
      </c>
      <c r="L996" s="2" t="s">
        <v>130</v>
      </c>
      <c r="M996" s="1" t="s">
        <v>25</v>
      </c>
    </row>
    <row r="997" ht="15.75" customHeight="1">
      <c r="A997" s="2" t="s">
        <v>1106</v>
      </c>
      <c r="B997" s="1" t="s">
        <v>14</v>
      </c>
      <c r="C997" s="1" t="s">
        <v>27</v>
      </c>
      <c r="D997" s="2" t="s">
        <v>76</v>
      </c>
      <c r="E997" s="2" t="s">
        <v>37</v>
      </c>
      <c r="F997" s="1" t="s">
        <v>55</v>
      </c>
      <c r="G997" s="1" t="s">
        <v>36</v>
      </c>
      <c r="H997" s="1" t="s">
        <v>20</v>
      </c>
      <c r="I997" s="2" t="s">
        <v>37</v>
      </c>
      <c r="J997" s="1" t="s">
        <v>38</v>
      </c>
      <c r="K997" s="1" t="s">
        <v>598</v>
      </c>
      <c r="L997" s="2" t="s">
        <v>66</v>
      </c>
      <c r="M997" s="1" t="s">
        <v>20</v>
      </c>
    </row>
    <row r="998" ht="15.75" customHeight="1">
      <c r="A998" s="2" t="s">
        <v>1107</v>
      </c>
      <c r="B998" s="1" t="s">
        <v>41</v>
      </c>
      <c r="C998" s="1" t="s">
        <v>27</v>
      </c>
      <c r="D998" s="2" t="s">
        <v>42</v>
      </c>
      <c r="E998" s="2" t="s">
        <v>57</v>
      </c>
      <c r="F998" s="1" t="s">
        <v>87</v>
      </c>
      <c r="G998" s="1" t="s">
        <v>36</v>
      </c>
      <c r="H998" s="1" t="s">
        <v>20</v>
      </c>
      <c r="I998" s="2" t="s">
        <v>21</v>
      </c>
      <c r="J998" s="1" t="s">
        <v>38</v>
      </c>
      <c r="K998" s="1" t="s">
        <v>598</v>
      </c>
      <c r="L998" s="2" t="s">
        <v>74</v>
      </c>
      <c r="M998" s="1" t="s">
        <v>20</v>
      </c>
    </row>
    <row r="999" ht="15.75" customHeight="1">
      <c r="A999" s="2" t="s">
        <v>1108</v>
      </c>
      <c r="B999" s="1" t="s">
        <v>14</v>
      </c>
      <c r="D999" s="2" t="s">
        <v>76</v>
      </c>
      <c r="E999" s="2" t="s">
        <v>37</v>
      </c>
      <c r="F999" s="1" t="s">
        <v>18</v>
      </c>
      <c r="G999" s="1" t="s">
        <v>19</v>
      </c>
      <c r="H999" s="1" t="s">
        <v>20</v>
      </c>
      <c r="I999" s="2" t="s">
        <v>21</v>
      </c>
      <c r="J999" s="1" t="s">
        <v>22</v>
      </c>
      <c r="K999" s="1" t="s">
        <v>598</v>
      </c>
      <c r="L999" s="2" t="s">
        <v>79</v>
      </c>
      <c r="M999" s="1" t="s">
        <v>20</v>
      </c>
    </row>
    <row r="1000" ht="15.75" customHeight="1">
      <c r="A1000" s="2" t="s">
        <v>1109</v>
      </c>
      <c r="B1000" s="1" t="s">
        <v>41</v>
      </c>
      <c r="C1000" s="1" t="s">
        <v>27</v>
      </c>
      <c r="D1000" s="2" t="s">
        <v>99</v>
      </c>
      <c r="E1000" s="2" t="s">
        <v>29</v>
      </c>
      <c r="F1000" s="1" t="s">
        <v>18</v>
      </c>
      <c r="G1000" s="1" t="s">
        <v>56</v>
      </c>
      <c r="H1000" s="1" t="s">
        <v>25</v>
      </c>
      <c r="I1000" s="2" t="s">
        <v>29</v>
      </c>
      <c r="J1000" s="1" t="s">
        <v>51</v>
      </c>
      <c r="K1000" s="1" t="s">
        <v>598</v>
      </c>
      <c r="L1000" s="2" t="s">
        <v>79</v>
      </c>
      <c r="M1000" s="1" t="s">
        <v>25</v>
      </c>
    </row>
    <row r="1001" ht="15.75" customHeight="1">
      <c r="A1001" s="2" t="s">
        <v>1110</v>
      </c>
      <c r="B1001" s="1" t="s">
        <v>41</v>
      </c>
      <c r="C1001" s="1" t="s">
        <v>27</v>
      </c>
      <c r="D1001" s="2" t="s">
        <v>76</v>
      </c>
      <c r="E1001" s="2" t="s">
        <v>29</v>
      </c>
      <c r="F1001" s="1" t="s">
        <v>55</v>
      </c>
      <c r="G1001" s="1" t="s">
        <v>36</v>
      </c>
      <c r="H1001" s="1" t="s">
        <v>20</v>
      </c>
      <c r="I1001" s="2" t="s">
        <v>37</v>
      </c>
      <c r="J1001" s="1" t="s">
        <v>69</v>
      </c>
      <c r="K1001" s="1" t="s">
        <v>598</v>
      </c>
      <c r="L1001" s="2" t="s">
        <v>201</v>
      </c>
      <c r="M1001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 t="s">
        <v>13</v>
      </c>
      <c r="B2" s="1" t="s">
        <v>14</v>
      </c>
      <c r="C2" s="1" t="s">
        <v>15</v>
      </c>
      <c r="D2" s="3">
        <v>40000.0</v>
      </c>
      <c r="E2" s="2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15.75" customHeight="1">
      <c r="A3" s="2" t="s">
        <v>26</v>
      </c>
      <c r="B3" s="1" t="s">
        <v>14</v>
      </c>
      <c r="C3" s="1" t="s">
        <v>27</v>
      </c>
      <c r="D3" s="3">
        <v>30000.0</v>
      </c>
      <c r="E3" s="2" t="s">
        <v>29</v>
      </c>
      <c r="F3" s="1" t="s">
        <v>30</v>
      </c>
      <c r="G3" s="1" t="s">
        <v>31</v>
      </c>
      <c r="H3" s="1" t="s">
        <v>20</v>
      </c>
      <c r="I3" s="2" t="s">
        <v>17</v>
      </c>
      <c r="J3" s="1" t="s">
        <v>22</v>
      </c>
      <c r="K3" s="1" t="s">
        <v>23</v>
      </c>
      <c r="L3" s="2" t="s">
        <v>32</v>
      </c>
      <c r="M3" s="1" t="s">
        <v>25</v>
      </c>
    </row>
    <row r="4" ht="15.75" customHeight="1">
      <c r="A4" s="2" t="s">
        <v>33</v>
      </c>
      <c r="B4" s="1" t="s">
        <v>14</v>
      </c>
      <c r="C4" s="1" t="s">
        <v>27</v>
      </c>
      <c r="D4" s="3">
        <v>80000.0</v>
      </c>
      <c r="E4" s="2" t="s">
        <v>35</v>
      </c>
      <c r="F4" s="1" t="s">
        <v>30</v>
      </c>
      <c r="G4" s="1" t="s">
        <v>36</v>
      </c>
      <c r="H4" s="1" t="s">
        <v>25</v>
      </c>
      <c r="I4" s="2" t="s">
        <v>37</v>
      </c>
      <c r="J4" s="1" t="s">
        <v>38</v>
      </c>
      <c r="K4" s="1" t="s">
        <v>23</v>
      </c>
      <c r="L4" s="2" t="s">
        <v>39</v>
      </c>
      <c r="M4" s="1" t="s">
        <v>25</v>
      </c>
    </row>
    <row r="5" ht="15.75" customHeight="1">
      <c r="A5" s="2" t="s">
        <v>40</v>
      </c>
      <c r="B5" s="1" t="s">
        <v>41</v>
      </c>
      <c r="C5" s="1" t="s">
        <v>1111</v>
      </c>
      <c r="D5" s="3">
        <v>70000.0</v>
      </c>
      <c r="E5" s="2" t="s">
        <v>21</v>
      </c>
      <c r="F5" s="1" t="s">
        <v>18</v>
      </c>
      <c r="G5" s="1" t="s">
        <v>36</v>
      </c>
      <c r="H5" s="1" t="s">
        <v>20</v>
      </c>
      <c r="I5" s="2" t="s">
        <v>17</v>
      </c>
      <c r="J5" s="1" t="s">
        <v>43</v>
      </c>
      <c r="K5" s="1" t="s">
        <v>44</v>
      </c>
      <c r="L5" s="2" t="s">
        <v>45</v>
      </c>
      <c r="M5" s="1" t="s">
        <v>20</v>
      </c>
    </row>
    <row r="6" ht="15.75" customHeight="1">
      <c r="A6" s="2" t="s">
        <v>46</v>
      </c>
      <c r="B6" s="1" t="s">
        <v>41</v>
      </c>
      <c r="C6" s="1" t="s">
        <v>27</v>
      </c>
      <c r="D6" s="3">
        <v>30000.0</v>
      </c>
      <c r="E6" s="2" t="s">
        <v>21</v>
      </c>
      <c r="F6" s="1" t="s">
        <v>18</v>
      </c>
      <c r="G6" s="1" t="s">
        <v>31</v>
      </c>
      <c r="H6" s="1" t="s">
        <v>25</v>
      </c>
      <c r="I6" s="2" t="s">
        <v>21</v>
      </c>
      <c r="J6" s="1" t="s">
        <v>22</v>
      </c>
      <c r="K6" s="1" t="s">
        <v>23</v>
      </c>
      <c r="L6" s="2" t="s">
        <v>47</v>
      </c>
      <c r="M6" s="1" t="s">
        <v>20</v>
      </c>
    </row>
    <row r="7" ht="15.75" customHeight="1">
      <c r="A7" s="2" t="s">
        <v>48</v>
      </c>
      <c r="B7" s="1" t="s">
        <v>14</v>
      </c>
      <c r="C7" s="1" t="s">
        <v>15</v>
      </c>
      <c r="D7" s="3">
        <v>10000.0</v>
      </c>
      <c r="E7" s="2" t="s">
        <v>37</v>
      </c>
      <c r="F7" s="1" t="s">
        <v>30</v>
      </c>
      <c r="G7" s="1" t="s">
        <v>50</v>
      </c>
      <c r="H7" s="1" t="s">
        <v>20</v>
      </c>
      <c r="I7" s="2" t="s">
        <v>21</v>
      </c>
      <c r="J7" s="1" t="s">
        <v>51</v>
      </c>
      <c r="K7" s="1" t="s">
        <v>23</v>
      </c>
      <c r="L7" s="2" t="s">
        <v>52</v>
      </c>
      <c r="M7" s="1" t="s">
        <v>25</v>
      </c>
    </row>
    <row r="8" ht="15.75" customHeight="1">
      <c r="A8" s="2" t="s">
        <v>53</v>
      </c>
      <c r="B8" s="1" t="s">
        <v>41</v>
      </c>
      <c r="C8" s="1" t="s">
        <v>27</v>
      </c>
      <c r="D8" s="3">
        <v>160000.0</v>
      </c>
      <c r="E8" s="2" t="s">
        <v>37</v>
      </c>
      <c r="F8" s="1" t="s">
        <v>55</v>
      </c>
      <c r="G8" s="1" t="s">
        <v>56</v>
      </c>
      <c r="H8" s="1" t="s">
        <v>1111</v>
      </c>
      <c r="I8" s="2" t="s">
        <v>57</v>
      </c>
      <c r="J8" s="1" t="s">
        <v>22</v>
      </c>
      <c r="K8" s="1" t="s">
        <v>44</v>
      </c>
      <c r="L8" s="2" t="s">
        <v>58</v>
      </c>
      <c r="M8" s="1" t="s">
        <v>20</v>
      </c>
      <c r="N8" s="4"/>
    </row>
    <row r="9" ht="15.75" customHeight="1">
      <c r="A9" s="2" t="s">
        <v>59</v>
      </c>
      <c r="B9" s="1" t="s">
        <v>14</v>
      </c>
      <c r="C9" s="1" t="s">
        <v>27</v>
      </c>
      <c r="D9" s="3">
        <v>40000.0</v>
      </c>
      <c r="E9" s="2" t="s">
        <v>17</v>
      </c>
      <c r="F9" s="1" t="s">
        <v>18</v>
      </c>
      <c r="G9" s="1" t="s">
        <v>19</v>
      </c>
      <c r="H9" s="1" t="s">
        <v>20</v>
      </c>
      <c r="I9" s="2" t="s">
        <v>21</v>
      </c>
      <c r="J9" s="1" t="s">
        <v>22</v>
      </c>
      <c r="K9" s="1" t="s">
        <v>23</v>
      </c>
      <c r="L9" s="2" t="s">
        <v>32</v>
      </c>
      <c r="M9" s="1" t="s">
        <v>20</v>
      </c>
    </row>
    <row r="10" ht="15.75" customHeight="1">
      <c r="A10" s="2" t="s">
        <v>60</v>
      </c>
      <c r="B10" s="1" t="s">
        <v>1111</v>
      </c>
      <c r="C10" s="1" t="s">
        <v>27</v>
      </c>
      <c r="D10" s="3">
        <v>20000.0</v>
      </c>
      <c r="E10" s="2" t="s">
        <v>37</v>
      </c>
      <c r="F10" s="1" t="s">
        <v>62</v>
      </c>
      <c r="G10" s="1" t="s">
        <v>31</v>
      </c>
      <c r="H10" s="1" t="s">
        <v>20</v>
      </c>
      <c r="I10" s="2" t="s">
        <v>37</v>
      </c>
      <c r="J10" s="1" t="s">
        <v>43</v>
      </c>
      <c r="K10" s="1" t="s">
        <v>44</v>
      </c>
      <c r="L10" s="2" t="s">
        <v>63</v>
      </c>
      <c r="M10" s="1" t="s">
        <v>25</v>
      </c>
    </row>
    <row r="11" ht="15.75" customHeight="1">
      <c r="A11" s="2" t="s">
        <v>65</v>
      </c>
      <c r="B11" s="1" t="s">
        <v>14</v>
      </c>
      <c r="C11" s="1" t="s">
        <v>15</v>
      </c>
      <c r="D11" s="3">
        <v>30000.0</v>
      </c>
      <c r="E11" s="2" t="s">
        <v>29</v>
      </c>
      <c r="F11" s="1" t="s">
        <v>55</v>
      </c>
      <c r="G11" s="1" t="s">
        <v>19</v>
      </c>
      <c r="H11" s="1" t="s">
        <v>25</v>
      </c>
      <c r="I11" s="2" t="s">
        <v>37</v>
      </c>
      <c r="J11" s="1" t="s">
        <v>51</v>
      </c>
      <c r="K11" s="1" t="s">
        <v>44</v>
      </c>
      <c r="L11" s="2" t="s">
        <v>66</v>
      </c>
      <c r="M11" s="1" t="s">
        <v>20</v>
      </c>
    </row>
    <row r="12" ht="15.75" customHeight="1">
      <c r="A12" s="2" t="s">
        <v>67</v>
      </c>
      <c r="B12" s="1" t="s">
        <v>41</v>
      </c>
      <c r="C12" s="1" t="s">
        <v>15</v>
      </c>
      <c r="D12" s="3">
        <v>90000.0</v>
      </c>
      <c r="E12" s="2" t="s">
        <v>21</v>
      </c>
      <c r="F12" s="1" t="s">
        <v>18</v>
      </c>
      <c r="G12" s="1" t="s">
        <v>36</v>
      </c>
      <c r="H12" s="1" t="s">
        <v>25</v>
      </c>
      <c r="I12" s="2" t="s">
        <v>57</v>
      </c>
      <c r="J12" s="1" t="s">
        <v>69</v>
      </c>
      <c r="K12" s="1" t="s">
        <v>44</v>
      </c>
      <c r="L12" s="2" t="s">
        <v>47</v>
      </c>
      <c r="M12" s="1" t="s">
        <v>25</v>
      </c>
    </row>
    <row r="13" ht="15.75" customHeight="1">
      <c r="A13" s="2" t="s">
        <v>73</v>
      </c>
      <c r="B13" s="1" t="s">
        <v>14</v>
      </c>
      <c r="C13" s="1" t="s">
        <v>27</v>
      </c>
      <c r="D13" s="3">
        <v>40000.0</v>
      </c>
      <c r="E13" s="2" t="s">
        <v>37</v>
      </c>
      <c r="F13" s="1" t="s">
        <v>30</v>
      </c>
      <c r="G13" s="1" t="s">
        <v>31</v>
      </c>
      <c r="H13" s="1" t="s">
        <v>20</v>
      </c>
      <c r="I13" s="2" t="s">
        <v>17</v>
      </c>
      <c r="J13" s="1" t="s">
        <v>51</v>
      </c>
      <c r="K13" s="1" t="s">
        <v>23</v>
      </c>
      <c r="L13" s="2" t="s">
        <v>74</v>
      </c>
      <c r="M13" s="1" t="s">
        <v>20</v>
      </c>
    </row>
    <row r="14" ht="15.75" customHeight="1">
      <c r="A14" s="2" t="s">
        <v>75</v>
      </c>
      <c r="B14" s="1" t="s">
        <v>41</v>
      </c>
      <c r="C14" s="1" t="s">
        <v>27</v>
      </c>
      <c r="D14" s="3">
        <v>60000.0</v>
      </c>
      <c r="E14" s="2" t="s">
        <v>17</v>
      </c>
      <c r="F14" s="1" t="s">
        <v>30</v>
      </c>
      <c r="G14" s="1" t="s">
        <v>19</v>
      </c>
      <c r="H14" s="1" t="s">
        <v>25</v>
      </c>
      <c r="I14" s="2" t="s">
        <v>17</v>
      </c>
      <c r="J14" s="1" t="s">
        <v>22</v>
      </c>
      <c r="K14" s="1" t="s">
        <v>44</v>
      </c>
      <c r="L14" s="2" t="s">
        <v>77</v>
      </c>
      <c r="M14" s="1" t="s">
        <v>20</v>
      </c>
    </row>
    <row r="15" ht="15.75" customHeight="1">
      <c r="A15" s="2" t="s">
        <v>78</v>
      </c>
      <c r="B15" s="1" t="s">
        <v>41</v>
      </c>
      <c r="C15" s="1" t="s">
        <v>15</v>
      </c>
      <c r="D15" s="3">
        <v>10000.0</v>
      </c>
      <c r="E15" s="2" t="s">
        <v>37</v>
      </c>
      <c r="F15" s="1" t="s">
        <v>55</v>
      </c>
      <c r="G15" s="1" t="s">
        <v>50</v>
      </c>
      <c r="H15" s="1" t="s">
        <v>20</v>
      </c>
      <c r="I15" s="2" t="s">
        <v>17</v>
      </c>
      <c r="J15" s="1" t="s">
        <v>22</v>
      </c>
      <c r="K15" s="1" t="s">
        <v>23</v>
      </c>
      <c r="L15" s="2" t="s">
        <v>79</v>
      </c>
      <c r="M15" s="1" t="s">
        <v>20</v>
      </c>
    </row>
    <row r="16" ht="15.75" customHeight="1">
      <c r="A16" s="2" t="s">
        <v>80</v>
      </c>
      <c r="B16" s="1" t="s">
        <v>41</v>
      </c>
      <c r="C16" s="1" t="s">
        <v>27</v>
      </c>
      <c r="D16" s="3">
        <v>30000.0</v>
      </c>
      <c r="E16" s="2" t="s">
        <v>29</v>
      </c>
      <c r="F16" s="1" t="s">
        <v>30</v>
      </c>
      <c r="G16" s="1" t="s">
        <v>31</v>
      </c>
      <c r="H16" s="1" t="s">
        <v>25</v>
      </c>
      <c r="I16" s="2" t="s">
        <v>37</v>
      </c>
      <c r="J16" s="1" t="s">
        <v>51</v>
      </c>
      <c r="K16" s="1" t="s">
        <v>44</v>
      </c>
      <c r="L16" s="2" t="s">
        <v>81</v>
      </c>
      <c r="M16" s="1" t="s">
        <v>20</v>
      </c>
    </row>
    <row r="17" ht="15.75" customHeight="1">
      <c r="A17" s="2" t="s">
        <v>82</v>
      </c>
      <c r="B17" s="1" t="s">
        <v>14</v>
      </c>
      <c r="C17" s="1" t="s">
        <v>15</v>
      </c>
      <c r="D17" s="3">
        <v>30000.0</v>
      </c>
      <c r="E17" s="2" t="s">
        <v>17</v>
      </c>
      <c r="F17" s="1" t="s">
        <v>18</v>
      </c>
      <c r="G17" s="1" t="s">
        <v>31</v>
      </c>
      <c r="H17" s="1" t="s">
        <v>20</v>
      </c>
      <c r="I17" s="2" t="s">
        <v>21</v>
      </c>
      <c r="J17" s="1" t="s">
        <v>22</v>
      </c>
      <c r="K17" s="1" t="s">
        <v>23</v>
      </c>
      <c r="L17" s="2" t="s">
        <v>83</v>
      </c>
      <c r="M17" s="1" t="s">
        <v>25</v>
      </c>
    </row>
    <row r="18" ht="15.75" customHeight="1">
      <c r="A18" s="2" t="s">
        <v>84</v>
      </c>
      <c r="B18" s="1" t="s">
        <v>41</v>
      </c>
      <c r="C18" s="1" t="s">
        <v>27</v>
      </c>
      <c r="D18" s="3">
        <v>40000.0</v>
      </c>
      <c r="E18" s="2" t="s">
        <v>37</v>
      </c>
      <c r="F18" s="1" t="s">
        <v>30</v>
      </c>
      <c r="G18" s="1" t="s">
        <v>31</v>
      </c>
      <c r="H18" s="1" t="s">
        <v>20</v>
      </c>
      <c r="I18" s="2" t="s">
        <v>17</v>
      </c>
      <c r="J18" s="1" t="s">
        <v>51</v>
      </c>
      <c r="K18" s="1" t="s">
        <v>23</v>
      </c>
      <c r="L18" s="2" t="s">
        <v>74</v>
      </c>
      <c r="M18" s="1" t="s">
        <v>20</v>
      </c>
    </row>
    <row r="19" ht="15.75" customHeight="1">
      <c r="A19" s="2" t="s">
        <v>85</v>
      </c>
      <c r="B19" s="1" t="s">
        <v>41</v>
      </c>
      <c r="C19" s="1" t="s">
        <v>27</v>
      </c>
      <c r="D19" s="3">
        <v>20000.0</v>
      </c>
      <c r="E19" s="2" t="s">
        <v>37</v>
      </c>
      <c r="F19" s="1" t="s">
        <v>62</v>
      </c>
      <c r="G19" s="1" t="s">
        <v>31</v>
      </c>
      <c r="H19" s="1" t="s">
        <v>20</v>
      </c>
      <c r="I19" s="2" t="s">
        <v>37</v>
      </c>
      <c r="J19" s="1" t="s">
        <v>43</v>
      </c>
      <c r="K19" s="1" t="s">
        <v>44</v>
      </c>
      <c r="L19" s="2" t="s">
        <v>72</v>
      </c>
      <c r="M19" s="1" t="s">
        <v>20</v>
      </c>
    </row>
    <row r="20" ht="15.75" customHeight="1">
      <c r="A20" s="2" t="s">
        <v>86</v>
      </c>
      <c r="B20" s="1" t="s">
        <v>14</v>
      </c>
      <c r="C20" s="1" t="s">
        <v>15</v>
      </c>
      <c r="D20" s="3">
        <v>40000.0</v>
      </c>
      <c r="E20" s="2" t="s">
        <v>21</v>
      </c>
      <c r="F20" s="1" t="s">
        <v>87</v>
      </c>
      <c r="G20" s="1" t="s">
        <v>31</v>
      </c>
      <c r="H20" s="1" t="s">
        <v>20</v>
      </c>
      <c r="I20" s="2" t="s">
        <v>21</v>
      </c>
      <c r="J20" s="1" t="s">
        <v>22</v>
      </c>
      <c r="K20" s="1" t="s">
        <v>23</v>
      </c>
      <c r="L20" s="2" t="s">
        <v>47</v>
      </c>
      <c r="M20" s="1" t="s">
        <v>20</v>
      </c>
    </row>
    <row r="21" ht="15.75" customHeight="1">
      <c r="A21" s="2" t="s">
        <v>88</v>
      </c>
      <c r="B21" s="1" t="s">
        <v>41</v>
      </c>
      <c r="C21" s="1" t="s">
        <v>15</v>
      </c>
      <c r="D21" s="3">
        <v>80000.0</v>
      </c>
      <c r="E21" s="2" t="s">
        <v>21</v>
      </c>
      <c r="F21" s="1" t="s">
        <v>18</v>
      </c>
      <c r="G21" s="1" t="s">
        <v>36</v>
      </c>
      <c r="H21" s="1" t="s">
        <v>20</v>
      </c>
      <c r="I21" s="2" t="s">
        <v>57</v>
      </c>
      <c r="J21" s="1" t="s">
        <v>69</v>
      </c>
      <c r="K21" s="1" t="s">
        <v>44</v>
      </c>
      <c r="L21" s="2" t="s">
        <v>74</v>
      </c>
      <c r="M21" s="1" t="s">
        <v>25</v>
      </c>
    </row>
    <row r="22" ht="15.75" customHeight="1">
      <c r="A22" s="2" t="s">
        <v>89</v>
      </c>
      <c r="B22" s="1" t="s">
        <v>41</v>
      </c>
      <c r="C22" s="1" t="s">
        <v>27</v>
      </c>
      <c r="D22" s="3">
        <v>40000.0</v>
      </c>
      <c r="E22" s="2" t="s">
        <v>37</v>
      </c>
      <c r="F22" s="1" t="s">
        <v>30</v>
      </c>
      <c r="G22" s="1" t="s">
        <v>31</v>
      </c>
      <c r="H22" s="1" t="s">
        <v>20</v>
      </c>
      <c r="I22" s="2" t="s">
        <v>21</v>
      </c>
      <c r="J22" s="1" t="s">
        <v>51</v>
      </c>
      <c r="K22" s="1" t="s">
        <v>23</v>
      </c>
      <c r="L22" s="2" t="s">
        <v>74</v>
      </c>
      <c r="M22" s="1" t="s">
        <v>20</v>
      </c>
    </row>
    <row r="23" ht="15.75" customHeight="1">
      <c r="A23" s="2" t="s">
        <v>90</v>
      </c>
      <c r="B23" s="1" t="s">
        <v>14</v>
      </c>
      <c r="C23" s="1" t="s">
        <v>15</v>
      </c>
      <c r="D23" s="3">
        <v>80000.0</v>
      </c>
      <c r="E23" s="2" t="s">
        <v>35</v>
      </c>
      <c r="F23" s="1" t="s">
        <v>55</v>
      </c>
      <c r="G23" s="1" t="s">
        <v>56</v>
      </c>
      <c r="H23" s="1" t="s">
        <v>25</v>
      </c>
      <c r="I23" s="2" t="s">
        <v>29</v>
      </c>
      <c r="J23" s="1" t="s">
        <v>43</v>
      </c>
      <c r="K23" s="1" t="s">
        <v>23</v>
      </c>
      <c r="L23" s="2" t="s">
        <v>91</v>
      </c>
      <c r="M23" s="1" t="s">
        <v>25</v>
      </c>
    </row>
    <row r="24" ht="15.75" customHeight="1">
      <c r="A24" s="2" t="s">
        <v>92</v>
      </c>
      <c r="B24" s="1" t="s">
        <v>41</v>
      </c>
      <c r="C24" s="1" t="s">
        <v>27</v>
      </c>
      <c r="D24" s="3">
        <v>40000.0</v>
      </c>
      <c r="E24" s="2" t="s">
        <v>37</v>
      </c>
      <c r="F24" s="1" t="s">
        <v>30</v>
      </c>
      <c r="G24" s="1" t="s">
        <v>31</v>
      </c>
      <c r="H24" s="1" t="s">
        <v>25</v>
      </c>
      <c r="I24" s="2" t="s">
        <v>17</v>
      </c>
      <c r="J24" s="1" t="s">
        <v>22</v>
      </c>
      <c r="K24" s="1" t="s">
        <v>23</v>
      </c>
      <c r="L24" s="2" t="s">
        <v>93</v>
      </c>
      <c r="M24" s="1" t="s">
        <v>25</v>
      </c>
    </row>
    <row r="25" ht="15.75" customHeight="1">
      <c r="A25" s="2" t="s">
        <v>94</v>
      </c>
      <c r="B25" s="1" t="s">
        <v>41</v>
      </c>
      <c r="C25" s="1" t="s">
        <v>27</v>
      </c>
      <c r="D25" s="3">
        <v>30000.0</v>
      </c>
      <c r="E25" s="2" t="s">
        <v>17</v>
      </c>
      <c r="F25" s="1" t="s">
        <v>18</v>
      </c>
      <c r="G25" s="1" t="s">
        <v>31</v>
      </c>
      <c r="H25" s="1" t="s">
        <v>20</v>
      </c>
      <c r="I25" s="2" t="s">
        <v>21</v>
      </c>
      <c r="J25" s="1" t="s">
        <v>22</v>
      </c>
      <c r="K25" s="1" t="s">
        <v>23</v>
      </c>
      <c r="L25" s="2" t="s">
        <v>95</v>
      </c>
      <c r="M25" s="1" t="s">
        <v>25</v>
      </c>
    </row>
    <row r="26" ht="15.75" customHeight="1">
      <c r="A26" s="2" t="s">
        <v>96</v>
      </c>
      <c r="B26" s="1" t="s">
        <v>41</v>
      </c>
      <c r="C26" s="1" t="s">
        <v>27</v>
      </c>
      <c r="D26" s="3">
        <v>30000.0</v>
      </c>
      <c r="E26" s="2" t="s">
        <v>21</v>
      </c>
      <c r="F26" s="1" t="s">
        <v>30</v>
      </c>
      <c r="G26" s="1" t="s">
        <v>31</v>
      </c>
      <c r="H26" s="1" t="s">
        <v>25</v>
      </c>
      <c r="I26" s="2" t="s">
        <v>17</v>
      </c>
      <c r="J26" s="1" t="s">
        <v>22</v>
      </c>
      <c r="K26" s="1" t="s">
        <v>23</v>
      </c>
      <c r="L26" s="2" t="s">
        <v>97</v>
      </c>
      <c r="M26" s="1" t="s">
        <v>20</v>
      </c>
    </row>
    <row r="27" ht="15.75" customHeight="1">
      <c r="A27" s="2" t="s">
        <v>98</v>
      </c>
      <c r="B27" s="1" t="s">
        <v>1111</v>
      </c>
      <c r="C27" s="1" t="s">
        <v>15</v>
      </c>
      <c r="D27" s="3">
        <v>100000.0</v>
      </c>
      <c r="E27" s="2" t="s">
        <v>21</v>
      </c>
      <c r="F27" s="1" t="s">
        <v>18</v>
      </c>
      <c r="G27" s="1" t="s">
        <v>36</v>
      </c>
      <c r="H27" s="1" t="s">
        <v>25</v>
      </c>
      <c r="I27" s="2" t="s">
        <v>17</v>
      </c>
      <c r="J27" s="1" t="s">
        <v>43</v>
      </c>
      <c r="K27" s="1" t="s">
        <v>44</v>
      </c>
      <c r="L27" s="2" t="s">
        <v>100</v>
      </c>
      <c r="M27" s="1" t="s">
        <v>25</v>
      </c>
    </row>
    <row r="28" ht="15.75" customHeight="1">
      <c r="A28" s="2" t="s">
        <v>101</v>
      </c>
      <c r="B28" s="1" t="s">
        <v>14</v>
      </c>
      <c r="C28" s="1" t="s">
        <v>27</v>
      </c>
      <c r="D28" s="3">
        <v>70000.0</v>
      </c>
      <c r="E28" s="2" t="s">
        <v>35</v>
      </c>
      <c r="F28" s="1" t="s">
        <v>30</v>
      </c>
      <c r="G28" s="1" t="s">
        <v>19</v>
      </c>
      <c r="H28" s="1" t="s">
        <v>20</v>
      </c>
      <c r="I28" s="2" t="s">
        <v>37</v>
      </c>
      <c r="J28" s="1" t="s">
        <v>43</v>
      </c>
      <c r="K28" s="1" t="s">
        <v>44</v>
      </c>
      <c r="L28" s="2" t="s">
        <v>102</v>
      </c>
      <c r="M28" s="1" t="s">
        <v>25</v>
      </c>
    </row>
    <row r="29" ht="15.75" customHeight="1">
      <c r="A29" s="2" t="s">
        <v>103</v>
      </c>
      <c r="B29" s="1" t="s">
        <v>41</v>
      </c>
      <c r="C29" s="1" t="s">
        <v>15</v>
      </c>
      <c r="D29" s="3">
        <v>20000.0</v>
      </c>
      <c r="E29" s="2" t="s">
        <v>21</v>
      </c>
      <c r="F29" s="1" t="s">
        <v>62</v>
      </c>
      <c r="G29" s="1" t="s">
        <v>50</v>
      </c>
      <c r="H29" s="1" t="s">
        <v>25</v>
      </c>
      <c r="I29" s="2" t="s">
        <v>37</v>
      </c>
      <c r="J29" s="1" t="s">
        <v>22</v>
      </c>
      <c r="K29" s="1" t="s">
        <v>23</v>
      </c>
      <c r="L29" s="2" t="s">
        <v>104</v>
      </c>
      <c r="M29" s="1" t="s">
        <v>20</v>
      </c>
    </row>
    <row r="30" ht="15.75" customHeight="1">
      <c r="A30" s="2" t="s">
        <v>105</v>
      </c>
      <c r="B30" s="1" t="s">
        <v>14</v>
      </c>
      <c r="C30" s="1" t="s">
        <v>15</v>
      </c>
      <c r="D30" s="3">
        <v>20000.0</v>
      </c>
      <c r="E30" s="2" t="s">
        <v>37</v>
      </c>
      <c r="F30" s="1" t="s">
        <v>30</v>
      </c>
      <c r="G30" s="1" t="s">
        <v>50</v>
      </c>
      <c r="H30" s="1" t="s">
        <v>20</v>
      </c>
      <c r="I30" s="2" t="s">
        <v>21</v>
      </c>
      <c r="J30" s="1" t="s">
        <v>22</v>
      </c>
      <c r="K30" s="1" t="s">
        <v>23</v>
      </c>
      <c r="L30" s="2" t="s">
        <v>95</v>
      </c>
      <c r="M30" s="1" t="s">
        <v>25</v>
      </c>
    </row>
    <row r="31" ht="15.75" customHeight="1">
      <c r="A31" s="2" t="s">
        <v>106</v>
      </c>
      <c r="B31" s="1" t="s">
        <v>14</v>
      </c>
      <c r="C31" s="1" t="s">
        <v>27</v>
      </c>
      <c r="D31" s="3">
        <v>10000.0</v>
      </c>
      <c r="E31" s="2" t="s">
        <v>21</v>
      </c>
      <c r="F31" s="1" t="s">
        <v>30</v>
      </c>
      <c r="G31" s="1" t="s">
        <v>50</v>
      </c>
      <c r="H31" s="1" t="s">
        <v>25</v>
      </c>
      <c r="I31" s="2" t="s">
        <v>17</v>
      </c>
      <c r="J31" s="1" t="s">
        <v>22</v>
      </c>
      <c r="K31" s="1" t="s">
        <v>44</v>
      </c>
      <c r="L31" s="2" t="s">
        <v>107</v>
      </c>
      <c r="M31" s="1" t="s">
        <v>20</v>
      </c>
    </row>
    <row r="32" ht="15.75" customHeight="1">
      <c r="A32" s="2" t="s">
        <v>108</v>
      </c>
      <c r="B32" s="1" t="s">
        <v>41</v>
      </c>
      <c r="C32" s="1" t="s">
        <v>15</v>
      </c>
      <c r="D32" s="3">
        <v>20000.0</v>
      </c>
      <c r="E32" s="2" t="s">
        <v>21</v>
      </c>
      <c r="F32" s="1" t="s">
        <v>55</v>
      </c>
      <c r="G32" s="1" t="s">
        <v>50</v>
      </c>
      <c r="H32" s="1" t="s">
        <v>25</v>
      </c>
      <c r="I32" s="2" t="s">
        <v>17</v>
      </c>
      <c r="J32" s="1" t="s">
        <v>43</v>
      </c>
      <c r="K32" s="1" t="s">
        <v>23</v>
      </c>
      <c r="L32" s="2" t="s">
        <v>109</v>
      </c>
      <c r="M32" s="1" t="s">
        <v>25</v>
      </c>
    </row>
    <row r="33" ht="15.75" customHeight="1">
      <c r="A33" s="2" t="s">
        <v>110</v>
      </c>
      <c r="B33" s="1" t="s">
        <v>41</v>
      </c>
      <c r="C33" s="1" t="s">
        <v>27</v>
      </c>
      <c r="D33" s="3">
        <v>80000.0</v>
      </c>
      <c r="E33" s="2" t="s">
        <v>37</v>
      </c>
      <c r="F33" s="1" t="s">
        <v>55</v>
      </c>
      <c r="G33" s="1" t="s">
        <v>19</v>
      </c>
      <c r="H33" s="1" t="s">
        <v>25</v>
      </c>
      <c r="I33" s="2" t="s">
        <v>37</v>
      </c>
      <c r="J33" s="1" t="s">
        <v>51</v>
      </c>
      <c r="K33" s="1" t="s">
        <v>44</v>
      </c>
      <c r="L33" s="2" t="s">
        <v>52</v>
      </c>
      <c r="M33" s="1" t="s">
        <v>20</v>
      </c>
    </row>
    <row r="34" ht="15.75" customHeight="1">
      <c r="A34" s="2" t="s">
        <v>111</v>
      </c>
      <c r="B34" s="1" t="s">
        <v>41</v>
      </c>
      <c r="C34" s="1" t="s">
        <v>27</v>
      </c>
      <c r="D34" s="3">
        <v>90000.0</v>
      </c>
      <c r="E34" s="2" t="s">
        <v>35</v>
      </c>
      <c r="F34" s="1" t="s">
        <v>30</v>
      </c>
      <c r="G34" s="1" t="s">
        <v>36</v>
      </c>
      <c r="H34" s="1" t="s">
        <v>25</v>
      </c>
      <c r="I34" s="2" t="s">
        <v>37</v>
      </c>
      <c r="J34" s="1" t="s">
        <v>38</v>
      </c>
      <c r="K34" s="1" t="s">
        <v>23</v>
      </c>
      <c r="L34" s="2" t="s">
        <v>112</v>
      </c>
      <c r="M34" s="1" t="s">
        <v>20</v>
      </c>
    </row>
    <row r="35" ht="15.75" customHeight="1">
      <c r="A35" s="2" t="s">
        <v>113</v>
      </c>
      <c r="B35" s="1" t="s">
        <v>41</v>
      </c>
      <c r="C35" s="1" t="s">
        <v>15</v>
      </c>
      <c r="D35" s="3">
        <v>10000.0</v>
      </c>
      <c r="E35" s="2" t="s">
        <v>35</v>
      </c>
      <c r="F35" s="1" t="s">
        <v>62</v>
      </c>
      <c r="G35" s="1" t="s">
        <v>50</v>
      </c>
      <c r="H35" s="1" t="s">
        <v>25</v>
      </c>
      <c r="I35" s="2" t="s">
        <v>37</v>
      </c>
      <c r="J35" s="1" t="s">
        <v>22</v>
      </c>
      <c r="K35" s="1" t="s">
        <v>23</v>
      </c>
      <c r="L35" s="2" t="s">
        <v>45</v>
      </c>
      <c r="M35" s="1" t="s">
        <v>25</v>
      </c>
    </row>
    <row r="36" ht="15.75" customHeight="1">
      <c r="A36" s="2" t="s">
        <v>114</v>
      </c>
      <c r="B36" s="1" t="s">
        <v>14</v>
      </c>
      <c r="C36" s="1" t="s">
        <v>15</v>
      </c>
      <c r="D36" s="3">
        <v>10000.0</v>
      </c>
      <c r="E36" s="2" t="s">
        <v>37</v>
      </c>
      <c r="F36" s="1" t="s">
        <v>30</v>
      </c>
      <c r="G36" s="1" t="s">
        <v>50</v>
      </c>
      <c r="H36" s="1" t="s">
        <v>20</v>
      </c>
      <c r="I36" s="2" t="s">
        <v>17</v>
      </c>
      <c r="J36" s="1" t="s">
        <v>22</v>
      </c>
      <c r="K36" s="1" t="s">
        <v>23</v>
      </c>
      <c r="L36" s="2" t="s">
        <v>52</v>
      </c>
      <c r="M36" s="1" t="s">
        <v>20</v>
      </c>
    </row>
    <row r="37" ht="15.75" customHeight="1">
      <c r="A37" s="2" t="s">
        <v>115</v>
      </c>
      <c r="B37" s="1" t="s">
        <v>41</v>
      </c>
      <c r="C37" s="1" t="s">
        <v>15</v>
      </c>
      <c r="D37" s="3">
        <v>30000.0</v>
      </c>
      <c r="E37" s="2" t="s">
        <v>21</v>
      </c>
      <c r="F37" s="1" t="s">
        <v>30</v>
      </c>
      <c r="G37" s="1" t="s">
        <v>31</v>
      </c>
      <c r="H37" s="1" t="s">
        <v>25</v>
      </c>
      <c r="I37" s="2" t="s">
        <v>17</v>
      </c>
      <c r="J37" s="1" t="s">
        <v>38</v>
      </c>
      <c r="K37" s="1" t="s">
        <v>23</v>
      </c>
      <c r="L37" s="2" t="s">
        <v>116</v>
      </c>
      <c r="M37" s="1" t="s">
        <v>25</v>
      </c>
    </row>
    <row r="38" ht="15.75" customHeight="1">
      <c r="A38" s="2" t="s">
        <v>117</v>
      </c>
      <c r="B38" s="1" t="s">
        <v>41</v>
      </c>
      <c r="C38" s="1" t="s">
        <v>27</v>
      </c>
      <c r="D38" s="3">
        <v>20000.0</v>
      </c>
      <c r="E38" s="2" t="s">
        <v>21</v>
      </c>
      <c r="F38" s="1" t="s">
        <v>55</v>
      </c>
      <c r="G38" s="1" t="s">
        <v>50</v>
      </c>
      <c r="H38" s="1" t="s">
        <v>25</v>
      </c>
      <c r="I38" s="2" t="s">
        <v>17</v>
      </c>
      <c r="J38" s="1" t="s">
        <v>38</v>
      </c>
      <c r="K38" s="1" t="s">
        <v>23</v>
      </c>
      <c r="L38" s="2" t="s">
        <v>118</v>
      </c>
      <c r="M38" s="1" t="s">
        <v>25</v>
      </c>
    </row>
    <row r="39" ht="15.75" customHeight="1">
      <c r="A39" s="2" t="s">
        <v>119</v>
      </c>
      <c r="B39" s="1" t="s">
        <v>41</v>
      </c>
      <c r="C39" s="1" t="s">
        <v>15</v>
      </c>
      <c r="D39" s="3">
        <v>10000.0</v>
      </c>
      <c r="E39" s="2" t="s">
        <v>57</v>
      </c>
      <c r="F39" s="1" t="s">
        <v>62</v>
      </c>
      <c r="G39" s="1" t="s">
        <v>50</v>
      </c>
      <c r="H39" s="1" t="s">
        <v>20</v>
      </c>
      <c r="I39" s="2" t="s">
        <v>37</v>
      </c>
      <c r="J39" s="1" t="s">
        <v>22</v>
      </c>
      <c r="K39" s="1" t="s">
        <v>23</v>
      </c>
      <c r="L39" s="2" t="s">
        <v>100</v>
      </c>
      <c r="M39" s="1" t="s">
        <v>20</v>
      </c>
    </row>
    <row r="40" ht="15.75" customHeight="1">
      <c r="A40" s="2" t="s">
        <v>120</v>
      </c>
      <c r="B40" s="1" t="s">
        <v>41</v>
      </c>
      <c r="C40" s="1" t="s">
        <v>15</v>
      </c>
      <c r="D40" s="3">
        <v>30000.0</v>
      </c>
      <c r="E40" s="2" t="s">
        <v>37</v>
      </c>
      <c r="F40" s="1" t="s">
        <v>30</v>
      </c>
      <c r="G40" s="1" t="s">
        <v>31</v>
      </c>
      <c r="H40" s="1" t="s">
        <v>25</v>
      </c>
      <c r="I40" s="2" t="s">
        <v>21</v>
      </c>
      <c r="J40" s="1" t="s">
        <v>22</v>
      </c>
      <c r="K40" s="1" t="s">
        <v>23</v>
      </c>
      <c r="L40" s="2" t="s">
        <v>32</v>
      </c>
      <c r="M40" s="1" t="s">
        <v>25</v>
      </c>
    </row>
    <row r="41" ht="15.75" customHeight="1">
      <c r="A41" s="2" t="s">
        <v>121</v>
      </c>
      <c r="B41" s="1" t="s">
        <v>41</v>
      </c>
      <c r="C41" s="1" t="s">
        <v>15</v>
      </c>
      <c r="D41" s="3">
        <v>40000.0</v>
      </c>
      <c r="E41" s="2" t="s">
        <v>37</v>
      </c>
      <c r="F41" s="1" t="s">
        <v>18</v>
      </c>
      <c r="G41" s="1" t="s">
        <v>56</v>
      </c>
      <c r="H41" s="1" t="s">
        <v>20</v>
      </c>
      <c r="I41" s="2" t="s">
        <v>37</v>
      </c>
      <c r="J41" s="1" t="s">
        <v>43</v>
      </c>
      <c r="K41" s="1" t="s">
        <v>44</v>
      </c>
      <c r="L41" s="2" t="s">
        <v>122</v>
      </c>
      <c r="M41" s="1" t="s">
        <v>20</v>
      </c>
    </row>
    <row r="42" ht="15.75" customHeight="1">
      <c r="A42" s="2" t="s">
        <v>123</v>
      </c>
      <c r="B42" s="1" t="s">
        <v>14</v>
      </c>
      <c r="C42" s="1" t="s">
        <v>15</v>
      </c>
      <c r="D42" s="3">
        <v>10000.0</v>
      </c>
      <c r="E42" s="2" t="s">
        <v>17</v>
      </c>
      <c r="F42" s="1" t="s">
        <v>87</v>
      </c>
      <c r="G42" s="1" t="s">
        <v>50</v>
      </c>
      <c r="H42" s="1" t="s">
        <v>20</v>
      </c>
      <c r="I42" s="2" t="s">
        <v>21</v>
      </c>
      <c r="J42" s="1" t="s">
        <v>22</v>
      </c>
      <c r="K42" s="1" t="s">
        <v>23</v>
      </c>
      <c r="L42" s="2" t="s">
        <v>100</v>
      </c>
      <c r="M42" s="1" t="s">
        <v>25</v>
      </c>
    </row>
    <row r="43" ht="15.75" customHeight="1">
      <c r="A43" s="2" t="s">
        <v>124</v>
      </c>
      <c r="B43" s="1" t="s">
        <v>14</v>
      </c>
      <c r="C43" s="1" t="s">
        <v>15</v>
      </c>
      <c r="D43" s="3">
        <v>170000.0</v>
      </c>
      <c r="E43" s="2" t="s">
        <v>57</v>
      </c>
      <c r="F43" s="1" t="s">
        <v>30</v>
      </c>
      <c r="G43" s="1" t="s">
        <v>36</v>
      </c>
      <c r="H43" s="1" t="s">
        <v>25</v>
      </c>
      <c r="I43" s="2" t="s">
        <v>29</v>
      </c>
      <c r="J43" s="1" t="s">
        <v>43</v>
      </c>
      <c r="K43" s="1" t="s">
        <v>23</v>
      </c>
      <c r="L43" s="2" t="s">
        <v>125</v>
      </c>
      <c r="M43" s="1" t="s">
        <v>20</v>
      </c>
    </row>
    <row r="44" ht="15.75" customHeight="1">
      <c r="A44" s="2" t="s">
        <v>126</v>
      </c>
      <c r="B44" s="1" t="s">
        <v>14</v>
      </c>
      <c r="C44" s="1" t="s">
        <v>15</v>
      </c>
      <c r="D44" s="3">
        <v>20000.0</v>
      </c>
      <c r="E44" s="2" t="s">
        <v>29</v>
      </c>
      <c r="F44" s="1" t="s">
        <v>55</v>
      </c>
      <c r="G44" s="1" t="s">
        <v>50</v>
      </c>
      <c r="H44" s="1" t="s">
        <v>20</v>
      </c>
      <c r="I44" s="2" t="s">
        <v>21</v>
      </c>
      <c r="J44" s="1" t="s">
        <v>22</v>
      </c>
      <c r="K44" s="1" t="s">
        <v>23</v>
      </c>
      <c r="L44" s="2" t="s">
        <v>45</v>
      </c>
      <c r="M44" s="1" t="s">
        <v>20</v>
      </c>
    </row>
    <row r="45" ht="15.75" customHeight="1">
      <c r="A45" s="2" t="s">
        <v>127</v>
      </c>
      <c r="B45" s="1" t="s">
        <v>14</v>
      </c>
      <c r="C45" s="1" t="s">
        <v>15</v>
      </c>
      <c r="D45" s="3">
        <v>20000.0</v>
      </c>
      <c r="E45" s="2" t="s">
        <v>17</v>
      </c>
      <c r="F45" s="1" t="s">
        <v>18</v>
      </c>
      <c r="G45" s="1" t="s">
        <v>31</v>
      </c>
      <c r="H45" s="1" t="s">
        <v>20</v>
      </c>
      <c r="I45" s="2" t="s">
        <v>21</v>
      </c>
      <c r="J45" s="1" t="s">
        <v>22</v>
      </c>
      <c r="K45" s="1" t="s">
        <v>23</v>
      </c>
      <c r="L45" s="2" t="s">
        <v>128</v>
      </c>
      <c r="M45" s="1" t="s">
        <v>20</v>
      </c>
    </row>
    <row r="46" ht="15.75" customHeight="1">
      <c r="A46" s="2" t="s">
        <v>129</v>
      </c>
      <c r="B46" s="1" t="s">
        <v>14</v>
      </c>
      <c r="C46" s="1" t="s">
        <v>15</v>
      </c>
      <c r="D46" s="3">
        <v>60000.0</v>
      </c>
      <c r="E46" s="2" t="s">
        <v>17</v>
      </c>
      <c r="F46" s="1" t="s">
        <v>30</v>
      </c>
      <c r="G46" s="1" t="s">
        <v>19</v>
      </c>
      <c r="H46" s="1" t="s">
        <v>20</v>
      </c>
      <c r="I46" s="2" t="s">
        <v>17</v>
      </c>
      <c r="J46" s="1" t="s">
        <v>43</v>
      </c>
      <c r="K46" s="1" t="s">
        <v>44</v>
      </c>
      <c r="L46" s="2" t="s">
        <v>130</v>
      </c>
      <c r="M46" s="1" t="s">
        <v>20</v>
      </c>
    </row>
    <row r="47" ht="15.75" customHeight="1">
      <c r="A47" s="2" t="s">
        <v>131</v>
      </c>
      <c r="B47" s="1" t="s">
        <v>41</v>
      </c>
      <c r="C47" s="1" t="s">
        <v>15</v>
      </c>
      <c r="D47" s="3">
        <v>40000.0</v>
      </c>
      <c r="E47" s="2" t="s">
        <v>37</v>
      </c>
      <c r="F47" s="1" t="s">
        <v>30</v>
      </c>
      <c r="G47" s="1" t="s">
        <v>19</v>
      </c>
      <c r="H47" s="1" t="s">
        <v>20</v>
      </c>
      <c r="I47" s="2" t="s">
        <v>37</v>
      </c>
      <c r="J47" s="1" t="s">
        <v>43</v>
      </c>
      <c r="K47" s="1" t="s">
        <v>44</v>
      </c>
      <c r="L47" s="2" t="s">
        <v>132</v>
      </c>
      <c r="M47" s="1" t="s">
        <v>20</v>
      </c>
    </row>
    <row r="48" ht="15.75" customHeight="1">
      <c r="A48" s="2" t="s">
        <v>133</v>
      </c>
      <c r="B48" s="1" t="s">
        <v>14</v>
      </c>
      <c r="C48" s="1" t="s">
        <v>27</v>
      </c>
      <c r="D48" s="3">
        <v>30000.0</v>
      </c>
      <c r="E48" s="2" t="s">
        <v>37</v>
      </c>
      <c r="F48" s="1" t="s">
        <v>30</v>
      </c>
      <c r="G48" s="1" t="s">
        <v>31</v>
      </c>
      <c r="H48" s="1" t="s">
        <v>25</v>
      </c>
      <c r="I48" s="2" t="s">
        <v>37</v>
      </c>
      <c r="J48" s="1" t="s">
        <v>22</v>
      </c>
      <c r="K48" s="1" t="s">
        <v>23</v>
      </c>
      <c r="L48" s="2" t="s">
        <v>24</v>
      </c>
      <c r="M48" s="1" t="s">
        <v>25</v>
      </c>
    </row>
    <row r="49" ht="15.75" customHeight="1">
      <c r="A49" s="2" t="s">
        <v>134</v>
      </c>
      <c r="B49" s="1" t="s">
        <v>1111</v>
      </c>
      <c r="C49" s="1" t="s">
        <v>27</v>
      </c>
      <c r="D49" s="3">
        <v>40000.0</v>
      </c>
      <c r="E49" s="2" t="s">
        <v>21</v>
      </c>
      <c r="F49" s="1" t="s">
        <v>18</v>
      </c>
      <c r="G49" s="1" t="s">
        <v>31</v>
      </c>
      <c r="H49" s="1" t="s">
        <v>20</v>
      </c>
      <c r="I49" s="2" t="s">
        <v>21</v>
      </c>
      <c r="J49" s="1" t="s">
        <v>22</v>
      </c>
      <c r="K49" s="1" t="s">
        <v>23</v>
      </c>
      <c r="L49" s="2" t="s">
        <v>135</v>
      </c>
      <c r="M49" s="1" t="s">
        <v>20</v>
      </c>
    </row>
    <row r="50" ht="15.75" customHeight="1">
      <c r="A50" s="2" t="s">
        <v>136</v>
      </c>
      <c r="B50" s="1" t="s">
        <v>41</v>
      </c>
      <c r="C50" s="1" t="s">
        <v>15</v>
      </c>
      <c r="D50" s="3">
        <v>30000.0</v>
      </c>
      <c r="E50" s="2" t="s">
        <v>21</v>
      </c>
      <c r="F50" s="1" t="s">
        <v>30</v>
      </c>
      <c r="G50" s="1" t="s">
        <v>31</v>
      </c>
      <c r="H50" s="1" t="s">
        <v>25</v>
      </c>
      <c r="I50" s="2" t="s">
        <v>17</v>
      </c>
      <c r="J50" s="1" t="s">
        <v>22</v>
      </c>
      <c r="K50" s="1" t="s">
        <v>23</v>
      </c>
      <c r="L50" s="2" t="s">
        <v>118</v>
      </c>
      <c r="M50" s="1" t="s">
        <v>25</v>
      </c>
    </row>
    <row r="51" ht="15.75" customHeight="1">
      <c r="A51" s="2" t="s">
        <v>137</v>
      </c>
      <c r="B51" s="1" t="s">
        <v>41</v>
      </c>
      <c r="C51" s="1" t="s">
        <v>27</v>
      </c>
      <c r="D51" s="3">
        <v>80000.0</v>
      </c>
      <c r="E51" s="2" t="s">
        <v>21</v>
      </c>
      <c r="F51" s="1" t="s">
        <v>18</v>
      </c>
      <c r="G51" s="1" t="s">
        <v>36</v>
      </c>
      <c r="H51" s="1" t="s">
        <v>25</v>
      </c>
      <c r="I51" s="2" t="s">
        <v>57</v>
      </c>
      <c r="J51" s="1" t="s">
        <v>69</v>
      </c>
      <c r="K51" s="1" t="s">
        <v>44</v>
      </c>
      <c r="L51" s="2" t="s">
        <v>74</v>
      </c>
      <c r="M51" s="1" t="s">
        <v>25</v>
      </c>
    </row>
    <row r="52" ht="15.75" customHeight="1">
      <c r="A52" s="2" t="s">
        <v>138</v>
      </c>
      <c r="B52" s="1" t="s">
        <v>14</v>
      </c>
      <c r="C52" s="1" t="s">
        <v>15</v>
      </c>
      <c r="D52" s="3">
        <v>20000.0</v>
      </c>
      <c r="E52" s="2" t="s">
        <v>17</v>
      </c>
      <c r="F52" s="1" t="s">
        <v>18</v>
      </c>
      <c r="G52" s="1" t="s">
        <v>31</v>
      </c>
      <c r="H52" s="1" t="s">
        <v>20</v>
      </c>
      <c r="I52" s="2" t="s">
        <v>21</v>
      </c>
      <c r="J52" s="1" t="s">
        <v>22</v>
      </c>
      <c r="K52" s="1" t="s">
        <v>23</v>
      </c>
      <c r="L52" s="2" t="s">
        <v>122</v>
      </c>
      <c r="M52" s="1" t="s">
        <v>25</v>
      </c>
    </row>
    <row r="53" ht="15.75" customHeight="1">
      <c r="A53" s="2" t="s">
        <v>139</v>
      </c>
      <c r="B53" s="1" t="s">
        <v>41</v>
      </c>
      <c r="C53" s="1" t="s">
        <v>15</v>
      </c>
      <c r="D53" s="3">
        <v>90000.0</v>
      </c>
      <c r="E53" s="2" t="s">
        <v>57</v>
      </c>
      <c r="F53" s="1" t="s">
        <v>55</v>
      </c>
      <c r="G53" s="1" t="s">
        <v>56</v>
      </c>
      <c r="H53" s="1" t="s">
        <v>25</v>
      </c>
      <c r="I53" s="2" t="s">
        <v>29</v>
      </c>
      <c r="J53" s="1" t="s">
        <v>43</v>
      </c>
      <c r="K53" s="1" t="s">
        <v>23</v>
      </c>
      <c r="L53" s="2" t="s">
        <v>91</v>
      </c>
      <c r="M53" s="1" t="s">
        <v>25</v>
      </c>
    </row>
    <row r="54" ht="15.75" customHeight="1">
      <c r="A54" s="2" t="s">
        <v>140</v>
      </c>
      <c r="B54" s="1" t="s">
        <v>41</v>
      </c>
      <c r="C54" s="1" t="s">
        <v>15</v>
      </c>
      <c r="D54" s="3">
        <v>70000.0</v>
      </c>
      <c r="E54" s="2" t="s">
        <v>21</v>
      </c>
      <c r="F54" s="1" t="s">
        <v>18</v>
      </c>
      <c r="G54" s="1" t="s">
        <v>36</v>
      </c>
      <c r="H54" s="1" t="s">
        <v>25</v>
      </c>
      <c r="I54" s="2" t="s">
        <v>17</v>
      </c>
      <c r="J54" s="1" t="s">
        <v>43</v>
      </c>
      <c r="K54" s="1" t="s">
        <v>44</v>
      </c>
      <c r="L54" s="2" t="s">
        <v>24</v>
      </c>
      <c r="M54" s="1" t="s">
        <v>25</v>
      </c>
    </row>
    <row r="55" ht="15.75" customHeight="1">
      <c r="A55" s="2" t="s">
        <v>141</v>
      </c>
      <c r="B55" s="1" t="s">
        <v>14</v>
      </c>
      <c r="C55" s="1" t="s">
        <v>27</v>
      </c>
      <c r="D55" s="3">
        <v>80000.0</v>
      </c>
      <c r="E55" s="2" t="s">
        <v>57</v>
      </c>
      <c r="F55" s="1" t="s">
        <v>55</v>
      </c>
      <c r="G55" s="1" t="s">
        <v>36</v>
      </c>
      <c r="H55" s="1" t="s">
        <v>20</v>
      </c>
      <c r="I55" s="2" t="s">
        <v>37</v>
      </c>
      <c r="J55" s="1" t="s">
        <v>69</v>
      </c>
      <c r="K55" s="1" t="s">
        <v>23</v>
      </c>
      <c r="L55" s="2" t="s">
        <v>66</v>
      </c>
      <c r="M55" s="1" t="s">
        <v>25</v>
      </c>
    </row>
    <row r="56" ht="15.75" customHeight="1">
      <c r="A56" s="2" t="s">
        <v>142</v>
      </c>
      <c r="B56" s="1" t="s">
        <v>14</v>
      </c>
      <c r="C56" s="1" t="s">
        <v>27</v>
      </c>
      <c r="D56" s="3">
        <v>40000.0</v>
      </c>
      <c r="E56" s="2" t="s">
        <v>21</v>
      </c>
      <c r="F56" s="1" t="s">
        <v>18</v>
      </c>
      <c r="G56" s="1" t="s">
        <v>31</v>
      </c>
      <c r="H56" s="1" t="s">
        <v>20</v>
      </c>
      <c r="I56" s="2" t="s">
        <v>21</v>
      </c>
      <c r="J56" s="1" t="s">
        <v>22</v>
      </c>
      <c r="K56" s="1" t="s">
        <v>23</v>
      </c>
      <c r="L56" s="2" t="s">
        <v>79</v>
      </c>
      <c r="M56" s="1" t="s">
        <v>20</v>
      </c>
    </row>
    <row r="57" ht="15.75" customHeight="1">
      <c r="A57" s="2" t="s">
        <v>143</v>
      </c>
      <c r="B57" s="1" t="s">
        <v>14</v>
      </c>
      <c r="C57" s="1" t="s">
        <v>27</v>
      </c>
      <c r="D57" s="3">
        <v>130000.0</v>
      </c>
      <c r="E57" s="2" t="s">
        <v>57</v>
      </c>
      <c r="F57" s="1" t="s">
        <v>30</v>
      </c>
      <c r="G57" s="1" t="s">
        <v>36</v>
      </c>
      <c r="H57" s="1" t="s">
        <v>25</v>
      </c>
      <c r="I57" s="2" t="s">
        <v>57</v>
      </c>
      <c r="J57" s="1" t="s">
        <v>43</v>
      </c>
      <c r="K57" s="1" t="s">
        <v>23</v>
      </c>
      <c r="L57" s="2" t="s">
        <v>145</v>
      </c>
      <c r="M57" s="1" t="s">
        <v>20</v>
      </c>
    </row>
    <row r="58" ht="15.75" customHeight="1">
      <c r="A58" s="2" t="s">
        <v>146</v>
      </c>
      <c r="B58" s="1" t="s">
        <v>14</v>
      </c>
      <c r="C58" s="1" t="s">
        <v>15</v>
      </c>
      <c r="D58" s="3">
        <v>40000.0</v>
      </c>
      <c r="E58" s="2" t="s">
        <v>17</v>
      </c>
      <c r="F58" s="1" t="s">
        <v>18</v>
      </c>
      <c r="G58" s="1" t="s">
        <v>19</v>
      </c>
      <c r="H58" s="1" t="s">
        <v>20</v>
      </c>
      <c r="I58" s="2" t="s">
        <v>21</v>
      </c>
      <c r="J58" s="1" t="s">
        <v>22</v>
      </c>
      <c r="K58" s="1" t="s">
        <v>23</v>
      </c>
      <c r="L58" s="2" t="s">
        <v>32</v>
      </c>
      <c r="M58" s="1" t="s">
        <v>20</v>
      </c>
    </row>
    <row r="59" ht="15.75" customHeight="1">
      <c r="A59" s="2" t="s">
        <v>147</v>
      </c>
      <c r="B59" s="1" t="s">
        <v>14</v>
      </c>
      <c r="C59" s="1" t="s">
        <v>27</v>
      </c>
      <c r="D59" s="3">
        <v>60000.0</v>
      </c>
      <c r="E59" s="2" t="s">
        <v>37</v>
      </c>
      <c r="F59" s="1" t="s">
        <v>18</v>
      </c>
      <c r="G59" s="1" t="s">
        <v>36</v>
      </c>
      <c r="H59" s="1" t="s">
        <v>20</v>
      </c>
      <c r="I59" s="2" t="s">
        <v>17</v>
      </c>
      <c r="J59" s="1" t="s">
        <v>38</v>
      </c>
      <c r="K59" s="1" t="s">
        <v>44</v>
      </c>
      <c r="L59" s="2" t="s">
        <v>79</v>
      </c>
      <c r="M59" s="1" t="s">
        <v>20</v>
      </c>
    </row>
    <row r="60" ht="15.75" customHeight="1">
      <c r="A60" s="2" t="s">
        <v>148</v>
      </c>
      <c r="B60" s="1" t="s">
        <v>41</v>
      </c>
      <c r="C60" s="1" t="s">
        <v>15</v>
      </c>
      <c r="D60" s="3">
        <v>10000.0</v>
      </c>
      <c r="E60" s="2" t="s">
        <v>17</v>
      </c>
      <c r="F60" s="1" t="s">
        <v>55</v>
      </c>
      <c r="G60" s="1" t="s">
        <v>50</v>
      </c>
      <c r="H60" s="1" t="s">
        <v>25</v>
      </c>
      <c r="I60" s="2" t="s">
        <v>17</v>
      </c>
      <c r="J60" s="1" t="s">
        <v>51</v>
      </c>
      <c r="K60" s="1" t="s">
        <v>23</v>
      </c>
      <c r="L60" s="2" t="s">
        <v>77</v>
      </c>
      <c r="M60" s="1" t="s">
        <v>25</v>
      </c>
    </row>
    <row r="61" ht="15.75" customHeight="1">
      <c r="A61" s="2" t="s">
        <v>149</v>
      </c>
      <c r="B61" s="1" t="s">
        <v>41</v>
      </c>
      <c r="C61" s="1" t="s">
        <v>15</v>
      </c>
      <c r="D61" s="3">
        <v>10000.0</v>
      </c>
      <c r="E61" s="2" t="s">
        <v>37</v>
      </c>
      <c r="F61" s="1" t="s">
        <v>55</v>
      </c>
      <c r="G61" s="1" t="s">
        <v>50</v>
      </c>
      <c r="H61" s="1" t="s">
        <v>20</v>
      </c>
      <c r="I61" s="2" t="s">
        <v>21</v>
      </c>
      <c r="J61" s="1" t="s">
        <v>22</v>
      </c>
      <c r="K61" s="1" t="s">
        <v>23</v>
      </c>
      <c r="L61" s="2" t="s">
        <v>74</v>
      </c>
      <c r="M61" s="1" t="s">
        <v>25</v>
      </c>
    </row>
    <row r="62" ht="15.75" customHeight="1">
      <c r="A62" s="2" t="s">
        <v>150</v>
      </c>
      <c r="B62" s="1" t="s">
        <v>14</v>
      </c>
      <c r="C62" s="1" t="s">
        <v>27</v>
      </c>
      <c r="D62" s="3">
        <v>40000.0</v>
      </c>
      <c r="E62" s="2" t="s">
        <v>37</v>
      </c>
      <c r="F62" s="1" t="s">
        <v>18</v>
      </c>
      <c r="G62" s="1" t="s">
        <v>56</v>
      </c>
      <c r="H62" s="1" t="s">
        <v>20</v>
      </c>
      <c r="I62" s="2" t="s">
        <v>17</v>
      </c>
      <c r="J62" s="1" t="s">
        <v>22</v>
      </c>
      <c r="K62" s="1" t="s">
        <v>44</v>
      </c>
      <c r="L62" s="2" t="s">
        <v>132</v>
      </c>
      <c r="M62" s="1" t="s">
        <v>20</v>
      </c>
    </row>
    <row r="63" ht="15.75" customHeight="1">
      <c r="A63" s="2" t="s">
        <v>151</v>
      </c>
      <c r="B63" s="1" t="s">
        <v>41</v>
      </c>
      <c r="C63" s="1" t="s">
        <v>27</v>
      </c>
      <c r="D63" s="3">
        <v>60000.0</v>
      </c>
      <c r="E63" s="2" t="s">
        <v>57</v>
      </c>
      <c r="F63" s="1" t="s">
        <v>18</v>
      </c>
      <c r="G63" s="1" t="s">
        <v>36</v>
      </c>
      <c r="H63" s="1" t="s">
        <v>20</v>
      </c>
      <c r="I63" s="2" t="s">
        <v>29</v>
      </c>
      <c r="J63" s="1" t="s">
        <v>69</v>
      </c>
      <c r="K63" s="1" t="s">
        <v>44</v>
      </c>
      <c r="L63" s="2" t="s">
        <v>45</v>
      </c>
      <c r="M63" s="1" t="s">
        <v>25</v>
      </c>
    </row>
    <row r="64" ht="15.75" customHeight="1">
      <c r="A64" s="2" t="s">
        <v>152</v>
      </c>
      <c r="B64" s="1" t="s">
        <v>14</v>
      </c>
      <c r="C64" s="1" t="s">
        <v>15</v>
      </c>
      <c r="D64" s="3">
        <v>30000.0</v>
      </c>
      <c r="E64" s="2" t="s">
        <v>17</v>
      </c>
      <c r="F64" s="1" t="s">
        <v>18</v>
      </c>
      <c r="G64" s="1" t="s">
        <v>31</v>
      </c>
      <c r="H64" s="1" t="s">
        <v>20</v>
      </c>
      <c r="I64" s="2" t="s">
        <v>21</v>
      </c>
      <c r="J64" s="1" t="s">
        <v>22</v>
      </c>
      <c r="K64" s="1" t="s">
        <v>23</v>
      </c>
      <c r="L64" s="2" t="s">
        <v>153</v>
      </c>
      <c r="M64" s="1" t="s">
        <v>20</v>
      </c>
    </row>
    <row r="65" ht="15.75" customHeight="1">
      <c r="A65" s="2" t="s">
        <v>154</v>
      </c>
      <c r="B65" s="1" t="s">
        <v>41</v>
      </c>
      <c r="C65" s="1" t="s">
        <v>27</v>
      </c>
      <c r="D65" s="3">
        <v>30000.0</v>
      </c>
      <c r="E65" s="2" t="s">
        <v>37</v>
      </c>
      <c r="F65" s="1" t="s">
        <v>30</v>
      </c>
      <c r="G65" s="1" t="s">
        <v>31</v>
      </c>
      <c r="H65" s="1" t="s">
        <v>20</v>
      </c>
      <c r="I65" s="2" t="s">
        <v>37</v>
      </c>
      <c r="J65" s="1" t="s">
        <v>43</v>
      </c>
      <c r="K65" s="1" t="s">
        <v>44</v>
      </c>
      <c r="L65" s="2" t="s">
        <v>155</v>
      </c>
      <c r="M65" s="1" t="s">
        <v>25</v>
      </c>
    </row>
    <row r="66" ht="15.75" customHeight="1">
      <c r="A66" s="2" t="s">
        <v>156</v>
      </c>
      <c r="B66" s="1" t="s">
        <v>14</v>
      </c>
      <c r="C66" s="1" t="s">
        <v>15</v>
      </c>
      <c r="D66" s="3">
        <v>40000.0</v>
      </c>
      <c r="E66" s="2" t="s">
        <v>21</v>
      </c>
      <c r="F66" s="1" t="s">
        <v>87</v>
      </c>
      <c r="G66" s="1" t="s">
        <v>31</v>
      </c>
      <c r="H66" s="1" t="s">
        <v>20</v>
      </c>
      <c r="I66" s="2" t="s">
        <v>21</v>
      </c>
      <c r="J66" s="1" t="s">
        <v>22</v>
      </c>
      <c r="K66" s="1" t="s">
        <v>23</v>
      </c>
      <c r="L66" s="2" t="s">
        <v>153</v>
      </c>
      <c r="M66" s="1" t="s">
        <v>20</v>
      </c>
    </row>
    <row r="67" ht="15.75" customHeight="1">
      <c r="A67" s="2" t="s">
        <v>157</v>
      </c>
      <c r="B67" s="1" t="s">
        <v>41</v>
      </c>
      <c r="C67" s="1" t="s">
        <v>27</v>
      </c>
      <c r="D67" s="3">
        <v>30000.0</v>
      </c>
      <c r="E67" s="2" t="s">
        <v>21</v>
      </c>
      <c r="F67" s="1" t="s">
        <v>55</v>
      </c>
      <c r="G67" s="1" t="s">
        <v>50</v>
      </c>
      <c r="H67" s="1" t="s">
        <v>20</v>
      </c>
      <c r="I67" s="2" t="s">
        <v>17</v>
      </c>
      <c r="J67" s="1" t="s">
        <v>38</v>
      </c>
      <c r="K67" s="1" t="s">
        <v>23</v>
      </c>
      <c r="L67" s="2" t="s">
        <v>58</v>
      </c>
      <c r="M67" s="1" t="s">
        <v>20</v>
      </c>
    </row>
    <row r="68" ht="15.75" customHeight="1">
      <c r="A68" s="2" t="s">
        <v>158</v>
      </c>
      <c r="B68" s="1" t="s">
        <v>41</v>
      </c>
      <c r="C68" s="1" t="s">
        <v>15</v>
      </c>
      <c r="D68" s="3">
        <v>20000.0</v>
      </c>
      <c r="E68" s="2" t="s">
        <v>57</v>
      </c>
      <c r="F68" s="1" t="s">
        <v>55</v>
      </c>
      <c r="G68" s="1" t="s">
        <v>50</v>
      </c>
      <c r="H68" s="1" t="s">
        <v>20</v>
      </c>
      <c r="I68" s="2" t="s">
        <v>17</v>
      </c>
      <c r="J68" s="1" t="s">
        <v>22</v>
      </c>
      <c r="K68" s="1" t="s">
        <v>23</v>
      </c>
      <c r="L68" s="2" t="s">
        <v>32</v>
      </c>
      <c r="M68" s="1" t="s">
        <v>20</v>
      </c>
    </row>
    <row r="69" ht="15.75" customHeight="1">
      <c r="A69" s="2" t="s">
        <v>159</v>
      </c>
      <c r="B69" s="1" t="s">
        <v>14</v>
      </c>
      <c r="C69" s="1" t="s">
        <v>15</v>
      </c>
      <c r="D69" s="3">
        <v>10000.0</v>
      </c>
      <c r="E69" s="2" t="s">
        <v>21</v>
      </c>
      <c r="F69" s="1" t="s">
        <v>62</v>
      </c>
      <c r="G69" s="1" t="s">
        <v>50</v>
      </c>
      <c r="H69" s="1" t="s">
        <v>25</v>
      </c>
      <c r="I69" s="2" t="s">
        <v>37</v>
      </c>
      <c r="J69" s="1" t="s">
        <v>22</v>
      </c>
      <c r="K69" s="1" t="s">
        <v>23</v>
      </c>
      <c r="L69" s="2" t="s">
        <v>116</v>
      </c>
      <c r="M69" s="1" t="s">
        <v>25</v>
      </c>
    </row>
    <row r="70" ht="15.75" customHeight="1">
      <c r="A70" s="2" t="s">
        <v>160</v>
      </c>
      <c r="B70" s="1" t="s">
        <v>14</v>
      </c>
      <c r="C70" s="1" t="s">
        <v>27</v>
      </c>
      <c r="D70" s="3">
        <v>120000.0</v>
      </c>
      <c r="E70" s="2" t="s">
        <v>21</v>
      </c>
      <c r="F70" s="1" t="s">
        <v>62</v>
      </c>
      <c r="G70" s="1" t="s">
        <v>36</v>
      </c>
      <c r="H70" s="1" t="s">
        <v>20</v>
      </c>
      <c r="I70" s="2" t="s">
        <v>57</v>
      </c>
      <c r="J70" s="1" t="s">
        <v>69</v>
      </c>
      <c r="K70" s="1" t="s">
        <v>44</v>
      </c>
      <c r="L70" s="2" t="s">
        <v>47</v>
      </c>
      <c r="M70" s="1" t="s">
        <v>20</v>
      </c>
    </row>
    <row r="71" ht="15.75" customHeight="1">
      <c r="A71" s="2" t="s">
        <v>162</v>
      </c>
      <c r="B71" s="1" t="s">
        <v>41</v>
      </c>
      <c r="C71" s="1" t="s">
        <v>15</v>
      </c>
      <c r="D71" s="3">
        <v>10000.0</v>
      </c>
      <c r="E71" s="2" t="s">
        <v>21</v>
      </c>
      <c r="F71" s="1" t="s">
        <v>62</v>
      </c>
      <c r="G71" s="1" t="s">
        <v>50</v>
      </c>
      <c r="H71" s="1" t="s">
        <v>25</v>
      </c>
      <c r="I71" s="2" t="s">
        <v>37</v>
      </c>
      <c r="J71" s="1" t="s">
        <v>22</v>
      </c>
      <c r="K71" s="1" t="s">
        <v>23</v>
      </c>
      <c r="L71" s="2" t="s">
        <v>74</v>
      </c>
      <c r="M71" s="1" t="s">
        <v>25</v>
      </c>
    </row>
    <row r="72" ht="15.75" customHeight="1">
      <c r="A72" s="2" t="s">
        <v>163</v>
      </c>
      <c r="B72" s="1" t="s">
        <v>14</v>
      </c>
      <c r="C72" s="1" t="s">
        <v>15</v>
      </c>
      <c r="D72" s="3">
        <v>130000.0</v>
      </c>
      <c r="E72" s="2" t="s">
        <v>29</v>
      </c>
      <c r="F72" s="1" t="s">
        <v>55</v>
      </c>
      <c r="G72" s="1" t="s">
        <v>36</v>
      </c>
      <c r="H72" s="1" t="s">
        <v>20</v>
      </c>
      <c r="I72" s="2" t="s">
        <v>57</v>
      </c>
      <c r="J72" s="1" t="s">
        <v>22</v>
      </c>
      <c r="K72" s="1" t="s">
        <v>23</v>
      </c>
      <c r="L72" s="2" t="s">
        <v>132</v>
      </c>
      <c r="M72" s="1" t="s">
        <v>25</v>
      </c>
    </row>
    <row r="73" ht="15.75" customHeight="1">
      <c r="A73" s="2" t="s">
        <v>164</v>
      </c>
      <c r="B73" s="1" t="s">
        <v>41</v>
      </c>
      <c r="C73" s="1" t="s">
        <v>15</v>
      </c>
      <c r="D73" s="3">
        <v>20000.0</v>
      </c>
      <c r="E73" s="2" t="s">
        <v>21</v>
      </c>
      <c r="F73" s="1" t="s">
        <v>30</v>
      </c>
      <c r="G73" s="1" t="s">
        <v>50</v>
      </c>
      <c r="H73" s="1" t="s">
        <v>25</v>
      </c>
      <c r="I73" s="2" t="s">
        <v>17</v>
      </c>
      <c r="J73" s="1" t="s">
        <v>38</v>
      </c>
      <c r="K73" s="1" t="s">
        <v>23</v>
      </c>
      <c r="L73" s="2" t="s">
        <v>47</v>
      </c>
      <c r="M73" s="1" t="s">
        <v>20</v>
      </c>
    </row>
    <row r="74" ht="15.75" customHeight="1">
      <c r="A74" s="2" t="s">
        <v>165</v>
      </c>
      <c r="B74" s="1" t="s">
        <v>14</v>
      </c>
      <c r="C74" s="1" t="s">
        <v>15</v>
      </c>
      <c r="D74" s="3">
        <v>20000.0</v>
      </c>
      <c r="E74" s="2" t="s">
        <v>29</v>
      </c>
      <c r="F74" s="1" t="s">
        <v>55</v>
      </c>
      <c r="G74" s="1" t="s">
        <v>19</v>
      </c>
      <c r="H74" s="1" t="s">
        <v>25</v>
      </c>
      <c r="I74" s="2" t="s">
        <v>37</v>
      </c>
      <c r="J74" s="1" t="s">
        <v>51</v>
      </c>
      <c r="K74" s="1" t="s">
        <v>44</v>
      </c>
      <c r="L74" s="2" t="s">
        <v>112</v>
      </c>
      <c r="M74" s="1" t="s">
        <v>25</v>
      </c>
    </row>
    <row r="75" ht="15.75" customHeight="1">
      <c r="A75" s="2" t="s">
        <v>166</v>
      </c>
      <c r="B75" s="1" t="s">
        <v>41</v>
      </c>
      <c r="C75" s="1" t="s">
        <v>15</v>
      </c>
      <c r="D75" s="3">
        <v>130000.0</v>
      </c>
      <c r="E75" s="2" t="s">
        <v>57</v>
      </c>
      <c r="F75" s="1" t="s">
        <v>55</v>
      </c>
      <c r="G75" s="1" t="s">
        <v>56</v>
      </c>
      <c r="H75" s="1" t="s">
        <v>20</v>
      </c>
      <c r="I75" s="2" t="s">
        <v>57</v>
      </c>
      <c r="J75" s="1" t="s">
        <v>22</v>
      </c>
      <c r="K75" s="1" t="s">
        <v>44</v>
      </c>
      <c r="L75" s="2" t="s">
        <v>109</v>
      </c>
      <c r="M75" s="1" t="s">
        <v>25</v>
      </c>
    </row>
    <row r="76" ht="15.75" customHeight="1">
      <c r="A76" s="2" t="s">
        <v>167</v>
      </c>
      <c r="B76" s="1" t="s">
        <v>41</v>
      </c>
      <c r="C76" s="1" t="s">
        <v>15</v>
      </c>
      <c r="D76" s="3">
        <v>20000.0</v>
      </c>
      <c r="E76" s="2" t="s">
        <v>21</v>
      </c>
      <c r="F76" s="1" t="s">
        <v>62</v>
      </c>
      <c r="G76" s="1" t="s">
        <v>50</v>
      </c>
      <c r="H76" s="1" t="s">
        <v>25</v>
      </c>
      <c r="I76" s="2" t="s">
        <v>37</v>
      </c>
      <c r="J76" s="1" t="s">
        <v>51</v>
      </c>
      <c r="K76" s="1" t="s">
        <v>23</v>
      </c>
      <c r="L76" s="2" t="s">
        <v>107</v>
      </c>
      <c r="M76" s="1" t="s">
        <v>25</v>
      </c>
    </row>
    <row r="77" ht="15.75" customHeight="1">
      <c r="A77" s="2" t="s">
        <v>168</v>
      </c>
      <c r="B77" s="1" t="s">
        <v>14</v>
      </c>
      <c r="C77" s="1" t="s">
        <v>27</v>
      </c>
      <c r="D77" s="3">
        <v>80000.0</v>
      </c>
      <c r="E77" s="2" t="s">
        <v>21</v>
      </c>
      <c r="F77" s="1" t="s">
        <v>18</v>
      </c>
      <c r="G77" s="1" t="s">
        <v>36</v>
      </c>
      <c r="H77" s="1" t="s">
        <v>20</v>
      </c>
      <c r="I77" s="2" t="s">
        <v>37</v>
      </c>
      <c r="J77" s="1" t="s">
        <v>69</v>
      </c>
      <c r="K77" s="1" t="s">
        <v>44</v>
      </c>
      <c r="L77" s="2" t="s">
        <v>97</v>
      </c>
      <c r="M77" s="1" t="s">
        <v>20</v>
      </c>
    </row>
    <row r="78" ht="15.75" customHeight="1">
      <c r="A78" s="2" t="s">
        <v>169</v>
      </c>
      <c r="B78" s="1" t="s">
        <v>14</v>
      </c>
      <c r="C78" s="1" t="s">
        <v>27</v>
      </c>
      <c r="D78" s="3">
        <v>80000.0</v>
      </c>
      <c r="E78" s="2" t="s">
        <v>37</v>
      </c>
      <c r="F78" s="1" t="s">
        <v>55</v>
      </c>
      <c r="G78" s="1" t="s">
        <v>19</v>
      </c>
      <c r="H78" s="1" t="s">
        <v>25</v>
      </c>
      <c r="I78" s="2" t="s">
        <v>37</v>
      </c>
      <c r="J78" s="1" t="s">
        <v>51</v>
      </c>
      <c r="K78" s="1" t="s">
        <v>44</v>
      </c>
      <c r="L78" s="2" t="s">
        <v>52</v>
      </c>
      <c r="M78" s="1" t="s">
        <v>20</v>
      </c>
    </row>
    <row r="79" ht="15.75" customHeight="1">
      <c r="A79" s="2" t="s">
        <v>170</v>
      </c>
      <c r="B79" s="1" t="s">
        <v>41</v>
      </c>
      <c r="C79" s="1" t="s">
        <v>27</v>
      </c>
      <c r="D79" s="3">
        <v>40000.0</v>
      </c>
      <c r="E79" s="2" t="s">
        <v>37</v>
      </c>
      <c r="F79" s="1" t="s">
        <v>18</v>
      </c>
      <c r="G79" s="1" t="s">
        <v>56</v>
      </c>
      <c r="H79" s="1" t="s">
        <v>20</v>
      </c>
      <c r="I79" s="2" t="s">
        <v>37</v>
      </c>
      <c r="J79" s="1" t="s">
        <v>43</v>
      </c>
      <c r="K79" s="1" t="s">
        <v>44</v>
      </c>
      <c r="L79" s="2" t="s">
        <v>95</v>
      </c>
      <c r="M79" s="1" t="s">
        <v>20</v>
      </c>
    </row>
    <row r="80" ht="15.75" customHeight="1">
      <c r="A80" s="2" t="s">
        <v>171</v>
      </c>
      <c r="B80" s="1" t="s">
        <v>14</v>
      </c>
      <c r="C80" s="1" t="s">
        <v>15</v>
      </c>
      <c r="D80" s="3">
        <v>30000.0</v>
      </c>
      <c r="E80" s="2" t="s">
        <v>57</v>
      </c>
      <c r="F80" s="1" t="s">
        <v>87</v>
      </c>
      <c r="G80" s="1" t="s">
        <v>31</v>
      </c>
      <c r="H80" s="1" t="s">
        <v>20</v>
      </c>
      <c r="I80" s="2" t="s">
        <v>21</v>
      </c>
      <c r="J80" s="1" t="s">
        <v>22</v>
      </c>
      <c r="K80" s="1" t="s">
        <v>23</v>
      </c>
      <c r="L80" s="2" t="s">
        <v>77</v>
      </c>
      <c r="M80" s="1" t="s">
        <v>20</v>
      </c>
    </row>
    <row r="81" ht="15.75" customHeight="1">
      <c r="A81" s="2" t="s">
        <v>172</v>
      </c>
      <c r="B81" s="1" t="s">
        <v>41</v>
      </c>
      <c r="C81" s="1" t="s">
        <v>15</v>
      </c>
      <c r="D81" s="3">
        <v>10000.0</v>
      </c>
      <c r="E81" s="2" t="s">
        <v>57</v>
      </c>
      <c r="F81" s="1" t="s">
        <v>62</v>
      </c>
      <c r="G81" s="1" t="s">
        <v>50</v>
      </c>
      <c r="H81" s="1" t="s">
        <v>20</v>
      </c>
      <c r="I81" s="2" t="s">
        <v>37</v>
      </c>
      <c r="J81" s="1" t="s">
        <v>22</v>
      </c>
      <c r="K81" s="1" t="s">
        <v>23</v>
      </c>
      <c r="L81" s="2" t="s">
        <v>100</v>
      </c>
      <c r="M81" s="1" t="s">
        <v>25</v>
      </c>
    </row>
    <row r="82" ht="15.75" customHeight="1">
      <c r="A82" s="2" t="s">
        <v>173</v>
      </c>
      <c r="B82" s="1" t="s">
        <v>14</v>
      </c>
      <c r="C82" s="1" t="s">
        <v>27</v>
      </c>
      <c r="D82" s="3">
        <v>30000.0</v>
      </c>
      <c r="E82" s="2" t="s">
        <v>21</v>
      </c>
      <c r="F82" s="1" t="s">
        <v>18</v>
      </c>
      <c r="G82" s="1" t="s">
        <v>31</v>
      </c>
      <c r="H82" s="1" t="s">
        <v>20</v>
      </c>
      <c r="I82" s="2" t="s">
        <v>21</v>
      </c>
      <c r="J82" s="1" t="s">
        <v>22</v>
      </c>
      <c r="K82" s="1" t="s">
        <v>23</v>
      </c>
      <c r="L82" s="2" t="s">
        <v>83</v>
      </c>
      <c r="M82" s="1" t="s">
        <v>20</v>
      </c>
    </row>
    <row r="83" ht="15.75" customHeight="1">
      <c r="A83" s="2" t="s">
        <v>174</v>
      </c>
      <c r="B83" s="1" t="s">
        <v>41</v>
      </c>
      <c r="C83" s="1" t="s">
        <v>27</v>
      </c>
      <c r="D83" s="3">
        <v>20000.0</v>
      </c>
      <c r="E83" s="2" t="s">
        <v>21</v>
      </c>
      <c r="F83" s="1" t="s">
        <v>55</v>
      </c>
      <c r="G83" s="1" t="s">
        <v>50</v>
      </c>
      <c r="H83" s="1" t="s">
        <v>25</v>
      </c>
      <c r="I83" s="2" t="s">
        <v>17</v>
      </c>
      <c r="J83" s="1" t="s">
        <v>38</v>
      </c>
      <c r="K83" s="1" t="s">
        <v>23</v>
      </c>
      <c r="L83" s="2" t="s">
        <v>97</v>
      </c>
      <c r="M83" s="1" t="s">
        <v>25</v>
      </c>
    </row>
    <row r="84" ht="15.75" customHeight="1">
      <c r="A84" s="2" t="s">
        <v>175</v>
      </c>
      <c r="B84" s="1" t="s">
        <v>41</v>
      </c>
      <c r="C84" s="1" t="s">
        <v>27</v>
      </c>
      <c r="D84" s="3">
        <v>40000.0</v>
      </c>
      <c r="E84" s="2" t="s">
        <v>37</v>
      </c>
      <c r="F84" s="1" t="s">
        <v>18</v>
      </c>
      <c r="G84" s="1" t="s">
        <v>56</v>
      </c>
      <c r="H84" s="1" t="s">
        <v>25</v>
      </c>
      <c r="I84" s="2" t="s">
        <v>17</v>
      </c>
      <c r="J84" s="1" t="s">
        <v>43</v>
      </c>
      <c r="K84" s="1" t="s">
        <v>44</v>
      </c>
      <c r="L84" s="2" t="s">
        <v>132</v>
      </c>
      <c r="M84" s="1" t="s">
        <v>20</v>
      </c>
    </row>
    <row r="85" ht="15.75" customHeight="1">
      <c r="A85" s="2" t="s">
        <v>176</v>
      </c>
      <c r="B85" s="1" t="s">
        <v>41</v>
      </c>
      <c r="C85" s="1" t="s">
        <v>27</v>
      </c>
      <c r="D85" s="3">
        <v>10000.0</v>
      </c>
      <c r="E85" s="2" t="s">
        <v>21</v>
      </c>
      <c r="F85" s="1" t="s">
        <v>30</v>
      </c>
      <c r="G85" s="1" t="s">
        <v>50</v>
      </c>
      <c r="H85" s="1" t="s">
        <v>20</v>
      </c>
      <c r="I85" s="2" t="s">
        <v>17</v>
      </c>
      <c r="J85" s="1" t="s">
        <v>51</v>
      </c>
      <c r="K85" s="1" t="s">
        <v>44</v>
      </c>
      <c r="L85" s="2" t="s">
        <v>107</v>
      </c>
      <c r="M85" s="1" t="s">
        <v>20</v>
      </c>
    </row>
    <row r="86" ht="15.75" customHeight="1">
      <c r="A86" s="2" t="s">
        <v>177</v>
      </c>
      <c r="B86" s="1" t="s">
        <v>41</v>
      </c>
      <c r="C86" s="1" t="s">
        <v>27</v>
      </c>
      <c r="D86" s="3">
        <v>130000.0</v>
      </c>
      <c r="E86" s="2" t="s">
        <v>29</v>
      </c>
      <c r="F86" s="1" t="s">
        <v>30</v>
      </c>
      <c r="G86" s="1" t="s">
        <v>36</v>
      </c>
      <c r="H86" s="1" t="s">
        <v>25</v>
      </c>
      <c r="I86" s="2" t="s">
        <v>29</v>
      </c>
      <c r="J86" s="1" t="s">
        <v>22</v>
      </c>
      <c r="K86" s="1" t="s">
        <v>23</v>
      </c>
      <c r="L86" s="2" t="s">
        <v>178</v>
      </c>
      <c r="M86" s="1" t="s">
        <v>20</v>
      </c>
    </row>
    <row r="87" ht="15.75" customHeight="1">
      <c r="A87" s="2" t="s">
        <v>179</v>
      </c>
      <c r="B87" s="1" t="s">
        <v>14</v>
      </c>
      <c r="C87" s="1" t="s">
        <v>27</v>
      </c>
      <c r="D87" s="3">
        <v>80000.0</v>
      </c>
      <c r="E87" s="2" t="s">
        <v>35</v>
      </c>
      <c r="F87" s="1" t="s">
        <v>18</v>
      </c>
      <c r="G87" s="1" t="s">
        <v>36</v>
      </c>
      <c r="H87" s="1" t="s">
        <v>20</v>
      </c>
      <c r="I87" s="2" t="s">
        <v>57</v>
      </c>
      <c r="J87" s="1" t="s">
        <v>51</v>
      </c>
      <c r="K87" s="1" t="s">
        <v>44</v>
      </c>
      <c r="L87" s="2" t="s">
        <v>100</v>
      </c>
      <c r="M87" s="1" t="s">
        <v>25</v>
      </c>
    </row>
    <row r="88" ht="15.75" customHeight="1">
      <c r="A88" s="2" t="s">
        <v>180</v>
      </c>
      <c r="B88" s="1" t="s">
        <v>41</v>
      </c>
      <c r="C88" s="1" t="s">
        <v>27</v>
      </c>
      <c r="D88" s="3">
        <v>30000.0</v>
      </c>
      <c r="E88" s="2" t="s">
        <v>21</v>
      </c>
      <c r="F88" s="1" t="s">
        <v>30</v>
      </c>
      <c r="G88" s="1" t="s">
        <v>31</v>
      </c>
      <c r="H88" s="1" t="s">
        <v>25</v>
      </c>
      <c r="I88" s="2" t="s">
        <v>17</v>
      </c>
      <c r="J88" s="1" t="s">
        <v>38</v>
      </c>
      <c r="K88" s="1" t="s">
        <v>23</v>
      </c>
      <c r="L88" s="2" t="s">
        <v>97</v>
      </c>
      <c r="M88" s="1" t="s">
        <v>25</v>
      </c>
    </row>
    <row r="89" ht="15.75" customHeight="1">
      <c r="A89" s="2" t="s">
        <v>181</v>
      </c>
      <c r="B89" s="1" t="s">
        <v>14</v>
      </c>
      <c r="C89" s="1" t="s">
        <v>27</v>
      </c>
      <c r="D89" s="3">
        <v>20000.0</v>
      </c>
      <c r="E89" s="2" t="s">
        <v>17</v>
      </c>
      <c r="F89" s="1" t="s">
        <v>55</v>
      </c>
      <c r="G89" s="1" t="s">
        <v>50</v>
      </c>
      <c r="H89" s="1" t="s">
        <v>25</v>
      </c>
      <c r="I89" s="2" t="s">
        <v>17</v>
      </c>
      <c r="J89" s="1" t="s">
        <v>51</v>
      </c>
      <c r="K89" s="1" t="s">
        <v>23</v>
      </c>
      <c r="L89" s="2" t="s">
        <v>100</v>
      </c>
      <c r="M89" s="1" t="s">
        <v>20</v>
      </c>
    </row>
    <row r="90" ht="15.75" customHeight="1">
      <c r="A90" s="2" t="s">
        <v>182</v>
      </c>
      <c r="B90" s="1" t="s">
        <v>41</v>
      </c>
      <c r="C90" s="1" t="s">
        <v>15</v>
      </c>
      <c r="D90" s="3">
        <v>30000.0</v>
      </c>
      <c r="E90" s="2" t="s">
        <v>21</v>
      </c>
      <c r="F90" s="1" t="s">
        <v>30</v>
      </c>
      <c r="G90" s="1" t="s">
        <v>31</v>
      </c>
      <c r="H90" s="1" t="s">
        <v>25</v>
      </c>
      <c r="I90" s="2" t="s">
        <v>17</v>
      </c>
      <c r="J90" s="1" t="s">
        <v>22</v>
      </c>
      <c r="K90" s="1" t="s">
        <v>23</v>
      </c>
      <c r="L90" s="2" t="s">
        <v>97</v>
      </c>
      <c r="M90" s="1" t="s">
        <v>20</v>
      </c>
    </row>
    <row r="91" ht="15.75" customHeight="1">
      <c r="A91" s="2" t="s">
        <v>183</v>
      </c>
      <c r="B91" s="1" t="s">
        <v>41</v>
      </c>
      <c r="C91" s="1" t="s">
        <v>27</v>
      </c>
      <c r="D91" s="3">
        <v>30000.0</v>
      </c>
      <c r="E91" s="2" t="s">
        <v>21</v>
      </c>
      <c r="F91" s="1" t="s">
        <v>30</v>
      </c>
      <c r="G91" s="1" t="s">
        <v>31</v>
      </c>
      <c r="H91" s="1" t="s">
        <v>25</v>
      </c>
      <c r="I91" s="2" t="s">
        <v>17</v>
      </c>
      <c r="J91" s="1" t="s">
        <v>22</v>
      </c>
      <c r="K91" s="1" t="s">
        <v>23</v>
      </c>
      <c r="L91" s="2" t="s">
        <v>116</v>
      </c>
      <c r="M91" s="1" t="s">
        <v>20</v>
      </c>
    </row>
    <row r="92" ht="15.75" customHeight="1">
      <c r="A92" s="2" t="s">
        <v>184</v>
      </c>
      <c r="B92" s="1" t="s">
        <v>41</v>
      </c>
      <c r="C92" s="1" t="s">
        <v>15</v>
      </c>
      <c r="D92" s="3">
        <v>60000.0</v>
      </c>
      <c r="E92" s="2" t="s">
        <v>37</v>
      </c>
      <c r="F92" s="1" t="s">
        <v>18</v>
      </c>
      <c r="G92" s="1" t="s">
        <v>36</v>
      </c>
      <c r="H92" s="1" t="s">
        <v>20</v>
      </c>
      <c r="I92" s="2" t="s">
        <v>17</v>
      </c>
      <c r="J92" s="1" t="s">
        <v>38</v>
      </c>
      <c r="K92" s="1" t="s">
        <v>44</v>
      </c>
      <c r="L92" s="2" t="s">
        <v>153</v>
      </c>
      <c r="M92" s="1" t="s">
        <v>20</v>
      </c>
    </row>
    <row r="93" ht="15.75" customHeight="1">
      <c r="A93" s="2" t="s">
        <v>185</v>
      </c>
      <c r="B93" s="1" t="s">
        <v>41</v>
      </c>
      <c r="C93" s="1" t="s">
        <v>15</v>
      </c>
      <c r="D93" s="3">
        <v>30000.0</v>
      </c>
      <c r="E93" s="2" t="s">
        <v>21</v>
      </c>
      <c r="F93" s="1" t="s">
        <v>30</v>
      </c>
      <c r="G93" s="1" t="s">
        <v>31</v>
      </c>
      <c r="H93" s="1" t="s">
        <v>25</v>
      </c>
      <c r="I93" s="2" t="s">
        <v>17</v>
      </c>
      <c r="J93" s="1" t="s">
        <v>38</v>
      </c>
      <c r="K93" s="1" t="s">
        <v>23</v>
      </c>
      <c r="L93" s="2" t="s">
        <v>58</v>
      </c>
      <c r="M93" s="1" t="s">
        <v>25</v>
      </c>
    </row>
    <row r="94" ht="15.75" customHeight="1">
      <c r="A94" s="2" t="s">
        <v>186</v>
      </c>
      <c r="B94" s="1" t="s">
        <v>41</v>
      </c>
      <c r="C94" s="1" t="s">
        <v>15</v>
      </c>
      <c r="D94" s="3">
        <v>30000.0</v>
      </c>
      <c r="E94" s="2" t="s">
        <v>29</v>
      </c>
      <c r="F94" s="1" t="s">
        <v>55</v>
      </c>
      <c r="G94" s="1" t="s">
        <v>19</v>
      </c>
      <c r="H94" s="1" t="s">
        <v>20</v>
      </c>
      <c r="I94" s="2" t="s">
        <v>37</v>
      </c>
      <c r="J94" s="1" t="s">
        <v>43</v>
      </c>
      <c r="K94" s="1" t="s">
        <v>44</v>
      </c>
      <c r="L94" s="2" t="s">
        <v>72</v>
      </c>
      <c r="M94" s="1" t="s">
        <v>25</v>
      </c>
    </row>
    <row r="95" ht="15.75" customHeight="1">
      <c r="A95" s="2" t="s">
        <v>187</v>
      </c>
      <c r="B95" s="1" t="s">
        <v>41</v>
      </c>
      <c r="C95" s="1" t="s">
        <v>15</v>
      </c>
      <c r="D95" s="3">
        <v>90000.0</v>
      </c>
      <c r="E95" s="2" t="s">
        <v>35</v>
      </c>
      <c r="F95" s="1" t="s">
        <v>30</v>
      </c>
      <c r="G95" s="1" t="s">
        <v>36</v>
      </c>
      <c r="H95" s="1" t="s">
        <v>20</v>
      </c>
      <c r="I95" s="2" t="s">
        <v>37</v>
      </c>
      <c r="J95" s="1" t="s">
        <v>69</v>
      </c>
      <c r="K95" s="1" t="s">
        <v>23</v>
      </c>
      <c r="L95" s="2" t="s">
        <v>112</v>
      </c>
      <c r="M95" s="1" t="s">
        <v>25</v>
      </c>
    </row>
    <row r="96" ht="15.75" customHeight="1">
      <c r="A96" s="2" t="s">
        <v>188</v>
      </c>
      <c r="B96" s="1" t="s">
        <v>14</v>
      </c>
      <c r="C96" s="1" t="s">
        <v>27</v>
      </c>
      <c r="D96" s="3">
        <v>30000.0</v>
      </c>
      <c r="E96" s="2" t="s">
        <v>17</v>
      </c>
      <c r="F96" s="1" t="s">
        <v>30</v>
      </c>
      <c r="G96" s="1" t="s">
        <v>31</v>
      </c>
      <c r="H96" s="1" t="s">
        <v>20</v>
      </c>
      <c r="I96" s="2" t="s">
        <v>17</v>
      </c>
      <c r="J96" s="1" t="s">
        <v>22</v>
      </c>
      <c r="K96" s="1" t="s">
        <v>23</v>
      </c>
      <c r="L96" s="2" t="s">
        <v>32</v>
      </c>
      <c r="M96" s="1" t="s">
        <v>25</v>
      </c>
    </row>
    <row r="97" ht="15.75" customHeight="1">
      <c r="A97" s="2" t="s">
        <v>189</v>
      </c>
      <c r="B97" s="1" t="s">
        <v>14</v>
      </c>
      <c r="C97" s="1" t="s">
        <v>27</v>
      </c>
      <c r="D97" s="3">
        <v>40000.0</v>
      </c>
      <c r="E97" s="2" t="s">
        <v>17</v>
      </c>
      <c r="F97" s="1" t="s">
        <v>18</v>
      </c>
      <c r="G97" s="1" t="s">
        <v>19</v>
      </c>
      <c r="H97" s="1" t="s">
        <v>20</v>
      </c>
      <c r="I97" s="2" t="s">
        <v>17</v>
      </c>
      <c r="J97" s="1" t="s">
        <v>22</v>
      </c>
      <c r="K97" s="1" t="s">
        <v>23</v>
      </c>
      <c r="L97" s="2" t="s">
        <v>102</v>
      </c>
      <c r="M97" s="1" t="s">
        <v>20</v>
      </c>
    </row>
    <row r="98" ht="15.75" customHeight="1">
      <c r="A98" s="2" t="s">
        <v>191</v>
      </c>
      <c r="B98" s="1" t="s">
        <v>14</v>
      </c>
      <c r="C98" s="1" t="s">
        <v>15</v>
      </c>
      <c r="D98" s="3">
        <v>20000.0</v>
      </c>
      <c r="E98" s="2" t="s">
        <v>29</v>
      </c>
      <c r="F98" s="1" t="s">
        <v>55</v>
      </c>
      <c r="G98" s="1" t="s">
        <v>50</v>
      </c>
      <c r="H98" s="1" t="s">
        <v>20</v>
      </c>
      <c r="I98" s="2" t="s">
        <v>37</v>
      </c>
      <c r="J98" s="1" t="s">
        <v>22</v>
      </c>
      <c r="K98" s="1" t="s">
        <v>23</v>
      </c>
      <c r="L98" s="2" t="s">
        <v>32</v>
      </c>
      <c r="M98" s="1" t="s">
        <v>25</v>
      </c>
    </row>
    <row r="99" ht="15.75" customHeight="1">
      <c r="A99" s="2" t="s">
        <v>192</v>
      </c>
      <c r="B99" s="1" t="s">
        <v>41</v>
      </c>
      <c r="C99" s="1" t="s">
        <v>27</v>
      </c>
      <c r="D99" s="3">
        <v>10000.0</v>
      </c>
      <c r="E99" s="2" t="s">
        <v>37</v>
      </c>
      <c r="F99" s="1" t="s">
        <v>55</v>
      </c>
      <c r="G99" s="1" t="s">
        <v>50</v>
      </c>
      <c r="H99" s="1" t="s">
        <v>20</v>
      </c>
      <c r="I99" s="2" t="s">
        <v>21</v>
      </c>
      <c r="J99" s="1" t="s">
        <v>22</v>
      </c>
      <c r="K99" s="1" t="s">
        <v>23</v>
      </c>
      <c r="L99" s="2" t="s">
        <v>74</v>
      </c>
      <c r="M99" s="1" t="s">
        <v>25</v>
      </c>
    </row>
    <row r="100" ht="15.75" customHeight="1">
      <c r="A100" s="2" t="s">
        <v>193</v>
      </c>
      <c r="B100" s="1" t="s">
        <v>41</v>
      </c>
      <c r="C100" s="1" t="s">
        <v>27</v>
      </c>
      <c r="D100" s="3">
        <v>60000.0</v>
      </c>
      <c r="E100" s="2" t="s">
        <v>29</v>
      </c>
      <c r="F100" s="1" t="s">
        <v>18</v>
      </c>
      <c r="G100" s="1" t="s">
        <v>36</v>
      </c>
      <c r="H100" s="1" t="s">
        <v>25</v>
      </c>
      <c r="I100" s="2" t="s">
        <v>37</v>
      </c>
      <c r="J100" s="1" t="s">
        <v>22</v>
      </c>
      <c r="K100" s="1" t="s">
        <v>44</v>
      </c>
      <c r="L100" s="2" t="s">
        <v>32</v>
      </c>
      <c r="M100" s="1" t="s">
        <v>20</v>
      </c>
    </row>
    <row r="101" ht="15.75" customHeight="1">
      <c r="A101" s="2" t="s">
        <v>194</v>
      </c>
      <c r="B101" s="1" t="s">
        <v>14</v>
      </c>
      <c r="C101" s="1" t="s">
        <v>27</v>
      </c>
      <c r="D101" s="3">
        <v>10000.0</v>
      </c>
      <c r="E101" s="2" t="s">
        <v>37</v>
      </c>
      <c r="F101" s="1" t="s">
        <v>30</v>
      </c>
      <c r="G101" s="1" t="s">
        <v>50</v>
      </c>
      <c r="H101" s="1" t="s">
        <v>20</v>
      </c>
      <c r="I101" s="2" t="s">
        <v>21</v>
      </c>
      <c r="J101" s="1" t="s">
        <v>51</v>
      </c>
      <c r="K101" s="1" t="s">
        <v>23</v>
      </c>
      <c r="L101" s="2" t="s">
        <v>195</v>
      </c>
      <c r="M101" s="1" t="s">
        <v>25</v>
      </c>
    </row>
    <row r="102" ht="15.75" customHeight="1">
      <c r="A102" s="2" t="s">
        <v>196</v>
      </c>
      <c r="B102" s="1" t="s">
        <v>41</v>
      </c>
      <c r="C102" s="1" t="s">
        <v>27</v>
      </c>
      <c r="D102" s="3">
        <v>60000.0</v>
      </c>
      <c r="E102" s="2" t="s">
        <v>17</v>
      </c>
      <c r="F102" s="1" t="s">
        <v>30</v>
      </c>
      <c r="G102" s="1" t="s">
        <v>19</v>
      </c>
      <c r="H102" s="1" t="s">
        <v>20</v>
      </c>
      <c r="I102" s="2" t="s">
        <v>17</v>
      </c>
      <c r="J102" s="1" t="s">
        <v>43</v>
      </c>
      <c r="K102" s="1" t="s">
        <v>44</v>
      </c>
      <c r="L102" s="2" t="s">
        <v>77</v>
      </c>
      <c r="M102" s="1" t="s">
        <v>25</v>
      </c>
    </row>
    <row r="103" ht="15.75" customHeight="1">
      <c r="A103" s="2" t="s">
        <v>197</v>
      </c>
      <c r="B103" s="1" t="s">
        <v>41</v>
      </c>
      <c r="C103" s="1" t="s">
        <v>15</v>
      </c>
      <c r="D103" s="3">
        <v>70000.0</v>
      </c>
      <c r="E103" s="2" t="s">
        <v>37</v>
      </c>
      <c r="F103" s="1" t="s">
        <v>55</v>
      </c>
      <c r="G103" s="1" t="s">
        <v>36</v>
      </c>
      <c r="H103" s="1" t="s">
        <v>20</v>
      </c>
      <c r="I103" s="2" t="s">
        <v>37</v>
      </c>
      <c r="J103" s="1" t="s">
        <v>43</v>
      </c>
      <c r="K103" s="1" t="s">
        <v>44</v>
      </c>
      <c r="L103" s="2" t="s">
        <v>195</v>
      </c>
      <c r="M103" s="1" t="s">
        <v>20</v>
      </c>
    </row>
    <row r="104" ht="15.75" customHeight="1">
      <c r="A104" s="2" t="s">
        <v>198</v>
      </c>
      <c r="B104" s="1" t="s">
        <v>41</v>
      </c>
      <c r="C104" s="1" t="s">
        <v>15</v>
      </c>
      <c r="D104" s="3">
        <v>30000.0</v>
      </c>
      <c r="E104" s="2" t="s">
        <v>21</v>
      </c>
      <c r="F104" s="1" t="s">
        <v>30</v>
      </c>
      <c r="G104" s="1" t="s">
        <v>31</v>
      </c>
      <c r="H104" s="1" t="s">
        <v>25</v>
      </c>
      <c r="I104" s="2" t="s">
        <v>17</v>
      </c>
      <c r="J104" s="1" t="s">
        <v>38</v>
      </c>
      <c r="K104" s="1" t="s">
        <v>23</v>
      </c>
      <c r="L104" s="2" t="s">
        <v>116</v>
      </c>
      <c r="M104" s="1" t="s">
        <v>25</v>
      </c>
    </row>
    <row r="105" ht="15.75" customHeight="1">
      <c r="A105" s="2" t="s">
        <v>199</v>
      </c>
      <c r="B105" s="1" t="s">
        <v>14</v>
      </c>
      <c r="C105" s="1" t="s">
        <v>27</v>
      </c>
      <c r="D105" s="3">
        <v>70000.0</v>
      </c>
      <c r="E105" s="2" t="s">
        <v>37</v>
      </c>
      <c r="F105" s="1" t="s">
        <v>30</v>
      </c>
      <c r="G105" s="1" t="s">
        <v>19</v>
      </c>
      <c r="H105" s="1" t="s">
        <v>20</v>
      </c>
      <c r="I105" s="2" t="s">
        <v>37</v>
      </c>
      <c r="J105" s="1" t="s">
        <v>43</v>
      </c>
      <c r="K105" s="1" t="s">
        <v>44</v>
      </c>
      <c r="L105" s="2" t="s">
        <v>132</v>
      </c>
      <c r="M105" s="1" t="s">
        <v>20</v>
      </c>
    </row>
    <row r="106" ht="15.75" customHeight="1">
      <c r="A106" s="2" t="s">
        <v>200</v>
      </c>
      <c r="B106" s="1" t="s">
        <v>41</v>
      </c>
      <c r="C106" s="1" t="s">
        <v>15</v>
      </c>
      <c r="D106" s="3">
        <v>40000.0</v>
      </c>
      <c r="E106" s="2" t="s">
        <v>37</v>
      </c>
      <c r="F106" s="1" t="s">
        <v>30</v>
      </c>
      <c r="G106" s="1" t="s">
        <v>19</v>
      </c>
      <c r="H106" s="1" t="s">
        <v>25</v>
      </c>
      <c r="I106" s="2" t="s">
        <v>37</v>
      </c>
      <c r="J106" s="1" t="s">
        <v>51</v>
      </c>
      <c r="K106" s="1" t="s">
        <v>44</v>
      </c>
      <c r="L106" s="2" t="s">
        <v>201</v>
      </c>
      <c r="M106" s="1" t="s">
        <v>20</v>
      </c>
    </row>
    <row r="107" ht="15.75" customHeight="1">
      <c r="A107" s="2" t="s">
        <v>202</v>
      </c>
      <c r="B107" s="1" t="s">
        <v>14</v>
      </c>
      <c r="C107" s="1" t="s">
        <v>15</v>
      </c>
      <c r="D107" s="3">
        <v>40000.0</v>
      </c>
      <c r="E107" s="2" t="s">
        <v>21</v>
      </c>
      <c r="F107" s="1" t="s">
        <v>18</v>
      </c>
      <c r="G107" s="1" t="s">
        <v>31</v>
      </c>
      <c r="H107" s="1" t="s">
        <v>20</v>
      </c>
      <c r="I107" s="2" t="s">
        <v>21</v>
      </c>
      <c r="J107" s="1" t="s">
        <v>22</v>
      </c>
      <c r="K107" s="1" t="s">
        <v>23</v>
      </c>
      <c r="L107" s="2" t="s">
        <v>79</v>
      </c>
      <c r="M107" s="1" t="s">
        <v>20</v>
      </c>
    </row>
    <row r="108" ht="15.75" customHeight="1">
      <c r="A108" s="2" t="s">
        <v>203</v>
      </c>
      <c r="B108" s="1" t="s">
        <v>41</v>
      </c>
      <c r="C108" s="1" t="s">
        <v>27</v>
      </c>
      <c r="D108" s="3">
        <v>40000.0</v>
      </c>
      <c r="E108" s="2" t="s">
        <v>21</v>
      </c>
      <c r="F108" s="1" t="s">
        <v>18</v>
      </c>
      <c r="G108" s="1" t="s">
        <v>36</v>
      </c>
      <c r="H108" s="1" t="s">
        <v>25</v>
      </c>
      <c r="I108" s="2" t="s">
        <v>21</v>
      </c>
      <c r="J108" s="1" t="s">
        <v>22</v>
      </c>
      <c r="K108" s="1" t="s">
        <v>23</v>
      </c>
      <c r="L108" s="2" t="s">
        <v>135</v>
      </c>
      <c r="M108" s="1" t="s">
        <v>20</v>
      </c>
    </row>
    <row r="109" ht="15.75" customHeight="1">
      <c r="A109" s="2" t="s">
        <v>205</v>
      </c>
      <c r="B109" s="1" t="s">
        <v>41</v>
      </c>
      <c r="C109" s="1" t="s">
        <v>15</v>
      </c>
      <c r="D109" s="3">
        <v>70000.0</v>
      </c>
      <c r="E109" s="2" t="s">
        <v>21</v>
      </c>
      <c r="F109" s="1" t="s">
        <v>18</v>
      </c>
      <c r="G109" s="1" t="s">
        <v>36</v>
      </c>
      <c r="H109" s="1" t="s">
        <v>25</v>
      </c>
      <c r="I109" s="2" t="s">
        <v>17</v>
      </c>
      <c r="J109" s="1" t="s">
        <v>43</v>
      </c>
      <c r="K109" s="1" t="s">
        <v>44</v>
      </c>
      <c r="L109" s="2" t="s">
        <v>79</v>
      </c>
      <c r="M109" s="1" t="s">
        <v>25</v>
      </c>
    </row>
    <row r="110" ht="15.75" customHeight="1">
      <c r="A110" s="2" t="s">
        <v>206</v>
      </c>
      <c r="B110" s="1" t="s">
        <v>41</v>
      </c>
      <c r="C110" s="1" t="s">
        <v>15</v>
      </c>
      <c r="D110" s="3">
        <v>40000.0</v>
      </c>
      <c r="E110" s="2" t="s">
        <v>37</v>
      </c>
      <c r="F110" s="1" t="s">
        <v>30</v>
      </c>
      <c r="G110" s="1" t="s">
        <v>31</v>
      </c>
      <c r="H110" s="1" t="s">
        <v>20</v>
      </c>
      <c r="I110" s="2" t="s">
        <v>37</v>
      </c>
      <c r="J110" s="1" t="s">
        <v>51</v>
      </c>
      <c r="K110" s="1" t="s">
        <v>23</v>
      </c>
      <c r="L110" s="2" t="s">
        <v>74</v>
      </c>
      <c r="M110" s="1" t="s">
        <v>25</v>
      </c>
    </row>
    <row r="111" ht="15.75" customHeight="1">
      <c r="A111" s="2" t="s">
        <v>207</v>
      </c>
      <c r="B111" s="1" t="s">
        <v>41</v>
      </c>
      <c r="C111" s="1" t="s">
        <v>15</v>
      </c>
      <c r="D111" s="3">
        <v>130000.0</v>
      </c>
      <c r="E111" s="2" t="s">
        <v>17</v>
      </c>
      <c r="F111" s="1" t="s">
        <v>87</v>
      </c>
      <c r="G111" s="1" t="s">
        <v>56</v>
      </c>
      <c r="H111" s="1" t="s">
        <v>25</v>
      </c>
      <c r="I111" s="2" t="s">
        <v>17</v>
      </c>
      <c r="J111" s="1" t="s">
        <v>22</v>
      </c>
      <c r="K111" s="1" t="s">
        <v>44</v>
      </c>
      <c r="L111" s="2" t="s">
        <v>47</v>
      </c>
      <c r="M111" s="1" t="s">
        <v>20</v>
      </c>
    </row>
    <row r="112" ht="15.75" customHeight="1">
      <c r="A112" s="2" t="s">
        <v>208</v>
      </c>
      <c r="B112" s="1" t="s">
        <v>14</v>
      </c>
      <c r="C112" s="1" t="s">
        <v>27</v>
      </c>
      <c r="D112" s="3">
        <v>20000.0</v>
      </c>
      <c r="E112" s="2" t="s">
        <v>21</v>
      </c>
      <c r="F112" s="1" t="s">
        <v>18</v>
      </c>
      <c r="G112" s="1" t="s">
        <v>31</v>
      </c>
      <c r="H112" s="1" t="s">
        <v>20</v>
      </c>
      <c r="I112" s="2" t="s">
        <v>21</v>
      </c>
      <c r="J112" s="1" t="s">
        <v>22</v>
      </c>
      <c r="K112" s="1" t="s">
        <v>44</v>
      </c>
      <c r="L112" s="2" t="s">
        <v>107</v>
      </c>
      <c r="M112" s="1" t="s">
        <v>20</v>
      </c>
    </row>
    <row r="113" ht="15.75" customHeight="1">
      <c r="A113" s="2" t="s">
        <v>209</v>
      </c>
      <c r="B113" s="1" t="s">
        <v>41</v>
      </c>
      <c r="C113" s="1" t="s">
        <v>27</v>
      </c>
      <c r="D113" s="3">
        <v>10000.0</v>
      </c>
      <c r="E113" s="2" t="s">
        <v>21</v>
      </c>
      <c r="F113" s="1" t="s">
        <v>87</v>
      </c>
      <c r="G113" s="1" t="s">
        <v>50</v>
      </c>
      <c r="H113" s="1" t="s">
        <v>25</v>
      </c>
      <c r="I113" s="2" t="s">
        <v>21</v>
      </c>
      <c r="J113" s="1" t="s">
        <v>22</v>
      </c>
      <c r="K113" s="1" t="s">
        <v>23</v>
      </c>
      <c r="L113" s="2" t="s">
        <v>116</v>
      </c>
      <c r="M113" s="1" t="s">
        <v>20</v>
      </c>
    </row>
    <row r="114" ht="15.75" customHeight="1">
      <c r="A114" s="2" t="s">
        <v>210</v>
      </c>
      <c r="B114" s="1" t="s">
        <v>14</v>
      </c>
      <c r="C114" s="1" t="s">
        <v>15</v>
      </c>
      <c r="D114" s="3">
        <v>30000.0</v>
      </c>
      <c r="E114" s="2" t="s">
        <v>17</v>
      </c>
      <c r="F114" s="1" t="s">
        <v>18</v>
      </c>
      <c r="G114" s="1" t="s">
        <v>19</v>
      </c>
      <c r="H114" s="1" t="s">
        <v>20</v>
      </c>
      <c r="I114" s="2" t="s">
        <v>37</v>
      </c>
      <c r="J114" s="1" t="s">
        <v>22</v>
      </c>
      <c r="K114" s="1" t="s">
        <v>23</v>
      </c>
      <c r="L114" s="2" t="s">
        <v>24</v>
      </c>
      <c r="M114" s="1" t="s">
        <v>25</v>
      </c>
    </row>
    <row r="115" ht="15.75" customHeight="1">
      <c r="A115" s="2" t="s">
        <v>212</v>
      </c>
      <c r="B115" s="1" t="s">
        <v>14</v>
      </c>
      <c r="C115" s="1" t="s">
        <v>27</v>
      </c>
      <c r="D115" s="3">
        <v>80000.0</v>
      </c>
      <c r="E115" s="2" t="s">
        <v>35</v>
      </c>
      <c r="F115" s="1" t="s">
        <v>18</v>
      </c>
      <c r="G115" s="1" t="s">
        <v>56</v>
      </c>
      <c r="H115" s="1" t="s">
        <v>20</v>
      </c>
      <c r="I115" s="2" t="s">
        <v>37</v>
      </c>
      <c r="J115" s="1" t="s">
        <v>38</v>
      </c>
      <c r="K115" s="1" t="s">
        <v>23</v>
      </c>
      <c r="L115" s="2" t="s">
        <v>112</v>
      </c>
      <c r="M115" s="1" t="s">
        <v>25</v>
      </c>
    </row>
    <row r="116" ht="15.75" customHeight="1">
      <c r="A116" s="2" t="s">
        <v>213</v>
      </c>
      <c r="B116" s="1" t="s">
        <v>41</v>
      </c>
      <c r="C116" s="1" t="s">
        <v>15</v>
      </c>
      <c r="D116" s="3">
        <v>30000.0</v>
      </c>
      <c r="E116" s="2" t="s">
        <v>21</v>
      </c>
      <c r="F116" s="1" t="s">
        <v>30</v>
      </c>
      <c r="G116" s="1" t="s">
        <v>31</v>
      </c>
      <c r="H116" s="1" t="s">
        <v>25</v>
      </c>
      <c r="I116" s="2" t="s">
        <v>17</v>
      </c>
      <c r="J116" s="1" t="s">
        <v>38</v>
      </c>
      <c r="K116" s="1" t="s">
        <v>23</v>
      </c>
      <c r="L116" s="2" t="s">
        <v>97</v>
      </c>
      <c r="M116" s="1" t="s">
        <v>25</v>
      </c>
    </row>
    <row r="117" ht="15.75" customHeight="1">
      <c r="A117" s="2" t="s">
        <v>214</v>
      </c>
      <c r="B117" s="1" t="s">
        <v>14</v>
      </c>
      <c r="C117" s="1" t="s">
        <v>15</v>
      </c>
      <c r="D117" s="3">
        <v>40000.0</v>
      </c>
      <c r="E117" s="2" t="s">
        <v>37</v>
      </c>
      <c r="F117" s="1" t="s">
        <v>18</v>
      </c>
      <c r="G117" s="1" t="s">
        <v>56</v>
      </c>
      <c r="H117" s="1" t="s">
        <v>20</v>
      </c>
      <c r="I117" s="2" t="s">
        <v>37</v>
      </c>
      <c r="J117" s="1" t="s">
        <v>43</v>
      </c>
      <c r="K117" s="1" t="s">
        <v>44</v>
      </c>
      <c r="L117" s="2" t="s">
        <v>128</v>
      </c>
      <c r="M117" s="1" t="s">
        <v>20</v>
      </c>
    </row>
    <row r="118" ht="15.75" customHeight="1">
      <c r="A118" s="2" t="s">
        <v>215</v>
      </c>
      <c r="B118" s="1" t="s">
        <v>14</v>
      </c>
      <c r="C118" s="1" t="s">
        <v>27</v>
      </c>
      <c r="D118" s="3">
        <v>150000.0</v>
      </c>
      <c r="E118" s="2" t="s">
        <v>37</v>
      </c>
      <c r="F118" s="1" t="s">
        <v>55</v>
      </c>
      <c r="G118" s="1" t="s">
        <v>36</v>
      </c>
      <c r="H118" s="1" t="s">
        <v>20</v>
      </c>
      <c r="I118" s="2" t="s">
        <v>57</v>
      </c>
      <c r="J118" s="1" t="s">
        <v>22</v>
      </c>
      <c r="K118" s="1" t="s">
        <v>23</v>
      </c>
      <c r="L118" s="2" t="s">
        <v>125</v>
      </c>
      <c r="M118" s="1" t="s">
        <v>25</v>
      </c>
    </row>
    <row r="119" ht="15.75" customHeight="1">
      <c r="A119" s="2" t="s">
        <v>217</v>
      </c>
      <c r="B119" s="1" t="s">
        <v>41</v>
      </c>
      <c r="C119" s="1" t="s">
        <v>15</v>
      </c>
      <c r="D119" s="3">
        <v>80000.0</v>
      </c>
      <c r="E119" s="2" t="s">
        <v>21</v>
      </c>
      <c r="F119" s="1" t="s">
        <v>18</v>
      </c>
      <c r="G119" s="1" t="s">
        <v>36</v>
      </c>
      <c r="H119" s="1" t="s">
        <v>25</v>
      </c>
      <c r="I119" s="2" t="s">
        <v>29</v>
      </c>
      <c r="J119" s="1" t="s">
        <v>69</v>
      </c>
      <c r="K119" s="1" t="s">
        <v>44</v>
      </c>
      <c r="L119" s="2" t="s">
        <v>109</v>
      </c>
      <c r="M119" s="1" t="s">
        <v>25</v>
      </c>
    </row>
    <row r="120" ht="15.75" customHeight="1">
      <c r="A120" s="2" t="s">
        <v>218</v>
      </c>
      <c r="B120" s="1" t="s">
        <v>41</v>
      </c>
      <c r="C120" s="1" t="s">
        <v>15</v>
      </c>
      <c r="D120" s="3">
        <v>100000.0</v>
      </c>
      <c r="E120" s="2" t="s">
        <v>29</v>
      </c>
      <c r="F120" s="1" t="s">
        <v>30</v>
      </c>
      <c r="G120" s="1" t="s">
        <v>56</v>
      </c>
      <c r="H120" s="1" t="s">
        <v>25</v>
      </c>
      <c r="I120" s="2" t="s">
        <v>57</v>
      </c>
      <c r="J120" s="1" t="s">
        <v>43</v>
      </c>
      <c r="K120" s="1" t="s">
        <v>23</v>
      </c>
      <c r="L120" s="2" t="s">
        <v>91</v>
      </c>
      <c r="M120" s="1" t="s">
        <v>25</v>
      </c>
    </row>
    <row r="121" ht="15.75" customHeight="1">
      <c r="A121" s="2" t="s">
        <v>219</v>
      </c>
      <c r="B121" s="1" t="s">
        <v>41</v>
      </c>
      <c r="C121" s="1" t="s">
        <v>15</v>
      </c>
      <c r="D121" s="3">
        <v>40000.0</v>
      </c>
      <c r="E121" s="2" t="s">
        <v>21</v>
      </c>
      <c r="F121" s="1" t="s">
        <v>18</v>
      </c>
      <c r="G121" s="1" t="s">
        <v>31</v>
      </c>
      <c r="H121" s="1" t="s">
        <v>25</v>
      </c>
      <c r="I121" s="2" t="s">
        <v>21</v>
      </c>
      <c r="J121" s="1" t="s">
        <v>22</v>
      </c>
      <c r="K121" s="1" t="s">
        <v>23</v>
      </c>
      <c r="L121" s="2" t="s">
        <v>79</v>
      </c>
      <c r="M121" s="1" t="s">
        <v>20</v>
      </c>
    </row>
    <row r="122" ht="15.75" customHeight="1">
      <c r="A122" s="2" t="s">
        <v>220</v>
      </c>
      <c r="B122" s="1" t="s">
        <v>14</v>
      </c>
      <c r="C122" s="1" t="s">
        <v>27</v>
      </c>
      <c r="D122" s="3">
        <v>80000.0</v>
      </c>
      <c r="E122" s="2" t="s">
        <v>35</v>
      </c>
      <c r="F122" s="1" t="s">
        <v>18</v>
      </c>
      <c r="G122" s="1" t="s">
        <v>36</v>
      </c>
      <c r="H122" s="1" t="s">
        <v>20</v>
      </c>
      <c r="I122" s="2" t="s">
        <v>57</v>
      </c>
      <c r="J122" s="1" t="s">
        <v>51</v>
      </c>
      <c r="K122" s="1" t="s">
        <v>44</v>
      </c>
      <c r="L122" s="2" t="s">
        <v>100</v>
      </c>
      <c r="M122" s="1" t="s">
        <v>25</v>
      </c>
    </row>
    <row r="123" ht="15.75" customHeight="1">
      <c r="A123" s="2" t="s">
        <v>221</v>
      </c>
      <c r="B123" s="1" t="s">
        <v>41</v>
      </c>
      <c r="C123" s="1" t="s">
        <v>27</v>
      </c>
      <c r="D123" s="3">
        <v>30000.0</v>
      </c>
      <c r="E123" s="2" t="s">
        <v>21</v>
      </c>
      <c r="F123" s="1" t="s">
        <v>30</v>
      </c>
      <c r="G123" s="1" t="s">
        <v>31</v>
      </c>
      <c r="H123" s="1" t="s">
        <v>20</v>
      </c>
      <c r="I123" s="2" t="s">
        <v>17</v>
      </c>
      <c r="J123" s="1" t="s">
        <v>38</v>
      </c>
      <c r="K123" s="1" t="s">
        <v>23</v>
      </c>
      <c r="L123" s="2" t="s">
        <v>104</v>
      </c>
      <c r="M123" s="1" t="s">
        <v>25</v>
      </c>
    </row>
    <row r="124" ht="15.75" customHeight="1">
      <c r="A124" s="2" t="s">
        <v>222</v>
      </c>
      <c r="B124" s="1" t="s">
        <v>14</v>
      </c>
      <c r="C124" s="1" t="s">
        <v>27</v>
      </c>
      <c r="D124" s="3">
        <v>30000.0</v>
      </c>
      <c r="E124" s="2" t="s">
        <v>17</v>
      </c>
      <c r="F124" s="1" t="s">
        <v>18</v>
      </c>
      <c r="G124" s="1" t="s">
        <v>31</v>
      </c>
      <c r="H124" s="1" t="s">
        <v>20</v>
      </c>
      <c r="I124" s="2" t="s">
        <v>17</v>
      </c>
      <c r="J124" s="1" t="s">
        <v>38</v>
      </c>
      <c r="K124" s="1" t="s">
        <v>23</v>
      </c>
      <c r="L124" s="2" t="s">
        <v>135</v>
      </c>
      <c r="M124" s="1" t="s">
        <v>25</v>
      </c>
    </row>
    <row r="125" ht="15.75" customHeight="1">
      <c r="A125" s="2" t="s">
        <v>223</v>
      </c>
      <c r="B125" s="1" t="s">
        <v>41</v>
      </c>
      <c r="C125" s="1" t="s">
        <v>27</v>
      </c>
      <c r="D125" s="3">
        <v>10000.0</v>
      </c>
      <c r="E125" s="2" t="s">
        <v>37</v>
      </c>
      <c r="F125" s="1" t="s">
        <v>30</v>
      </c>
      <c r="G125" s="1" t="s">
        <v>50</v>
      </c>
      <c r="H125" s="1" t="s">
        <v>20</v>
      </c>
      <c r="I125" s="2" t="s">
        <v>17</v>
      </c>
      <c r="J125" s="1" t="s">
        <v>22</v>
      </c>
      <c r="K125" s="1" t="s">
        <v>23</v>
      </c>
      <c r="L125" s="2" t="s">
        <v>132</v>
      </c>
      <c r="M125" s="1" t="s">
        <v>20</v>
      </c>
    </row>
    <row r="126" ht="15.75" customHeight="1">
      <c r="A126" s="2" t="s">
        <v>224</v>
      </c>
      <c r="B126" s="1" t="s">
        <v>41</v>
      </c>
      <c r="C126" s="1" t="s">
        <v>27</v>
      </c>
      <c r="D126" s="3">
        <v>10000.0</v>
      </c>
      <c r="E126" s="2" t="s">
        <v>29</v>
      </c>
      <c r="F126" s="1" t="s">
        <v>55</v>
      </c>
      <c r="G126" s="1" t="s">
        <v>50</v>
      </c>
      <c r="H126" s="1" t="s">
        <v>20</v>
      </c>
      <c r="I126" s="2" t="s">
        <v>17</v>
      </c>
      <c r="J126" s="1" t="s">
        <v>22</v>
      </c>
      <c r="K126" s="1" t="s">
        <v>23</v>
      </c>
      <c r="L126" s="2" t="s">
        <v>135</v>
      </c>
      <c r="M126" s="1" t="s">
        <v>20</v>
      </c>
    </row>
    <row r="127" ht="15.75" customHeight="1">
      <c r="A127" s="2" t="s">
        <v>225</v>
      </c>
      <c r="B127" s="1" t="s">
        <v>14</v>
      </c>
      <c r="C127" s="1" t="s">
        <v>27</v>
      </c>
      <c r="D127" s="3">
        <v>60000.0</v>
      </c>
      <c r="E127" s="2" t="s">
        <v>37</v>
      </c>
      <c r="F127" s="1" t="s">
        <v>18</v>
      </c>
      <c r="G127" s="1" t="s">
        <v>36</v>
      </c>
      <c r="H127" s="1" t="s">
        <v>20</v>
      </c>
      <c r="I127" s="2" t="s">
        <v>17</v>
      </c>
      <c r="J127" s="1" t="s">
        <v>38</v>
      </c>
      <c r="K127" s="1" t="s">
        <v>44</v>
      </c>
      <c r="L127" s="2" t="s">
        <v>153</v>
      </c>
      <c r="M127" s="1" t="s">
        <v>25</v>
      </c>
    </row>
    <row r="128" ht="15.75" customHeight="1">
      <c r="A128" s="2" t="s">
        <v>226</v>
      </c>
      <c r="B128" s="1" t="s">
        <v>14</v>
      </c>
      <c r="C128" s="1" t="s">
        <v>27</v>
      </c>
      <c r="D128" s="3">
        <v>90000.0</v>
      </c>
      <c r="E128" s="2" t="s">
        <v>57</v>
      </c>
      <c r="F128" s="1" t="s">
        <v>55</v>
      </c>
      <c r="G128" s="1" t="s">
        <v>56</v>
      </c>
      <c r="H128" s="1" t="s">
        <v>20</v>
      </c>
      <c r="I128" s="2" t="s">
        <v>29</v>
      </c>
      <c r="J128" s="1" t="s">
        <v>43</v>
      </c>
      <c r="K128" s="1" t="s">
        <v>23</v>
      </c>
      <c r="L128" s="2" t="s">
        <v>91</v>
      </c>
      <c r="M128" s="1" t="s">
        <v>20</v>
      </c>
    </row>
    <row r="129" ht="15.75" customHeight="1">
      <c r="A129" s="2" t="s">
        <v>227</v>
      </c>
      <c r="B129" s="1" t="s">
        <v>14</v>
      </c>
      <c r="C129" s="1" t="s">
        <v>27</v>
      </c>
      <c r="D129" s="3">
        <v>40000.0</v>
      </c>
      <c r="E129" s="2" t="s">
        <v>21</v>
      </c>
      <c r="F129" s="1" t="s">
        <v>18</v>
      </c>
      <c r="G129" s="1" t="s">
        <v>36</v>
      </c>
      <c r="H129" s="1" t="s">
        <v>20</v>
      </c>
      <c r="I129" s="2" t="s">
        <v>21</v>
      </c>
      <c r="J129" s="1" t="s">
        <v>22</v>
      </c>
      <c r="K129" s="1" t="s">
        <v>23</v>
      </c>
      <c r="L129" s="2" t="s">
        <v>100</v>
      </c>
      <c r="M129" s="1" t="s">
        <v>20</v>
      </c>
    </row>
    <row r="130" ht="15.75" customHeight="1">
      <c r="A130" s="2" t="s">
        <v>228</v>
      </c>
      <c r="B130" s="1" t="s">
        <v>41</v>
      </c>
      <c r="C130" s="1" t="s">
        <v>27</v>
      </c>
      <c r="D130" s="3">
        <v>40000.0</v>
      </c>
      <c r="E130" s="2" t="s">
        <v>37</v>
      </c>
      <c r="F130" s="1" t="s">
        <v>18</v>
      </c>
      <c r="G130" s="1" t="s">
        <v>56</v>
      </c>
      <c r="H130" s="1" t="s">
        <v>20</v>
      </c>
      <c r="I130" s="2" t="s">
        <v>37</v>
      </c>
      <c r="J130" s="1" t="s">
        <v>43</v>
      </c>
      <c r="K130" s="1" t="s">
        <v>44</v>
      </c>
      <c r="L130" s="2" t="s">
        <v>122</v>
      </c>
      <c r="M130" s="1" t="s">
        <v>20</v>
      </c>
    </row>
    <row r="131" ht="15.75" customHeight="1">
      <c r="A131" s="2" t="s">
        <v>229</v>
      </c>
      <c r="B131" s="1" t="s">
        <v>41</v>
      </c>
      <c r="C131" s="1" t="s">
        <v>15</v>
      </c>
      <c r="D131" s="3">
        <v>30000.0</v>
      </c>
      <c r="E131" s="2" t="s">
        <v>37</v>
      </c>
      <c r="F131" s="1" t="s">
        <v>30</v>
      </c>
      <c r="G131" s="1" t="s">
        <v>31</v>
      </c>
      <c r="H131" s="1" t="s">
        <v>20</v>
      </c>
      <c r="I131" s="2" t="s">
        <v>37</v>
      </c>
      <c r="J131" s="1" t="s">
        <v>22</v>
      </c>
      <c r="K131" s="1" t="s">
        <v>23</v>
      </c>
      <c r="L131" s="2" t="s">
        <v>24</v>
      </c>
      <c r="M131" s="1" t="s">
        <v>25</v>
      </c>
    </row>
    <row r="132" ht="15.75" customHeight="1">
      <c r="A132" s="2" t="s">
        <v>230</v>
      </c>
      <c r="B132" s="1" t="s">
        <v>14</v>
      </c>
      <c r="C132" s="1" t="s">
        <v>27</v>
      </c>
      <c r="D132" s="3">
        <v>10000.0</v>
      </c>
      <c r="E132" s="2" t="s">
        <v>37</v>
      </c>
      <c r="F132" s="1" t="s">
        <v>30</v>
      </c>
      <c r="G132" s="1" t="s">
        <v>50</v>
      </c>
      <c r="H132" s="1" t="s">
        <v>20</v>
      </c>
      <c r="I132" s="2" t="s">
        <v>17</v>
      </c>
      <c r="J132" s="1" t="s">
        <v>38</v>
      </c>
      <c r="K132" s="1" t="s">
        <v>23</v>
      </c>
      <c r="L132" s="2" t="s">
        <v>132</v>
      </c>
      <c r="M132" s="1" t="s">
        <v>25</v>
      </c>
    </row>
    <row r="133" ht="15.75" customHeight="1">
      <c r="A133" s="2" t="s">
        <v>231</v>
      </c>
      <c r="B133" s="1" t="s">
        <v>41</v>
      </c>
      <c r="C133" s="1" t="s">
        <v>15</v>
      </c>
      <c r="D133" s="3">
        <v>10000.0</v>
      </c>
      <c r="E133" s="2" t="s">
        <v>17</v>
      </c>
      <c r="F133" s="1" t="s">
        <v>55</v>
      </c>
      <c r="G133" s="1" t="s">
        <v>50</v>
      </c>
      <c r="H133" s="1" t="s">
        <v>25</v>
      </c>
      <c r="I133" s="2" t="s">
        <v>17</v>
      </c>
      <c r="J133" s="1" t="s">
        <v>43</v>
      </c>
      <c r="K133" s="1" t="s">
        <v>23</v>
      </c>
      <c r="L133" s="2" t="s">
        <v>74</v>
      </c>
      <c r="M133" s="1" t="s">
        <v>20</v>
      </c>
    </row>
    <row r="134" ht="15.75" customHeight="1">
      <c r="A134" s="2" t="s">
        <v>232</v>
      </c>
      <c r="B134" s="1" t="s">
        <v>41</v>
      </c>
      <c r="C134" s="1" t="s">
        <v>27</v>
      </c>
      <c r="D134" s="3">
        <v>20000.0</v>
      </c>
      <c r="E134" s="2" t="s">
        <v>37</v>
      </c>
      <c r="F134" s="1" t="s">
        <v>55</v>
      </c>
      <c r="G134" s="1" t="s">
        <v>50</v>
      </c>
      <c r="H134" s="1" t="s">
        <v>20</v>
      </c>
      <c r="I134" s="2" t="s">
        <v>37</v>
      </c>
      <c r="J134" s="1" t="s">
        <v>22</v>
      </c>
      <c r="K134" s="1" t="s">
        <v>23</v>
      </c>
      <c r="L134" s="2" t="s">
        <v>24</v>
      </c>
      <c r="M134" s="1" t="s">
        <v>25</v>
      </c>
    </row>
    <row r="135" ht="15.75" customHeight="1">
      <c r="A135" s="2" t="s">
        <v>233</v>
      </c>
      <c r="B135" s="1" t="s">
        <v>14</v>
      </c>
      <c r="C135" s="1" t="s">
        <v>15</v>
      </c>
      <c r="D135" s="3">
        <v>20000.0</v>
      </c>
      <c r="E135" s="2" t="s">
        <v>37</v>
      </c>
      <c r="F135" s="1" t="s">
        <v>62</v>
      </c>
      <c r="G135" s="1" t="s">
        <v>31</v>
      </c>
      <c r="H135" s="1" t="s">
        <v>20</v>
      </c>
      <c r="I135" s="2" t="s">
        <v>37</v>
      </c>
      <c r="J135" s="1" t="s">
        <v>43</v>
      </c>
      <c r="K135" s="1" t="s">
        <v>44</v>
      </c>
      <c r="L135" s="2" t="s">
        <v>72</v>
      </c>
      <c r="M135" s="1" t="s">
        <v>20</v>
      </c>
    </row>
    <row r="136" ht="15.75" customHeight="1">
      <c r="A136" s="2" t="s">
        <v>234</v>
      </c>
      <c r="B136" s="1" t="s">
        <v>41</v>
      </c>
      <c r="C136" s="1" t="s">
        <v>15</v>
      </c>
      <c r="D136" s="3">
        <v>30000.0</v>
      </c>
      <c r="E136" s="2" t="s">
        <v>37</v>
      </c>
      <c r="F136" s="1" t="s">
        <v>30</v>
      </c>
      <c r="G136" s="1" t="s">
        <v>31</v>
      </c>
      <c r="H136" s="1" t="s">
        <v>25</v>
      </c>
      <c r="I136" s="2" t="s">
        <v>37</v>
      </c>
      <c r="J136" s="1" t="s">
        <v>43</v>
      </c>
      <c r="K136" s="1" t="s">
        <v>44</v>
      </c>
      <c r="L136" s="2" t="s">
        <v>39</v>
      </c>
      <c r="M136" s="1" t="s">
        <v>20</v>
      </c>
    </row>
    <row r="137" ht="15.75" customHeight="1">
      <c r="A137" s="2" t="s">
        <v>235</v>
      </c>
      <c r="B137" s="1" t="s">
        <v>41</v>
      </c>
      <c r="C137" s="1" t="s">
        <v>27</v>
      </c>
      <c r="D137" s="3">
        <v>40000.0</v>
      </c>
      <c r="E137" s="2" t="s">
        <v>21</v>
      </c>
      <c r="F137" s="1" t="s">
        <v>18</v>
      </c>
      <c r="G137" s="1" t="s">
        <v>36</v>
      </c>
      <c r="H137" s="1" t="s">
        <v>25</v>
      </c>
      <c r="I137" s="2" t="s">
        <v>21</v>
      </c>
      <c r="J137" s="1" t="s">
        <v>22</v>
      </c>
      <c r="K137" s="1" t="s">
        <v>23</v>
      </c>
      <c r="L137" s="2" t="s">
        <v>100</v>
      </c>
      <c r="M137" s="1" t="s">
        <v>20</v>
      </c>
    </row>
    <row r="138" ht="15.75" customHeight="1">
      <c r="A138" s="2" t="s">
        <v>236</v>
      </c>
      <c r="B138" s="1" t="s">
        <v>41</v>
      </c>
      <c r="C138" s="1" t="s">
        <v>15</v>
      </c>
      <c r="D138" s="3">
        <v>10000.0</v>
      </c>
      <c r="E138" s="2" t="s">
        <v>21</v>
      </c>
      <c r="F138" s="1" t="s">
        <v>30</v>
      </c>
      <c r="G138" s="1" t="s">
        <v>50</v>
      </c>
      <c r="H138" s="1" t="s">
        <v>25</v>
      </c>
      <c r="I138" s="2" t="s">
        <v>17</v>
      </c>
      <c r="J138" s="1" t="s">
        <v>22</v>
      </c>
      <c r="K138" s="1" t="s">
        <v>44</v>
      </c>
      <c r="L138" s="2" t="s">
        <v>107</v>
      </c>
      <c r="M138" s="1" t="s">
        <v>20</v>
      </c>
    </row>
    <row r="139" ht="15.75" customHeight="1">
      <c r="A139" s="2" t="s">
        <v>237</v>
      </c>
      <c r="B139" s="1" t="s">
        <v>14</v>
      </c>
      <c r="C139" s="1" t="s">
        <v>27</v>
      </c>
      <c r="D139" s="3">
        <v>40000.0</v>
      </c>
      <c r="E139" s="2" t="s">
        <v>17</v>
      </c>
      <c r="F139" s="1" t="s">
        <v>18</v>
      </c>
      <c r="G139" s="1" t="s">
        <v>19</v>
      </c>
      <c r="H139" s="1" t="s">
        <v>20</v>
      </c>
      <c r="I139" s="2" t="s">
        <v>21</v>
      </c>
      <c r="J139" s="1" t="s">
        <v>22</v>
      </c>
      <c r="K139" s="1" t="s">
        <v>23</v>
      </c>
      <c r="L139" s="2" t="s">
        <v>24</v>
      </c>
      <c r="M139" s="1" t="s">
        <v>20</v>
      </c>
    </row>
    <row r="140" ht="15.75" customHeight="1">
      <c r="A140" s="2" t="s">
        <v>238</v>
      </c>
      <c r="B140" s="1" t="s">
        <v>14</v>
      </c>
      <c r="C140" s="1" t="s">
        <v>15</v>
      </c>
      <c r="D140" s="3">
        <v>80000.0</v>
      </c>
      <c r="E140" s="2" t="s">
        <v>21</v>
      </c>
      <c r="F140" s="1" t="s">
        <v>18</v>
      </c>
      <c r="G140" s="1" t="s">
        <v>36</v>
      </c>
      <c r="H140" s="1" t="s">
        <v>20</v>
      </c>
      <c r="I140" s="2" t="s">
        <v>29</v>
      </c>
      <c r="J140" s="1" t="s">
        <v>69</v>
      </c>
      <c r="K140" s="1" t="s">
        <v>44</v>
      </c>
      <c r="L140" s="2" t="s">
        <v>104</v>
      </c>
      <c r="M140" s="1" t="s">
        <v>25</v>
      </c>
    </row>
    <row r="141" ht="15.75" customHeight="1">
      <c r="A141" s="2" t="s">
        <v>239</v>
      </c>
      <c r="B141" s="1" t="s">
        <v>41</v>
      </c>
      <c r="C141" s="1" t="s">
        <v>27</v>
      </c>
      <c r="D141" s="3">
        <v>30000.0</v>
      </c>
      <c r="E141" s="2" t="s">
        <v>17</v>
      </c>
      <c r="F141" s="1" t="s">
        <v>18</v>
      </c>
      <c r="G141" s="1" t="s">
        <v>31</v>
      </c>
      <c r="H141" s="1" t="s">
        <v>20</v>
      </c>
      <c r="I141" s="2" t="s">
        <v>21</v>
      </c>
      <c r="J141" s="1" t="s">
        <v>51</v>
      </c>
      <c r="K141" s="1" t="s">
        <v>23</v>
      </c>
      <c r="L141" s="2" t="s">
        <v>153</v>
      </c>
      <c r="M141" s="1" t="s">
        <v>20</v>
      </c>
    </row>
    <row r="142" ht="15.75" customHeight="1">
      <c r="A142" s="2" t="s">
        <v>240</v>
      </c>
      <c r="B142" s="1" t="s">
        <v>14</v>
      </c>
      <c r="C142" s="1" t="s">
        <v>15</v>
      </c>
      <c r="D142" s="3">
        <v>40000.0</v>
      </c>
      <c r="E142" s="2" t="s">
        <v>37</v>
      </c>
      <c r="F142" s="1" t="s">
        <v>30</v>
      </c>
      <c r="G142" s="1" t="s">
        <v>31</v>
      </c>
      <c r="H142" s="1" t="s">
        <v>25</v>
      </c>
      <c r="I142" s="2" t="s">
        <v>17</v>
      </c>
      <c r="J142" s="1" t="s">
        <v>22</v>
      </c>
      <c r="K142" s="1" t="s">
        <v>23</v>
      </c>
      <c r="L142" s="2" t="s">
        <v>93</v>
      </c>
      <c r="M142" s="1" t="s">
        <v>25</v>
      </c>
    </row>
    <row r="143" ht="15.75" customHeight="1">
      <c r="A143" s="2" t="s">
        <v>241</v>
      </c>
      <c r="B143" s="1" t="s">
        <v>14</v>
      </c>
      <c r="C143" s="1" t="s">
        <v>27</v>
      </c>
      <c r="D143" s="3">
        <v>40000.0</v>
      </c>
      <c r="E143" s="2" t="s">
        <v>21</v>
      </c>
      <c r="F143" s="1" t="s">
        <v>87</v>
      </c>
      <c r="G143" s="1" t="s">
        <v>31</v>
      </c>
      <c r="H143" s="1" t="s">
        <v>20</v>
      </c>
      <c r="I143" s="2" t="s">
        <v>21</v>
      </c>
      <c r="J143" s="1" t="s">
        <v>22</v>
      </c>
      <c r="K143" s="1" t="s">
        <v>23</v>
      </c>
      <c r="L143" s="2" t="s">
        <v>153</v>
      </c>
      <c r="M143" s="1" t="s">
        <v>20</v>
      </c>
    </row>
    <row r="144" ht="15.75" customHeight="1">
      <c r="A144" s="2" t="s">
        <v>242</v>
      </c>
      <c r="B144" s="1" t="s">
        <v>14</v>
      </c>
      <c r="C144" s="1" t="s">
        <v>15</v>
      </c>
      <c r="D144" s="3">
        <v>40000.0</v>
      </c>
      <c r="E144" s="2" t="s">
        <v>21</v>
      </c>
      <c r="F144" s="1" t="s">
        <v>18</v>
      </c>
      <c r="G144" s="1" t="s">
        <v>36</v>
      </c>
      <c r="H144" s="1" t="s">
        <v>25</v>
      </c>
      <c r="I144" s="2" t="s">
        <v>21</v>
      </c>
      <c r="J144" s="1" t="s">
        <v>22</v>
      </c>
      <c r="K144" s="1" t="s">
        <v>23</v>
      </c>
      <c r="L144" s="2" t="s">
        <v>100</v>
      </c>
      <c r="M144" s="1" t="s">
        <v>20</v>
      </c>
    </row>
    <row r="145" ht="15.75" customHeight="1">
      <c r="A145" s="2" t="s">
        <v>243</v>
      </c>
      <c r="B145" s="1" t="s">
        <v>14</v>
      </c>
      <c r="C145" s="1" t="s">
        <v>27</v>
      </c>
      <c r="D145" s="3">
        <v>20000.0</v>
      </c>
      <c r="E145" s="2" t="s">
        <v>57</v>
      </c>
      <c r="F145" s="1" t="s">
        <v>55</v>
      </c>
      <c r="G145" s="1" t="s">
        <v>19</v>
      </c>
      <c r="H145" s="1" t="s">
        <v>20</v>
      </c>
      <c r="I145" s="2" t="s">
        <v>37</v>
      </c>
      <c r="J145" s="1" t="s">
        <v>43</v>
      </c>
      <c r="K145" s="1" t="s">
        <v>44</v>
      </c>
      <c r="L145" s="2" t="s">
        <v>39</v>
      </c>
      <c r="M145" s="1" t="s">
        <v>25</v>
      </c>
    </row>
    <row r="146" ht="15.75" customHeight="1">
      <c r="A146" s="2" t="s">
        <v>244</v>
      </c>
      <c r="B146" s="1" t="s">
        <v>41</v>
      </c>
      <c r="C146" s="1" t="s">
        <v>27</v>
      </c>
      <c r="D146" s="3">
        <v>30000.0</v>
      </c>
      <c r="E146" s="2" t="s">
        <v>21</v>
      </c>
      <c r="F146" s="1" t="s">
        <v>30</v>
      </c>
      <c r="G146" s="1" t="s">
        <v>31</v>
      </c>
      <c r="H146" s="1" t="s">
        <v>25</v>
      </c>
      <c r="I146" s="2" t="s">
        <v>17</v>
      </c>
      <c r="J146" s="1" t="s">
        <v>51</v>
      </c>
      <c r="K146" s="1" t="s">
        <v>23</v>
      </c>
      <c r="L146" s="2" t="s">
        <v>245</v>
      </c>
      <c r="M146" s="1" t="s">
        <v>25</v>
      </c>
    </row>
    <row r="147" ht="15.75" customHeight="1">
      <c r="A147" s="2" t="s">
        <v>246</v>
      </c>
      <c r="B147" s="1" t="s">
        <v>1111</v>
      </c>
      <c r="C147" s="1" t="s">
        <v>27</v>
      </c>
      <c r="D147" s="3">
        <v>60000.0</v>
      </c>
      <c r="E147" s="2" t="s">
        <v>17</v>
      </c>
      <c r="F147" s="1" t="s">
        <v>30</v>
      </c>
      <c r="G147" s="1" t="s">
        <v>19</v>
      </c>
      <c r="H147" s="1" t="s">
        <v>20</v>
      </c>
      <c r="I147" s="2" t="s">
        <v>17</v>
      </c>
      <c r="J147" s="1" t="s">
        <v>43</v>
      </c>
      <c r="K147" s="1" t="s">
        <v>44</v>
      </c>
      <c r="L147" s="2" t="s">
        <v>32</v>
      </c>
      <c r="M147" s="1" t="s">
        <v>20</v>
      </c>
    </row>
    <row r="148" ht="15.75" customHeight="1">
      <c r="A148" s="2" t="s">
        <v>247</v>
      </c>
      <c r="B148" s="1" t="s">
        <v>41</v>
      </c>
      <c r="C148" s="1" t="s">
        <v>27</v>
      </c>
      <c r="D148" s="3">
        <v>100000.0</v>
      </c>
      <c r="E148" s="2" t="s">
        <v>17</v>
      </c>
      <c r="F148" s="1" t="s">
        <v>18</v>
      </c>
      <c r="G148" s="1" t="s">
        <v>56</v>
      </c>
      <c r="H148" s="1" t="s">
        <v>25</v>
      </c>
      <c r="I148" s="2" t="s">
        <v>29</v>
      </c>
      <c r="J148" s="1" t="s">
        <v>22</v>
      </c>
      <c r="K148" s="1" t="s">
        <v>44</v>
      </c>
      <c r="L148" s="2" t="s">
        <v>125</v>
      </c>
      <c r="M148" s="1" t="s">
        <v>25</v>
      </c>
    </row>
    <row r="149" ht="15.75" customHeight="1">
      <c r="A149" s="2" t="s">
        <v>248</v>
      </c>
      <c r="B149" s="1" t="s">
        <v>41</v>
      </c>
      <c r="C149" s="1" t="s">
        <v>15</v>
      </c>
      <c r="D149" s="3">
        <v>20000.0</v>
      </c>
      <c r="E149" s="2" t="s">
        <v>21</v>
      </c>
      <c r="F149" s="1" t="s">
        <v>62</v>
      </c>
      <c r="G149" s="1" t="s">
        <v>50</v>
      </c>
      <c r="H149" s="1" t="s">
        <v>25</v>
      </c>
      <c r="I149" s="2" t="s">
        <v>37</v>
      </c>
      <c r="J149" s="1" t="s">
        <v>51</v>
      </c>
      <c r="K149" s="1" t="s">
        <v>23</v>
      </c>
      <c r="L149" s="2" t="s">
        <v>104</v>
      </c>
      <c r="M149" s="1" t="s">
        <v>25</v>
      </c>
    </row>
    <row r="150" ht="15.75" customHeight="1">
      <c r="A150" s="2" t="s">
        <v>249</v>
      </c>
      <c r="B150" s="1" t="s">
        <v>14</v>
      </c>
      <c r="C150" s="1" t="s">
        <v>27</v>
      </c>
      <c r="D150" s="3">
        <v>100000.0</v>
      </c>
      <c r="E150" s="2" t="s">
        <v>17</v>
      </c>
      <c r="F150" s="1" t="s">
        <v>18</v>
      </c>
      <c r="G150" s="1" t="s">
        <v>56</v>
      </c>
      <c r="H150" s="1" t="s">
        <v>20</v>
      </c>
      <c r="I150" s="2" t="s">
        <v>29</v>
      </c>
      <c r="J150" s="1" t="s">
        <v>38</v>
      </c>
      <c r="K150" s="1" t="s">
        <v>44</v>
      </c>
      <c r="L150" s="2" t="s">
        <v>83</v>
      </c>
      <c r="M150" s="1" t="s">
        <v>25</v>
      </c>
    </row>
    <row r="151" ht="15.75" customHeight="1">
      <c r="A151" s="2" t="s">
        <v>250</v>
      </c>
      <c r="B151" s="1" t="s">
        <v>41</v>
      </c>
      <c r="C151" s="1" t="s">
        <v>1111</v>
      </c>
      <c r="D151" s="3">
        <v>80000.0</v>
      </c>
      <c r="E151" s="2" t="s">
        <v>35</v>
      </c>
      <c r="F151" s="1" t="s">
        <v>87</v>
      </c>
      <c r="G151" s="1" t="s">
        <v>56</v>
      </c>
      <c r="H151" s="1" t="s">
        <v>20</v>
      </c>
      <c r="I151" s="2" t="s">
        <v>29</v>
      </c>
      <c r="J151" s="1" t="s">
        <v>22</v>
      </c>
      <c r="K151" s="1" t="s">
        <v>44</v>
      </c>
      <c r="L151" s="2" t="s">
        <v>100</v>
      </c>
      <c r="M151" s="1" t="s">
        <v>25</v>
      </c>
    </row>
    <row r="152" ht="15.75" customHeight="1">
      <c r="A152" s="2" t="s">
        <v>251</v>
      </c>
      <c r="B152" s="1" t="s">
        <v>41</v>
      </c>
      <c r="C152" s="1" t="s">
        <v>15</v>
      </c>
      <c r="D152" s="3">
        <v>10000.0</v>
      </c>
      <c r="E152" s="2" t="s">
        <v>57</v>
      </c>
      <c r="F152" s="1" t="s">
        <v>62</v>
      </c>
      <c r="G152" s="1" t="s">
        <v>50</v>
      </c>
      <c r="H152" s="1" t="s">
        <v>20</v>
      </c>
      <c r="I152" s="2" t="s">
        <v>37</v>
      </c>
      <c r="J152" s="1" t="s">
        <v>22</v>
      </c>
      <c r="K152" s="1" t="s">
        <v>23</v>
      </c>
      <c r="L152" s="2" t="s">
        <v>45</v>
      </c>
      <c r="M152" s="1" t="s">
        <v>20</v>
      </c>
    </row>
    <row r="153" ht="15.75" customHeight="1">
      <c r="A153" s="2" t="s">
        <v>252</v>
      </c>
      <c r="B153" s="1" t="s">
        <v>14</v>
      </c>
      <c r="C153" s="1" t="s">
        <v>15</v>
      </c>
      <c r="D153" s="3">
        <v>130000.0</v>
      </c>
      <c r="E153" s="2" t="s">
        <v>35</v>
      </c>
      <c r="F153" s="1" t="s">
        <v>30</v>
      </c>
      <c r="G153" s="1" t="s">
        <v>36</v>
      </c>
      <c r="H153" s="1" t="s">
        <v>20</v>
      </c>
      <c r="I153" s="2" t="s">
        <v>57</v>
      </c>
      <c r="J153" s="1" t="s">
        <v>22</v>
      </c>
      <c r="K153" s="1" t="s">
        <v>23</v>
      </c>
      <c r="L153" s="2" t="s">
        <v>81</v>
      </c>
      <c r="M153" s="1" t="s">
        <v>25</v>
      </c>
    </row>
    <row r="154" ht="15.75" customHeight="1">
      <c r="A154" s="2" t="s">
        <v>253</v>
      </c>
      <c r="B154" s="1" t="s">
        <v>41</v>
      </c>
      <c r="C154" s="1" t="s">
        <v>27</v>
      </c>
      <c r="D154" s="3">
        <v>10000.0</v>
      </c>
      <c r="E154" s="2" t="s">
        <v>37</v>
      </c>
      <c r="F154" s="1" t="s">
        <v>30</v>
      </c>
      <c r="G154" s="1" t="s">
        <v>50</v>
      </c>
      <c r="H154" s="1" t="s">
        <v>25</v>
      </c>
      <c r="I154" s="2" t="s">
        <v>21</v>
      </c>
      <c r="J154" s="1" t="s">
        <v>22</v>
      </c>
      <c r="K154" s="1" t="s">
        <v>23</v>
      </c>
      <c r="L154" s="2" t="s">
        <v>52</v>
      </c>
      <c r="M154" s="1" t="s">
        <v>25</v>
      </c>
    </row>
    <row r="155" ht="15.75" customHeight="1">
      <c r="A155" s="2" t="s">
        <v>254</v>
      </c>
      <c r="B155" s="1" t="s">
        <v>41</v>
      </c>
      <c r="C155" s="1" t="s">
        <v>15</v>
      </c>
      <c r="D155" s="3">
        <v>20000.0</v>
      </c>
      <c r="E155" s="2" t="s">
        <v>37</v>
      </c>
      <c r="F155" s="1" t="s">
        <v>30</v>
      </c>
      <c r="G155" s="1" t="s">
        <v>50</v>
      </c>
      <c r="H155" s="1" t="s">
        <v>25</v>
      </c>
      <c r="I155" s="2" t="s">
        <v>17</v>
      </c>
      <c r="J155" s="1" t="s">
        <v>22</v>
      </c>
      <c r="K155" s="1" t="s">
        <v>23</v>
      </c>
      <c r="L155" s="2" t="s">
        <v>66</v>
      </c>
      <c r="M155" s="1" t="s">
        <v>20</v>
      </c>
    </row>
    <row r="156" ht="15.75" customHeight="1">
      <c r="A156" s="2" t="s">
        <v>255</v>
      </c>
      <c r="B156" s="1" t="s">
        <v>14</v>
      </c>
      <c r="C156" s="1" t="s">
        <v>15</v>
      </c>
      <c r="D156" s="3">
        <v>10000.0</v>
      </c>
      <c r="E156" s="2" t="s">
        <v>17</v>
      </c>
      <c r="F156" s="1" t="s">
        <v>18</v>
      </c>
      <c r="G156" s="1" t="s">
        <v>50</v>
      </c>
      <c r="H156" s="1" t="s">
        <v>20</v>
      </c>
      <c r="I156" s="2" t="s">
        <v>21</v>
      </c>
      <c r="J156" s="1" t="s">
        <v>22</v>
      </c>
      <c r="K156" s="1" t="s">
        <v>23</v>
      </c>
      <c r="L156" s="2" t="s">
        <v>125</v>
      </c>
      <c r="M156" s="1" t="s">
        <v>25</v>
      </c>
    </row>
    <row r="157" ht="15.75" customHeight="1">
      <c r="A157" s="2" t="s">
        <v>256</v>
      </c>
      <c r="B157" s="1" t="s">
        <v>41</v>
      </c>
      <c r="C157" s="1" t="s">
        <v>15</v>
      </c>
      <c r="D157" s="3">
        <v>60000.0</v>
      </c>
      <c r="E157" s="2" t="s">
        <v>17</v>
      </c>
      <c r="F157" s="1" t="s">
        <v>18</v>
      </c>
      <c r="G157" s="1" t="s">
        <v>36</v>
      </c>
      <c r="H157" s="1" t="s">
        <v>20</v>
      </c>
      <c r="I157" s="2" t="s">
        <v>17</v>
      </c>
      <c r="J157" s="1" t="s">
        <v>43</v>
      </c>
      <c r="K157" s="1" t="s">
        <v>44</v>
      </c>
      <c r="L157" s="2" t="s">
        <v>102</v>
      </c>
      <c r="M157" s="1" t="s">
        <v>20</v>
      </c>
    </row>
    <row r="158" ht="15.75" customHeight="1">
      <c r="A158" s="2" t="s">
        <v>257</v>
      </c>
      <c r="B158" s="1" t="s">
        <v>14</v>
      </c>
      <c r="C158" s="1" t="s">
        <v>15</v>
      </c>
      <c r="D158" s="3">
        <v>20000.0</v>
      </c>
      <c r="E158" s="2" t="s">
        <v>37</v>
      </c>
      <c r="F158" s="1" t="s">
        <v>55</v>
      </c>
      <c r="G158" s="1" t="s">
        <v>50</v>
      </c>
      <c r="H158" s="1" t="s">
        <v>20</v>
      </c>
      <c r="I158" s="2" t="s">
        <v>21</v>
      </c>
      <c r="J158" s="1" t="s">
        <v>22</v>
      </c>
      <c r="K158" s="1" t="s">
        <v>23</v>
      </c>
      <c r="L158" s="2" t="s">
        <v>100</v>
      </c>
      <c r="M158" s="1" t="s">
        <v>20</v>
      </c>
    </row>
    <row r="159" ht="15.75" customHeight="1">
      <c r="A159" s="2" t="s">
        <v>258</v>
      </c>
      <c r="B159" s="1" t="s">
        <v>41</v>
      </c>
      <c r="C159" s="1" t="s">
        <v>15</v>
      </c>
      <c r="D159" s="3">
        <v>60000.0</v>
      </c>
      <c r="E159" s="2" t="s">
        <v>37</v>
      </c>
      <c r="F159" s="1" t="s">
        <v>18</v>
      </c>
      <c r="G159" s="1" t="s">
        <v>36</v>
      </c>
      <c r="H159" s="1" t="s">
        <v>25</v>
      </c>
      <c r="I159" s="2" t="s">
        <v>17</v>
      </c>
      <c r="J159" s="1" t="s">
        <v>22</v>
      </c>
      <c r="K159" s="1" t="s">
        <v>44</v>
      </c>
      <c r="L159" s="2" t="s">
        <v>79</v>
      </c>
      <c r="M159" s="1" t="s">
        <v>20</v>
      </c>
    </row>
    <row r="160" ht="15.75" customHeight="1">
      <c r="A160" s="2" t="s">
        <v>259</v>
      </c>
      <c r="B160" s="1" t="s">
        <v>41</v>
      </c>
      <c r="C160" s="1" t="s">
        <v>27</v>
      </c>
      <c r="D160" s="3">
        <v>40000.0</v>
      </c>
      <c r="E160" s="2" t="s">
        <v>37</v>
      </c>
      <c r="F160" s="1" t="s">
        <v>30</v>
      </c>
      <c r="G160" s="1" t="s">
        <v>19</v>
      </c>
      <c r="H160" s="1" t="s">
        <v>25</v>
      </c>
      <c r="I160" s="2" t="s">
        <v>37</v>
      </c>
      <c r="J160" s="1" t="s">
        <v>51</v>
      </c>
      <c r="K160" s="1" t="s">
        <v>44</v>
      </c>
      <c r="L160" s="2" t="s">
        <v>132</v>
      </c>
      <c r="M160" s="1" t="s">
        <v>25</v>
      </c>
    </row>
    <row r="161" ht="15.75" customHeight="1">
      <c r="A161" s="2" t="s">
        <v>260</v>
      </c>
      <c r="B161" s="1" t="s">
        <v>14</v>
      </c>
      <c r="C161" s="1" t="s">
        <v>27</v>
      </c>
      <c r="D161" s="3">
        <v>10000.0</v>
      </c>
      <c r="E161" s="2" t="s">
        <v>21</v>
      </c>
      <c r="F161" s="1" t="s">
        <v>30</v>
      </c>
      <c r="G161" s="1" t="s">
        <v>50</v>
      </c>
      <c r="H161" s="1" t="s">
        <v>20</v>
      </c>
      <c r="I161" s="2" t="s">
        <v>17</v>
      </c>
      <c r="J161" s="1" t="s">
        <v>38</v>
      </c>
      <c r="K161" s="1" t="s">
        <v>44</v>
      </c>
      <c r="L161" s="2" t="s">
        <v>261</v>
      </c>
      <c r="M161" s="1" t="s">
        <v>20</v>
      </c>
    </row>
    <row r="162" ht="15.75" customHeight="1">
      <c r="A162" s="2" t="s">
        <v>262</v>
      </c>
      <c r="B162" s="1" t="s">
        <v>14</v>
      </c>
      <c r="C162" s="1" t="s">
        <v>15</v>
      </c>
      <c r="D162" s="3">
        <v>10000.0</v>
      </c>
      <c r="E162" s="2" t="s">
        <v>21</v>
      </c>
      <c r="F162" s="1" t="s">
        <v>30</v>
      </c>
      <c r="G162" s="1" t="s">
        <v>50</v>
      </c>
      <c r="H162" s="1" t="s">
        <v>25</v>
      </c>
      <c r="I162" s="2" t="s">
        <v>17</v>
      </c>
      <c r="J162" s="1" t="s">
        <v>22</v>
      </c>
      <c r="K162" s="1" t="s">
        <v>44</v>
      </c>
      <c r="L162" s="2" t="s">
        <v>261</v>
      </c>
      <c r="M162" s="1" t="s">
        <v>25</v>
      </c>
    </row>
    <row r="163" ht="15.75" customHeight="1">
      <c r="A163" s="2" t="s">
        <v>263</v>
      </c>
      <c r="B163" s="1" t="s">
        <v>41</v>
      </c>
      <c r="C163" s="1" t="s">
        <v>27</v>
      </c>
      <c r="D163" s="3">
        <v>90000.0</v>
      </c>
      <c r="E163" s="2" t="s">
        <v>17</v>
      </c>
      <c r="F163" s="1" t="s">
        <v>18</v>
      </c>
      <c r="G163" s="1" t="s">
        <v>36</v>
      </c>
      <c r="H163" s="1" t="s">
        <v>20</v>
      </c>
      <c r="I163" s="2" t="s">
        <v>17</v>
      </c>
      <c r="J163" s="1" t="s">
        <v>38</v>
      </c>
      <c r="K163" s="1" t="s">
        <v>44</v>
      </c>
      <c r="L163" s="2" t="s">
        <v>83</v>
      </c>
      <c r="M163" s="1" t="s">
        <v>20</v>
      </c>
    </row>
    <row r="164" ht="15.75" customHeight="1">
      <c r="A164" s="2" t="s">
        <v>264</v>
      </c>
      <c r="B164" s="1" t="s">
        <v>41</v>
      </c>
      <c r="C164" s="1" t="s">
        <v>27</v>
      </c>
      <c r="D164" s="3">
        <v>100000.0</v>
      </c>
      <c r="E164" s="2" t="s">
        <v>21</v>
      </c>
      <c r="F164" s="1" t="s">
        <v>55</v>
      </c>
      <c r="G164" s="1" t="s">
        <v>56</v>
      </c>
      <c r="H164" s="1" t="s">
        <v>20</v>
      </c>
      <c r="I164" s="2" t="s">
        <v>29</v>
      </c>
      <c r="J164" s="1" t="s">
        <v>69</v>
      </c>
      <c r="K164" s="1" t="s">
        <v>44</v>
      </c>
      <c r="L164" s="2" t="s">
        <v>74</v>
      </c>
      <c r="M164" s="1" t="s">
        <v>25</v>
      </c>
    </row>
    <row r="165" ht="15.75" customHeight="1">
      <c r="A165" s="2" t="s">
        <v>265</v>
      </c>
      <c r="B165" s="1" t="s">
        <v>41</v>
      </c>
      <c r="C165" s="1" t="s">
        <v>27</v>
      </c>
      <c r="D165" s="3">
        <v>70000.0</v>
      </c>
      <c r="E165" s="2" t="s">
        <v>21</v>
      </c>
      <c r="F165" s="1" t="s">
        <v>18</v>
      </c>
      <c r="G165" s="1" t="s">
        <v>36</v>
      </c>
      <c r="H165" s="1" t="s">
        <v>25</v>
      </c>
      <c r="I165" s="2" t="s">
        <v>17</v>
      </c>
      <c r="J165" s="1" t="s">
        <v>43</v>
      </c>
      <c r="K165" s="1" t="s">
        <v>44</v>
      </c>
      <c r="L165" s="2" t="s">
        <v>45</v>
      </c>
      <c r="M165" s="1" t="s">
        <v>20</v>
      </c>
    </row>
    <row r="166" ht="15.75" customHeight="1">
      <c r="A166" s="2" t="s">
        <v>266</v>
      </c>
      <c r="B166" s="1" t="s">
        <v>14</v>
      </c>
      <c r="C166" s="1" t="s">
        <v>27</v>
      </c>
      <c r="D166" s="3">
        <v>30000.0</v>
      </c>
      <c r="E166" s="2" t="s">
        <v>17</v>
      </c>
      <c r="F166" s="1" t="s">
        <v>18</v>
      </c>
      <c r="G166" s="1" t="s">
        <v>31</v>
      </c>
      <c r="H166" s="1" t="s">
        <v>20</v>
      </c>
      <c r="I166" s="2" t="s">
        <v>21</v>
      </c>
      <c r="J166" s="1" t="s">
        <v>22</v>
      </c>
      <c r="K166" s="1" t="s">
        <v>23</v>
      </c>
      <c r="L166" s="2" t="s">
        <v>83</v>
      </c>
      <c r="M166" s="1" t="s">
        <v>25</v>
      </c>
    </row>
    <row r="167" ht="15.75" customHeight="1">
      <c r="A167" s="2" t="s">
        <v>267</v>
      </c>
      <c r="B167" s="1" t="s">
        <v>14</v>
      </c>
      <c r="C167" s="1" t="s">
        <v>15</v>
      </c>
      <c r="D167" s="3">
        <v>130000.0</v>
      </c>
      <c r="E167" s="2" t="s">
        <v>57</v>
      </c>
      <c r="F167" s="1" t="s">
        <v>30</v>
      </c>
      <c r="G167" s="1" t="s">
        <v>36</v>
      </c>
      <c r="H167" s="1" t="s">
        <v>20</v>
      </c>
      <c r="I167" s="2" t="s">
        <v>57</v>
      </c>
      <c r="J167" s="1" t="s">
        <v>43</v>
      </c>
      <c r="K167" s="1" t="s">
        <v>23</v>
      </c>
      <c r="L167" s="2" t="s">
        <v>145</v>
      </c>
      <c r="M167" s="1" t="s">
        <v>20</v>
      </c>
    </row>
    <row r="168" ht="15.75" customHeight="1">
      <c r="A168" s="2" t="s">
        <v>268</v>
      </c>
      <c r="B168" s="1" t="s">
        <v>14</v>
      </c>
      <c r="C168" s="1" t="s">
        <v>15</v>
      </c>
      <c r="D168" s="3">
        <v>80000.0</v>
      </c>
      <c r="E168" s="2" t="s">
        <v>35</v>
      </c>
      <c r="F168" s="1" t="s">
        <v>18</v>
      </c>
      <c r="G168" s="1" t="s">
        <v>56</v>
      </c>
      <c r="H168" s="1" t="s">
        <v>20</v>
      </c>
      <c r="I168" s="2" t="s">
        <v>37</v>
      </c>
      <c r="J168" s="1" t="s">
        <v>38</v>
      </c>
      <c r="K168" s="1" t="s">
        <v>23</v>
      </c>
      <c r="L168" s="2" t="s">
        <v>145</v>
      </c>
      <c r="M168" s="1" t="s">
        <v>25</v>
      </c>
    </row>
    <row r="169" ht="15.75" customHeight="1">
      <c r="A169" s="2" t="s">
        <v>269</v>
      </c>
      <c r="B169" s="1" t="s">
        <v>14</v>
      </c>
      <c r="C169" s="1" t="s">
        <v>27</v>
      </c>
      <c r="D169" s="3">
        <v>10000.0</v>
      </c>
      <c r="E169" s="2" t="s">
        <v>21</v>
      </c>
      <c r="F169" s="1" t="s">
        <v>62</v>
      </c>
      <c r="G169" s="1" t="s">
        <v>50</v>
      </c>
      <c r="H169" s="1" t="s">
        <v>25</v>
      </c>
      <c r="I169" s="2" t="s">
        <v>37</v>
      </c>
      <c r="J169" s="1" t="s">
        <v>22</v>
      </c>
      <c r="K169" s="1" t="s">
        <v>23</v>
      </c>
      <c r="L169" s="2" t="s">
        <v>58</v>
      </c>
      <c r="M169" s="1" t="s">
        <v>25</v>
      </c>
    </row>
    <row r="170" ht="15.75" customHeight="1">
      <c r="A170" s="2" t="s">
        <v>270</v>
      </c>
      <c r="B170" s="1" t="s">
        <v>14</v>
      </c>
      <c r="C170" s="1" t="s">
        <v>15</v>
      </c>
      <c r="D170" s="3">
        <v>10000.0</v>
      </c>
      <c r="E170" s="2" t="s">
        <v>21</v>
      </c>
      <c r="F170" s="1" t="s">
        <v>30</v>
      </c>
      <c r="G170" s="1" t="s">
        <v>50</v>
      </c>
      <c r="H170" s="1" t="s">
        <v>20</v>
      </c>
      <c r="I170" s="2" t="s">
        <v>17</v>
      </c>
      <c r="J170" s="1" t="s">
        <v>38</v>
      </c>
      <c r="K170" s="1" t="s">
        <v>44</v>
      </c>
      <c r="L170" s="2" t="s">
        <v>245</v>
      </c>
      <c r="M170" s="1" t="s">
        <v>25</v>
      </c>
    </row>
    <row r="171" ht="15.75" customHeight="1">
      <c r="A171" s="2" t="s">
        <v>271</v>
      </c>
      <c r="B171" s="1" t="s">
        <v>41</v>
      </c>
      <c r="C171" s="1" t="s">
        <v>27</v>
      </c>
      <c r="D171" s="3">
        <v>50000.0</v>
      </c>
      <c r="E171" s="2" t="s">
        <v>21</v>
      </c>
      <c r="F171" s="1" t="s">
        <v>87</v>
      </c>
      <c r="G171" s="1" t="s">
        <v>19</v>
      </c>
      <c r="H171" s="1" t="s">
        <v>20</v>
      </c>
      <c r="I171" s="2" t="s">
        <v>21</v>
      </c>
      <c r="J171" s="1" t="s">
        <v>22</v>
      </c>
      <c r="K171" s="1" t="s">
        <v>23</v>
      </c>
      <c r="L171" s="2" t="s">
        <v>153</v>
      </c>
      <c r="M171" s="1" t="s">
        <v>20</v>
      </c>
    </row>
    <row r="172" ht="15.75" customHeight="1">
      <c r="A172" s="2" t="s">
        <v>273</v>
      </c>
      <c r="B172" s="1" t="s">
        <v>41</v>
      </c>
      <c r="C172" s="1" t="s">
        <v>15</v>
      </c>
      <c r="D172" s="3">
        <v>80000.0</v>
      </c>
      <c r="E172" s="2" t="s">
        <v>37</v>
      </c>
      <c r="F172" s="1" t="s">
        <v>30</v>
      </c>
      <c r="G172" s="1" t="s">
        <v>19</v>
      </c>
      <c r="H172" s="1" t="s">
        <v>20</v>
      </c>
      <c r="I172" s="2" t="s">
        <v>37</v>
      </c>
      <c r="J172" s="1" t="s">
        <v>43</v>
      </c>
      <c r="K172" s="1" t="s">
        <v>44</v>
      </c>
      <c r="L172" s="2" t="s">
        <v>132</v>
      </c>
      <c r="M172" s="1" t="s">
        <v>20</v>
      </c>
    </row>
    <row r="173" ht="15.75" customHeight="1">
      <c r="A173" s="2" t="s">
        <v>274</v>
      </c>
      <c r="B173" s="1" t="s">
        <v>41</v>
      </c>
      <c r="C173" s="1" t="s">
        <v>15</v>
      </c>
      <c r="D173" s="3">
        <v>20000.0</v>
      </c>
      <c r="E173" s="2" t="s">
        <v>21</v>
      </c>
      <c r="F173" s="1" t="s">
        <v>30</v>
      </c>
      <c r="G173" s="1" t="s">
        <v>50</v>
      </c>
      <c r="H173" s="1" t="s">
        <v>20</v>
      </c>
      <c r="I173" s="2" t="s">
        <v>21</v>
      </c>
      <c r="J173" s="1" t="s">
        <v>22</v>
      </c>
      <c r="K173" s="1" t="s">
        <v>44</v>
      </c>
      <c r="L173" s="2" t="s">
        <v>97</v>
      </c>
      <c r="M173" s="1" t="s">
        <v>20</v>
      </c>
    </row>
    <row r="174" ht="15.75" customHeight="1">
      <c r="A174" s="2" t="s">
        <v>275</v>
      </c>
      <c r="B174" s="1" t="s">
        <v>41</v>
      </c>
      <c r="C174" s="1" t="s">
        <v>15</v>
      </c>
      <c r="D174" s="3">
        <v>110000.0</v>
      </c>
      <c r="E174" s="2" t="s">
        <v>37</v>
      </c>
      <c r="F174" s="1" t="s">
        <v>30</v>
      </c>
      <c r="G174" s="1" t="s">
        <v>36</v>
      </c>
      <c r="H174" s="1" t="s">
        <v>25</v>
      </c>
      <c r="I174" s="2" t="s">
        <v>29</v>
      </c>
      <c r="J174" s="1" t="s">
        <v>43</v>
      </c>
      <c r="K174" s="1" t="s">
        <v>23</v>
      </c>
      <c r="L174" s="2" t="s">
        <v>125</v>
      </c>
      <c r="M174" s="1" t="s">
        <v>25</v>
      </c>
    </row>
    <row r="175" ht="15.75" customHeight="1">
      <c r="A175" s="2" t="s">
        <v>277</v>
      </c>
      <c r="B175" s="1" t="s">
        <v>14</v>
      </c>
      <c r="C175" s="1" t="s">
        <v>27</v>
      </c>
      <c r="D175" s="3">
        <v>160000.0</v>
      </c>
      <c r="E175" s="2" t="s">
        <v>57</v>
      </c>
      <c r="F175" s="1" t="s">
        <v>30</v>
      </c>
      <c r="G175" s="1" t="s">
        <v>36</v>
      </c>
      <c r="H175" s="1" t="s">
        <v>25</v>
      </c>
      <c r="I175" s="2" t="s">
        <v>37</v>
      </c>
      <c r="J175" s="1" t="s">
        <v>69</v>
      </c>
      <c r="K175" s="1" t="s">
        <v>23</v>
      </c>
      <c r="L175" s="2" t="s">
        <v>72</v>
      </c>
      <c r="M175" s="1" t="s">
        <v>20</v>
      </c>
    </row>
    <row r="176" ht="15.75" customHeight="1">
      <c r="A176" s="2" t="s">
        <v>278</v>
      </c>
      <c r="B176" s="1" t="s">
        <v>14</v>
      </c>
      <c r="C176" s="1" t="s">
        <v>15</v>
      </c>
      <c r="D176" s="3">
        <v>10000.0</v>
      </c>
      <c r="E176" s="2" t="s">
        <v>21</v>
      </c>
      <c r="F176" s="1" t="s">
        <v>87</v>
      </c>
      <c r="G176" s="1" t="s">
        <v>50</v>
      </c>
      <c r="H176" s="1" t="s">
        <v>20</v>
      </c>
      <c r="I176" s="2" t="s">
        <v>21</v>
      </c>
      <c r="J176" s="1" t="s">
        <v>22</v>
      </c>
      <c r="K176" s="1" t="s">
        <v>23</v>
      </c>
      <c r="L176" s="2" t="s">
        <v>153</v>
      </c>
      <c r="M176" s="1" t="s">
        <v>20</v>
      </c>
    </row>
    <row r="177" ht="15.75" customHeight="1">
      <c r="A177" s="2" t="s">
        <v>279</v>
      </c>
      <c r="B177" s="1" t="s">
        <v>41</v>
      </c>
      <c r="C177" s="1" t="s">
        <v>27</v>
      </c>
      <c r="D177" s="3">
        <v>10000.0</v>
      </c>
      <c r="E177" s="2" t="s">
        <v>17</v>
      </c>
      <c r="F177" s="1" t="s">
        <v>87</v>
      </c>
      <c r="G177" s="1" t="s">
        <v>50</v>
      </c>
      <c r="H177" s="1" t="s">
        <v>20</v>
      </c>
      <c r="I177" s="2" t="s">
        <v>21</v>
      </c>
      <c r="J177" s="1" t="s">
        <v>22</v>
      </c>
      <c r="K177" s="1" t="s">
        <v>23</v>
      </c>
      <c r="L177" s="2" t="s">
        <v>102</v>
      </c>
      <c r="M177" s="1" t="s">
        <v>25</v>
      </c>
    </row>
    <row r="178" ht="15.75" customHeight="1">
      <c r="A178" s="2" t="s">
        <v>280</v>
      </c>
      <c r="B178" s="1" t="s">
        <v>14</v>
      </c>
      <c r="C178" s="1" t="s">
        <v>15</v>
      </c>
      <c r="D178" s="3">
        <v>30000.0</v>
      </c>
      <c r="E178" s="2" t="s">
        <v>29</v>
      </c>
      <c r="F178" s="1" t="s">
        <v>30</v>
      </c>
      <c r="G178" s="1" t="s">
        <v>31</v>
      </c>
      <c r="H178" s="1" t="s">
        <v>25</v>
      </c>
      <c r="I178" s="2" t="s">
        <v>37</v>
      </c>
      <c r="J178" s="1" t="s">
        <v>51</v>
      </c>
      <c r="K178" s="1" t="s">
        <v>44</v>
      </c>
      <c r="L178" s="2" t="s">
        <v>72</v>
      </c>
      <c r="M178" s="1" t="s">
        <v>20</v>
      </c>
    </row>
    <row r="179" ht="15.75" customHeight="1">
      <c r="A179" s="2" t="s">
        <v>281</v>
      </c>
      <c r="B179" s="1" t="s">
        <v>14</v>
      </c>
      <c r="C179" s="1" t="s">
        <v>15</v>
      </c>
      <c r="D179" s="3">
        <v>10000.0</v>
      </c>
      <c r="E179" s="2" t="s">
        <v>37</v>
      </c>
      <c r="F179" s="1" t="s">
        <v>55</v>
      </c>
      <c r="G179" s="1" t="s">
        <v>50</v>
      </c>
      <c r="H179" s="1" t="s">
        <v>25</v>
      </c>
      <c r="I179" s="2" t="s">
        <v>17</v>
      </c>
      <c r="J179" s="1" t="s">
        <v>22</v>
      </c>
      <c r="K179" s="1" t="s">
        <v>23</v>
      </c>
      <c r="L179" s="2" t="s">
        <v>79</v>
      </c>
      <c r="M179" s="1" t="s">
        <v>25</v>
      </c>
    </row>
    <row r="180" ht="15.75" customHeight="1">
      <c r="A180" s="2" t="s">
        <v>282</v>
      </c>
      <c r="B180" s="1" t="s">
        <v>41</v>
      </c>
      <c r="C180" s="1" t="s">
        <v>27</v>
      </c>
      <c r="D180" s="3">
        <v>40000.0</v>
      </c>
      <c r="E180" s="2" t="s">
        <v>37</v>
      </c>
      <c r="F180" s="1" t="s">
        <v>18</v>
      </c>
      <c r="G180" s="1" t="s">
        <v>56</v>
      </c>
      <c r="H180" s="1" t="s">
        <v>20</v>
      </c>
      <c r="I180" s="2" t="s">
        <v>37</v>
      </c>
      <c r="J180" s="1" t="s">
        <v>43</v>
      </c>
      <c r="K180" s="1" t="s">
        <v>44</v>
      </c>
      <c r="L180" s="2" t="s">
        <v>128</v>
      </c>
      <c r="M180" s="1" t="s">
        <v>20</v>
      </c>
    </row>
    <row r="181" ht="15.75" customHeight="1">
      <c r="A181" s="2" t="s">
        <v>283</v>
      </c>
      <c r="B181" s="1" t="s">
        <v>14</v>
      </c>
      <c r="C181" s="1" t="s">
        <v>15</v>
      </c>
      <c r="D181" s="3">
        <v>130000.0</v>
      </c>
      <c r="E181" s="2" t="s">
        <v>57</v>
      </c>
      <c r="F181" s="1" t="s">
        <v>55</v>
      </c>
      <c r="G181" s="1" t="s">
        <v>56</v>
      </c>
      <c r="H181" s="1" t="s">
        <v>25</v>
      </c>
      <c r="I181" s="2" t="s">
        <v>57</v>
      </c>
      <c r="J181" s="1" t="s">
        <v>69</v>
      </c>
      <c r="K181" s="1" t="s">
        <v>23</v>
      </c>
      <c r="L181" s="2" t="s">
        <v>63</v>
      </c>
      <c r="M181" s="1" t="s">
        <v>25</v>
      </c>
    </row>
    <row r="182" ht="15.75" customHeight="1">
      <c r="A182" s="2" t="s">
        <v>284</v>
      </c>
      <c r="B182" s="1" t="s">
        <v>14</v>
      </c>
      <c r="C182" s="1" t="s">
        <v>15</v>
      </c>
      <c r="D182" s="3">
        <v>90000.0</v>
      </c>
      <c r="E182" s="2" t="s">
        <v>17</v>
      </c>
      <c r="F182" s="1" t="s">
        <v>18</v>
      </c>
      <c r="G182" s="1" t="s">
        <v>36</v>
      </c>
      <c r="H182" s="1" t="s">
        <v>20</v>
      </c>
      <c r="I182" s="2" t="s">
        <v>17</v>
      </c>
      <c r="J182" s="1" t="s">
        <v>38</v>
      </c>
      <c r="K182" s="1" t="s">
        <v>44</v>
      </c>
      <c r="L182" s="2" t="s">
        <v>83</v>
      </c>
      <c r="M182" s="1" t="s">
        <v>20</v>
      </c>
    </row>
    <row r="183" ht="15.75" customHeight="1">
      <c r="A183" s="2" t="s">
        <v>285</v>
      </c>
      <c r="B183" s="1" t="s">
        <v>14</v>
      </c>
      <c r="C183" s="1" t="s">
        <v>15</v>
      </c>
      <c r="D183" s="3">
        <v>30000.0</v>
      </c>
      <c r="E183" s="2" t="s">
        <v>29</v>
      </c>
      <c r="F183" s="1" t="s">
        <v>55</v>
      </c>
      <c r="G183" s="1" t="s">
        <v>19</v>
      </c>
      <c r="H183" s="1" t="s">
        <v>25</v>
      </c>
      <c r="I183" s="2" t="s">
        <v>37</v>
      </c>
      <c r="J183" s="1" t="s">
        <v>51</v>
      </c>
      <c r="K183" s="1" t="s">
        <v>44</v>
      </c>
      <c r="L183" s="2" t="s">
        <v>91</v>
      </c>
      <c r="M183" s="1" t="s">
        <v>20</v>
      </c>
    </row>
    <row r="184" ht="15.75" customHeight="1">
      <c r="A184" s="2" t="s">
        <v>286</v>
      </c>
      <c r="B184" s="1" t="s">
        <v>41</v>
      </c>
      <c r="C184" s="1" t="s">
        <v>27</v>
      </c>
      <c r="D184" s="3">
        <v>80000.0</v>
      </c>
      <c r="E184" s="2" t="s">
        <v>35</v>
      </c>
      <c r="F184" s="1" t="s">
        <v>30</v>
      </c>
      <c r="G184" s="1" t="s">
        <v>36</v>
      </c>
      <c r="H184" s="1" t="s">
        <v>25</v>
      </c>
      <c r="I184" s="2" t="s">
        <v>37</v>
      </c>
      <c r="J184" s="1" t="s">
        <v>69</v>
      </c>
      <c r="K184" s="1" t="s">
        <v>23</v>
      </c>
      <c r="L184" s="2" t="s">
        <v>81</v>
      </c>
      <c r="M184" s="1" t="s">
        <v>25</v>
      </c>
    </row>
    <row r="185" ht="15.75" customHeight="1">
      <c r="A185" s="2" t="s">
        <v>287</v>
      </c>
      <c r="B185" s="1" t="s">
        <v>14</v>
      </c>
      <c r="C185" s="1" t="s">
        <v>15</v>
      </c>
      <c r="D185" s="3">
        <v>70000.0</v>
      </c>
      <c r="E185" s="2" t="s">
        <v>21</v>
      </c>
      <c r="F185" s="1" t="s">
        <v>18</v>
      </c>
      <c r="G185" s="1" t="s">
        <v>36</v>
      </c>
      <c r="H185" s="1" t="s">
        <v>20</v>
      </c>
      <c r="I185" s="2" t="s">
        <v>57</v>
      </c>
      <c r="J185" s="1" t="s">
        <v>69</v>
      </c>
      <c r="K185" s="1" t="s">
        <v>44</v>
      </c>
      <c r="L185" s="2" t="s">
        <v>104</v>
      </c>
      <c r="M185" s="1" t="s">
        <v>20</v>
      </c>
    </row>
    <row r="186" ht="15.75" customHeight="1">
      <c r="A186" s="2" t="s">
        <v>288</v>
      </c>
      <c r="B186" s="1" t="s">
        <v>14</v>
      </c>
      <c r="C186" s="1" t="s">
        <v>27</v>
      </c>
      <c r="D186" s="3">
        <v>30000.0</v>
      </c>
      <c r="E186" s="2" t="s">
        <v>17</v>
      </c>
      <c r="F186" s="1" t="s">
        <v>30</v>
      </c>
      <c r="G186" s="1" t="s">
        <v>31</v>
      </c>
      <c r="H186" s="1" t="s">
        <v>20</v>
      </c>
      <c r="I186" s="2" t="s">
        <v>17</v>
      </c>
      <c r="J186" s="1" t="s">
        <v>22</v>
      </c>
      <c r="K186" s="1" t="s">
        <v>23</v>
      </c>
      <c r="L186" s="2" t="s">
        <v>102</v>
      </c>
      <c r="M186" s="1" t="s">
        <v>20</v>
      </c>
    </row>
    <row r="187" ht="15.75" customHeight="1">
      <c r="A187" s="2" t="s">
        <v>289</v>
      </c>
      <c r="B187" s="1" t="s">
        <v>14</v>
      </c>
      <c r="C187" s="1" t="s">
        <v>27</v>
      </c>
      <c r="D187" s="3">
        <v>30000.0</v>
      </c>
      <c r="E187" s="2" t="s">
        <v>29</v>
      </c>
      <c r="F187" s="1" t="s">
        <v>55</v>
      </c>
      <c r="G187" s="1" t="s">
        <v>19</v>
      </c>
      <c r="H187" s="1" t="s">
        <v>20</v>
      </c>
      <c r="I187" s="2" t="s">
        <v>37</v>
      </c>
      <c r="J187" s="1" t="s">
        <v>43</v>
      </c>
      <c r="K187" s="1" t="s">
        <v>44</v>
      </c>
      <c r="L187" s="2" t="s">
        <v>72</v>
      </c>
      <c r="M187" s="1" t="s">
        <v>25</v>
      </c>
    </row>
    <row r="188" ht="15.75" customHeight="1">
      <c r="A188" s="2" t="s">
        <v>291</v>
      </c>
      <c r="B188" s="1" t="s">
        <v>41</v>
      </c>
      <c r="C188" s="1" t="s">
        <v>15</v>
      </c>
      <c r="D188" s="3">
        <v>80000.0</v>
      </c>
      <c r="E188" s="2" t="s">
        <v>35</v>
      </c>
      <c r="F188" s="1" t="s">
        <v>18</v>
      </c>
      <c r="G188" s="1" t="s">
        <v>56</v>
      </c>
      <c r="H188" s="1" t="s">
        <v>20</v>
      </c>
      <c r="I188" s="2" t="s">
        <v>37</v>
      </c>
      <c r="J188" s="1" t="s">
        <v>69</v>
      </c>
      <c r="K188" s="1" t="s">
        <v>23</v>
      </c>
      <c r="L188" s="2" t="s">
        <v>112</v>
      </c>
      <c r="M188" s="1" t="s">
        <v>25</v>
      </c>
    </row>
    <row r="189" ht="15.75" customHeight="1">
      <c r="A189" s="2" t="s">
        <v>292</v>
      </c>
      <c r="B189" s="1" t="s">
        <v>14</v>
      </c>
      <c r="C189" s="1" t="s">
        <v>15</v>
      </c>
      <c r="D189" s="3">
        <v>70000.0</v>
      </c>
      <c r="E189" s="2" t="s">
        <v>35</v>
      </c>
      <c r="F189" s="1" t="s">
        <v>18</v>
      </c>
      <c r="G189" s="1" t="s">
        <v>36</v>
      </c>
      <c r="H189" s="1" t="s">
        <v>20</v>
      </c>
      <c r="I189" s="2" t="s">
        <v>57</v>
      </c>
      <c r="J189" s="1" t="s">
        <v>69</v>
      </c>
      <c r="K189" s="1" t="s">
        <v>44</v>
      </c>
      <c r="L189" s="2" t="s">
        <v>45</v>
      </c>
      <c r="M189" s="1" t="s">
        <v>25</v>
      </c>
    </row>
    <row r="190" ht="15.75" customHeight="1">
      <c r="A190" s="2" t="s">
        <v>293</v>
      </c>
      <c r="B190" s="1" t="s">
        <v>41</v>
      </c>
      <c r="C190" s="1" t="s">
        <v>15</v>
      </c>
      <c r="D190" s="3">
        <v>10000.0</v>
      </c>
      <c r="E190" s="2" t="s">
        <v>21</v>
      </c>
      <c r="F190" s="1" t="s">
        <v>62</v>
      </c>
      <c r="G190" s="1" t="s">
        <v>50</v>
      </c>
      <c r="H190" s="1" t="s">
        <v>25</v>
      </c>
      <c r="I190" s="2" t="s">
        <v>37</v>
      </c>
      <c r="J190" s="1" t="s">
        <v>22</v>
      </c>
      <c r="K190" s="1" t="s">
        <v>23</v>
      </c>
      <c r="L190" s="2" t="s">
        <v>104</v>
      </c>
      <c r="M190" s="1" t="s">
        <v>25</v>
      </c>
    </row>
    <row r="191" ht="15.75" customHeight="1">
      <c r="A191" s="2" t="s">
        <v>294</v>
      </c>
      <c r="B191" s="1" t="s">
        <v>41</v>
      </c>
      <c r="C191" s="1" t="s">
        <v>27</v>
      </c>
      <c r="D191" s="3">
        <v>20000.0</v>
      </c>
      <c r="E191" s="2" t="s">
        <v>21</v>
      </c>
      <c r="F191" s="1" t="s">
        <v>18</v>
      </c>
      <c r="G191" s="1" t="s">
        <v>31</v>
      </c>
      <c r="H191" s="1" t="s">
        <v>20</v>
      </c>
      <c r="I191" s="2" t="s">
        <v>21</v>
      </c>
      <c r="J191" s="1" t="s">
        <v>22</v>
      </c>
      <c r="K191" s="1" t="s">
        <v>44</v>
      </c>
      <c r="L191" s="2" t="s">
        <v>261</v>
      </c>
      <c r="M191" s="1" t="s">
        <v>20</v>
      </c>
    </row>
    <row r="192" ht="15.75" customHeight="1">
      <c r="A192" s="2" t="s">
        <v>296</v>
      </c>
      <c r="B192" s="1" t="s">
        <v>14</v>
      </c>
      <c r="C192" s="1" t="s">
        <v>27</v>
      </c>
      <c r="D192" s="3">
        <v>60000.0</v>
      </c>
      <c r="E192" s="2" t="s">
        <v>37</v>
      </c>
      <c r="F192" s="1" t="s">
        <v>87</v>
      </c>
      <c r="G192" s="1" t="s">
        <v>56</v>
      </c>
      <c r="H192" s="1" t="s">
        <v>20</v>
      </c>
      <c r="I192" s="2" t="s">
        <v>17</v>
      </c>
      <c r="J192" s="1" t="s">
        <v>22</v>
      </c>
      <c r="K192" s="1" t="s">
        <v>44</v>
      </c>
      <c r="L192" s="2" t="s">
        <v>297</v>
      </c>
      <c r="M192" s="1" t="s">
        <v>20</v>
      </c>
    </row>
    <row r="193" ht="15.75" customHeight="1">
      <c r="A193" s="2" t="s">
        <v>298</v>
      </c>
      <c r="B193" s="1" t="s">
        <v>41</v>
      </c>
      <c r="C193" s="1" t="s">
        <v>15</v>
      </c>
      <c r="D193" s="3">
        <v>100000.0</v>
      </c>
      <c r="E193" s="2" t="s">
        <v>21</v>
      </c>
      <c r="F193" s="1" t="s">
        <v>87</v>
      </c>
      <c r="G193" s="1" t="s">
        <v>56</v>
      </c>
      <c r="H193" s="1" t="s">
        <v>25</v>
      </c>
      <c r="I193" s="2" t="s">
        <v>17</v>
      </c>
      <c r="J193" s="1" t="s">
        <v>51</v>
      </c>
      <c r="K193" s="1" t="s">
        <v>44</v>
      </c>
      <c r="L193" s="2" t="s">
        <v>135</v>
      </c>
      <c r="M193" s="1" t="s">
        <v>20</v>
      </c>
    </row>
    <row r="194" ht="15.75" customHeight="1">
      <c r="A194" s="2" t="s">
        <v>299</v>
      </c>
      <c r="B194" s="1" t="s">
        <v>41</v>
      </c>
      <c r="C194" s="1" t="s">
        <v>27</v>
      </c>
      <c r="D194" s="3">
        <v>80000.0</v>
      </c>
      <c r="E194" s="2" t="s">
        <v>21</v>
      </c>
      <c r="F194" s="1" t="s">
        <v>18</v>
      </c>
      <c r="G194" s="1" t="s">
        <v>36</v>
      </c>
      <c r="H194" s="1" t="s">
        <v>25</v>
      </c>
      <c r="I194" s="2" t="s">
        <v>29</v>
      </c>
      <c r="J194" s="1" t="s">
        <v>69</v>
      </c>
      <c r="K194" s="1" t="s">
        <v>44</v>
      </c>
      <c r="L194" s="2" t="s">
        <v>58</v>
      </c>
      <c r="M194" s="1" t="s">
        <v>20</v>
      </c>
    </row>
    <row r="195" ht="15.75" customHeight="1">
      <c r="A195" s="2" t="s">
        <v>300</v>
      </c>
      <c r="B195" s="1" t="s">
        <v>41</v>
      </c>
      <c r="C195" s="1" t="s">
        <v>27</v>
      </c>
      <c r="D195" s="3">
        <v>60000.0</v>
      </c>
      <c r="E195" s="2" t="s">
        <v>21</v>
      </c>
      <c r="F195" s="1" t="s">
        <v>18</v>
      </c>
      <c r="G195" s="1" t="s">
        <v>36</v>
      </c>
      <c r="H195" s="1" t="s">
        <v>25</v>
      </c>
      <c r="I195" s="2" t="s">
        <v>29</v>
      </c>
      <c r="J195" s="1" t="s">
        <v>38</v>
      </c>
      <c r="K195" s="1" t="s">
        <v>44</v>
      </c>
      <c r="L195" s="2" t="s">
        <v>109</v>
      </c>
      <c r="M195" s="1" t="s">
        <v>25</v>
      </c>
    </row>
    <row r="196" ht="15.75" customHeight="1">
      <c r="A196" s="2" t="s">
        <v>301</v>
      </c>
      <c r="B196" s="1" t="s">
        <v>14</v>
      </c>
      <c r="C196" s="1" t="s">
        <v>27</v>
      </c>
      <c r="D196" s="3">
        <v>10000.0</v>
      </c>
      <c r="E196" s="2" t="s">
        <v>17</v>
      </c>
      <c r="F196" s="1" t="s">
        <v>55</v>
      </c>
      <c r="G196" s="1" t="s">
        <v>50</v>
      </c>
      <c r="H196" s="1" t="s">
        <v>20</v>
      </c>
      <c r="I196" s="2" t="s">
        <v>21</v>
      </c>
      <c r="J196" s="1" t="s">
        <v>38</v>
      </c>
      <c r="K196" s="1" t="s">
        <v>44</v>
      </c>
      <c r="L196" s="2" t="s">
        <v>245</v>
      </c>
      <c r="M196" s="1" t="s">
        <v>20</v>
      </c>
    </row>
    <row r="197" ht="15.75" customHeight="1">
      <c r="A197" s="2" t="s">
        <v>303</v>
      </c>
      <c r="B197" s="1" t="s">
        <v>41</v>
      </c>
      <c r="C197" s="1" t="s">
        <v>15</v>
      </c>
      <c r="D197" s="3">
        <v>60000.0</v>
      </c>
      <c r="E197" s="2" t="s">
        <v>17</v>
      </c>
      <c r="F197" s="1" t="s">
        <v>30</v>
      </c>
      <c r="G197" s="1" t="s">
        <v>19</v>
      </c>
      <c r="H197" s="1" t="s">
        <v>20</v>
      </c>
      <c r="I197" s="2" t="s">
        <v>17</v>
      </c>
      <c r="J197" s="1" t="s">
        <v>43</v>
      </c>
      <c r="K197" s="1" t="s">
        <v>44</v>
      </c>
      <c r="L197" s="2" t="s">
        <v>130</v>
      </c>
      <c r="M197" s="1" t="s">
        <v>20</v>
      </c>
    </row>
    <row r="198" ht="15.75" customHeight="1">
      <c r="A198" s="2" t="s">
        <v>304</v>
      </c>
      <c r="B198" s="1" t="s">
        <v>41</v>
      </c>
      <c r="C198" s="1" t="s">
        <v>15</v>
      </c>
      <c r="D198" s="3">
        <v>90000.0</v>
      </c>
      <c r="E198" s="2" t="s">
        <v>29</v>
      </c>
      <c r="F198" s="1" t="s">
        <v>55</v>
      </c>
      <c r="G198" s="1" t="s">
        <v>36</v>
      </c>
      <c r="H198" s="1" t="s">
        <v>25</v>
      </c>
      <c r="I198" s="2" t="s">
        <v>17</v>
      </c>
      <c r="J198" s="1" t="s">
        <v>38</v>
      </c>
      <c r="K198" s="1" t="s">
        <v>23</v>
      </c>
      <c r="L198" s="2" t="s">
        <v>178</v>
      </c>
      <c r="M198" s="1" t="s">
        <v>25</v>
      </c>
    </row>
    <row r="199" ht="15.75" customHeight="1">
      <c r="A199" s="2" t="s">
        <v>305</v>
      </c>
      <c r="B199" s="1" t="s">
        <v>14</v>
      </c>
      <c r="C199" s="1" t="s">
        <v>27</v>
      </c>
      <c r="D199" s="3">
        <v>30000.0</v>
      </c>
      <c r="E199" s="2" t="s">
        <v>29</v>
      </c>
      <c r="F199" s="1" t="s">
        <v>87</v>
      </c>
      <c r="G199" s="1" t="s">
        <v>31</v>
      </c>
      <c r="H199" s="1" t="s">
        <v>20</v>
      </c>
      <c r="I199" s="2" t="s">
        <v>21</v>
      </c>
      <c r="J199" s="1" t="s">
        <v>22</v>
      </c>
      <c r="K199" s="1" t="s">
        <v>23</v>
      </c>
      <c r="L199" s="2" t="s">
        <v>130</v>
      </c>
      <c r="M199" s="1" t="s">
        <v>20</v>
      </c>
    </row>
    <row r="200" ht="15.75" customHeight="1">
      <c r="A200" s="2" t="s">
        <v>306</v>
      </c>
      <c r="B200" s="1" t="s">
        <v>41</v>
      </c>
      <c r="C200" s="1" t="s">
        <v>27</v>
      </c>
      <c r="D200" s="3">
        <v>90000.0</v>
      </c>
      <c r="E200" s="2" t="s">
        <v>35</v>
      </c>
      <c r="F200" s="1" t="s">
        <v>30</v>
      </c>
      <c r="G200" s="1" t="s">
        <v>36</v>
      </c>
      <c r="H200" s="1" t="s">
        <v>25</v>
      </c>
      <c r="I200" s="2" t="s">
        <v>37</v>
      </c>
      <c r="J200" s="1" t="s">
        <v>69</v>
      </c>
      <c r="K200" s="1" t="s">
        <v>23</v>
      </c>
      <c r="L200" s="2" t="s">
        <v>112</v>
      </c>
      <c r="M200" s="1" t="s">
        <v>25</v>
      </c>
    </row>
    <row r="201" ht="15.75" customHeight="1">
      <c r="A201" s="2" t="s">
        <v>307</v>
      </c>
      <c r="B201" s="1" t="s">
        <v>41</v>
      </c>
      <c r="C201" s="1" t="s">
        <v>15</v>
      </c>
      <c r="D201" s="3">
        <v>20000.0</v>
      </c>
      <c r="E201" s="2" t="s">
        <v>21</v>
      </c>
      <c r="F201" s="1" t="s">
        <v>62</v>
      </c>
      <c r="G201" s="1" t="s">
        <v>50</v>
      </c>
      <c r="H201" s="1" t="s">
        <v>20</v>
      </c>
      <c r="I201" s="2" t="s">
        <v>37</v>
      </c>
      <c r="J201" s="1" t="s">
        <v>51</v>
      </c>
      <c r="K201" s="1" t="s">
        <v>23</v>
      </c>
      <c r="L201" s="2" t="s">
        <v>107</v>
      </c>
      <c r="M201" s="1" t="s">
        <v>20</v>
      </c>
    </row>
    <row r="202" ht="15.75" customHeight="1">
      <c r="A202" s="2" t="s">
        <v>308</v>
      </c>
      <c r="B202" s="1" t="s">
        <v>41</v>
      </c>
      <c r="C202" s="1" t="s">
        <v>15</v>
      </c>
      <c r="D202" s="3">
        <v>40000.0</v>
      </c>
      <c r="E202" s="2" t="s">
        <v>21</v>
      </c>
      <c r="F202" s="1" t="s">
        <v>87</v>
      </c>
      <c r="G202" s="1" t="s">
        <v>31</v>
      </c>
      <c r="H202" s="1" t="s">
        <v>20</v>
      </c>
      <c r="I202" s="2" t="s">
        <v>21</v>
      </c>
      <c r="J202" s="1" t="s">
        <v>22</v>
      </c>
      <c r="K202" s="1" t="s">
        <v>23</v>
      </c>
      <c r="L202" s="2" t="s">
        <v>153</v>
      </c>
      <c r="M202" s="1" t="s">
        <v>20</v>
      </c>
    </row>
    <row r="203" ht="15.75" customHeight="1">
      <c r="A203" s="2" t="s">
        <v>309</v>
      </c>
      <c r="B203" s="1" t="s">
        <v>41</v>
      </c>
      <c r="C203" s="1" t="s">
        <v>15</v>
      </c>
      <c r="D203" s="3">
        <v>30000.0</v>
      </c>
      <c r="E203" s="2" t="s">
        <v>29</v>
      </c>
      <c r="F203" s="1" t="s">
        <v>30</v>
      </c>
      <c r="G203" s="1" t="s">
        <v>31</v>
      </c>
      <c r="H203" s="1" t="s">
        <v>20</v>
      </c>
      <c r="I203" s="2" t="s">
        <v>21</v>
      </c>
      <c r="J203" s="1" t="s">
        <v>22</v>
      </c>
      <c r="K203" s="1" t="s">
        <v>23</v>
      </c>
      <c r="L203" s="2" t="s">
        <v>24</v>
      </c>
      <c r="M203" s="1" t="s">
        <v>20</v>
      </c>
    </row>
    <row r="204" ht="15.75" customHeight="1">
      <c r="A204" s="2" t="s">
        <v>310</v>
      </c>
      <c r="B204" s="1" t="s">
        <v>14</v>
      </c>
      <c r="C204" s="1" t="s">
        <v>15</v>
      </c>
      <c r="D204" s="3">
        <v>80000.0</v>
      </c>
      <c r="E204" s="2" t="s">
        <v>57</v>
      </c>
      <c r="F204" s="1" t="s">
        <v>87</v>
      </c>
      <c r="G204" s="1" t="s">
        <v>56</v>
      </c>
      <c r="H204" s="1" t="s">
        <v>20</v>
      </c>
      <c r="I204" s="2" t="s">
        <v>17</v>
      </c>
      <c r="J204" s="1" t="s">
        <v>22</v>
      </c>
      <c r="K204" s="1" t="s">
        <v>44</v>
      </c>
      <c r="L204" s="2" t="s">
        <v>47</v>
      </c>
      <c r="M204" s="1" t="s">
        <v>25</v>
      </c>
    </row>
    <row r="205" ht="15.75" customHeight="1">
      <c r="A205" s="2" t="s">
        <v>311</v>
      </c>
      <c r="B205" s="1" t="s">
        <v>14</v>
      </c>
      <c r="C205" s="1" t="s">
        <v>15</v>
      </c>
      <c r="D205" s="3">
        <v>50000.0</v>
      </c>
      <c r="E205" s="2" t="s">
        <v>21</v>
      </c>
      <c r="F205" s="1" t="s">
        <v>87</v>
      </c>
      <c r="G205" s="1" t="s">
        <v>19</v>
      </c>
      <c r="H205" s="1" t="s">
        <v>20</v>
      </c>
      <c r="I205" s="2" t="s">
        <v>21</v>
      </c>
      <c r="J205" s="1" t="s">
        <v>22</v>
      </c>
      <c r="K205" s="1" t="s">
        <v>23</v>
      </c>
      <c r="L205" s="2" t="s">
        <v>47</v>
      </c>
      <c r="M205" s="1" t="s">
        <v>20</v>
      </c>
    </row>
    <row r="206" ht="15.75" customHeight="1">
      <c r="A206" s="2" t="s">
        <v>312</v>
      </c>
      <c r="B206" s="1" t="s">
        <v>41</v>
      </c>
      <c r="C206" s="1" t="s">
        <v>15</v>
      </c>
      <c r="D206" s="3">
        <v>30000.0</v>
      </c>
      <c r="E206" s="2" t="s">
        <v>21</v>
      </c>
      <c r="F206" s="1" t="s">
        <v>30</v>
      </c>
      <c r="G206" s="1" t="s">
        <v>31</v>
      </c>
      <c r="H206" s="1" t="s">
        <v>25</v>
      </c>
      <c r="I206" s="2" t="s">
        <v>17</v>
      </c>
      <c r="J206" s="1" t="s">
        <v>38</v>
      </c>
      <c r="K206" s="1" t="s">
        <v>23</v>
      </c>
      <c r="L206" s="2" t="s">
        <v>116</v>
      </c>
      <c r="M206" s="1" t="s">
        <v>25</v>
      </c>
    </row>
    <row r="207" ht="15.75" customHeight="1">
      <c r="A207" s="2" t="s">
        <v>313</v>
      </c>
      <c r="B207" s="1" t="s">
        <v>41</v>
      </c>
      <c r="C207" s="1" t="s">
        <v>27</v>
      </c>
      <c r="D207" s="3">
        <v>70000.0</v>
      </c>
      <c r="E207" s="2" t="s">
        <v>21</v>
      </c>
      <c r="F207" s="1" t="s">
        <v>18</v>
      </c>
      <c r="G207" s="1" t="s">
        <v>36</v>
      </c>
      <c r="H207" s="1" t="s">
        <v>25</v>
      </c>
      <c r="I207" s="2" t="s">
        <v>57</v>
      </c>
      <c r="J207" s="1" t="s">
        <v>69</v>
      </c>
      <c r="K207" s="1" t="s">
        <v>44</v>
      </c>
      <c r="L207" s="2" t="s">
        <v>109</v>
      </c>
      <c r="M207" s="1" t="s">
        <v>20</v>
      </c>
    </row>
    <row r="208" ht="15.75" customHeight="1">
      <c r="A208" s="2" t="s">
        <v>314</v>
      </c>
      <c r="B208" s="1" t="s">
        <v>14</v>
      </c>
      <c r="C208" s="1" t="s">
        <v>27</v>
      </c>
      <c r="D208" s="3">
        <v>30000.0</v>
      </c>
      <c r="E208" s="2" t="s">
        <v>17</v>
      </c>
      <c r="F208" s="1" t="s">
        <v>18</v>
      </c>
      <c r="G208" s="1" t="s">
        <v>31</v>
      </c>
      <c r="H208" s="1" t="s">
        <v>20</v>
      </c>
      <c r="I208" s="2" t="s">
        <v>21</v>
      </c>
      <c r="J208" s="1" t="s">
        <v>22</v>
      </c>
      <c r="K208" s="1" t="s">
        <v>23</v>
      </c>
      <c r="L208" s="2" t="s">
        <v>122</v>
      </c>
      <c r="M208" s="1" t="s">
        <v>20</v>
      </c>
    </row>
    <row r="209" ht="15.75" customHeight="1">
      <c r="A209" s="2" t="s">
        <v>315</v>
      </c>
      <c r="B209" s="1" t="s">
        <v>41</v>
      </c>
      <c r="C209" s="1" t="s">
        <v>27</v>
      </c>
      <c r="D209" s="3">
        <v>80000.0</v>
      </c>
      <c r="E209" s="2" t="s">
        <v>57</v>
      </c>
      <c r="F209" s="1" t="s">
        <v>30</v>
      </c>
      <c r="G209" s="1" t="s">
        <v>36</v>
      </c>
      <c r="H209" s="1" t="s">
        <v>25</v>
      </c>
      <c r="I209" s="2" t="s">
        <v>37</v>
      </c>
      <c r="J209" s="1" t="s">
        <v>38</v>
      </c>
      <c r="K209" s="1" t="s">
        <v>23</v>
      </c>
      <c r="L209" s="2" t="s">
        <v>66</v>
      </c>
      <c r="M209" s="1" t="s">
        <v>20</v>
      </c>
    </row>
    <row r="210" ht="15.75" customHeight="1">
      <c r="A210" s="2" t="s">
        <v>316</v>
      </c>
      <c r="B210" s="1" t="s">
        <v>14</v>
      </c>
      <c r="C210" s="1" t="s">
        <v>27</v>
      </c>
      <c r="D210" s="3">
        <v>20000.0</v>
      </c>
      <c r="E210" s="2" t="s">
        <v>37</v>
      </c>
      <c r="F210" s="1" t="s">
        <v>62</v>
      </c>
      <c r="G210" s="1" t="s">
        <v>31</v>
      </c>
      <c r="H210" s="1" t="s">
        <v>20</v>
      </c>
      <c r="I210" s="2" t="s">
        <v>29</v>
      </c>
      <c r="J210" s="1" t="s">
        <v>43</v>
      </c>
      <c r="K210" s="1" t="s">
        <v>44</v>
      </c>
      <c r="L210" s="2" t="s">
        <v>66</v>
      </c>
      <c r="M210" s="1" t="s">
        <v>25</v>
      </c>
    </row>
    <row r="211" ht="15.75" customHeight="1">
      <c r="A211" s="2" t="s">
        <v>317</v>
      </c>
      <c r="B211" s="1" t="s">
        <v>41</v>
      </c>
      <c r="C211" s="1" t="s">
        <v>15</v>
      </c>
      <c r="D211" s="3">
        <v>20000.0</v>
      </c>
      <c r="E211" s="5">
        <v>0.0</v>
      </c>
      <c r="F211" s="1" t="s">
        <v>62</v>
      </c>
      <c r="G211" s="1" t="s">
        <v>50</v>
      </c>
      <c r="H211" s="1" t="s">
        <v>25</v>
      </c>
      <c r="I211" s="2" t="s">
        <v>37</v>
      </c>
      <c r="J211" s="1" t="s">
        <v>22</v>
      </c>
      <c r="K211" s="1" t="s">
        <v>23</v>
      </c>
      <c r="L211" s="2" t="s">
        <v>261</v>
      </c>
      <c r="M211" s="1" t="s">
        <v>25</v>
      </c>
    </row>
    <row r="212" ht="15.75" customHeight="1">
      <c r="A212" s="2" t="s">
        <v>318</v>
      </c>
      <c r="B212" s="1" t="s">
        <v>41</v>
      </c>
      <c r="C212" s="1" t="s">
        <v>27</v>
      </c>
      <c r="D212" s="3">
        <v>10000.0</v>
      </c>
      <c r="E212" s="2" t="s">
        <v>17</v>
      </c>
      <c r="F212" s="1" t="s">
        <v>18</v>
      </c>
      <c r="G212" s="1" t="s">
        <v>50</v>
      </c>
      <c r="H212" s="1" t="s">
        <v>20</v>
      </c>
      <c r="I212" s="2" t="s">
        <v>21</v>
      </c>
      <c r="J212" s="1" t="s">
        <v>22</v>
      </c>
      <c r="K212" s="1" t="s">
        <v>23</v>
      </c>
      <c r="L212" s="2" t="s">
        <v>125</v>
      </c>
      <c r="M212" s="1" t="s">
        <v>25</v>
      </c>
    </row>
    <row r="213" ht="15.75" customHeight="1">
      <c r="A213" s="2" t="s">
        <v>319</v>
      </c>
      <c r="B213" s="1" t="s">
        <v>41</v>
      </c>
      <c r="C213" s="1" t="s">
        <v>27</v>
      </c>
      <c r="D213" s="3">
        <v>10000.0</v>
      </c>
      <c r="E213" s="2" t="s">
        <v>21</v>
      </c>
      <c r="F213" s="1" t="s">
        <v>30</v>
      </c>
      <c r="G213" s="1" t="s">
        <v>50</v>
      </c>
      <c r="H213" s="1" t="s">
        <v>20</v>
      </c>
      <c r="I213" s="2" t="s">
        <v>17</v>
      </c>
      <c r="J213" s="1" t="s">
        <v>51</v>
      </c>
      <c r="K213" s="1" t="s">
        <v>44</v>
      </c>
      <c r="L213" s="2" t="s">
        <v>107</v>
      </c>
      <c r="M213" s="1" t="s">
        <v>20</v>
      </c>
    </row>
    <row r="214" ht="15.75" customHeight="1">
      <c r="A214" s="2" t="s">
        <v>320</v>
      </c>
      <c r="B214" s="1" t="s">
        <v>14</v>
      </c>
      <c r="C214" s="1" t="s">
        <v>27</v>
      </c>
      <c r="D214" s="3">
        <v>60000.0</v>
      </c>
      <c r="E214" s="2" t="s">
        <v>17</v>
      </c>
      <c r="F214" s="1" t="s">
        <v>18</v>
      </c>
      <c r="G214" s="1" t="s">
        <v>36</v>
      </c>
      <c r="H214" s="1" t="s">
        <v>20</v>
      </c>
      <c r="I214" s="2" t="s">
        <v>17</v>
      </c>
      <c r="J214" s="1" t="s">
        <v>43</v>
      </c>
      <c r="K214" s="1" t="s">
        <v>44</v>
      </c>
      <c r="L214" s="2" t="s">
        <v>32</v>
      </c>
      <c r="M214" s="1" t="s">
        <v>20</v>
      </c>
    </row>
    <row r="215" ht="15.75" customHeight="1">
      <c r="A215" s="2" t="s">
        <v>321</v>
      </c>
      <c r="B215" s="1" t="s">
        <v>41</v>
      </c>
      <c r="C215" s="1" t="s">
        <v>27</v>
      </c>
      <c r="D215" s="3">
        <v>10000.0</v>
      </c>
      <c r="E215" s="2" t="s">
        <v>21</v>
      </c>
      <c r="F215" s="1" t="s">
        <v>62</v>
      </c>
      <c r="G215" s="1" t="s">
        <v>50</v>
      </c>
      <c r="H215" s="1" t="s">
        <v>25</v>
      </c>
      <c r="I215" s="2" t="s">
        <v>37</v>
      </c>
      <c r="J215" s="1" t="s">
        <v>51</v>
      </c>
      <c r="K215" s="1" t="s">
        <v>23</v>
      </c>
      <c r="L215" s="2" t="s">
        <v>74</v>
      </c>
      <c r="M215" s="1" t="s">
        <v>25</v>
      </c>
    </row>
    <row r="216" ht="15.75" customHeight="1">
      <c r="A216" s="2" t="s">
        <v>322</v>
      </c>
      <c r="B216" s="1" t="s">
        <v>14</v>
      </c>
      <c r="C216" s="1" t="s">
        <v>15</v>
      </c>
      <c r="D216" s="3">
        <v>30000.0</v>
      </c>
      <c r="E216" s="2" t="s">
        <v>29</v>
      </c>
      <c r="F216" s="1" t="s">
        <v>30</v>
      </c>
      <c r="G216" s="1" t="s">
        <v>31</v>
      </c>
      <c r="H216" s="1" t="s">
        <v>25</v>
      </c>
      <c r="I216" s="2" t="s">
        <v>21</v>
      </c>
      <c r="J216" s="1" t="s">
        <v>22</v>
      </c>
      <c r="K216" s="1" t="s">
        <v>23</v>
      </c>
      <c r="L216" s="2" t="s">
        <v>24</v>
      </c>
      <c r="M216" s="1" t="s">
        <v>25</v>
      </c>
    </row>
    <row r="217" ht="15.75" customHeight="1">
      <c r="A217" s="2" t="s">
        <v>323</v>
      </c>
      <c r="B217" s="1" t="s">
        <v>41</v>
      </c>
      <c r="C217" s="1" t="s">
        <v>15</v>
      </c>
      <c r="D217" s="3">
        <v>70000.0</v>
      </c>
      <c r="E217" s="2" t="s">
        <v>35</v>
      </c>
      <c r="F217" s="1" t="s">
        <v>18</v>
      </c>
      <c r="G217" s="1" t="s">
        <v>36</v>
      </c>
      <c r="H217" s="1" t="s">
        <v>20</v>
      </c>
      <c r="I217" s="2" t="s">
        <v>57</v>
      </c>
      <c r="J217" s="1" t="s">
        <v>69</v>
      </c>
      <c r="K217" s="1" t="s">
        <v>44</v>
      </c>
      <c r="L217" s="2" t="s">
        <v>135</v>
      </c>
      <c r="M217" s="1" t="s">
        <v>25</v>
      </c>
    </row>
    <row r="218" ht="15.75" customHeight="1">
      <c r="A218" s="2" t="s">
        <v>324</v>
      </c>
      <c r="B218" s="1" t="s">
        <v>14</v>
      </c>
      <c r="C218" s="1" t="s">
        <v>15</v>
      </c>
      <c r="D218" s="3">
        <v>30000.0</v>
      </c>
      <c r="E218" s="2" t="s">
        <v>37</v>
      </c>
      <c r="F218" s="1" t="s">
        <v>30</v>
      </c>
      <c r="G218" s="1" t="s">
        <v>31</v>
      </c>
      <c r="H218" s="1" t="s">
        <v>25</v>
      </c>
      <c r="I218" s="2" t="s">
        <v>37</v>
      </c>
      <c r="J218" s="1" t="s">
        <v>22</v>
      </c>
      <c r="K218" s="1" t="s">
        <v>44</v>
      </c>
      <c r="L218" s="2" t="s">
        <v>297</v>
      </c>
      <c r="M218" s="1" t="s">
        <v>25</v>
      </c>
    </row>
    <row r="219" ht="15.75" customHeight="1">
      <c r="A219" s="2" t="s">
        <v>326</v>
      </c>
      <c r="B219" s="1" t="s">
        <v>41</v>
      </c>
      <c r="C219" s="1" t="s">
        <v>15</v>
      </c>
      <c r="D219" s="3">
        <v>20000.0</v>
      </c>
      <c r="E219" s="2" t="s">
        <v>29</v>
      </c>
      <c r="F219" s="1" t="s">
        <v>55</v>
      </c>
      <c r="G219" s="1" t="s">
        <v>50</v>
      </c>
      <c r="H219" s="1" t="s">
        <v>20</v>
      </c>
      <c r="I219" s="2" t="s">
        <v>17</v>
      </c>
      <c r="J219" s="1" t="s">
        <v>22</v>
      </c>
      <c r="K219" s="1" t="s">
        <v>23</v>
      </c>
      <c r="L219" s="2" t="s">
        <v>24</v>
      </c>
      <c r="M219" s="1" t="s">
        <v>20</v>
      </c>
    </row>
    <row r="220" ht="15.75" customHeight="1">
      <c r="A220" s="2" t="s">
        <v>327</v>
      </c>
      <c r="B220" s="1" t="s">
        <v>14</v>
      </c>
      <c r="C220" s="1" t="s">
        <v>27</v>
      </c>
      <c r="D220" s="3">
        <v>10000.0</v>
      </c>
      <c r="E220" s="2" t="s">
        <v>29</v>
      </c>
      <c r="F220" s="1" t="s">
        <v>62</v>
      </c>
      <c r="G220" s="1" t="s">
        <v>50</v>
      </c>
      <c r="H220" s="1" t="s">
        <v>20</v>
      </c>
      <c r="I220" s="2" t="s">
        <v>37</v>
      </c>
      <c r="J220" s="1" t="s">
        <v>22</v>
      </c>
      <c r="K220" s="1" t="s">
        <v>23</v>
      </c>
      <c r="L220" s="2" t="s">
        <v>32</v>
      </c>
      <c r="M220" s="1" t="s">
        <v>25</v>
      </c>
    </row>
    <row r="221" ht="15.75" customHeight="1">
      <c r="A221" s="2" t="s">
        <v>328</v>
      </c>
      <c r="B221" s="1" t="s">
        <v>14</v>
      </c>
      <c r="C221" s="1" t="s">
        <v>15</v>
      </c>
      <c r="D221" s="3">
        <v>20000.0</v>
      </c>
      <c r="E221" s="2" t="s">
        <v>17</v>
      </c>
      <c r="F221" s="1" t="s">
        <v>87</v>
      </c>
      <c r="G221" s="1" t="s">
        <v>31</v>
      </c>
      <c r="H221" s="1" t="s">
        <v>20</v>
      </c>
      <c r="I221" s="2" t="s">
        <v>21</v>
      </c>
      <c r="J221" s="1" t="s">
        <v>22</v>
      </c>
      <c r="K221" s="1" t="s">
        <v>23</v>
      </c>
      <c r="L221" s="2" t="s">
        <v>77</v>
      </c>
      <c r="M221" s="1" t="s">
        <v>25</v>
      </c>
    </row>
    <row r="222" ht="15.75" customHeight="1">
      <c r="A222" s="2" t="s">
        <v>329</v>
      </c>
      <c r="B222" s="1" t="s">
        <v>41</v>
      </c>
      <c r="C222" s="1" t="s">
        <v>27</v>
      </c>
      <c r="D222" s="3">
        <v>80000.0</v>
      </c>
      <c r="E222" s="2" t="s">
        <v>35</v>
      </c>
      <c r="F222" s="1" t="s">
        <v>55</v>
      </c>
      <c r="G222" s="1" t="s">
        <v>56</v>
      </c>
      <c r="H222" s="1" t="s">
        <v>20</v>
      </c>
      <c r="I222" s="2" t="s">
        <v>29</v>
      </c>
      <c r="J222" s="1" t="s">
        <v>69</v>
      </c>
      <c r="K222" s="1" t="s">
        <v>23</v>
      </c>
      <c r="L222" s="2" t="s">
        <v>330</v>
      </c>
      <c r="M222" s="1" t="s">
        <v>25</v>
      </c>
    </row>
    <row r="223" ht="15.75" customHeight="1">
      <c r="A223" s="2" t="s">
        <v>331</v>
      </c>
      <c r="B223" s="1" t="s">
        <v>14</v>
      </c>
      <c r="C223" s="1" t="s">
        <v>27</v>
      </c>
      <c r="D223" s="3">
        <v>120000.0</v>
      </c>
      <c r="E223" s="2" t="s">
        <v>57</v>
      </c>
      <c r="F223" s="1" t="s">
        <v>30</v>
      </c>
      <c r="G223" s="1" t="s">
        <v>56</v>
      </c>
      <c r="H223" s="1" t="s">
        <v>20</v>
      </c>
      <c r="I223" s="2" t="s">
        <v>29</v>
      </c>
      <c r="J223" s="1" t="s">
        <v>69</v>
      </c>
      <c r="K223" s="1" t="s">
        <v>23</v>
      </c>
      <c r="L223" s="2" t="s">
        <v>91</v>
      </c>
      <c r="M223" s="1" t="s">
        <v>25</v>
      </c>
    </row>
    <row r="224" ht="15.75" customHeight="1">
      <c r="A224" s="2" t="s">
        <v>332</v>
      </c>
      <c r="B224" s="1" t="s">
        <v>14</v>
      </c>
      <c r="C224" s="1" t="s">
        <v>15</v>
      </c>
      <c r="D224" s="3">
        <v>40000.0</v>
      </c>
      <c r="E224" s="2" t="s">
        <v>21</v>
      </c>
      <c r="F224" s="1" t="s">
        <v>18</v>
      </c>
      <c r="G224" s="1" t="s">
        <v>31</v>
      </c>
      <c r="H224" s="1" t="s">
        <v>20</v>
      </c>
      <c r="I224" s="2" t="s">
        <v>21</v>
      </c>
      <c r="J224" s="1" t="s">
        <v>22</v>
      </c>
      <c r="K224" s="1" t="s">
        <v>23</v>
      </c>
      <c r="L224" s="2" t="s">
        <v>79</v>
      </c>
      <c r="M224" s="1" t="s">
        <v>20</v>
      </c>
    </row>
    <row r="225" ht="15.75" customHeight="1">
      <c r="A225" s="2" t="s">
        <v>333</v>
      </c>
      <c r="B225" s="1" t="s">
        <v>14</v>
      </c>
      <c r="C225" s="1" t="s">
        <v>15</v>
      </c>
      <c r="D225" s="3">
        <v>30000.0</v>
      </c>
      <c r="E225" s="2" t="s">
        <v>57</v>
      </c>
      <c r="F225" s="1" t="s">
        <v>87</v>
      </c>
      <c r="G225" s="1" t="s">
        <v>31</v>
      </c>
      <c r="H225" s="1" t="s">
        <v>20</v>
      </c>
      <c r="I225" s="2" t="s">
        <v>21</v>
      </c>
      <c r="J225" s="1" t="s">
        <v>22</v>
      </c>
      <c r="K225" s="1" t="s">
        <v>23</v>
      </c>
      <c r="L225" s="2" t="s">
        <v>77</v>
      </c>
      <c r="M225" s="1" t="s">
        <v>25</v>
      </c>
    </row>
    <row r="226" ht="15.75" customHeight="1">
      <c r="A226" s="2" t="s">
        <v>334</v>
      </c>
      <c r="B226" s="1" t="s">
        <v>14</v>
      </c>
      <c r="C226" s="1" t="s">
        <v>27</v>
      </c>
      <c r="D226" s="3">
        <v>20000.0</v>
      </c>
      <c r="E226" s="2" t="s">
        <v>21</v>
      </c>
      <c r="F226" s="1" t="s">
        <v>18</v>
      </c>
      <c r="G226" s="1" t="s">
        <v>31</v>
      </c>
      <c r="H226" s="1" t="s">
        <v>20</v>
      </c>
      <c r="I226" s="2" t="s">
        <v>21</v>
      </c>
      <c r="J226" s="1" t="s">
        <v>22</v>
      </c>
      <c r="K226" s="1" t="s">
        <v>44</v>
      </c>
      <c r="L226" s="2" t="s">
        <v>245</v>
      </c>
      <c r="M226" s="1" t="s">
        <v>20</v>
      </c>
    </row>
    <row r="227" ht="15.75" customHeight="1">
      <c r="A227" s="2" t="s">
        <v>335</v>
      </c>
      <c r="B227" s="1" t="s">
        <v>1111</v>
      </c>
      <c r="C227" s="1" t="s">
        <v>27</v>
      </c>
      <c r="D227" s="3">
        <v>90000.0</v>
      </c>
      <c r="E227" s="2" t="s">
        <v>21</v>
      </c>
      <c r="F227" s="1" t="s">
        <v>18</v>
      </c>
      <c r="G227" s="1" t="s">
        <v>36</v>
      </c>
      <c r="H227" s="1" t="s">
        <v>25</v>
      </c>
      <c r="I227" s="2" t="s">
        <v>57</v>
      </c>
      <c r="J227" s="1" t="s">
        <v>69</v>
      </c>
      <c r="K227" s="1" t="s">
        <v>44</v>
      </c>
      <c r="L227" s="2" t="s">
        <v>74</v>
      </c>
      <c r="M227" s="1" t="s">
        <v>20</v>
      </c>
    </row>
    <row r="228" ht="15.75" customHeight="1">
      <c r="A228" s="2" t="s">
        <v>336</v>
      </c>
      <c r="B228" s="1" t="s">
        <v>14</v>
      </c>
      <c r="C228" s="1" t="s">
        <v>15</v>
      </c>
      <c r="D228" s="3">
        <v>10000.0</v>
      </c>
      <c r="E228" s="2" t="s">
        <v>17</v>
      </c>
      <c r="F228" s="1" t="s">
        <v>87</v>
      </c>
      <c r="G228" s="1" t="s">
        <v>31</v>
      </c>
      <c r="H228" s="1" t="s">
        <v>20</v>
      </c>
      <c r="I228" s="2" t="s">
        <v>21</v>
      </c>
      <c r="J228" s="1" t="s">
        <v>22</v>
      </c>
      <c r="K228" s="1" t="s">
        <v>23</v>
      </c>
      <c r="L228" s="2" t="s">
        <v>337</v>
      </c>
      <c r="M228" s="1" t="s">
        <v>20</v>
      </c>
    </row>
    <row r="229" ht="15.75" customHeight="1">
      <c r="A229" s="2" t="s">
        <v>338</v>
      </c>
      <c r="B229" s="1" t="s">
        <v>41</v>
      </c>
      <c r="C229" s="1" t="s">
        <v>15</v>
      </c>
      <c r="D229" s="3">
        <v>30000.0</v>
      </c>
      <c r="E229" s="2" t="s">
        <v>35</v>
      </c>
      <c r="F229" s="1" t="s">
        <v>87</v>
      </c>
      <c r="G229" s="1" t="s">
        <v>31</v>
      </c>
      <c r="H229" s="1" t="s">
        <v>20</v>
      </c>
      <c r="I229" s="2" t="s">
        <v>21</v>
      </c>
      <c r="J229" s="1" t="s">
        <v>22</v>
      </c>
      <c r="K229" s="1" t="s">
        <v>23</v>
      </c>
      <c r="L229" s="2" t="s">
        <v>102</v>
      </c>
      <c r="M229" s="1" t="s">
        <v>20</v>
      </c>
    </row>
    <row r="230" ht="15.75" customHeight="1">
      <c r="A230" s="2" t="s">
        <v>339</v>
      </c>
      <c r="B230" s="1" t="s">
        <v>14</v>
      </c>
      <c r="C230" s="1" t="s">
        <v>15</v>
      </c>
      <c r="D230" s="3">
        <v>10000.0</v>
      </c>
      <c r="E230" s="2" t="s">
        <v>21</v>
      </c>
      <c r="F230" s="1" t="s">
        <v>30</v>
      </c>
      <c r="G230" s="1" t="s">
        <v>50</v>
      </c>
      <c r="H230" s="1" t="s">
        <v>25</v>
      </c>
      <c r="I230" s="2" t="s">
        <v>17</v>
      </c>
      <c r="J230" s="1" t="s">
        <v>22</v>
      </c>
      <c r="K230" s="1" t="s">
        <v>44</v>
      </c>
      <c r="L230" s="2" t="s">
        <v>107</v>
      </c>
      <c r="M230" s="1" t="s">
        <v>20</v>
      </c>
    </row>
    <row r="231" ht="15.75" customHeight="1">
      <c r="A231" s="2" t="s">
        <v>340</v>
      </c>
      <c r="B231" s="1" t="s">
        <v>14</v>
      </c>
      <c r="C231" s="1" t="s">
        <v>27</v>
      </c>
      <c r="D231" s="3">
        <v>70000.0</v>
      </c>
      <c r="E231" s="2" t="s">
        <v>35</v>
      </c>
      <c r="F231" s="1" t="s">
        <v>30</v>
      </c>
      <c r="G231" s="1" t="s">
        <v>19</v>
      </c>
      <c r="H231" s="1" t="s">
        <v>20</v>
      </c>
      <c r="I231" s="2" t="s">
        <v>29</v>
      </c>
      <c r="J231" s="1" t="s">
        <v>43</v>
      </c>
      <c r="K231" s="1" t="s">
        <v>44</v>
      </c>
      <c r="L231" s="2" t="s">
        <v>130</v>
      </c>
      <c r="M231" s="1" t="s">
        <v>25</v>
      </c>
    </row>
    <row r="232" ht="15.75" customHeight="1">
      <c r="A232" s="2" t="s">
        <v>341</v>
      </c>
      <c r="B232" s="1" t="s">
        <v>41</v>
      </c>
      <c r="C232" s="1" t="s">
        <v>15</v>
      </c>
      <c r="D232" s="3">
        <v>30000.0</v>
      </c>
      <c r="E232" s="2" t="s">
        <v>21</v>
      </c>
      <c r="F232" s="1" t="s">
        <v>55</v>
      </c>
      <c r="G232" s="1" t="s">
        <v>50</v>
      </c>
      <c r="H232" s="1" t="s">
        <v>25</v>
      </c>
      <c r="I232" s="2" t="s">
        <v>17</v>
      </c>
      <c r="J232" s="1" t="s">
        <v>38</v>
      </c>
      <c r="K232" s="1" t="s">
        <v>23</v>
      </c>
      <c r="L232" s="2" t="s">
        <v>93</v>
      </c>
      <c r="M232" s="1" t="s">
        <v>20</v>
      </c>
    </row>
    <row r="233" ht="15.75" customHeight="1">
      <c r="A233" s="2" t="s">
        <v>342</v>
      </c>
      <c r="B233" s="1" t="s">
        <v>14</v>
      </c>
      <c r="C233" s="1" t="s">
        <v>27</v>
      </c>
      <c r="D233" s="3">
        <v>10000.0</v>
      </c>
      <c r="E233" s="2" t="s">
        <v>17</v>
      </c>
      <c r="F233" s="1" t="s">
        <v>87</v>
      </c>
      <c r="G233" s="1" t="s">
        <v>50</v>
      </c>
      <c r="H233" s="1" t="s">
        <v>20</v>
      </c>
      <c r="I233" s="2" t="s">
        <v>21</v>
      </c>
      <c r="J233" s="1" t="s">
        <v>22</v>
      </c>
      <c r="K233" s="1" t="s">
        <v>23</v>
      </c>
      <c r="L233" s="2" t="s">
        <v>153</v>
      </c>
      <c r="M233" s="1" t="s">
        <v>25</v>
      </c>
    </row>
    <row r="234" ht="15.75" customHeight="1">
      <c r="A234" s="2" t="s">
        <v>343</v>
      </c>
      <c r="B234" s="1" t="s">
        <v>41</v>
      </c>
      <c r="C234" s="1" t="s">
        <v>15</v>
      </c>
      <c r="D234" s="3">
        <v>30000.0</v>
      </c>
      <c r="E234" s="2" t="s">
        <v>29</v>
      </c>
      <c r="F234" s="1" t="s">
        <v>30</v>
      </c>
      <c r="G234" s="1" t="s">
        <v>31</v>
      </c>
      <c r="H234" s="1" t="s">
        <v>20</v>
      </c>
      <c r="I234" s="2" t="s">
        <v>37</v>
      </c>
      <c r="J234" s="1" t="s">
        <v>22</v>
      </c>
      <c r="K234" s="1" t="s">
        <v>23</v>
      </c>
      <c r="L234" s="2" t="s">
        <v>245</v>
      </c>
      <c r="M234" s="1" t="s">
        <v>25</v>
      </c>
    </row>
    <row r="235" ht="15.75" customHeight="1">
      <c r="A235" s="2" t="s">
        <v>344</v>
      </c>
      <c r="B235" s="1" t="s">
        <v>41</v>
      </c>
      <c r="C235" s="1" t="s">
        <v>27</v>
      </c>
      <c r="D235" s="3">
        <v>30000.0</v>
      </c>
      <c r="E235" s="2" t="s">
        <v>17</v>
      </c>
      <c r="F235" s="1" t="s">
        <v>18</v>
      </c>
      <c r="G235" s="1" t="s">
        <v>31</v>
      </c>
      <c r="H235" s="1" t="s">
        <v>25</v>
      </c>
      <c r="I235" s="2" t="s">
        <v>17</v>
      </c>
      <c r="J235" s="1" t="s">
        <v>22</v>
      </c>
      <c r="K235" s="1" t="s">
        <v>23</v>
      </c>
      <c r="L235" s="2" t="s">
        <v>135</v>
      </c>
      <c r="M235" s="1" t="s">
        <v>20</v>
      </c>
    </row>
    <row r="236" ht="15.75" customHeight="1">
      <c r="A236" s="2" t="s">
        <v>345</v>
      </c>
      <c r="B236" s="1" t="s">
        <v>41</v>
      </c>
      <c r="C236" s="1" t="s">
        <v>15</v>
      </c>
      <c r="D236" s="3">
        <v>20000.0</v>
      </c>
      <c r="E236" s="2" t="s">
        <v>21</v>
      </c>
      <c r="F236" s="1" t="s">
        <v>55</v>
      </c>
      <c r="G236" s="1" t="s">
        <v>50</v>
      </c>
      <c r="H236" s="1" t="s">
        <v>25</v>
      </c>
      <c r="I236" s="2" t="s">
        <v>17</v>
      </c>
      <c r="J236" s="1" t="s">
        <v>38</v>
      </c>
      <c r="K236" s="1" t="s">
        <v>23</v>
      </c>
      <c r="L236" s="2" t="s">
        <v>97</v>
      </c>
      <c r="M236" s="1" t="s">
        <v>25</v>
      </c>
    </row>
    <row r="237" ht="15.75" customHeight="1">
      <c r="A237" s="2" t="s">
        <v>346</v>
      </c>
      <c r="B237" s="1" t="s">
        <v>14</v>
      </c>
      <c r="C237" s="1" t="s">
        <v>15</v>
      </c>
      <c r="D237" s="3">
        <v>120000.0</v>
      </c>
      <c r="E237" s="2" t="s">
        <v>29</v>
      </c>
      <c r="F237" s="1" t="s">
        <v>18</v>
      </c>
      <c r="G237" s="1" t="s">
        <v>56</v>
      </c>
      <c r="H237" s="1" t="s">
        <v>25</v>
      </c>
      <c r="I237" s="2" t="s">
        <v>37</v>
      </c>
      <c r="J237" s="1" t="s">
        <v>69</v>
      </c>
      <c r="K237" s="1" t="s">
        <v>23</v>
      </c>
      <c r="L237" s="2" t="s">
        <v>132</v>
      </c>
      <c r="M237" s="1" t="s">
        <v>20</v>
      </c>
    </row>
    <row r="238" ht="15.75" customHeight="1">
      <c r="A238" s="2" t="s">
        <v>347</v>
      </c>
      <c r="B238" s="1" t="s">
        <v>14</v>
      </c>
      <c r="C238" s="1" t="s">
        <v>27</v>
      </c>
      <c r="D238" s="3">
        <v>110000.0</v>
      </c>
      <c r="E238" s="2" t="s">
        <v>35</v>
      </c>
      <c r="F238" s="1" t="s">
        <v>18</v>
      </c>
      <c r="G238" s="1" t="s">
        <v>56</v>
      </c>
      <c r="H238" s="1" t="s">
        <v>20</v>
      </c>
      <c r="I238" s="2" t="s">
        <v>57</v>
      </c>
      <c r="J238" s="1" t="s">
        <v>38</v>
      </c>
      <c r="K238" s="1" t="s">
        <v>44</v>
      </c>
      <c r="L238" s="2" t="s">
        <v>125</v>
      </c>
      <c r="M238" s="1" t="s">
        <v>20</v>
      </c>
    </row>
    <row r="239" ht="15.75" customHeight="1">
      <c r="A239" s="2" t="s">
        <v>348</v>
      </c>
      <c r="B239" s="1" t="s">
        <v>14</v>
      </c>
      <c r="C239" s="1" t="s">
        <v>15</v>
      </c>
      <c r="D239" s="3">
        <v>130000.0</v>
      </c>
      <c r="E239" s="2" t="s">
        <v>29</v>
      </c>
      <c r="F239" s="1" t="s">
        <v>30</v>
      </c>
      <c r="G239" s="1" t="s">
        <v>36</v>
      </c>
      <c r="H239" s="1" t="s">
        <v>20</v>
      </c>
      <c r="I239" s="2" t="s">
        <v>29</v>
      </c>
      <c r="J239" s="1" t="s">
        <v>22</v>
      </c>
      <c r="K239" s="1" t="s">
        <v>23</v>
      </c>
      <c r="L239" s="2" t="s">
        <v>178</v>
      </c>
      <c r="M239" s="1" t="s">
        <v>20</v>
      </c>
    </row>
    <row r="240" ht="15.75" customHeight="1">
      <c r="A240" s="2" t="s">
        <v>349</v>
      </c>
      <c r="B240" s="1" t="s">
        <v>14</v>
      </c>
      <c r="C240" s="1" t="s">
        <v>15</v>
      </c>
      <c r="D240" s="3">
        <v>100000.0</v>
      </c>
      <c r="E240" s="2" t="s">
        <v>21</v>
      </c>
      <c r="F240" s="1" t="s">
        <v>55</v>
      </c>
      <c r="G240" s="1" t="s">
        <v>56</v>
      </c>
      <c r="H240" s="1" t="s">
        <v>20</v>
      </c>
      <c r="I240" s="2" t="s">
        <v>57</v>
      </c>
      <c r="J240" s="1" t="s">
        <v>69</v>
      </c>
      <c r="K240" s="1" t="s">
        <v>44</v>
      </c>
      <c r="L240" s="2" t="s">
        <v>93</v>
      </c>
      <c r="M240" s="1" t="s">
        <v>20</v>
      </c>
    </row>
    <row r="241" ht="15.75" customHeight="1">
      <c r="A241" s="2" t="s">
        <v>350</v>
      </c>
      <c r="B241" s="1" t="s">
        <v>14</v>
      </c>
      <c r="C241" s="1" t="s">
        <v>15</v>
      </c>
      <c r="D241" s="3">
        <v>10000.0</v>
      </c>
      <c r="E241" s="2" t="s">
        <v>35</v>
      </c>
      <c r="F241" s="1" t="s">
        <v>55</v>
      </c>
      <c r="G241" s="1" t="s">
        <v>19</v>
      </c>
      <c r="H241" s="1" t="s">
        <v>25</v>
      </c>
      <c r="I241" s="2" t="s">
        <v>29</v>
      </c>
      <c r="J241" s="1" t="s">
        <v>51</v>
      </c>
      <c r="K241" s="1" t="s">
        <v>44</v>
      </c>
      <c r="L241" s="2" t="s">
        <v>112</v>
      </c>
      <c r="M241" s="1" t="s">
        <v>25</v>
      </c>
    </row>
    <row r="242" ht="15.75" customHeight="1">
      <c r="A242" s="2" t="s">
        <v>351</v>
      </c>
      <c r="B242" s="1" t="s">
        <v>41</v>
      </c>
      <c r="C242" s="1" t="s">
        <v>27</v>
      </c>
      <c r="D242" s="3">
        <v>70000.0</v>
      </c>
      <c r="E242" s="2" t="s">
        <v>21</v>
      </c>
      <c r="F242" s="1" t="s">
        <v>18</v>
      </c>
      <c r="G242" s="1" t="s">
        <v>36</v>
      </c>
      <c r="H242" s="1" t="s">
        <v>20</v>
      </c>
      <c r="I242" s="2" t="s">
        <v>17</v>
      </c>
      <c r="J242" s="1" t="s">
        <v>43</v>
      </c>
      <c r="K242" s="1" t="s">
        <v>44</v>
      </c>
      <c r="L242" s="2" t="s">
        <v>153</v>
      </c>
      <c r="M242" s="1" t="s">
        <v>20</v>
      </c>
    </row>
    <row r="243" ht="15.75" customHeight="1">
      <c r="A243" s="2" t="s">
        <v>352</v>
      </c>
      <c r="B243" s="1" t="s">
        <v>14</v>
      </c>
      <c r="C243" s="1" t="s">
        <v>27</v>
      </c>
      <c r="D243" s="3">
        <v>100000.0</v>
      </c>
      <c r="E243" s="2" t="s">
        <v>35</v>
      </c>
      <c r="F243" s="1" t="s">
        <v>87</v>
      </c>
      <c r="G243" s="1" t="s">
        <v>56</v>
      </c>
      <c r="H243" s="1" t="s">
        <v>25</v>
      </c>
      <c r="I243" s="2" t="s">
        <v>17</v>
      </c>
      <c r="J243" s="1" t="s">
        <v>51</v>
      </c>
      <c r="K243" s="1" t="s">
        <v>44</v>
      </c>
      <c r="L243" s="2" t="s">
        <v>353</v>
      </c>
      <c r="M243" s="1" t="s">
        <v>20</v>
      </c>
    </row>
    <row r="244" ht="15.75" customHeight="1">
      <c r="A244" s="2" t="s">
        <v>354</v>
      </c>
      <c r="B244" s="1" t="s">
        <v>14</v>
      </c>
      <c r="C244" s="1" t="s">
        <v>27</v>
      </c>
      <c r="D244" s="3">
        <v>130000.0</v>
      </c>
      <c r="E244" s="2" t="s">
        <v>57</v>
      </c>
      <c r="F244" s="1" t="s">
        <v>55</v>
      </c>
      <c r="G244" s="1" t="s">
        <v>36</v>
      </c>
      <c r="H244" s="1" t="s">
        <v>20</v>
      </c>
      <c r="I244" s="2" t="s">
        <v>29</v>
      </c>
      <c r="J244" s="1" t="s">
        <v>22</v>
      </c>
      <c r="K244" s="1" t="s">
        <v>23</v>
      </c>
      <c r="L244" s="2" t="s">
        <v>72</v>
      </c>
      <c r="M244" s="1" t="s">
        <v>25</v>
      </c>
    </row>
    <row r="245" ht="15.75" customHeight="1">
      <c r="A245" s="2" t="s">
        <v>355</v>
      </c>
      <c r="B245" s="1" t="s">
        <v>41</v>
      </c>
      <c r="C245" s="1" t="s">
        <v>27</v>
      </c>
      <c r="D245" s="3">
        <v>60000.0</v>
      </c>
      <c r="E245" s="2" t="s">
        <v>21</v>
      </c>
      <c r="F245" s="1" t="s">
        <v>18</v>
      </c>
      <c r="G245" s="1" t="s">
        <v>36</v>
      </c>
      <c r="H245" s="1" t="s">
        <v>25</v>
      </c>
      <c r="I245" s="2" t="s">
        <v>57</v>
      </c>
      <c r="J245" s="1" t="s">
        <v>38</v>
      </c>
      <c r="K245" s="1" t="s">
        <v>44</v>
      </c>
      <c r="L245" s="2" t="s">
        <v>109</v>
      </c>
      <c r="M245" s="1" t="s">
        <v>25</v>
      </c>
    </row>
    <row r="246" ht="15.75" customHeight="1">
      <c r="A246" s="2" t="s">
        <v>356</v>
      </c>
      <c r="B246" s="1" t="s">
        <v>14</v>
      </c>
      <c r="C246" s="1" t="s">
        <v>27</v>
      </c>
      <c r="D246" s="3">
        <v>100000.0</v>
      </c>
      <c r="E246" s="2" t="s">
        <v>29</v>
      </c>
      <c r="F246" s="1" t="s">
        <v>62</v>
      </c>
      <c r="G246" s="1" t="s">
        <v>36</v>
      </c>
      <c r="H246" s="1" t="s">
        <v>20</v>
      </c>
      <c r="I246" s="2" t="s">
        <v>21</v>
      </c>
      <c r="J246" s="1" t="s">
        <v>69</v>
      </c>
      <c r="K246" s="1" t="s">
        <v>23</v>
      </c>
      <c r="L246" s="2" t="s">
        <v>81</v>
      </c>
      <c r="M246" s="1" t="s">
        <v>20</v>
      </c>
    </row>
    <row r="247" ht="15.75" customHeight="1">
      <c r="A247" s="2" t="s">
        <v>357</v>
      </c>
      <c r="B247" s="1" t="s">
        <v>41</v>
      </c>
      <c r="C247" s="1" t="s">
        <v>27</v>
      </c>
      <c r="D247" s="3">
        <v>20000.0</v>
      </c>
      <c r="E247" s="2" t="s">
        <v>37</v>
      </c>
      <c r="F247" s="1" t="s">
        <v>62</v>
      </c>
      <c r="G247" s="1" t="s">
        <v>31</v>
      </c>
      <c r="H247" s="1" t="s">
        <v>20</v>
      </c>
      <c r="I247" s="2" t="s">
        <v>37</v>
      </c>
      <c r="J247" s="1" t="s">
        <v>43</v>
      </c>
      <c r="K247" s="1" t="s">
        <v>44</v>
      </c>
      <c r="L247" s="2" t="s">
        <v>330</v>
      </c>
      <c r="M247" s="1" t="s">
        <v>25</v>
      </c>
    </row>
    <row r="248" ht="15.75" customHeight="1">
      <c r="A248" s="2" t="s">
        <v>358</v>
      </c>
      <c r="B248" s="1" t="s">
        <v>41</v>
      </c>
      <c r="C248" s="1" t="s">
        <v>15</v>
      </c>
      <c r="D248" s="3">
        <v>30000.0</v>
      </c>
      <c r="E248" s="2" t="s">
        <v>29</v>
      </c>
      <c r="F248" s="1" t="s">
        <v>87</v>
      </c>
      <c r="G248" s="1" t="s">
        <v>31</v>
      </c>
      <c r="H248" s="1" t="s">
        <v>20</v>
      </c>
      <c r="I248" s="2" t="s">
        <v>21</v>
      </c>
      <c r="J248" s="1" t="s">
        <v>22</v>
      </c>
      <c r="K248" s="1" t="s">
        <v>23</v>
      </c>
      <c r="L248" s="2" t="s">
        <v>83</v>
      </c>
      <c r="M248" s="1" t="s">
        <v>20</v>
      </c>
    </row>
    <row r="249" ht="15.75" customHeight="1">
      <c r="A249" s="2" t="s">
        <v>359</v>
      </c>
      <c r="B249" s="1" t="s">
        <v>14</v>
      </c>
      <c r="C249" s="1" t="s">
        <v>27</v>
      </c>
      <c r="D249" s="3">
        <v>20000.0</v>
      </c>
      <c r="E249" s="2" t="s">
        <v>17</v>
      </c>
      <c r="F249" s="1" t="s">
        <v>87</v>
      </c>
      <c r="G249" s="1" t="s">
        <v>31</v>
      </c>
      <c r="H249" s="1" t="s">
        <v>20</v>
      </c>
      <c r="I249" s="2" t="s">
        <v>21</v>
      </c>
      <c r="J249" s="1" t="s">
        <v>22</v>
      </c>
      <c r="K249" s="1" t="s">
        <v>23</v>
      </c>
      <c r="L249" s="2" t="s">
        <v>32</v>
      </c>
      <c r="M249" s="1" t="s">
        <v>25</v>
      </c>
    </row>
    <row r="250" ht="15.75" customHeight="1">
      <c r="A250" s="2" t="s">
        <v>360</v>
      </c>
      <c r="B250" s="1" t="s">
        <v>41</v>
      </c>
      <c r="C250" s="1" t="s">
        <v>15</v>
      </c>
      <c r="D250" s="3">
        <v>50000.0</v>
      </c>
      <c r="E250" s="2" t="s">
        <v>21</v>
      </c>
      <c r="F250" s="1" t="s">
        <v>87</v>
      </c>
      <c r="G250" s="1" t="s">
        <v>19</v>
      </c>
      <c r="H250" s="1" t="s">
        <v>20</v>
      </c>
      <c r="I250" s="2" t="s">
        <v>21</v>
      </c>
      <c r="J250" s="1" t="s">
        <v>22</v>
      </c>
      <c r="K250" s="1" t="s">
        <v>23</v>
      </c>
      <c r="L250" s="2" t="s">
        <v>47</v>
      </c>
      <c r="M250" s="1" t="s">
        <v>20</v>
      </c>
    </row>
    <row r="251" ht="15.75" customHeight="1">
      <c r="A251" s="2" t="s">
        <v>361</v>
      </c>
      <c r="B251" s="1" t="s">
        <v>41</v>
      </c>
      <c r="C251" s="1" t="s">
        <v>15</v>
      </c>
      <c r="D251" s="3">
        <v>100000.0</v>
      </c>
      <c r="E251" s="2" t="s">
        <v>29</v>
      </c>
      <c r="F251" s="1" t="s">
        <v>30</v>
      </c>
      <c r="G251" s="1" t="s">
        <v>56</v>
      </c>
      <c r="H251" s="1" t="s">
        <v>20</v>
      </c>
      <c r="I251" s="2" t="s">
        <v>57</v>
      </c>
      <c r="J251" s="1" t="s">
        <v>69</v>
      </c>
      <c r="K251" s="1" t="s">
        <v>23</v>
      </c>
      <c r="L251" s="2" t="s">
        <v>91</v>
      </c>
      <c r="M251" s="1" t="s">
        <v>25</v>
      </c>
    </row>
    <row r="252" ht="15.75" customHeight="1">
      <c r="A252" s="2" t="s">
        <v>362</v>
      </c>
      <c r="B252" s="1" t="s">
        <v>14</v>
      </c>
      <c r="C252" s="1" t="s">
        <v>27</v>
      </c>
      <c r="D252" s="3">
        <v>150000.0</v>
      </c>
      <c r="E252" s="2" t="s">
        <v>21</v>
      </c>
      <c r="F252" s="1" t="s">
        <v>18</v>
      </c>
      <c r="G252" s="1" t="s">
        <v>56</v>
      </c>
      <c r="H252" s="1" t="s">
        <v>20</v>
      </c>
      <c r="I252" s="2" t="s">
        <v>57</v>
      </c>
      <c r="J252" s="1" t="s">
        <v>22</v>
      </c>
      <c r="K252" s="1" t="s">
        <v>44</v>
      </c>
      <c r="L252" s="2" t="s">
        <v>153</v>
      </c>
      <c r="M252" s="1" t="s">
        <v>20</v>
      </c>
    </row>
    <row r="253" ht="15.75" customHeight="1">
      <c r="A253" s="2" t="s">
        <v>363</v>
      </c>
      <c r="B253" s="1" t="s">
        <v>41</v>
      </c>
      <c r="C253" s="1" t="s">
        <v>15</v>
      </c>
      <c r="D253" s="3">
        <v>30000.0</v>
      </c>
      <c r="E253" s="2" t="s">
        <v>37</v>
      </c>
      <c r="F253" s="1" t="s">
        <v>30</v>
      </c>
      <c r="G253" s="1" t="s">
        <v>31</v>
      </c>
      <c r="H253" s="1" t="s">
        <v>20</v>
      </c>
      <c r="I253" s="2" t="s">
        <v>21</v>
      </c>
      <c r="J253" s="1" t="s">
        <v>22</v>
      </c>
      <c r="K253" s="1" t="s">
        <v>23</v>
      </c>
      <c r="L253" s="2" t="s">
        <v>32</v>
      </c>
      <c r="M253" s="1" t="s">
        <v>25</v>
      </c>
    </row>
    <row r="254" ht="15.75" customHeight="1">
      <c r="A254" s="2" t="s">
        <v>364</v>
      </c>
      <c r="B254" s="1" t="s">
        <v>14</v>
      </c>
      <c r="C254" s="1" t="s">
        <v>15</v>
      </c>
      <c r="D254" s="3">
        <v>40000.0</v>
      </c>
      <c r="E254" s="2" t="s">
        <v>17</v>
      </c>
      <c r="F254" s="1" t="s">
        <v>18</v>
      </c>
      <c r="G254" s="1" t="s">
        <v>19</v>
      </c>
      <c r="H254" s="1" t="s">
        <v>20</v>
      </c>
      <c r="I254" s="2" t="s">
        <v>17</v>
      </c>
      <c r="J254" s="1" t="s">
        <v>51</v>
      </c>
      <c r="K254" s="1" t="s">
        <v>23</v>
      </c>
      <c r="L254" s="2" t="s">
        <v>58</v>
      </c>
      <c r="M254" s="1" t="s">
        <v>20</v>
      </c>
    </row>
    <row r="255" ht="15.75" customHeight="1">
      <c r="A255" s="2" t="s">
        <v>365</v>
      </c>
      <c r="B255" s="1" t="s">
        <v>14</v>
      </c>
      <c r="C255" s="1" t="s">
        <v>15</v>
      </c>
      <c r="D255" s="3">
        <v>10000.0</v>
      </c>
      <c r="E255" s="2" t="s">
        <v>37</v>
      </c>
      <c r="F255" s="1" t="s">
        <v>30</v>
      </c>
      <c r="G255" s="1" t="s">
        <v>50</v>
      </c>
      <c r="H255" s="1" t="s">
        <v>20</v>
      </c>
      <c r="I255" s="2" t="s">
        <v>21</v>
      </c>
      <c r="J255" s="1" t="s">
        <v>51</v>
      </c>
      <c r="K255" s="1" t="s">
        <v>23</v>
      </c>
      <c r="L255" s="2" t="s">
        <v>178</v>
      </c>
      <c r="M255" s="1" t="s">
        <v>25</v>
      </c>
    </row>
    <row r="256" ht="15.75" customHeight="1">
      <c r="A256" s="2" t="s">
        <v>366</v>
      </c>
      <c r="B256" s="1" t="s">
        <v>41</v>
      </c>
      <c r="C256" s="1" t="s">
        <v>15</v>
      </c>
      <c r="D256" s="3">
        <v>70000.0</v>
      </c>
      <c r="E256" s="2" t="s">
        <v>35</v>
      </c>
      <c r="F256" s="1" t="s">
        <v>18</v>
      </c>
      <c r="G256" s="1" t="s">
        <v>36</v>
      </c>
      <c r="H256" s="1" t="s">
        <v>20</v>
      </c>
      <c r="I256" s="2" t="s">
        <v>29</v>
      </c>
      <c r="J256" s="1" t="s">
        <v>69</v>
      </c>
      <c r="K256" s="1" t="s">
        <v>44</v>
      </c>
      <c r="L256" s="2" t="s">
        <v>135</v>
      </c>
      <c r="M256" s="1" t="s">
        <v>25</v>
      </c>
    </row>
    <row r="257" ht="15.75" customHeight="1">
      <c r="A257" s="2" t="s">
        <v>367</v>
      </c>
      <c r="B257" s="1" t="s">
        <v>14</v>
      </c>
      <c r="C257" s="1" t="s">
        <v>27</v>
      </c>
      <c r="D257" s="3">
        <v>40000.0</v>
      </c>
      <c r="E257" s="2" t="s">
        <v>21</v>
      </c>
      <c r="F257" s="1" t="s">
        <v>87</v>
      </c>
      <c r="G257" s="1" t="s">
        <v>31</v>
      </c>
      <c r="H257" s="1" t="s">
        <v>20</v>
      </c>
      <c r="I257" s="2" t="s">
        <v>21</v>
      </c>
      <c r="J257" s="1" t="s">
        <v>22</v>
      </c>
      <c r="K257" s="1" t="s">
        <v>23</v>
      </c>
      <c r="L257" s="2" t="s">
        <v>153</v>
      </c>
      <c r="M257" s="1" t="s">
        <v>20</v>
      </c>
    </row>
    <row r="258" ht="15.75" customHeight="1">
      <c r="A258" s="2" t="s">
        <v>368</v>
      </c>
      <c r="B258" s="1" t="s">
        <v>41</v>
      </c>
      <c r="C258" s="1" t="s">
        <v>15</v>
      </c>
      <c r="D258" s="3">
        <v>30000.0</v>
      </c>
      <c r="E258" s="2" t="s">
        <v>37</v>
      </c>
      <c r="F258" s="1" t="s">
        <v>30</v>
      </c>
      <c r="G258" s="1" t="s">
        <v>31</v>
      </c>
      <c r="H258" s="1" t="s">
        <v>20</v>
      </c>
      <c r="I258" s="2" t="s">
        <v>37</v>
      </c>
      <c r="J258" s="1" t="s">
        <v>22</v>
      </c>
      <c r="K258" s="1" t="s">
        <v>23</v>
      </c>
      <c r="L258" s="2" t="s">
        <v>24</v>
      </c>
      <c r="M258" s="1" t="s">
        <v>25</v>
      </c>
    </row>
    <row r="259" ht="15.75" customHeight="1">
      <c r="A259" s="2" t="s">
        <v>369</v>
      </c>
      <c r="B259" s="1" t="s">
        <v>41</v>
      </c>
      <c r="C259" s="1" t="s">
        <v>15</v>
      </c>
      <c r="D259" s="3">
        <v>20000.0</v>
      </c>
      <c r="E259" s="2" t="s">
        <v>35</v>
      </c>
      <c r="F259" s="1" t="s">
        <v>55</v>
      </c>
      <c r="G259" s="1" t="s">
        <v>50</v>
      </c>
      <c r="H259" s="1" t="s">
        <v>20</v>
      </c>
      <c r="I259" s="2" t="s">
        <v>37</v>
      </c>
      <c r="J259" s="1" t="s">
        <v>22</v>
      </c>
      <c r="K259" s="1" t="s">
        <v>23</v>
      </c>
      <c r="L259" s="2" t="s">
        <v>245</v>
      </c>
      <c r="M259" s="1" t="s">
        <v>25</v>
      </c>
    </row>
    <row r="260" ht="15.75" customHeight="1">
      <c r="A260" s="2" t="s">
        <v>370</v>
      </c>
      <c r="B260" s="1" t="s">
        <v>41</v>
      </c>
      <c r="C260" s="1" t="s">
        <v>27</v>
      </c>
      <c r="D260" s="3">
        <v>100000.0</v>
      </c>
      <c r="E260" s="2" t="s">
        <v>35</v>
      </c>
      <c r="F260" s="1" t="s">
        <v>18</v>
      </c>
      <c r="G260" s="1" t="s">
        <v>36</v>
      </c>
      <c r="H260" s="1" t="s">
        <v>20</v>
      </c>
      <c r="I260" s="2" t="s">
        <v>17</v>
      </c>
      <c r="J260" s="1" t="s">
        <v>43</v>
      </c>
      <c r="K260" s="1" t="s">
        <v>44</v>
      </c>
      <c r="L260" s="2" t="s">
        <v>83</v>
      </c>
      <c r="M260" s="1" t="s">
        <v>20</v>
      </c>
    </row>
    <row r="261" ht="15.75" customHeight="1">
      <c r="A261" s="2" t="s">
        <v>371</v>
      </c>
      <c r="B261" s="1" t="s">
        <v>14</v>
      </c>
      <c r="C261" s="1" t="s">
        <v>27</v>
      </c>
      <c r="D261" s="3">
        <v>70000.0</v>
      </c>
      <c r="E261" s="2" t="s">
        <v>35</v>
      </c>
      <c r="F261" s="1" t="s">
        <v>30</v>
      </c>
      <c r="G261" s="1" t="s">
        <v>19</v>
      </c>
      <c r="H261" s="1" t="s">
        <v>20</v>
      </c>
      <c r="I261" s="2" t="s">
        <v>29</v>
      </c>
      <c r="J261" s="1" t="s">
        <v>43</v>
      </c>
      <c r="K261" s="1" t="s">
        <v>44</v>
      </c>
      <c r="L261" s="2" t="s">
        <v>77</v>
      </c>
      <c r="M261" s="1" t="s">
        <v>25</v>
      </c>
    </row>
    <row r="262" ht="15.75" customHeight="1">
      <c r="A262" s="2" t="s">
        <v>372</v>
      </c>
      <c r="B262" s="1" t="s">
        <v>41</v>
      </c>
      <c r="C262" s="1" t="s">
        <v>15</v>
      </c>
      <c r="D262" s="3">
        <v>50000.0</v>
      </c>
      <c r="E262" s="2" t="s">
        <v>21</v>
      </c>
      <c r="F262" s="1" t="s">
        <v>87</v>
      </c>
      <c r="G262" s="1" t="s">
        <v>19</v>
      </c>
      <c r="H262" s="1" t="s">
        <v>25</v>
      </c>
      <c r="I262" s="2" t="s">
        <v>21</v>
      </c>
      <c r="J262" s="1" t="s">
        <v>22</v>
      </c>
      <c r="K262" s="1" t="s">
        <v>23</v>
      </c>
      <c r="L262" s="2" t="s">
        <v>153</v>
      </c>
      <c r="M262" s="1" t="s">
        <v>20</v>
      </c>
    </row>
    <row r="263" ht="15.75" customHeight="1">
      <c r="A263" s="2" t="s">
        <v>373</v>
      </c>
      <c r="B263" s="1" t="s">
        <v>41</v>
      </c>
      <c r="C263" s="1" t="s">
        <v>15</v>
      </c>
      <c r="D263" s="3">
        <v>10000.0</v>
      </c>
      <c r="E263" s="2" t="s">
        <v>37</v>
      </c>
      <c r="F263" s="1" t="s">
        <v>30</v>
      </c>
      <c r="G263" s="1" t="s">
        <v>50</v>
      </c>
      <c r="H263" s="1" t="s">
        <v>20</v>
      </c>
      <c r="I263" s="2" t="s">
        <v>21</v>
      </c>
      <c r="J263" s="1" t="s">
        <v>22</v>
      </c>
      <c r="K263" s="1" t="s">
        <v>23</v>
      </c>
      <c r="L263" s="2" t="s">
        <v>178</v>
      </c>
      <c r="M263" s="1" t="s">
        <v>20</v>
      </c>
    </row>
    <row r="264" ht="15.75" customHeight="1">
      <c r="A264" s="2" t="s">
        <v>374</v>
      </c>
      <c r="B264" s="1" t="s">
        <v>41</v>
      </c>
      <c r="C264" s="1" t="s">
        <v>15</v>
      </c>
      <c r="D264" s="3">
        <v>20000.0</v>
      </c>
      <c r="E264" s="2" t="s">
        <v>21</v>
      </c>
      <c r="F264" s="1" t="s">
        <v>55</v>
      </c>
      <c r="G264" s="1" t="s">
        <v>50</v>
      </c>
      <c r="H264" s="1" t="s">
        <v>25</v>
      </c>
      <c r="I264" s="2" t="s">
        <v>17</v>
      </c>
      <c r="J264" s="1" t="s">
        <v>51</v>
      </c>
      <c r="K264" s="1" t="s">
        <v>23</v>
      </c>
      <c r="L264" s="2" t="s">
        <v>118</v>
      </c>
      <c r="M264" s="1" t="s">
        <v>25</v>
      </c>
    </row>
    <row r="265" ht="15.75" customHeight="1">
      <c r="A265" s="2" t="s">
        <v>375</v>
      </c>
      <c r="B265" s="1" t="s">
        <v>14</v>
      </c>
      <c r="C265" s="1" t="s">
        <v>27</v>
      </c>
      <c r="D265" s="3">
        <v>10000.0</v>
      </c>
      <c r="E265" s="2" t="s">
        <v>57</v>
      </c>
      <c r="F265" s="1" t="s">
        <v>62</v>
      </c>
      <c r="G265" s="1" t="s">
        <v>50</v>
      </c>
      <c r="H265" s="1" t="s">
        <v>20</v>
      </c>
      <c r="I265" s="2" t="s">
        <v>17</v>
      </c>
      <c r="J265" s="1" t="s">
        <v>22</v>
      </c>
      <c r="K265" s="1" t="s">
        <v>23</v>
      </c>
      <c r="L265" s="2" t="s">
        <v>100</v>
      </c>
      <c r="M265" s="1" t="s">
        <v>20</v>
      </c>
    </row>
    <row r="266" ht="15.75" customHeight="1">
      <c r="A266" s="2" t="s">
        <v>376</v>
      </c>
      <c r="B266" s="1" t="s">
        <v>41</v>
      </c>
      <c r="C266" s="1" t="s">
        <v>15</v>
      </c>
      <c r="D266" s="3">
        <v>20000.0</v>
      </c>
      <c r="E266" s="2" t="s">
        <v>21</v>
      </c>
      <c r="F266" s="1" t="s">
        <v>55</v>
      </c>
      <c r="G266" s="1" t="s">
        <v>50</v>
      </c>
      <c r="H266" s="1" t="s">
        <v>25</v>
      </c>
      <c r="I266" s="2" t="s">
        <v>17</v>
      </c>
      <c r="J266" s="1" t="s">
        <v>38</v>
      </c>
      <c r="K266" s="1" t="s">
        <v>23</v>
      </c>
      <c r="L266" s="2" t="s">
        <v>116</v>
      </c>
      <c r="M266" s="1" t="s">
        <v>25</v>
      </c>
    </row>
    <row r="267" ht="15.75" customHeight="1">
      <c r="A267" s="2" t="s">
        <v>377</v>
      </c>
      <c r="B267" s="1" t="s">
        <v>14</v>
      </c>
      <c r="C267" s="1" t="s">
        <v>15</v>
      </c>
      <c r="D267" s="3">
        <v>30000.0</v>
      </c>
      <c r="E267" s="2" t="s">
        <v>21</v>
      </c>
      <c r="F267" s="1" t="s">
        <v>18</v>
      </c>
      <c r="G267" s="1" t="s">
        <v>31</v>
      </c>
      <c r="H267" s="1" t="s">
        <v>25</v>
      </c>
      <c r="I267" s="2" t="s">
        <v>21</v>
      </c>
      <c r="J267" s="1" t="s">
        <v>22</v>
      </c>
      <c r="K267" s="1" t="s">
        <v>23</v>
      </c>
      <c r="L267" s="2" t="s">
        <v>47</v>
      </c>
      <c r="M267" s="1" t="s">
        <v>20</v>
      </c>
    </row>
    <row r="268" ht="15.75" customHeight="1">
      <c r="A268" s="2" t="s">
        <v>378</v>
      </c>
      <c r="B268" s="1" t="s">
        <v>14</v>
      </c>
      <c r="C268" s="1" t="s">
        <v>15</v>
      </c>
      <c r="D268" s="3">
        <v>90000.0</v>
      </c>
      <c r="E268" s="2" t="s">
        <v>17</v>
      </c>
      <c r="F268" s="1" t="s">
        <v>87</v>
      </c>
      <c r="G268" s="1" t="s">
        <v>56</v>
      </c>
      <c r="H268" s="1" t="s">
        <v>20</v>
      </c>
      <c r="I268" s="2" t="s">
        <v>21</v>
      </c>
      <c r="J268" s="1" t="s">
        <v>22</v>
      </c>
      <c r="K268" s="1" t="s">
        <v>44</v>
      </c>
      <c r="L268" s="2" t="s">
        <v>153</v>
      </c>
      <c r="M268" s="1" t="s">
        <v>20</v>
      </c>
    </row>
    <row r="269" ht="15.75" customHeight="1">
      <c r="A269" s="2" t="s">
        <v>379</v>
      </c>
      <c r="B269" s="1" t="s">
        <v>14</v>
      </c>
      <c r="C269" s="1" t="s">
        <v>15</v>
      </c>
      <c r="D269" s="3">
        <v>10000.0</v>
      </c>
      <c r="E269" s="2" t="s">
        <v>37</v>
      </c>
      <c r="F269" s="1" t="s">
        <v>30</v>
      </c>
      <c r="G269" s="1" t="s">
        <v>50</v>
      </c>
      <c r="H269" s="1" t="s">
        <v>20</v>
      </c>
      <c r="I269" s="2" t="s">
        <v>21</v>
      </c>
      <c r="J269" s="1" t="s">
        <v>51</v>
      </c>
      <c r="K269" s="1" t="s">
        <v>23</v>
      </c>
      <c r="L269" s="2" t="s">
        <v>195</v>
      </c>
      <c r="M269" s="1" t="s">
        <v>25</v>
      </c>
    </row>
    <row r="270" ht="15.75" customHeight="1">
      <c r="A270" s="2" t="s">
        <v>380</v>
      </c>
      <c r="B270" s="1" t="s">
        <v>14</v>
      </c>
      <c r="C270" s="1" t="s">
        <v>15</v>
      </c>
      <c r="D270" s="3">
        <v>10000.0</v>
      </c>
      <c r="E270" s="2" t="s">
        <v>37</v>
      </c>
      <c r="F270" s="1" t="s">
        <v>55</v>
      </c>
      <c r="G270" s="1" t="s">
        <v>50</v>
      </c>
      <c r="H270" s="1" t="s">
        <v>20</v>
      </c>
      <c r="I270" s="2" t="s">
        <v>21</v>
      </c>
      <c r="J270" s="1" t="s">
        <v>22</v>
      </c>
      <c r="K270" s="1" t="s">
        <v>23</v>
      </c>
      <c r="L270" s="2" t="s">
        <v>153</v>
      </c>
      <c r="M270" s="1" t="s">
        <v>20</v>
      </c>
    </row>
    <row r="271" ht="15.75" customHeight="1">
      <c r="A271" s="2" t="s">
        <v>381</v>
      </c>
      <c r="B271" s="1" t="s">
        <v>14</v>
      </c>
      <c r="C271" s="1" t="s">
        <v>27</v>
      </c>
      <c r="D271" s="3">
        <v>100000.0</v>
      </c>
      <c r="E271" s="2" t="s">
        <v>21</v>
      </c>
      <c r="F271" s="1" t="s">
        <v>55</v>
      </c>
      <c r="G271" s="1" t="s">
        <v>56</v>
      </c>
      <c r="H271" s="1" t="s">
        <v>20</v>
      </c>
      <c r="I271" s="2" t="s">
        <v>29</v>
      </c>
      <c r="J271" s="1" t="s">
        <v>69</v>
      </c>
      <c r="K271" s="1" t="s">
        <v>44</v>
      </c>
      <c r="L271" s="2" t="s">
        <v>74</v>
      </c>
      <c r="M271" s="1" t="s">
        <v>20</v>
      </c>
    </row>
    <row r="272" ht="15.75" customHeight="1">
      <c r="A272" s="2" t="s">
        <v>382</v>
      </c>
      <c r="B272" s="1" t="s">
        <v>41</v>
      </c>
      <c r="C272" s="1" t="s">
        <v>27</v>
      </c>
      <c r="D272" s="3">
        <v>30000.0</v>
      </c>
      <c r="E272" s="2" t="s">
        <v>17</v>
      </c>
      <c r="F272" s="1" t="s">
        <v>18</v>
      </c>
      <c r="G272" s="1" t="s">
        <v>31</v>
      </c>
      <c r="H272" s="1" t="s">
        <v>25</v>
      </c>
      <c r="I272" s="2" t="s">
        <v>21</v>
      </c>
      <c r="J272" s="1" t="s">
        <v>22</v>
      </c>
      <c r="K272" s="1" t="s">
        <v>23</v>
      </c>
      <c r="L272" s="2" t="s">
        <v>79</v>
      </c>
      <c r="M272" s="1" t="s">
        <v>20</v>
      </c>
    </row>
    <row r="273" ht="15.75" customHeight="1">
      <c r="A273" s="2" t="s">
        <v>383</v>
      </c>
      <c r="B273" s="1" t="s">
        <v>41</v>
      </c>
      <c r="C273" s="1" t="s">
        <v>15</v>
      </c>
      <c r="D273" s="3">
        <v>10000.0</v>
      </c>
      <c r="E273" s="2" t="s">
        <v>29</v>
      </c>
      <c r="F273" s="1" t="s">
        <v>62</v>
      </c>
      <c r="G273" s="1" t="s">
        <v>50</v>
      </c>
      <c r="H273" s="1" t="s">
        <v>20</v>
      </c>
      <c r="I273" s="2" t="s">
        <v>37</v>
      </c>
      <c r="J273" s="1" t="s">
        <v>22</v>
      </c>
      <c r="K273" s="1" t="s">
        <v>23</v>
      </c>
      <c r="L273" s="2" t="s">
        <v>32</v>
      </c>
      <c r="M273" s="1" t="s">
        <v>25</v>
      </c>
    </row>
    <row r="274" ht="15.75" customHeight="1">
      <c r="A274" s="2" t="s">
        <v>384</v>
      </c>
      <c r="B274" s="1" t="s">
        <v>41</v>
      </c>
      <c r="C274" s="1" t="s">
        <v>27</v>
      </c>
      <c r="D274" s="3">
        <v>20000.0</v>
      </c>
      <c r="E274" s="2" t="s">
        <v>17</v>
      </c>
      <c r="F274" s="1" t="s">
        <v>30</v>
      </c>
      <c r="G274" s="1" t="s">
        <v>50</v>
      </c>
      <c r="H274" s="1" t="s">
        <v>25</v>
      </c>
      <c r="I274" s="2" t="s">
        <v>21</v>
      </c>
      <c r="J274" s="1" t="s">
        <v>22</v>
      </c>
      <c r="K274" s="1" t="s">
        <v>23</v>
      </c>
      <c r="L274" s="2" t="s">
        <v>153</v>
      </c>
      <c r="M274" s="1" t="s">
        <v>25</v>
      </c>
    </row>
    <row r="275" ht="15.75" customHeight="1">
      <c r="A275" s="2" t="s">
        <v>385</v>
      </c>
      <c r="B275" s="1" t="s">
        <v>41</v>
      </c>
      <c r="C275" s="1" t="s">
        <v>27</v>
      </c>
      <c r="D275" s="3">
        <v>10000.0</v>
      </c>
      <c r="E275" s="2" t="s">
        <v>21</v>
      </c>
      <c r="F275" s="1" t="s">
        <v>62</v>
      </c>
      <c r="G275" s="1" t="s">
        <v>50</v>
      </c>
      <c r="H275" s="1" t="s">
        <v>25</v>
      </c>
      <c r="I275" s="2" t="s">
        <v>37</v>
      </c>
      <c r="J275" s="1" t="s">
        <v>22</v>
      </c>
      <c r="K275" s="1" t="s">
        <v>23</v>
      </c>
      <c r="L275" s="2" t="s">
        <v>93</v>
      </c>
      <c r="M275" s="1" t="s">
        <v>25</v>
      </c>
    </row>
    <row r="276" ht="15.75" customHeight="1">
      <c r="A276" s="2" t="s">
        <v>386</v>
      </c>
      <c r="B276" s="1" t="s">
        <v>14</v>
      </c>
      <c r="C276" s="1" t="s">
        <v>15</v>
      </c>
      <c r="D276" s="3">
        <v>70000.0</v>
      </c>
      <c r="E276" s="2" t="s">
        <v>35</v>
      </c>
      <c r="F276" s="1" t="s">
        <v>30</v>
      </c>
      <c r="G276" s="1" t="s">
        <v>19</v>
      </c>
      <c r="H276" s="1" t="s">
        <v>25</v>
      </c>
      <c r="I276" s="2" t="s">
        <v>29</v>
      </c>
      <c r="J276" s="1" t="s">
        <v>43</v>
      </c>
      <c r="K276" s="1" t="s">
        <v>44</v>
      </c>
      <c r="L276" s="2" t="s">
        <v>130</v>
      </c>
      <c r="M276" s="1" t="s">
        <v>25</v>
      </c>
    </row>
    <row r="277" ht="15.75" customHeight="1">
      <c r="A277" s="2" t="s">
        <v>387</v>
      </c>
      <c r="B277" s="1" t="s">
        <v>41</v>
      </c>
      <c r="C277" s="1" t="s">
        <v>27</v>
      </c>
      <c r="D277" s="3">
        <v>10000.0</v>
      </c>
      <c r="E277" s="2" t="s">
        <v>17</v>
      </c>
      <c r="F277" s="1" t="s">
        <v>30</v>
      </c>
      <c r="G277" s="1" t="s">
        <v>50</v>
      </c>
      <c r="H277" s="1" t="s">
        <v>20</v>
      </c>
      <c r="I277" s="2" t="s">
        <v>21</v>
      </c>
      <c r="J277" s="1" t="s">
        <v>22</v>
      </c>
      <c r="K277" s="1" t="s">
        <v>23</v>
      </c>
      <c r="L277" s="2" t="s">
        <v>195</v>
      </c>
      <c r="M277" s="1" t="s">
        <v>25</v>
      </c>
    </row>
    <row r="278" ht="15.75" customHeight="1">
      <c r="A278" s="2" t="s">
        <v>388</v>
      </c>
      <c r="B278" s="1" t="s">
        <v>14</v>
      </c>
      <c r="C278" s="1" t="s">
        <v>15</v>
      </c>
      <c r="D278" s="3">
        <v>60000.0</v>
      </c>
      <c r="E278" s="2" t="s">
        <v>17</v>
      </c>
      <c r="F278" s="1" t="s">
        <v>30</v>
      </c>
      <c r="G278" s="1" t="s">
        <v>19</v>
      </c>
      <c r="H278" s="1" t="s">
        <v>20</v>
      </c>
      <c r="I278" s="2" t="s">
        <v>17</v>
      </c>
      <c r="J278" s="1" t="s">
        <v>43</v>
      </c>
      <c r="K278" s="1" t="s">
        <v>44</v>
      </c>
      <c r="L278" s="2" t="s">
        <v>77</v>
      </c>
      <c r="M278" s="1" t="s">
        <v>25</v>
      </c>
    </row>
    <row r="279" ht="15.75" customHeight="1">
      <c r="A279" s="2" t="s">
        <v>389</v>
      </c>
      <c r="B279" s="1" t="s">
        <v>41</v>
      </c>
      <c r="C279" s="1" t="s">
        <v>15</v>
      </c>
      <c r="D279" s="3">
        <v>100000.0</v>
      </c>
      <c r="E279" s="2" t="s">
        <v>17</v>
      </c>
      <c r="F279" s="1" t="s">
        <v>18</v>
      </c>
      <c r="G279" s="1" t="s">
        <v>56</v>
      </c>
      <c r="H279" s="1" t="s">
        <v>20</v>
      </c>
      <c r="I279" s="2" t="s">
        <v>57</v>
      </c>
      <c r="J279" s="1" t="s">
        <v>38</v>
      </c>
      <c r="K279" s="1" t="s">
        <v>44</v>
      </c>
      <c r="L279" s="2" t="s">
        <v>125</v>
      </c>
      <c r="M279" s="1" t="s">
        <v>25</v>
      </c>
    </row>
    <row r="280" ht="15.75" customHeight="1">
      <c r="A280" s="2" t="s">
        <v>390</v>
      </c>
      <c r="B280" s="1" t="s">
        <v>41</v>
      </c>
      <c r="C280" s="1" t="s">
        <v>15</v>
      </c>
      <c r="D280" s="3">
        <v>30000.0</v>
      </c>
      <c r="E280" s="2" t="s">
        <v>29</v>
      </c>
      <c r="F280" s="1" t="s">
        <v>87</v>
      </c>
      <c r="G280" s="1" t="s">
        <v>31</v>
      </c>
      <c r="H280" s="1" t="s">
        <v>25</v>
      </c>
      <c r="I280" s="2" t="s">
        <v>21</v>
      </c>
      <c r="J280" s="1" t="s">
        <v>22</v>
      </c>
      <c r="K280" s="1" t="s">
        <v>23</v>
      </c>
      <c r="L280" s="2" t="s">
        <v>130</v>
      </c>
      <c r="M280" s="1" t="s">
        <v>20</v>
      </c>
    </row>
    <row r="281" ht="15.75" customHeight="1">
      <c r="A281" s="2" t="s">
        <v>391</v>
      </c>
      <c r="B281" s="1" t="s">
        <v>14</v>
      </c>
      <c r="C281" s="1" t="s">
        <v>27</v>
      </c>
      <c r="D281" s="3">
        <v>130000.0</v>
      </c>
      <c r="E281" s="2" t="s">
        <v>21</v>
      </c>
      <c r="F281" s="1" t="s">
        <v>87</v>
      </c>
      <c r="G281" s="1" t="s">
        <v>56</v>
      </c>
      <c r="H281" s="1" t="s">
        <v>20</v>
      </c>
      <c r="I281" s="2" t="s">
        <v>21</v>
      </c>
      <c r="J281" s="1" t="s">
        <v>43</v>
      </c>
      <c r="K281" s="1" t="s">
        <v>44</v>
      </c>
      <c r="L281" s="2" t="s">
        <v>125</v>
      </c>
      <c r="M281" s="1" t="s">
        <v>25</v>
      </c>
    </row>
    <row r="282" ht="15.75" customHeight="1">
      <c r="A282" s="2" t="s">
        <v>392</v>
      </c>
      <c r="B282" s="1" t="s">
        <v>14</v>
      </c>
      <c r="C282" s="1" t="s">
        <v>27</v>
      </c>
      <c r="D282" s="3">
        <v>30000.0</v>
      </c>
      <c r="E282" s="2" t="s">
        <v>29</v>
      </c>
      <c r="F282" s="1" t="s">
        <v>55</v>
      </c>
      <c r="G282" s="1" t="s">
        <v>19</v>
      </c>
      <c r="H282" s="1" t="s">
        <v>20</v>
      </c>
      <c r="I282" s="2" t="s">
        <v>37</v>
      </c>
      <c r="J282" s="1" t="s">
        <v>43</v>
      </c>
      <c r="K282" s="1" t="s">
        <v>44</v>
      </c>
      <c r="L282" s="2" t="s">
        <v>66</v>
      </c>
      <c r="M282" s="1" t="s">
        <v>20</v>
      </c>
    </row>
    <row r="283" ht="15.75" customHeight="1">
      <c r="A283" s="2" t="s">
        <v>393</v>
      </c>
      <c r="B283" s="1" t="s">
        <v>41</v>
      </c>
      <c r="C283" s="1" t="s">
        <v>15</v>
      </c>
      <c r="D283" s="3">
        <v>60000.0</v>
      </c>
      <c r="E283" s="2" t="s">
        <v>17</v>
      </c>
      <c r="F283" s="1" t="s">
        <v>30</v>
      </c>
      <c r="G283" s="1" t="s">
        <v>19</v>
      </c>
      <c r="H283" s="1" t="s">
        <v>25</v>
      </c>
      <c r="I283" s="2" t="s">
        <v>17</v>
      </c>
      <c r="J283" s="1" t="s">
        <v>22</v>
      </c>
      <c r="K283" s="1" t="s">
        <v>44</v>
      </c>
      <c r="L283" s="2" t="s">
        <v>130</v>
      </c>
      <c r="M283" s="1" t="s">
        <v>20</v>
      </c>
    </row>
    <row r="284" ht="15.75" customHeight="1">
      <c r="A284" s="2" t="s">
        <v>394</v>
      </c>
      <c r="B284" s="1" t="s">
        <v>14</v>
      </c>
      <c r="C284" s="1" t="s">
        <v>27</v>
      </c>
      <c r="D284" s="3">
        <v>40000.0</v>
      </c>
      <c r="E284" s="2" t="s">
        <v>21</v>
      </c>
      <c r="F284" s="1" t="s">
        <v>18</v>
      </c>
      <c r="G284" s="1" t="s">
        <v>31</v>
      </c>
      <c r="H284" s="1" t="s">
        <v>25</v>
      </c>
      <c r="I284" s="2" t="s">
        <v>21</v>
      </c>
      <c r="J284" s="1" t="s">
        <v>22</v>
      </c>
      <c r="K284" s="1" t="s">
        <v>23</v>
      </c>
      <c r="L284" s="2" t="s">
        <v>79</v>
      </c>
      <c r="M284" s="1" t="s">
        <v>20</v>
      </c>
    </row>
    <row r="285" ht="15.75" customHeight="1">
      <c r="A285" s="2" t="s">
        <v>395</v>
      </c>
      <c r="B285" s="1" t="s">
        <v>14</v>
      </c>
      <c r="C285" s="1" t="s">
        <v>15</v>
      </c>
      <c r="D285" s="3">
        <v>40000.0</v>
      </c>
      <c r="E285" s="2" t="s">
        <v>17</v>
      </c>
      <c r="F285" s="1" t="s">
        <v>18</v>
      </c>
      <c r="G285" s="1" t="s">
        <v>19</v>
      </c>
      <c r="H285" s="1" t="s">
        <v>20</v>
      </c>
      <c r="I285" s="2" t="s">
        <v>21</v>
      </c>
      <c r="J285" s="1" t="s">
        <v>22</v>
      </c>
      <c r="K285" s="1" t="s">
        <v>23</v>
      </c>
      <c r="L285" s="2" t="s">
        <v>24</v>
      </c>
      <c r="M285" s="1" t="s">
        <v>20</v>
      </c>
    </row>
    <row r="286" ht="15.75" customHeight="1">
      <c r="A286" s="2" t="s">
        <v>396</v>
      </c>
      <c r="B286" s="1" t="s">
        <v>41</v>
      </c>
      <c r="C286" s="1" t="s">
        <v>15</v>
      </c>
      <c r="D286" s="3">
        <v>10000.0</v>
      </c>
      <c r="E286" s="2" t="s">
        <v>17</v>
      </c>
      <c r="F286" s="1" t="s">
        <v>55</v>
      </c>
      <c r="G286" s="1" t="s">
        <v>50</v>
      </c>
      <c r="H286" s="1" t="s">
        <v>25</v>
      </c>
      <c r="I286" s="2" t="s">
        <v>17</v>
      </c>
      <c r="J286" s="1" t="s">
        <v>38</v>
      </c>
      <c r="K286" s="1" t="s">
        <v>23</v>
      </c>
      <c r="L286" s="2" t="s">
        <v>130</v>
      </c>
      <c r="M286" s="1" t="s">
        <v>20</v>
      </c>
    </row>
    <row r="287" ht="15.75" customHeight="1">
      <c r="A287" s="2" t="s">
        <v>397</v>
      </c>
      <c r="B287" s="1" t="s">
        <v>41</v>
      </c>
      <c r="C287" s="1" t="s">
        <v>27</v>
      </c>
      <c r="D287" s="3">
        <v>20000.0</v>
      </c>
      <c r="E287" s="2" t="s">
        <v>21</v>
      </c>
      <c r="F287" s="1" t="s">
        <v>30</v>
      </c>
      <c r="G287" s="1" t="s">
        <v>50</v>
      </c>
      <c r="H287" s="1" t="s">
        <v>25</v>
      </c>
      <c r="I287" s="2" t="s">
        <v>17</v>
      </c>
      <c r="J287" s="1" t="s">
        <v>38</v>
      </c>
      <c r="K287" s="1" t="s">
        <v>23</v>
      </c>
      <c r="L287" s="2" t="s">
        <v>47</v>
      </c>
      <c r="M287" s="1" t="s">
        <v>20</v>
      </c>
    </row>
    <row r="288" ht="15.75" customHeight="1">
      <c r="A288" s="2" t="s">
        <v>398</v>
      </c>
      <c r="B288" s="1" t="s">
        <v>41</v>
      </c>
      <c r="C288" s="1" t="s">
        <v>15</v>
      </c>
      <c r="D288" s="3">
        <v>110000.0</v>
      </c>
      <c r="E288" s="2" t="s">
        <v>21</v>
      </c>
      <c r="F288" s="1" t="s">
        <v>30</v>
      </c>
      <c r="G288" s="1" t="s">
        <v>56</v>
      </c>
      <c r="H288" s="1" t="s">
        <v>20</v>
      </c>
      <c r="I288" s="2" t="s">
        <v>29</v>
      </c>
      <c r="J288" s="1" t="s">
        <v>69</v>
      </c>
      <c r="K288" s="1" t="s">
        <v>44</v>
      </c>
      <c r="L288" s="2" t="s">
        <v>104</v>
      </c>
      <c r="M288" s="1" t="s">
        <v>20</v>
      </c>
    </row>
    <row r="289" ht="15.75" customHeight="1">
      <c r="A289" s="2" t="s">
        <v>399</v>
      </c>
      <c r="B289" s="1" t="s">
        <v>41</v>
      </c>
      <c r="C289" s="1" t="s">
        <v>15</v>
      </c>
      <c r="D289" s="3">
        <v>60000.0</v>
      </c>
      <c r="E289" s="2" t="s">
        <v>37</v>
      </c>
      <c r="F289" s="1" t="s">
        <v>18</v>
      </c>
      <c r="G289" s="1" t="s">
        <v>36</v>
      </c>
      <c r="H289" s="1" t="s">
        <v>25</v>
      </c>
      <c r="I289" s="2" t="s">
        <v>17</v>
      </c>
      <c r="J289" s="1" t="s">
        <v>22</v>
      </c>
      <c r="K289" s="1" t="s">
        <v>44</v>
      </c>
      <c r="L289" s="2" t="s">
        <v>135</v>
      </c>
      <c r="M289" s="1" t="s">
        <v>20</v>
      </c>
    </row>
    <row r="290" ht="15.75" customHeight="1">
      <c r="A290" s="2" t="s">
        <v>400</v>
      </c>
      <c r="B290" s="1" t="s">
        <v>14</v>
      </c>
      <c r="C290" s="1" t="s">
        <v>27</v>
      </c>
      <c r="D290" s="3">
        <v>100000.0</v>
      </c>
      <c r="E290" s="2" t="s">
        <v>17</v>
      </c>
      <c r="F290" s="1" t="s">
        <v>87</v>
      </c>
      <c r="G290" s="1" t="s">
        <v>56</v>
      </c>
      <c r="H290" s="1" t="s">
        <v>20</v>
      </c>
      <c r="I290" s="2" t="s">
        <v>21</v>
      </c>
      <c r="J290" s="1" t="s">
        <v>38</v>
      </c>
      <c r="K290" s="1" t="s">
        <v>44</v>
      </c>
      <c r="L290" s="2" t="s">
        <v>47</v>
      </c>
      <c r="M290" s="1" t="s">
        <v>20</v>
      </c>
    </row>
    <row r="291" ht="15.75" customHeight="1">
      <c r="A291" s="2" t="s">
        <v>401</v>
      </c>
      <c r="B291" s="1" t="s">
        <v>14</v>
      </c>
      <c r="C291" s="1" t="s">
        <v>15</v>
      </c>
      <c r="D291" s="3">
        <v>90000.0</v>
      </c>
      <c r="E291" s="2" t="s">
        <v>57</v>
      </c>
      <c r="F291" s="1" t="s">
        <v>55</v>
      </c>
      <c r="G291" s="1" t="s">
        <v>36</v>
      </c>
      <c r="H291" s="1" t="s">
        <v>25</v>
      </c>
      <c r="I291" s="2" t="s">
        <v>37</v>
      </c>
      <c r="J291" s="1" t="s">
        <v>38</v>
      </c>
      <c r="K291" s="1" t="s">
        <v>23</v>
      </c>
      <c r="L291" s="2" t="s">
        <v>66</v>
      </c>
      <c r="M291" s="1" t="s">
        <v>20</v>
      </c>
    </row>
    <row r="292" ht="15.75" customHeight="1">
      <c r="A292" s="2" t="s">
        <v>402</v>
      </c>
      <c r="B292" s="1" t="s">
        <v>14</v>
      </c>
      <c r="C292" s="1" t="s">
        <v>15</v>
      </c>
      <c r="D292" s="3">
        <v>30000.0</v>
      </c>
      <c r="E292" s="2" t="s">
        <v>37</v>
      </c>
      <c r="F292" s="1" t="s">
        <v>30</v>
      </c>
      <c r="G292" s="1" t="s">
        <v>31</v>
      </c>
      <c r="H292" s="1" t="s">
        <v>25</v>
      </c>
      <c r="I292" s="2" t="s">
        <v>37</v>
      </c>
      <c r="J292" s="1" t="s">
        <v>43</v>
      </c>
      <c r="K292" s="1" t="s">
        <v>44</v>
      </c>
      <c r="L292" s="2" t="s">
        <v>403</v>
      </c>
      <c r="M292" s="1" t="s">
        <v>25</v>
      </c>
    </row>
    <row r="293" ht="15.75" customHeight="1">
      <c r="A293" s="2" t="s">
        <v>404</v>
      </c>
      <c r="B293" s="1" t="s">
        <v>41</v>
      </c>
      <c r="C293" s="1" t="s">
        <v>15</v>
      </c>
      <c r="D293" s="3">
        <v>10000.0</v>
      </c>
      <c r="E293" s="2" t="s">
        <v>35</v>
      </c>
      <c r="F293" s="1" t="s">
        <v>55</v>
      </c>
      <c r="G293" s="1" t="s">
        <v>19</v>
      </c>
      <c r="H293" s="1" t="s">
        <v>25</v>
      </c>
      <c r="I293" s="2" t="s">
        <v>37</v>
      </c>
      <c r="J293" s="1" t="s">
        <v>51</v>
      </c>
      <c r="K293" s="1" t="s">
        <v>44</v>
      </c>
      <c r="L293" s="2" t="s">
        <v>112</v>
      </c>
      <c r="M293" s="1" t="s">
        <v>25</v>
      </c>
    </row>
    <row r="294" ht="15.75" customHeight="1">
      <c r="A294" s="2" t="s">
        <v>406</v>
      </c>
      <c r="B294" s="1" t="s">
        <v>41</v>
      </c>
      <c r="C294" s="1" t="s">
        <v>27</v>
      </c>
      <c r="D294" s="3">
        <v>30000.0</v>
      </c>
      <c r="E294" s="2" t="s">
        <v>17</v>
      </c>
      <c r="F294" s="1" t="s">
        <v>18</v>
      </c>
      <c r="G294" s="1" t="s">
        <v>31</v>
      </c>
      <c r="H294" s="1" t="s">
        <v>20</v>
      </c>
      <c r="I294" s="2" t="s">
        <v>21</v>
      </c>
      <c r="J294" s="1" t="s">
        <v>22</v>
      </c>
      <c r="K294" s="1" t="s">
        <v>23</v>
      </c>
      <c r="L294" s="2" t="s">
        <v>112</v>
      </c>
      <c r="M294" s="1" t="s">
        <v>20</v>
      </c>
    </row>
    <row r="295" ht="15.75" customHeight="1">
      <c r="A295" s="2" t="s">
        <v>407</v>
      </c>
      <c r="B295" s="1" t="s">
        <v>14</v>
      </c>
      <c r="C295" s="1" t="s">
        <v>15</v>
      </c>
      <c r="D295" s="3">
        <v>30000.0</v>
      </c>
      <c r="E295" s="2" t="s">
        <v>17</v>
      </c>
      <c r="F295" s="1" t="s">
        <v>18</v>
      </c>
      <c r="G295" s="1" t="s">
        <v>19</v>
      </c>
      <c r="H295" s="1" t="s">
        <v>20</v>
      </c>
      <c r="I295" s="2" t="s">
        <v>37</v>
      </c>
      <c r="J295" s="1" t="s">
        <v>22</v>
      </c>
      <c r="K295" s="1" t="s">
        <v>23</v>
      </c>
      <c r="L295" s="2" t="s">
        <v>100</v>
      </c>
      <c r="M295" s="1" t="s">
        <v>25</v>
      </c>
    </row>
    <row r="296" ht="15.75" customHeight="1">
      <c r="A296" s="2" t="s">
        <v>408</v>
      </c>
      <c r="B296" s="1" t="s">
        <v>14</v>
      </c>
      <c r="C296" s="1" t="s">
        <v>27</v>
      </c>
      <c r="D296" s="3">
        <v>80000.0</v>
      </c>
      <c r="E296" s="2" t="s">
        <v>57</v>
      </c>
      <c r="F296" s="1" t="s">
        <v>87</v>
      </c>
      <c r="G296" s="1" t="s">
        <v>56</v>
      </c>
      <c r="H296" s="1" t="s">
        <v>20</v>
      </c>
      <c r="I296" s="2" t="s">
        <v>17</v>
      </c>
      <c r="J296" s="1" t="s">
        <v>22</v>
      </c>
      <c r="K296" s="1" t="s">
        <v>44</v>
      </c>
      <c r="L296" s="2" t="s">
        <v>47</v>
      </c>
      <c r="M296" s="1" t="s">
        <v>20</v>
      </c>
    </row>
    <row r="297" ht="15.75" customHeight="1">
      <c r="A297" s="2" t="s">
        <v>409</v>
      </c>
      <c r="B297" s="1" t="s">
        <v>41</v>
      </c>
      <c r="C297" s="1" t="s">
        <v>27</v>
      </c>
      <c r="D297" s="3">
        <v>10000.0</v>
      </c>
      <c r="E297" s="2" t="s">
        <v>37</v>
      </c>
      <c r="F297" s="1" t="s">
        <v>62</v>
      </c>
      <c r="G297" s="1" t="s">
        <v>31</v>
      </c>
      <c r="H297" s="1" t="s">
        <v>20</v>
      </c>
      <c r="I297" s="2" t="s">
        <v>37</v>
      </c>
      <c r="J297" s="1" t="s">
        <v>43</v>
      </c>
      <c r="K297" s="1" t="s">
        <v>44</v>
      </c>
      <c r="L297" s="2" t="s">
        <v>63</v>
      </c>
      <c r="M297" s="1" t="s">
        <v>25</v>
      </c>
    </row>
    <row r="298" ht="15.75" customHeight="1">
      <c r="A298" s="2" t="s">
        <v>410</v>
      </c>
      <c r="B298" s="1" t="s">
        <v>14</v>
      </c>
      <c r="C298" s="1" t="s">
        <v>27</v>
      </c>
      <c r="D298" s="3">
        <v>90000.0</v>
      </c>
      <c r="E298" s="2" t="s">
        <v>37</v>
      </c>
      <c r="F298" s="1" t="s">
        <v>18</v>
      </c>
      <c r="G298" s="1" t="s">
        <v>36</v>
      </c>
      <c r="H298" s="1" t="s">
        <v>20</v>
      </c>
      <c r="I298" s="2" t="s">
        <v>21</v>
      </c>
      <c r="J298" s="1" t="s">
        <v>51</v>
      </c>
      <c r="K298" s="1" t="s">
        <v>44</v>
      </c>
      <c r="L298" s="2" t="s">
        <v>100</v>
      </c>
      <c r="M298" s="1" t="s">
        <v>20</v>
      </c>
    </row>
    <row r="299" ht="15.75" customHeight="1">
      <c r="A299" s="2" t="s">
        <v>411</v>
      </c>
      <c r="B299" s="1" t="s">
        <v>14</v>
      </c>
      <c r="C299" s="1" t="s">
        <v>27</v>
      </c>
      <c r="D299" s="3">
        <v>10000.0</v>
      </c>
      <c r="E299" s="2" t="s">
        <v>37</v>
      </c>
      <c r="F299" s="1" t="s">
        <v>18</v>
      </c>
      <c r="G299" s="1" t="s">
        <v>31</v>
      </c>
      <c r="H299" s="1" t="s">
        <v>20</v>
      </c>
      <c r="I299" s="2" t="s">
        <v>17</v>
      </c>
      <c r="J299" s="1" t="s">
        <v>22</v>
      </c>
      <c r="K299" s="1" t="s">
        <v>23</v>
      </c>
      <c r="L299" s="2" t="s">
        <v>128</v>
      </c>
      <c r="M299" s="1" t="s">
        <v>25</v>
      </c>
    </row>
    <row r="300" ht="15.75" customHeight="1">
      <c r="A300" s="2" t="s">
        <v>412</v>
      </c>
      <c r="B300" s="1" t="s">
        <v>14</v>
      </c>
      <c r="C300" s="1" t="s">
        <v>27</v>
      </c>
      <c r="D300" s="3">
        <v>40000.0</v>
      </c>
      <c r="E300" s="2" t="s">
        <v>37</v>
      </c>
      <c r="F300" s="1" t="s">
        <v>30</v>
      </c>
      <c r="G300" s="1" t="s">
        <v>31</v>
      </c>
      <c r="H300" s="1" t="s">
        <v>20</v>
      </c>
      <c r="I300" s="2" t="s">
        <v>17</v>
      </c>
      <c r="J300" s="1" t="s">
        <v>51</v>
      </c>
      <c r="K300" s="1" t="s">
        <v>23</v>
      </c>
      <c r="L300" s="2" t="s">
        <v>74</v>
      </c>
      <c r="M300" s="1" t="s">
        <v>20</v>
      </c>
    </row>
    <row r="301" ht="15.75" customHeight="1">
      <c r="A301" s="2" t="s">
        <v>413</v>
      </c>
      <c r="B301" s="1" t="s">
        <v>14</v>
      </c>
      <c r="C301" s="1" t="s">
        <v>15</v>
      </c>
      <c r="D301" s="3">
        <v>20000.0</v>
      </c>
      <c r="E301" s="2" t="s">
        <v>37</v>
      </c>
      <c r="F301" s="1" t="s">
        <v>30</v>
      </c>
      <c r="G301" s="1" t="s">
        <v>50</v>
      </c>
      <c r="H301" s="1" t="s">
        <v>20</v>
      </c>
      <c r="I301" s="2" t="s">
        <v>17</v>
      </c>
      <c r="J301" s="1" t="s">
        <v>38</v>
      </c>
      <c r="K301" s="1" t="s">
        <v>23</v>
      </c>
      <c r="L301" s="2" t="s">
        <v>83</v>
      </c>
      <c r="M301" s="1" t="s">
        <v>20</v>
      </c>
    </row>
    <row r="302" ht="15.75" customHeight="1">
      <c r="A302" s="2" t="s">
        <v>414</v>
      </c>
      <c r="B302" s="1" t="s">
        <v>14</v>
      </c>
      <c r="C302" s="1" t="s">
        <v>27</v>
      </c>
      <c r="D302" s="3">
        <v>120000.0</v>
      </c>
      <c r="E302" s="2" t="s">
        <v>57</v>
      </c>
      <c r="F302" s="1" t="s">
        <v>18</v>
      </c>
      <c r="G302" s="1" t="s">
        <v>56</v>
      </c>
      <c r="H302" s="1" t="s">
        <v>20</v>
      </c>
      <c r="I302" s="2" t="s">
        <v>17</v>
      </c>
      <c r="J302" s="1" t="s">
        <v>38</v>
      </c>
      <c r="K302" s="1" t="s">
        <v>44</v>
      </c>
      <c r="L302" s="2" t="s">
        <v>83</v>
      </c>
      <c r="M302" s="1" t="s">
        <v>25</v>
      </c>
    </row>
    <row r="303" ht="15.75" customHeight="1">
      <c r="A303" s="2" t="s">
        <v>415</v>
      </c>
      <c r="B303" s="1" t="s">
        <v>14</v>
      </c>
      <c r="C303" s="1" t="s">
        <v>27</v>
      </c>
      <c r="D303" s="3">
        <v>60000.0</v>
      </c>
      <c r="E303" s="2" t="s">
        <v>17</v>
      </c>
      <c r="F303" s="1" t="s">
        <v>30</v>
      </c>
      <c r="G303" s="1" t="s">
        <v>19</v>
      </c>
      <c r="H303" s="1" t="s">
        <v>20</v>
      </c>
      <c r="I303" s="2" t="s">
        <v>17</v>
      </c>
      <c r="J303" s="1" t="s">
        <v>43</v>
      </c>
      <c r="K303" s="1" t="s">
        <v>44</v>
      </c>
      <c r="L303" s="2" t="s">
        <v>130</v>
      </c>
      <c r="M303" s="1" t="s">
        <v>25</v>
      </c>
    </row>
    <row r="304" ht="15.75" customHeight="1">
      <c r="A304" s="2" t="s">
        <v>416</v>
      </c>
      <c r="B304" s="1" t="s">
        <v>14</v>
      </c>
      <c r="C304" s="1" t="s">
        <v>27</v>
      </c>
      <c r="D304" s="3">
        <v>20000.0</v>
      </c>
      <c r="E304" s="2" t="s">
        <v>57</v>
      </c>
      <c r="F304" s="1" t="s">
        <v>55</v>
      </c>
      <c r="G304" s="1" t="s">
        <v>19</v>
      </c>
      <c r="H304" s="1" t="s">
        <v>20</v>
      </c>
      <c r="I304" s="2" t="s">
        <v>37</v>
      </c>
      <c r="J304" s="1" t="s">
        <v>43</v>
      </c>
      <c r="K304" s="1" t="s">
        <v>44</v>
      </c>
      <c r="L304" s="2" t="s">
        <v>63</v>
      </c>
      <c r="M304" s="1" t="s">
        <v>20</v>
      </c>
    </row>
    <row r="305" ht="15.75" customHeight="1">
      <c r="A305" s="2" t="s">
        <v>417</v>
      </c>
      <c r="B305" s="1" t="s">
        <v>41</v>
      </c>
      <c r="C305" s="1" t="s">
        <v>27</v>
      </c>
      <c r="D305" s="3">
        <v>40000.0</v>
      </c>
      <c r="E305" s="2" t="s">
        <v>29</v>
      </c>
      <c r="F305" s="1" t="s">
        <v>62</v>
      </c>
      <c r="G305" s="1" t="s">
        <v>31</v>
      </c>
      <c r="H305" s="1" t="s">
        <v>25</v>
      </c>
      <c r="I305" s="2" t="s">
        <v>37</v>
      </c>
      <c r="J305" s="1" t="s">
        <v>43</v>
      </c>
      <c r="K305" s="1" t="s">
        <v>44</v>
      </c>
      <c r="L305" s="2" t="s">
        <v>132</v>
      </c>
      <c r="M305" s="1" t="s">
        <v>20</v>
      </c>
    </row>
    <row r="306" ht="15.75" customHeight="1">
      <c r="A306" s="2" t="s">
        <v>418</v>
      </c>
      <c r="B306" s="1" t="s">
        <v>14</v>
      </c>
      <c r="C306" s="1" t="s">
        <v>27</v>
      </c>
      <c r="D306" s="3">
        <v>80000.0</v>
      </c>
      <c r="E306" s="2" t="s">
        <v>35</v>
      </c>
      <c r="F306" s="1" t="s">
        <v>18</v>
      </c>
      <c r="G306" s="1" t="s">
        <v>36</v>
      </c>
      <c r="H306" s="1" t="s">
        <v>25</v>
      </c>
      <c r="I306" s="2" t="s">
        <v>17</v>
      </c>
      <c r="J306" s="1" t="s">
        <v>22</v>
      </c>
      <c r="K306" s="1" t="s">
        <v>44</v>
      </c>
      <c r="L306" s="2" t="s">
        <v>83</v>
      </c>
      <c r="M306" s="1" t="s">
        <v>20</v>
      </c>
    </row>
    <row r="307" ht="15.75" customHeight="1">
      <c r="A307" s="2" t="s">
        <v>419</v>
      </c>
      <c r="B307" s="1" t="s">
        <v>41</v>
      </c>
      <c r="C307" s="1" t="s">
        <v>27</v>
      </c>
      <c r="D307" s="3">
        <v>70000.0</v>
      </c>
      <c r="E307" s="2" t="s">
        <v>21</v>
      </c>
      <c r="F307" s="1" t="s">
        <v>18</v>
      </c>
      <c r="G307" s="1" t="s">
        <v>36</v>
      </c>
      <c r="H307" s="1" t="s">
        <v>25</v>
      </c>
      <c r="I307" s="2" t="s">
        <v>17</v>
      </c>
      <c r="J307" s="1" t="s">
        <v>43</v>
      </c>
      <c r="K307" s="1" t="s">
        <v>44</v>
      </c>
      <c r="L307" s="2" t="s">
        <v>45</v>
      </c>
      <c r="M307" s="1" t="s">
        <v>25</v>
      </c>
    </row>
    <row r="308" ht="15.75" customHeight="1">
      <c r="A308" s="2" t="s">
        <v>420</v>
      </c>
      <c r="B308" s="1" t="s">
        <v>14</v>
      </c>
      <c r="C308" s="1" t="s">
        <v>27</v>
      </c>
      <c r="D308" s="3">
        <v>50000.0</v>
      </c>
      <c r="E308" s="2" t="s">
        <v>37</v>
      </c>
      <c r="F308" s="1" t="s">
        <v>87</v>
      </c>
      <c r="G308" s="1" t="s">
        <v>56</v>
      </c>
      <c r="H308" s="1" t="s">
        <v>20</v>
      </c>
      <c r="I308" s="2" t="s">
        <v>17</v>
      </c>
      <c r="J308" s="1" t="s">
        <v>43</v>
      </c>
      <c r="K308" s="1" t="s">
        <v>44</v>
      </c>
      <c r="L308" s="2" t="s">
        <v>421</v>
      </c>
      <c r="M308" s="1" t="s">
        <v>20</v>
      </c>
    </row>
    <row r="309" ht="15.75" customHeight="1">
      <c r="A309" s="2" t="s">
        <v>422</v>
      </c>
      <c r="B309" s="1" t="s">
        <v>14</v>
      </c>
      <c r="C309" s="1" t="s">
        <v>27</v>
      </c>
      <c r="D309" s="3">
        <v>30000.0</v>
      </c>
      <c r="E309" s="2" t="s">
        <v>21</v>
      </c>
      <c r="F309" s="1" t="s">
        <v>18</v>
      </c>
      <c r="G309" s="1" t="s">
        <v>31</v>
      </c>
      <c r="H309" s="1" t="s">
        <v>20</v>
      </c>
      <c r="I309" s="2" t="s">
        <v>21</v>
      </c>
      <c r="J309" s="1" t="s">
        <v>22</v>
      </c>
      <c r="K309" s="1" t="s">
        <v>23</v>
      </c>
      <c r="L309" s="2" t="s">
        <v>74</v>
      </c>
      <c r="M309" s="1" t="s">
        <v>20</v>
      </c>
    </row>
    <row r="310" ht="15.75" customHeight="1">
      <c r="A310" s="2" t="s">
        <v>423</v>
      </c>
      <c r="B310" s="1" t="s">
        <v>14</v>
      </c>
      <c r="C310" s="1" t="s">
        <v>27</v>
      </c>
      <c r="D310" s="3">
        <v>130000.0</v>
      </c>
      <c r="E310" s="2" t="s">
        <v>57</v>
      </c>
      <c r="F310" s="1" t="s">
        <v>30</v>
      </c>
      <c r="G310" s="1" t="s">
        <v>36</v>
      </c>
      <c r="H310" s="1" t="s">
        <v>25</v>
      </c>
      <c r="I310" s="2" t="s">
        <v>29</v>
      </c>
      <c r="J310" s="1" t="s">
        <v>69</v>
      </c>
      <c r="K310" s="1" t="s">
        <v>23</v>
      </c>
      <c r="L310" s="2" t="s">
        <v>66</v>
      </c>
      <c r="M310" s="1" t="s">
        <v>25</v>
      </c>
    </row>
    <row r="311" ht="15.75" customHeight="1">
      <c r="A311" s="2" t="s">
        <v>424</v>
      </c>
      <c r="B311" s="1" t="s">
        <v>14</v>
      </c>
      <c r="C311" s="1" t="s">
        <v>15</v>
      </c>
      <c r="D311" s="3">
        <v>30000.0</v>
      </c>
      <c r="E311" s="2" t="s">
        <v>29</v>
      </c>
      <c r="F311" s="1" t="s">
        <v>18</v>
      </c>
      <c r="G311" s="1" t="s">
        <v>31</v>
      </c>
      <c r="H311" s="1" t="s">
        <v>20</v>
      </c>
      <c r="I311" s="2" t="s">
        <v>21</v>
      </c>
      <c r="J311" s="1" t="s">
        <v>22</v>
      </c>
      <c r="K311" s="1" t="s">
        <v>23</v>
      </c>
      <c r="L311" s="2" t="s">
        <v>77</v>
      </c>
      <c r="M311" s="1" t="s">
        <v>25</v>
      </c>
    </row>
    <row r="312" ht="15.75" customHeight="1">
      <c r="A312" s="2" t="s">
        <v>425</v>
      </c>
      <c r="B312" s="1" t="s">
        <v>14</v>
      </c>
      <c r="C312" s="1" t="s">
        <v>27</v>
      </c>
      <c r="D312" s="3">
        <v>100000.0</v>
      </c>
      <c r="E312" s="2" t="s">
        <v>21</v>
      </c>
      <c r="F312" s="1" t="s">
        <v>87</v>
      </c>
      <c r="G312" s="1" t="s">
        <v>56</v>
      </c>
      <c r="H312" s="1" t="s">
        <v>20</v>
      </c>
      <c r="I312" s="2" t="s">
        <v>21</v>
      </c>
      <c r="J312" s="1" t="s">
        <v>38</v>
      </c>
      <c r="K312" s="1" t="s">
        <v>44</v>
      </c>
      <c r="L312" s="2" t="s">
        <v>100</v>
      </c>
      <c r="M312" s="1" t="s">
        <v>20</v>
      </c>
    </row>
    <row r="313" ht="15.75" customHeight="1">
      <c r="A313" s="2" t="s">
        <v>426</v>
      </c>
      <c r="B313" s="1" t="s">
        <v>41</v>
      </c>
      <c r="C313" s="1" t="s">
        <v>15</v>
      </c>
      <c r="D313" s="3">
        <v>160000.0</v>
      </c>
      <c r="E313" s="2" t="s">
        <v>21</v>
      </c>
      <c r="F313" s="1" t="s">
        <v>87</v>
      </c>
      <c r="G313" s="1" t="s">
        <v>56</v>
      </c>
      <c r="H313" s="1" t="s">
        <v>25</v>
      </c>
      <c r="I313" s="2" t="s">
        <v>29</v>
      </c>
      <c r="J313" s="1" t="s">
        <v>22</v>
      </c>
      <c r="K313" s="1" t="s">
        <v>44</v>
      </c>
      <c r="L313" s="2" t="s">
        <v>83</v>
      </c>
      <c r="M313" s="1" t="s">
        <v>20</v>
      </c>
    </row>
    <row r="314" ht="15.75" customHeight="1">
      <c r="A314" s="2" t="s">
        <v>427</v>
      </c>
      <c r="B314" s="1" t="s">
        <v>41</v>
      </c>
      <c r="C314" s="1" t="s">
        <v>15</v>
      </c>
      <c r="D314" s="3">
        <v>10000.0</v>
      </c>
      <c r="E314" s="2" t="s">
        <v>57</v>
      </c>
      <c r="F314" s="1" t="s">
        <v>62</v>
      </c>
      <c r="G314" s="1" t="s">
        <v>50</v>
      </c>
      <c r="H314" s="1" t="s">
        <v>20</v>
      </c>
      <c r="I314" s="2" t="s">
        <v>37</v>
      </c>
      <c r="J314" s="1" t="s">
        <v>22</v>
      </c>
      <c r="K314" s="1" t="s">
        <v>23</v>
      </c>
      <c r="L314" s="2" t="s">
        <v>45</v>
      </c>
      <c r="M314" s="1" t="s">
        <v>20</v>
      </c>
    </row>
    <row r="315" ht="15.75" customHeight="1">
      <c r="A315" s="2" t="s">
        <v>428</v>
      </c>
      <c r="B315" s="1" t="s">
        <v>41</v>
      </c>
      <c r="C315" s="1" t="s">
        <v>15</v>
      </c>
      <c r="D315" s="3">
        <v>40000.0</v>
      </c>
      <c r="E315" s="2" t="s">
        <v>21</v>
      </c>
      <c r="F315" s="1" t="s">
        <v>87</v>
      </c>
      <c r="G315" s="1" t="s">
        <v>31</v>
      </c>
      <c r="H315" s="1" t="s">
        <v>25</v>
      </c>
      <c r="I315" s="2" t="s">
        <v>21</v>
      </c>
      <c r="J315" s="1" t="s">
        <v>22</v>
      </c>
      <c r="K315" s="1" t="s">
        <v>23</v>
      </c>
      <c r="L315" s="2" t="s">
        <v>153</v>
      </c>
      <c r="M315" s="1" t="s">
        <v>20</v>
      </c>
    </row>
    <row r="316" ht="15.75" customHeight="1">
      <c r="A316" s="2" t="s">
        <v>429</v>
      </c>
      <c r="B316" s="1" t="s">
        <v>14</v>
      </c>
      <c r="C316" s="1" t="s">
        <v>27</v>
      </c>
      <c r="D316" s="3">
        <v>90000.0</v>
      </c>
      <c r="E316" s="2" t="s">
        <v>57</v>
      </c>
      <c r="F316" s="1" t="s">
        <v>18</v>
      </c>
      <c r="G316" s="1" t="s">
        <v>36</v>
      </c>
      <c r="H316" s="1" t="s">
        <v>20</v>
      </c>
      <c r="I316" s="2" t="s">
        <v>21</v>
      </c>
      <c r="J316" s="1" t="s">
        <v>51</v>
      </c>
      <c r="K316" s="1" t="s">
        <v>44</v>
      </c>
      <c r="L316" s="2" t="s">
        <v>79</v>
      </c>
      <c r="M316" s="1" t="s">
        <v>20</v>
      </c>
    </row>
    <row r="317" ht="15.75" customHeight="1">
      <c r="A317" s="2" t="s">
        <v>430</v>
      </c>
      <c r="B317" s="1" t="s">
        <v>41</v>
      </c>
      <c r="C317" s="1" t="s">
        <v>27</v>
      </c>
      <c r="D317" s="3">
        <v>40000.0</v>
      </c>
      <c r="E317" s="2" t="s">
        <v>37</v>
      </c>
      <c r="F317" s="1" t="s">
        <v>30</v>
      </c>
      <c r="G317" s="1" t="s">
        <v>31</v>
      </c>
      <c r="H317" s="1" t="s">
        <v>25</v>
      </c>
      <c r="I317" s="2" t="s">
        <v>37</v>
      </c>
      <c r="J317" s="1" t="s">
        <v>22</v>
      </c>
      <c r="K317" s="1" t="s">
        <v>23</v>
      </c>
      <c r="L317" s="2" t="s">
        <v>47</v>
      </c>
      <c r="M317" s="1" t="s">
        <v>20</v>
      </c>
    </row>
    <row r="318" ht="15.75" customHeight="1">
      <c r="A318" s="2" t="s">
        <v>431</v>
      </c>
      <c r="B318" s="1" t="s">
        <v>14</v>
      </c>
      <c r="C318" s="1" t="s">
        <v>15</v>
      </c>
      <c r="D318" s="3">
        <v>20000.0</v>
      </c>
      <c r="E318" s="2" t="s">
        <v>21</v>
      </c>
      <c r="F318" s="1" t="s">
        <v>18</v>
      </c>
      <c r="G318" s="1" t="s">
        <v>31</v>
      </c>
      <c r="H318" s="1" t="s">
        <v>25</v>
      </c>
      <c r="I318" s="2" t="s">
        <v>21</v>
      </c>
      <c r="J318" s="1" t="s">
        <v>22</v>
      </c>
      <c r="K318" s="1" t="s">
        <v>44</v>
      </c>
      <c r="L318" s="2" t="s">
        <v>107</v>
      </c>
      <c r="M318" s="1" t="s">
        <v>20</v>
      </c>
    </row>
    <row r="319" ht="15.75" customHeight="1">
      <c r="A319" s="2" t="s">
        <v>432</v>
      </c>
      <c r="B319" s="1" t="s">
        <v>14</v>
      </c>
      <c r="C319" s="1" t="s">
        <v>27</v>
      </c>
      <c r="D319" s="3">
        <v>30000.0</v>
      </c>
      <c r="E319" s="2" t="s">
        <v>17</v>
      </c>
      <c r="F319" s="1" t="s">
        <v>18</v>
      </c>
      <c r="G319" s="1" t="s">
        <v>19</v>
      </c>
      <c r="H319" s="1" t="s">
        <v>20</v>
      </c>
      <c r="I319" s="2" t="s">
        <v>37</v>
      </c>
      <c r="J319" s="1" t="s">
        <v>22</v>
      </c>
      <c r="K319" s="1" t="s">
        <v>23</v>
      </c>
      <c r="L319" s="2" t="s">
        <v>100</v>
      </c>
      <c r="M319" s="1" t="s">
        <v>25</v>
      </c>
    </row>
    <row r="320" ht="15.75" customHeight="1">
      <c r="A320" s="2" t="s">
        <v>433</v>
      </c>
      <c r="B320" s="1" t="s">
        <v>41</v>
      </c>
      <c r="C320" s="1" t="s">
        <v>27</v>
      </c>
      <c r="D320" s="3">
        <v>40000.0</v>
      </c>
      <c r="E320" s="2" t="s">
        <v>37</v>
      </c>
      <c r="F320" s="1" t="s">
        <v>30</v>
      </c>
      <c r="G320" s="1" t="s">
        <v>31</v>
      </c>
      <c r="H320" s="1" t="s">
        <v>20</v>
      </c>
      <c r="I320" s="2" t="s">
        <v>37</v>
      </c>
      <c r="J320" s="1" t="s">
        <v>51</v>
      </c>
      <c r="K320" s="1" t="s">
        <v>23</v>
      </c>
      <c r="L320" s="2" t="s">
        <v>47</v>
      </c>
      <c r="M320" s="1" t="s">
        <v>25</v>
      </c>
    </row>
    <row r="321" ht="15.75" customHeight="1">
      <c r="A321" s="2" t="s">
        <v>434</v>
      </c>
      <c r="B321" s="1" t="s">
        <v>14</v>
      </c>
      <c r="C321" s="1" t="s">
        <v>15</v>
      </c>
      <c r="D321" s="3">
        <v>90000.0</v>
      </c>
      <c r="E321" s="2" t="s">
        <v>35</v>
      </c>
      <c r="F321" s="1" t="s">
        <v>62</v>
      </c>
      <c r="G321" s="1" t="s">
        <v>19</v>
      </c>
      <c r="H321" s="1" t="s">
        <v>20</v>
      </c>
      <c r="I321" s="2" t="s">
        <v>37</v>
      </c>
      <c r="J321" s="1" t="s">
        <v>69</v>
      </c>
      <c r="K321" s="1" t="s">
        <v>23</v>
      </c>
      <c r="L321" s="2" t="s">
        <v>81</v>
      </c>
      <c r="M321" s="1" t="s">
        <v>25</v>
      </c>
    </row>
    <row r="322" ht="15.75" customHeight="1">
      <c r="A322" s="2" t="s">
        <v>435</v>
      </c>
      <c r="B322" s="1" t="s">
        <v>41</v>
      </c>
      <c r="C322" s="1" t="s">
        <v>15</v>
      </c>
      <c r="D322" s="3">
        <v>80000.0</v>
      </c>
      <c r="E322" s="2" t="s">
        <v>21</v>
      </c>
      <c r="F322" s="1" t="s">
        <v>18</v>
      </c>
      <c r="G322" s="1" t="s">
        <v>36</v>
      </c>
      <c r="H322" s="1" t="s">
        <v>20</v>
      </c>
      <c r="I322" s="2" t="s">
        <v>29</v>
      </c>
      <c r="J322" s="1" t="s">
        <v>69</v>
      </c>
      <c r="K322" s="1" t="s">
        <v>44</v>
      </c>
      <c r="L322" s="2" t="s">
        <v>104</v>
      </c>
      <c r="M322" s="1" t="s">
        <v>25</v>
      </c>
    </row>
    <row r="323" ht="15.75" customHeight="1">
      <c r="A323" s="2" t="s">
        <v>436</v>
      </c>
      <c r="B323" s="1" t="s">
        <v>14</v>
      </c>
      <c r="C323" s="1" t="s">
        <v>27</v>
      </c>
      <c r="D323" s="3">
        <v>10000.0</v>
      </c>
      <c r="E323" s="2" t="s">
        <v>21</v>
      </c>
      <c r="F323" s="1" t="s">
        <v>62</v>
      </c>
      <c r="G323" s="1" t="s">
        <v>50</v>
      </c>
      <c r="H323" s="1" t="s">
        <v>25</v>
      </c>
      <c r="I323" s="2" t="s">
        <v>37</v>
      </c>
      <c r="J323" s="1" t="s">
        <v>22</v>
      </c>
      <c r="K323" s="1" t="s">
        <v>23</v>
      </c>
      <c r="L323" s="2" t="s">
        <v>116</v>
      </c>
      <c r="M323" s="1" t="s">
        <v>25</v>
      </c>
    </row>
    <row r="324" ht="15.75" customHeight="1">
      <c r="A324" s="2" t="s">
        <v>437</v>
      </c>
      <c r="B324" s="1" t="s">
        <v>41</v>
      </c>
      <c r="C324" s="1" t="s">
        <v>15</v>
      </c>
      <c r="D324" s="3">
        <v>20000.0</v>
      </c>
      <c r="E324" s="2" t="s">
        <v>21</v>
      </c>
      <c r="F324" s="1" t="s">
        <v>62</v>
      </c>
      <c r="G324" s="1" t="s">
        <v>50</v>
      </c>
      <c r="H324" s="1" t="s">
        <v>25</v>
      </c>
      <c r="I324" s="2" t="s">
        <v>37</v>
      </c>
      <c r="J324" s="1" t="s">
        <v>51</v>
      </c>
      <c r="K324" s="1" t="s">
        <v>23</v>
      </c>
      <c r="L324" s="2" t="s">
        <v>74</v>
      </c>
      <c r="M324" s="1" t="s">
        <v>20</v>
      </c>
    </row>
    <row r="325" ht="15.75" customHeight="1">
      <c r="A325" s="2" t="s">
        <v>438</v>
      </c>
      <c r="B325" s="1" t="s">
        <v>14</v>
      </c>
      <c r="C325" s="1" t="s">
        <v>27</v>
      </c>
      <c r="D325" s="3">
        <v>130000.0</v>
      </c>
      <c r="E325" s="2" t="s">
        <v>29</v>
      </c>
      <c r="F325" s="1" t="s">
        <v>55</v>
      </c>
      <c r="G325" s="1" t="s">
        <v>36</v>
      </c>
      <c r="H325" s="1" t="s">
        <v>20</v>
      </c>
      <c r="I325" s="2" t="s">
        <v>57</v>
      </c>
      <c r="J325" s="1" t="s">
        <v>43</v>
      </c>
      <c r="K325" s="1" t="s">
        <v>23</v>
      </c>
      <c r="L325" s="2" t="s">
        <v>178</v>
      </c>
      <c r="M325" s="1" t="s">
        <v>20</v>
      </c>
    </row>
    <row r="326" ht="15.75" customHeight="1">
      <c r="A326" s="2" t="s">
        <v>439</v>
      </c>
      <c r="B326" s="1" t="s">
        <v>14</v>
      </c>
      <c r="C326" s="1" t="s">
        <v>27</v>
      </c>
      <c r="D326" s="3">
        <v>90000.0</v>
      </c>
      <c r="E326" s="2" t="s">
        <v>37</v>
      </c>
      <c r="F326" s="1" t="s">
        <v>18</v>
      </c>
      <c r="G326" s="1" t="s">
        <v>36</v>
      </c>
      <c r="H326" s="1" t="s">
        <v>20</v>
      </c>
      <c r="I326" s="2" t="s">
        <v>17</v>
      </c>
      <c r="J326" s="1" t="s">
        <v>43</v>
      </c>
      <c r="K326" s="1" t="s">
        <v>44</v>
      </c>
      <c r="L326" s="2" t="s">
        <v>83</v>
      </c>
      <c r="M326" s="1" t="s">
        <v>25</v>
      </c>
    </row>
    <row r="327" ht="15.75" customHeight="1">
      <c r="A327" s="2" t="s">
        <v>440</v>
      </c>
      <c r="B327" s="1" t="s">
        <v>14</v>
      </c>
      <c r="C327" s="1" t="s">
        <v>1111</v>
      </c>
      <c r="D327" s="3">
        <v>80000.0</v>
      </c>
      <c r="E327" s="2" t="s">
        <v>35</v>
      </c>
      <c r="F327" s="1" t="s">
        <v>87</v>
      </c>
      <c r="G327" s="1" t="s">
        <v>56</v>
      </c>
      <c r="H327" s="1" t="s">
        <v>25</v>
      </c>
      <c r="I327" s="2" t="s">
        <v>37</v>
      </c>
      <c r="J327" s="1" t="s">
        <v>22</v>
      </c>
      <c r="K327" s="1" t="s">
        <v>44</v>
      </c>
      <c r="L327" s="2" t="s">
        <v>135</v>
      </c>
      <c r="M327" s="1" t="s">
        <v>25</v>
      </c>
    </row>
    <row r="328" ht="15.75" customHeight="1">
      <c r="A328" s="2" t="s">
        <v>441</v>
      </c>
      <c r="B328" s="1" t="s">
        <v>41</v>
      </c>
      <c r="C328" s="1" t="s">
        <v>27</v>
      </c>
      <c r="D328" s="3">
        <v>20000.0</v>
      </c>
      <c r="E328" s="2" t="s">
        <v>21</v>
      </c>
      <c r="F328" s="1" t="s">
        <v>62</v>
      </c>
      <c r="G328" s="1" t="s">
        <v>50</v>
      </c>
      <c r="H328" s="1" t="s">
        <v>25</v>
      </c>
      <c r="I328" s="2" t="s">
        <v>37</v>
      </c>
      <c r="J328" s="1" t="s">
        <v>22</v>
      </c>
      <c r="K328" s="1" t="s">
        <v>23</v>
      </c>
      <c r="L328" s="2" t="s">
        <v>93</v>
      </c>
      <c r="M328" s="1" t="s">
        <v>25</v>
      </c>
    </row>
    <row r="329" ht="15.75" customHeight="1">
      <c r="A329" s="2" t="s">
        <v>442</v>
      </c>
      <c r="B329" s="1" t="s">
        <v>14</v>
      </c>
      <c r="C329" s="1" t="s">
        <v>27</v>
      </c>
      <c r="D329" s="3">
        <v>10000.0</v>
      </c>
      <c r="E329" s="2" t="s">
        <v>21</v>
      </c>
      <c r="F329" s="1" t="s">
        <v>62</v>
      </c>
      <c r="G329" s="1" t="s">
        <v>50</v>
      </c>
      <c r="H329" s="1" t="s">
        <v>20</v>
      </c>
      <c r="I329" s="2" t="s">
        <v>37</v>
      </c>
      <c r="J329" s="1" t="s">
        <v>22</v>
      </c>
      <c r="K329" s="1" t="s">
        <v>23</v>
      </c>
      <c r="L329" s="2" t="s">
        <v>104</v>
      </c>
      <c r="M329" s="1" t="s">
        <v>25</v>
      </c>
    </row>
    <row r="330" ht="15.75" customHeight="1">
      <c r="A330" s="2" t="s">
        <v>443</v>
      </c>
      <c r="B330" s="1" t="s">
        <v>41</v>
      </c>
      <c r="C330" s="1" t="s">
        <v>15</v>
      </c>
      <c r="D330" s="3">
        <v>120000.0</v>
      </c>
      <c r="E330" s="2" t="s">
        <v>29</v>
      </c>
      <c r="F330" s="1" t="s">
        <v>55</v>
      </c>
      <c r="G330" s="1" t="s">
        <v>36</v>
      </c>
      <c r="H330" s="1" t="s">
        <v>20</v>
      </c>
      <c r="I330" s="2" t="s">
        <v>57</v>
      </c>
      <c r="J330" s="1" t="s">
        <v>43</v>
      </c>
      <c r="K330" s="1" t="s">
        <v>23</v>
      </c>
      <c r="L330" s="2" t="s">
        <v>52</v>
      </c>
      <c r="M330" s="1" t="s">
        <v>20</v>
      </c>
    </row>
    <row r="331" ht="15.75" customHeight="1">
      <c r="A331" s="2" t="s">
        <v>444</v>
      </c>
      <c r="B331" s="1" t="s">
        <v>14</v>
      </c>
      <c r="C331" s="1" t="s">
        <v>27</v>
      </c>
      <c r="D331" s="3">
        <v>20000.0</v>
      </c>
      <c r="E331" s="2" t="s">
        <v>17</v>
      </c>
      <c r="F331" s="1" t="s">
        <v>18</v>
      </c>
      <c r="G331" s="1" t="s">
        <v>31</v>
      </c>
      <c r="H331" s="1" t="s">
        <v>20</v>
      </c>
      <c r="I331" s="2" t="s">
        <v>21</v>
      </c>
      <c r="J331" s="1" t="s">
        <v>22</v>
      </c>
      <c r="K331" s="1" t="s">
        <v>23</v>
      </c>
      <c r="L331" s="2" t="s">
        <v>128</v>
      </c>
      <c r="M331" s="1" t="s">
        <v>25</v>
      </c>
    </row>
    <row r="332" ht="15.75" customHeight="1">
      <c r="A332" s="2" t="s">
        <v>445</v>
      </c>
      <c r="B332" s="1" t="s">
        <v>41</v>
      </c>
      <c r="C332" s="1" t="s">
        <v>27</v>
      </c>
      <c r="D332" s="3">
        <v>30000.0</v>
      </c>
      <c r="E332" s="2" t="s">
        <v>21</v>
      </c>
      <c r="F332" s="1" t="s">
        <v>30</v>
      </c>
      <c r="G332" s="1" t="s">
        <v>31</v>
      </c>
      <c r="H332" s="1" t="s">
        <v>20</v>
      </c>
      <c r="I332" s="2" t="s">
        <v>17</v>
      </c>
      <c r="J332" s="1" t="s">
        <v>38</v>
      </c>
      <c r="K332" s="1" t="s">
        <v>23</v>
      </c>
      <c r="L332" s="2" t="s">
        <v>116</v>
      </c>
      <c r="M332" s="1" t="s">
        <v>25</v>
      </c>
    </row>
    <row r="333" ht="15.75" customHeight="1">
      <c r="A333" s="2" t="s">
        <v>446</v>
      </c>
      <c r="B333" s="1" t="s">
        <v>41</v>
      </c>
      <c r="C333" s="1" t="s">
        <v>15</v>
      </c>
      <c r="D333" s="3">
        <v>30000.0</v>
      </c>
      <c r="E333" s="2" t="s">
        <v>21</v>
      </c>
      <c r="F333" s="1" t="s">
        <v>55</v>
      </c>
      <c r="G333" s="1" t="s">
        <v>50</v>
      </c>
      <c r="H333" s="1" t="s">
        <v>25</v>
      </c>
      <c r="I333" s="2" t="s">
        <v>17</v>
      </c>
      <c r="J333" s="1" t="s">
        <v>38</v>
      </c>
      <c r="K333" s="1" t="s">
        <v>23</v>
      </c>
      <c r="L333" s="2" t="s">
        <v>104</v>
      </c>
      <c r="M333" s="1" t="s">
        <v>20</v>
      </c>
    </row>
    <row r="334" ht="15.75" customHeight="1">
      <c r="A334" s="2" t="s">
        <v>447</v>
      </c>
      <c r="B334" s="1" t="s">
        <v>41</v>
      </c>
      <c r="C334" s="1" t="s">
        <v>27</v>
      </c>
      <c r="D334" s="3">
        <v>10000.0</v>
      </c>
      <c r="E334" s="2" t="s">
        <v>21</v>
      </c>
      <c r="F334" s="1" t="s">
        <v>62</v>
      </c>
      <c r="G334" s="1" t="s">
        <v>50</v>
      </c>
      <c r="H334" s="1" t="s">
        <v>20</v>
      </c>
      <c r="I334" s="2" t="s">
        <v>37</v>
      </c>
      <c r="J334" s="1" t="s">
        <v>51</v>
      </c>
      <c r="K334" s="1" t="s">
        <v>23</v>
      </c>
      <c r="L334" s="2" t="s">
        <v>74</v>
      </c>
      <c r="M334" s="1" t="s">
        <v>25</v>
      </c>
    </row>
    <row r="335" ht="15.75" customHeight="1">
      <c r="A335" s="2" t="s">
        <v>448</v>
      </c>
      <c r="B335" s="1" t="s">
        <v>41</v>
      </c>
      <c r="C335" s="1" t="s">
        <v>15</v>
      </c>
      <c r="D335" s="3">
        <v>30000.0</v>
      </c>
      <c r="E335" s="2" t="s">
        <v>21</v>
      </c>
      <c r="F335" s="1" t="s">
        <v>55</v>
      </c>
      <c r="G335" s="1" t="s">
        <v>50</v>
      </c>
      <c r="H335" s="1" t="s">
        <v>25</v>
      </c>
      <c r="I335" s="2" t="s">
        <v>17</v>
      </c>
      <c r="J335" s="1" t="s">
        <v>38</v>
      </c>
      <c r="K335" s="1" t="s">
        <v>23</v>
      </c>
      <c r="L335" s="2" t="s">
        <v>104</v>
      </c>
      <c r="M335" s="1" t="s">
        <v>25</v>
      </c>
    </row>
    <row r="336" ht="15.75" customHeight="1">
      <c r="A336" s="2" t="s">
        <v>449</v>
      </c>
      <c r="B336" s="1" t="s">
        <v>41</v>
      </c>
      <c r="C336" s="1" t="s">
        <v>27</v>
      </c>
      <c r="D336" s="3">
        <v>30000.0</v>
      </c>
      <c r="E336" s="2" t="s">
        <v>21</v>
      </c>
      <c r="F336" s="1" t="s">
        <v>30</v>
      </c>
      <c r="G336" s="1" t="s">
        <v>31</v>
      </c>
      <c r="H336" s="1" t="s">
        <v>25</v>
      </c>
      <c r="I336" s="2" t="s">
        <v>17</v>
      </c>
      <c r="J336" s="1" t="s">
        <v>38</v>
      </c>
      <c r="K336" s="1" t="s">
        <v>23</v>
      </c>
      <c r="L336" s="2" t="s">
        <v>109</v>
      </c>
      <c r="M336" s="1" t="s">
        <v>20</v>
      </c>
    </row>
    <row r="337" ht="15.75" customHeight="1">
      <c r="A337" s="2" t="s">
        <v>450</v>
      </c>
      <c r="B337" s="1" t="s">
        <v>14</v>
      </c>
      <c r="C337" s="1" t="s">
        <v>15</v>
      </c>
      <c r="D337" s="3">
        <v>20000.0</v>
      </c>
      <c r="E337" s="2" t="s">
        <v>17</v>
      </c>
      <c r="F337" s="1" t="s">
        <v>18</v>
      </c>
      <c r="G337" s="1" t="s">
        <v>31</v>
      </c>
      <c r="H337" s="1" t="s">
        <v>20</v>
      </c>
      <c r="I337" s="2" t="s">
        <v>21</v>
      </c>
      <c r="J337" s="1" t="s">
        <v>22</v>
      </c>
      <c r="K337" s="1" t="s">
        <v>23</v>
      </c>
      <c r="L337" s="2" t="s">
        <v>52</v>
      </c>
      <c r="M337" s="1" t="s">
        <v>20</v>
      </c>
    </row>
    <row r="338" ht="15.75" customHeight="1">
      <c r="A338" s="2" t="s">
        <v>451</v>
      </c>
      <c r="B338" s="1" t="s">
        <v>14</v>
      </c>
      <c r="C338" s="1" t="s">
        <v>27</v>
      </c>
      <c r="D338" s="3">
        <v>40000.0</v>
      </c>
      <c r="E338" s="2" t="s">
        <v>17</v>
      </c>
      <c r="F338" s="1" t="s">
        <v>18</v>
      </c>
      <c r="G338" s="1" t="s">
        <v>19</v>
      </c>
      <c r="H338" s="1" t="s">
        <v>25</v>
      </c>
      <c r="I338" s="2" t="s">
        <v>21</v>
      </c>
      <c r="J338" s="1" t="s">
        <v>22</v>
      </c>
      <c r="K338" s="1" t="s">
        <v>23</v>
      </c>
      <c r="L338" s="2" t="s">
        <v>32</v>
      </c>
      <c r="M338" s="1" t="s">
        <v>20</v>
      </c>
    </row>
    <row r="339" ht="15.75" customHeight="1">
      <c r="A339" s="2" t="s">
        <v>452</v>
      </c>
      <c r="B339" s="1" t="s">
        <v>41</v>
      </c>
      <c r="C339" s="1" t="s">
        <v>15</v>
      </c>
      <c r="D339" s="3">
        <v>60000.0</v>
      </c>
      <c r="E339" s="2" t="s">
        <v>17</v>
      </c>
      <c r="F339" s="1" t="s">
        <v>30</v>
      </c>
      <c r="G339" s="1" t="s">
        <v>19</v>
      </c>
      <c r="H339" s="1" t="s">
        <v>25</v>
      </c>
      <c r="I339" s="2" t="s">
        <v>17</v>
      </c>
      <c r="J339" s="1" t="s">
        <v>22</v>
      </c>
      <c r="K339" s="1" t="s">
        <v>44</v>
      </c>
      <c r="L339" s="2" t="s">
        <v>77</v>
      </c>
      <c r="M339" s="1" t="s">
        <v>20</v>
      </c>
    </row>
    <row r="340" ht="15.75" customHeight="1">
      <c r="A340" s="2" t="s">
        <v>453</v>
      </c>
      <c r="B340" s="1" t="s">
        <v>14</v>
      </c>
      <c r="C340" s="1" t="s">
        <v>27</v>
      </c>
      <c r="D340" s="3">
        <v>20000.0</v>
      </c>
      <c r="E340" s="2" t="s">
        <v>37</v>
      </c>
      <c r="F340" s="1" t="s">
        <v>55</v>
      </c>
      <c r="G340" s="1" t="s">
        <v>50</v>
      </c>
      <c r="H340" s="1" t="s">
        <v>20</v>
      </c>
      <c r="I340" s="2" t="s">
        <v>37</v>
      </c>
      <c r="J340" s="1" t="s">
        <v>22</v>
      </c>
      <c r="K340" s="1" t="s">
        <v>23</v>
      </c>
      <c r="L340" s="2" t="s">
        <v>24</v>
      </c>
      <c r="M340" s="1" t="s">
        <v>25</v>
      </c>
    </row>
    <row r="341" ht="15.75" customHeight="1">
      <c r="A341" s="2" t="s">
        <v>454</v>
      </c>
      <c r="B341" s="1" t="s">
        <v>41</v>
      </c>
      <c r="C341" s="1" t="s">
        <v>15</v>
      </c>
      <c r="D341" s="3">
        <v>30000.0</v>
      </c>
      <c r="E341" s="2" t="s">
        <v>21</v>
      </c>
      <c r="F341" s="1" t="s">
        <v>30</v>
      </c>
      <c r="G341" s="1" t="s">
        <v>31</v>
      </c>
      <c r="H341" s="1" t="s">
        <v>25</v>
      </c>
      <c r="I341" s="2" t="s">
        <v>17</v>
      </c>
      <c r="J341" s="1" t="s">
        <v>22</v>
      </c>
      <c r="K341" s="1" t="s">
        <v>23</v>
      </c>
      <c r="L341" s="2" t="s">
        <v>97</v>
      </c>
      <c r="M341" s="1" t="s">
        <v>20</v>
      </c>
    </row>
    <row r="342" ht="15.75" customHeight="1">
      <c r="A342" s="2" t="s">
        <v>455</v>
      </c>
      <c r="B342" s="1" t="s">
        <v>41</v>
      </c>
      <c r="C342" s="1" t="s">
        <v>27</v>
      </c>
      <c r="D342" s="3">
        <v>20000.0</v>
      </c>
      <c r="E342" s="2" t="s">
        <v>21</v>
      </c>
      <c r="F342" s="1" t="s">
        <v>30</v>
      </c>
      <c r="G342" s="1" t="s">
        <v>50</v>
      </c>
      <c r="H342" s="1" t="s">
        <v>25</v>
      </c>
      <c r="I342" s="2" t="s">
        <v>21</v>
      </c>
      <c r="J342" s="1" t="s">
        <v>22</v>
      </c>
      <c r="K342" s="1" t="s">
        <v>44</v>
      </c>
      <c r="L342" s="2" t="s">
        <v>118</v>
      </c>
      <c r="M342" s="1" t="s">
        <v>20</v>
      </c>
    </row>
    <row r="343" ht="15.75" customHeight="1">
      <c r="A343" s="2" t="s">
        <v>457</v>
      </c>
      <c r="B343" s="1" t="s">
        <v>14</v>
      </c>
      <c r="C343" s="1" t="s">
        <v>15</v>
      </c>
      <c r="D343" s="3">
        <v>80000.0</v>
      </c>
      <c r="E343" s="2" t="s">
        <v>57</v>
      </c>
      <c r="F343" s="1" t="s">
        <v>30</v>
      </c>
      <c r="G343" s="1" t="s">
        <v>36</v>
      </c>
      <c r="H343" s="1" t="s">
        <v>20</v>
      </c>
      <c r="I343" s="2" t="s">
        <v>37</v>
      </c>
      <c r="J343" s="1" t="s">
        <v>38</v>
      </c>
      <c r="K343" s="1" t="s">
        <v>23</v>
      </c>
      <c r="L343" s="2" t="s">
        <v>201</v>
      </c>
      <c r="M343" s="1" t="s">
        <v>25</v>
      </c>
    </row>
    <row r="344" ht="15.75" customHeight="1">
      <c r="A344" s="2" t="s">
        <v>458</v>
      </c>
      <c r="B344" s="1" t="s">
        <v>41</v>
      </c>
      <c r="C344" s="1" t="s">
        <v>27</v>
      </c>
      <c r="D344" s="3">
        <v>40000.0</v>
      </c>
      <c r="E344" s="2" t="s">
        <v>21</v>
      </c>
      <c r="F344" s="1" t="s">
        <v>87</v>
      </c>
      <c r="G344" s="1" t="s">
        <v>31</v>
      </c>
      <c r="H344" s="1" t="s">
        <v>25</v>
      </c>
      <c r="I344" s="2" t="s">
        <v>21</v>
      </c>
      <c r="J344" s="1" t="s">
        <v>22</v>
      </c>
      <c r="K344" s="1" t="s">
        <v>23</v>
      </c>
      <c r="L344" s="2" t="s">
        <v>79</v>
      </c>
      <c r="M344" s="1" t="s">
        <v>20</v>
      </c>
    </row>
    <row r="345" ht="15.75" customHeight="1">
      <c r="A345" s="2" t="s">
        <v>459</v>
      </c>
      <c r="B345" s="1" t="s">
        <v>41</v>
      </c>
      <c r="C345" s="1" t="s">
        <v>27</v>
      </c>
      <c r="D345" s="3">
        <v>30000.0</v>
      </c>
      <c r="E345" s="2" t="s">
        <v>17</v>
      </c>
      <c r="F345" s="1" t="s">
        <v>18</v>
      </c>
      <c r="G345" s="1" t="s">
        <v>31</v>
      </c>
      <c r="H345" s="1" t="s">
        <v>25</v>
      </c>
      <c r="I345" s="2" t="s">
        <v>17</v>
      </c>
      <c r="J345" s="1" t="s">
        <v>51</v>
      </c>
      <c r="K345" s="1" t="s">
        <v>23</v>
      </c>
      <c r="L345" s="2" t="s">
        <v>135</v>
      </c>
      <c r="M345" s="1" t="s">
        <v>25</v>
      </c>
    </row>
    <row r="346" ht="15.75" customHeight="1">
      <c r="A346" s="2" t="s">
        <v>460</v>
      </c>
      <c r="B346" s="1" t="s">
        <v>41</v>
      </c>
      <c r="C346" s="1" t="s">
        <v>27</v>
      </c>
      <c r="D346" s="3">
        <v>80000.0</v>
      </c>
      <c r="E346" s="2" t="s">
        <v>21</v>
      </c>
      <c r="F346" s="1" t="s">
        <v>18</v>
      </c>
      <c r="G346" s="1" t="s">
        <v>36</v>
      </c>
      <c r="H346" s="1" t="s">
        <v>20</v>
      </c>
      <c r="I346" s="2" t="s">
        <v>29</v>
      </c>
      <c r="J346" s="1" t="s">
        <v>69</v>
      </c>
      <c r="K346" s="1" t="s">
        <v>44</v>
      </c>
      <c r="L346" s="2" t="s">
        <v>104</v>
      </c>
      <c r="M346" s="1" t="s">
        <v>25</v>
      </c>
    </row>
    <row r="347" ht="15.75" customHeight="1">
      <c r="A347" s="2" t="s">
        <v>461</v>
      </c>
      <c r="B347" s="1" t="s">
        <v>14</v>
      </c>
      <c r="C347" s="1" t="s">
        <v>15</v>
      </c>
      <c r="D347" s="3">
        <v>150000.0</v>
      </c>
      <c r="E347" s="2" t="s">
        <v>29</v>
      </c>
      <c r="F347" s="1" t="s">
        <v>55</v>
      </c>
      <c r="G347" s="1" t="s">
        <v>36</v>
      </c>
      <c r="H347" s="1" t="s">
        <v>20</v>
      </c>
      <c r="I347" s="2" t="s">
        <v>29</v>
      </c>
      <c r="J347" s="1" t="s">
        <v>22</v>
      </c>
      <c r="K347" s="1" t="s">
        <v>23</v>
      </c>
      <c r="L347" s="2" t="s">
        <v>178</v>
      </c>
      <c r="M347" s="1" t="s">
        <v>20</v>
      </c>
    </row>
    <row r="348" ht="15.75" customHeight="1">
      <c r="A348" s="2" t="s">
        <v>462</v>
      </c>
      <c r="B348" s="1" t="s">
        <v>41</v>
      </c>
      <c r="C348" s="1" t="s">
        <v>15</v>
      </c>
      <c r="D348" s="3">
        <v>10000.0</v>
      </c>
      <c r="E348" s="2" t="s">
        <v>21</v>
      </c>
      <c r="F348" s="1" t="s">
        <v>62</v>
      </c>
      <c r="G348" s="1" t="s">
        <v>50</v>
      </c>
      <c r="H348" s="1" t="s">
        <v>20</v>
      </c>
      <c r="I348" s="2" t="s">
        <v>37</v>
      </c>
      <c r="J348" s="1" t="s">
        <v>51</v>
      </c>
      <c r="K348" s="1" t="s">
        <v>23</v>
      </c>
      <c r="L348" s="2" t="s">
        <v>58</v>
      </c>
      <c r="M348" s="1" t="s">
        <v>25</v>
      </c>
    </row>
    <row r="349" ht="15.75" customHeight="1">
      <c r="A349" s="2" t="s">
        <v>463</v>
      </c>
      <c r="B349" s="1" t="s">
        <v>14</v>
      </c>
      <c r="C349" s="1" t="s">
        <v>27</v>
      </c>
      <c r="D349" s="3">
        <v>90000.0</v>
      </c>
      <c r="E349" s="2" t="s">
        <v>57</v>
      </c>
      <c r="F349" s="1" t="s">
        <v>55</v>
      </c>
      <c r="G349" s="1" t="s">
        <v>56</v>
      </c>
      <c r="H349" s="1" t="s">
        <v>20</v>
      </c>
      <c r="I349" s="2" t="s">
        <v>29</v>
      </c>
      <c r="J349" s="1" t="s">
        <v>43</v>
      </c>
      <c r="K349" s="1" t="s">
        <v>23</v>
      </c>
      <c r="L349" s="2" t="s">
        <v>63</v>
      </c>
      <c r="M349" s="1" t="s">
        <v>20</v>
      </c>
    </row>
    <row r="350" ht="15.75" customHeight="1">
      <c r="A350" s="2" t="s">
        <v>464</v>
      </c>
      <c r="B350" s="1" t="s">
        <v>14</v>
      </c>
      <c r="C350" s="1" t="s">
        <v>27</v>
      </c>
      <c r="D350" s="3">
        <v>80000.0</v>
      </c>
      <c r="E350" s="2" t="s">
        <v>21</v>
      </c>
      <c r="F350" s="1" t="s">
        <v>18</v>
      </c>
      <c r="G350" s="1" t="s">
        <v>36</v>
      </c>
      <c r="H350" s="1" t="s">
        <v>20</v>
      </c>
      <c r="I350" s="2" t="s">
        <v>29</v>
      </c>
      <c r="J350" s="1" t="s">
        <v>69</v>
      </c>
      <c r="K350" s="1" t="s">
        <v>44</v>
      </c>
      <c r="L350" s="2" t="s">
        <v>116</v>
      </c>
      <c r="M350" s="1" t="s">
        <v>25</v>
      </c>
    </row>
    <row r="351" ht="15.75" customHeight="1">
      <c r="A351" s="2" t="s">
        <v>465</v>
      </c>
      <c r="B351" s="1" t="s">
        <v>41</v>
      </c>
      <c r="C351" s="1" t="s">
        <v>27</v>
      </c>
      <c r="D351" s="3">
        <v>130000.0</v>
      </c>
      <c r="E351" s="2" t="s">
        <v>21</v>
      </c>
      <c r="F351" s="1" t="s">
        <v>87</v>
      </c>
      <c r="G351" s="1" t="s">
        <v>56</v>
      </c>
      <c r="H351" s="1" t="s">
        <v>20</v>
      </c>
      <c r="I351" s="2" t="s">
        <v>21</v>
      </c>
      <c r="J351" s="1" t="s">
        <v>38</v>
      </c>
      <c r="K351" s="1" t="s">
        <v>44</v>
      </c>
      <c r="L351" s="2" t="s">
        <v>125</v>
      </c>
      <c r="M351" s="1" t="s">
        <v>20</v>
      </c>
    </row>
    <row r="352" ht="15.75" customHeight="1">
      <c r="A352" s="2" t="s">
        <v>466</v>
      </c>
      <c r="B352" s="1" t="s">
        <v>41</v>
      </c>
      <c r="C352" s="1" t="s">
        <v>15</v>
      </c>
      <c r="D352" s="3">
        <v>30000.0</v>
      </c>
      <c r="E352" s="2" t="s">
        <v>29</v>
      </c>
      <c r="F352" s="1" t="s">
        <v>30</v>
      </c>
      <c r="G352" s="1" t="s">
        <v>31</v>
      </c>
      <c r="H352" s="1" t="s">
        <v>25</v>
      </c>
      <c r="I352" s="2" t="s">
        <v>37</v>
      </c>
      <c r="J352" s="1" t="s">
        <v>22</v>
      </c>
      <c r="K352" s="1" t="s">
        <v>23</v>
      </c>
      <c r="L352" s="2" t="s">
        <v>245</v>
      </c>
      <c r="M352" s="1" t="s">
        <v>20</v>
      </c>
    </row>
    <row r="353" ht="15.75" customHeight="1">
      <c r="A353" s="2" t="s">
        <v>467</v>
      </c>
      <c r="B353" s="1" t="s">
        <v>14</v>
      </c>
      <c r="C353" s="1" t="s">
        <v>27</v>
      </c>
      <c r="D353" s="3">
        <v>40000.0</v>
      </c>
      <c r="E353" s="2" t="s">
        <v>17</v>
      </c>
      <c r="F353" s="1" t="s">
        <v>18</v>
      </c>
      <c r="G353" s="1" t="s">
        <v>19</v>
      </c>
      <c r="H353" s="1" t="s">
        <v>20</v>
      </c>
      <c r="I353" s="2" t="s">
        <v>17</v>
      </c>
      <c r="J353" s="1" t="s">
        <v>22</v>
      </c>
      <c r="K353" s="1" t="s">
        <v>23</v>
      </c>
      <c r="L353" s="2" t="s">
        <v>58</v>
      </c>
      <c r="M353" s="1" t="s">
        <v>20</v>
      </c>
    </row>
    <row r="354" ht="15.75" customHeight="1">
      <c r="A354" s="2" t="s">
        <v>468</v>
      </c>
      <c r="B354" s="1" t="s">
        <v>14</v>
      </c>
      <c r="C354" s="1" t="s">
        <v>15</v>
      </c>
      <c r="D354" s="3">
        <v>40000.0</v>
      </c>
      <c r="E354" s="2" t="s">
        <v>37</v>
      </c>
      <c r="F354" s="1" t="s">
        <v>18</v>
      </c>
      <c r="G354" s="1" t="s">
        <v>56</v>
      </c>
      <c r="H354" s="1" t="s">
        <v>20</v>
      </c>
      <c r="I354" s="2" t="s">
        <v>37</v>
      </c>
      <c r="J354" s="1" t="s">
        <v>22</v>
      </c>
      <c r="K354" s="1" t="s">
        <v>44</v>
      </c>
      <c r="L354" s="2" t="s">
        <v>128</v>
      </c>
      <c r="M354" s="1" t="s">
        <v>20</v>
      </c>
    </row>
    <row r="355" ht="15.75" customHeight="1">
      <c r="A355" s="2" t="s">
        <v>469</v>
      </c>
      <c r="B355" s="1" t="s">
        <v>41</v>
      </c>
      <c r="C355" s="1" t="s">
        <v>15</v>
      </c>
      <c r="D355" s="3">
        <v>10000.0</v>
      </c>
      <c r="E355" s="2" t="s">
        <v>37</v>
      </c>
      <c r="F355" s="1" t="s">
        <v>55</v>
      </c>
      <c r="G355" s="1" t="s">
        <v>50</v>
      </c>
      <c r="H355" s="1" t="s">
        <v>20</v>
      </c>
      <c r="I355" s="2" t="s">
        <v>17</v>
      </c>
      <c r="J355" s="1" t="s">
        <v>22</v>
      </c>
      <c r="K355" s="1" t="s">
        <v>23</v>
      </c>
      <c r="L355" s="2" t="s">
        <v>79</v>
      </c>
      <c r="M355" s="1" t="s">
        <v>20</v>
      </c>
    </row>
    <row r="356" ht="15.75" customHeight="1">
      <c r="A356" s="2" t="s">
        <v>470</v>
      </c>
      <c r="B356" s="1" t="s">
        <v>41</v>
      </c>
      <c r="C356" s="1" t="s">
        <v>15</v>
      </c>
      <c r="D356" s="3">
        <v>40000.0</v>
      </c>
      <c r="E356" s="2" t="s">
        <v>21</v>
      </c>
      <c r="F356" s="1" t="s">
        <v>18</v>
      </c>
      <c r="G356" s="1" t="s">
        <v>31</v>
      </c>
      <c r="H356" s="1" t="s">
        <v>1111</v>
      </c>
      <c r="I356" s="2" t="s">
        <v>21</v>
      </c>
      <c r="J356" s="1" t="s">
        <v>22</v>
      </c>
      <c r="K356" s="1" t="s">
        <v>23</v>
      </c>
      <c r="L356" s="2" t="s">
        <v>79</v>
      </c>
      <c r="M356" s="1" t="s">
        <v>20</v>
      </c>
    </row>
    <row r="357" ht="15.75" customHeight="1">
      <c r="A357" s="2" t="s">
        <v>471</v>
      </c>
      <c r="B357" s="1" t="s">
        <v>14</v>
      </c>
      <c r="C357" s="1" t="s">
        <v>27</v>
      </c>
      <c r="D357" s="3">
        <v>60000.0</v>
      </c>
      <c r="E357" s="2" t="s">
        <v>17</v>
      </c>
      <c r="F357" s="1" t="s">
        <v>30</v>
      </c>
      <c r="G357" s="1" t="s">
        <v>19</v>
      </c>
      <c r="H357" s="1" t="s">
        <v>20</v>
      </c>
      <c r="I357" s="2" t="s">
        <v>17</v>
      </c>
      <c r="J357" s="1" t="s">
        <v>22</v>
      </c>
      <c r="K357" s="1" t="s">
        <v>44</v>
      </c>
      <c r="L357" s="2" t="s">
        <v>77</v>
      </c>
      <c r="M357" s="1" t="s">
        <v>20</v>
      </c>
    </row>
    <row r="358" ht="15.75" customHeight="1">
      <c r="A358" s="2" t="s">
        <v>472</v>
      </c>
      <c r="B358" s="1" t="s">
        <v>14</v>
      </c>
      <c r="C358" s="1" t="s">
        <v>15</v>
      </c>
      <c r="D358" s="3">
        <v>130000.0</v>
      </c>
      <c r="E358" s="2" t="s">
        <v>29</v>
      </c>
      <c r="F358" s="1" t="s">
        <v>30</v>
      </c>
      <c r="G358" s="1" t="s">
        <v>36</v>
      </c>
      <c r="H358" s="1" t="s">
        <v>20</v>
      </c>
      <c r="I358" s="2" t="s">
        <v>29</v>
      </c>
      <c r="J358" s="1" t="s">
        <v>43</v>
      </c>
      <c r="K358" s="1" t="s">
        <v>23</v>
      </c>
      <c r="L358" s="2" t="s">
        <v>52</v>
      </c>
      <c r="M358" s="1" t="s">
        <v>20</v>
      </c>
    </row>
    <row r="359" ht="15.75" customHeight="1">
      <c r="A359" s="2" t="s">
        <v>473</v>
      </c>
      <c r="B359" s="1" t="s">
        <v>41</v>
      </c>
      <c r="C359" s="1" t="s">
        <v>15</v>
      </c>
      <c r="D359" s="3">
        <v>30000.0</v>
      </c>
      <c r="E359" s="2" t="s">
        <v>37</v>
      </c>
      <c r="F359" s="1" t="s">
        <v>30</v>
      </c>
      <c r="G359" s="1" t="s">
        <v>31</v>
      </c>
      <c r="H359" s="1" t="s">
        <v>25</v>
      </c>
      <c r="I359" s="2" t="s">
        <v>37</v>
      </c>
      <c r="J359" s="1" t="s">
        <v>43</v>
      </c>
      <c r="K359" s="1" t="s">
        <v>44</v>
      </c>
      <c r="L359" s="2" t="s">
        <v>39</v>
      </c>
      <c r="M359" s="1" t="s">
        <v>20</v>
      </c>
    </row>
    <row r="360" ht="15.75" customHeight="1">
      <c r="A360" s="2" t="s">
        <v>474</v>
      </c>
      <c r="B360" s="1" t="s">
        <v>41</v>
      </c>
      <c r="C360" s="1" t="s">
        <v>15</v>
      </c>
      <c r="D360" s="3">
        <v>20000.0</v>
      </c>
      <c r="E360" s="2" t="s">
        <v>37</v>
      </c>
      <c r="F360" s="1" t="s">
        <v>30</v>
      </c>
      <c r="G360" s="1" t="s">
        <v>50</v>
      </c>
      <c r="H360" s="1" t="s">
        <v>25</v>
      </c>
      <c r="I360" s="2" t="s">
        <v>17</v>
      </c>
      <c r="J360" s="1" t="s">
        <v>22</v>
      </c>
      <c r="K360" s="1" t="s">
        <v>23</v>
      </c>
      <c r="L360" s="2" t="s">
        <v>201</v>
      </c>
      <c r="M360" s="1" t="s">
        <v>20</v>
      </c>
    </row>
    <row r="361" ht="15.75" customHeight="1">
      <c r="A361" s="2" t="s">
        <v>475</v>
      </c>
      <c r="B361" s="1" t="s">
        <v>14</v>
      </c>
      <c r="C361" s="1" t="s">
        <v>15</v>
      </c>
      <c r="D361" s="3">
        <v>100000.0</v>
      </c>
      <c r="E361" s="2" t="s">
        <v>57</v>
      </c>
      <c r="F361" s="1" t="s">
        <v>18</v>
      </c>
      <c r="G361" s="1" t="s">
        <v>36</v>
      </c>
      <c r="H361" s="1" t="s">
        <v>20</v>
      </c>
      <c r="I361" s="2" t="s">
        <v>17</v>
      </c>
      <c r="J361" s="1" t="s">
        <v>69</v>
      </c>
      <c r="K361" s="1" t="s">
        <v>44</v>
      </c>
      <c r="L361" s="2" t="s">
        <v>130</v>
      </c>
      <c r="M361" s="1" t="s">
        <v>25</v>
      </c>
    </row>
    <row r="362" ht="15.75" customHeight="1">
      <c r="A362" s="2" t="s">
        <v>477</v>
      </c>
      <c r="B362" s="1" t="s">
        <v>14</v>
      </c>
      <c r="C362" s="1" t="s">
        <v>27</v>
      </c>
      <c r="D362" s="3">
        <v>40000.0</v>
      </c>
      <c r="E362" s="2" t="s">
        <v>17</v>
      </c>
      <c r="F362" s="1" t="s">
        <v>18</v>
      </c>
      <c r="G362" s="1" t="s">
        <v>19</v>
      </c>
      <c r="H362" s="1" t="s">
        <v>20</v>
      </c>
      <c r="I362" s="2" t="s">
        <v>17</v>
      </c>
      <c r="J362" s="1" t="s">
        <v>22</v>
      </c>
      <c r="K362" s="1" t="s">
        <v>23</v>
      </c>
      <c r="L362" s="2" t="s">
        <v>32</v>
      </c>
      <c r="M362" s="1" t="s">
        <v>20</v>
      </c>
    </row>
    <row r="363" ht="15.75" customHeight="1">
      <c r="A363" s="2" t="s">
        <v>478</v>
      </c>
      <c r="B363" s="1" t="s">
        <v>41</v>
      </c>
      <c r="C363" s="1" t="s">
        <v>27</v>
      </c>
      <c r="D363" s="3">
        <v>20000.0</v>
      </c>
      <c r="E363" s="2" t="s">
        <v>21</v>
      </c>
      <c r="F363" s="1" t="s">
        <v>55</v>
      </c>
      <c r="G363" s="1" t="s">
        <v>50</v>
      </c>
      <c r="H363" s="1" t="s">
        <v>25</v>
      </c>
      <c r="I363" s="2" t="s">
        <v>17</v>
      </c>
      <c r="J363" s="1" t="s">
        <v>38</v>
      </c>
      <c r="K363" s="1" t="s">
        <v>23</v>
      </c>
      <c r="L363" s="2" t="s">
        <v>116</v>
      </c>
      <c r="M363" s="1" t="s">
        <v>25</v>
      </c>
    </row>
    <row r="364" ht="15.75" customHeight="1">
      <c r="A364" s="2" t="s">
        <v>479</v>
      </c>
      <c r="B364" s="1" t="s">
        <v>41</v>
      </c>
      <c r="C364" s="1" t="s">
        <v>15</v>
      </c>
      <c r="D364" s="3">
        <v>80000.0</v>
      </c>
      <c r="E364" s="2" t="s">
        <v>35</v>
      </c>
      <c r="F364" s="1" t="s">
        <v>18</v>
      </c>
      <c r="G364" s="1" t="s">
        <v>36</v>
      </c>
      <c r="H364" s="1" t="s">
        <v>20</v>
      </c>
      <c r="I364" s="2" t="s">
        <v>57</v>
      </c>
      <c r="J364" s="1" t="s">
        <v>51</v>
      </c>
      <c r="K364" s="1" t="s">
        <v>44</v>
      </c>
      <c r="L364" s="2" t="s">
        <v>79</v>
      </c>
      <c r="M364" s="1" t="s">
        <v>25</v>
      </c>
    </row>
    <row r="365" ht="15.75" customHeight="1">
      <c r="A365" s="2" t="s">
        <v>480</v>
      </c>
      <c r="B365" s="1" t="s">
        <v>14</v>
      </c>
      <c r="C365" s="1" t="s">
        <v>15</v>
      </c>
      <c r="D365" s="3">
        <v>40000.0</v>
      </c>
      <c r="E365" s="2" t="s">
        <v>17</v>
      </c>
      <c r="F365" s="1" t="s">
        <v>18</v>
      </c>
      <c r="G365" s="1" t="s">
        <v>19</v>
      </c>
      <c r="H365" s="1" t="s">
        <v>20</v>
      </c>
      <c r="I365" s="2" t="s">
        <v>17</v>
      </c>
      <c r="J365" s="1" t="s">
        <v>22</v>
      </c>
      <c r="K365" s="1" t="s">
        <v>23</v>
      </c>
      <c r="L365" s="2" t="s">
        <v>481</v>
      </c>
      <c r="M365" s="1" t="s">
        <v>25</v>
      </c>
    </row>
    <row r="366" ht="15.75" customHeight="1">
      <c r="A366" s="2" t="s">
        <v>482</v>
      </c>
      <c r="B366" s="1" t="s">
        <v>14</v>
      </c>
      <c r="C366" s="1" t="s">
        <v>27</v>
      </c>
      <c r="D366" s="3">
        <v>20000.0</v>
      </c>
      <c r="E366" s="2" t="s">
        <v>17</v>
      </c>
      <c r="F366" s="1" t="s">
        <v>18</v>
      </c>
      <c r="G366" s="1" t="s">
        <v>31</v>
      </c>
      <c r="H366" s="1" t="s">
        <v>20</v>
      </c>
      <c r="I366" s="2" t="s">
        <v>21</v>
      </c>
      <c r="J366" s="1" t="s">
        <v>22</v>
      </c>
      <c r="K366" s="1" t="s">
        <v>23</v>
      </c>
      <c r="L366" s="2" t="s">
        <v>421</v>
      </c>
      <c r="M366" s="1" t="s">
        <v>20</v>
      </c>
    </row>
    <row r="367" ht="15.75" customHeight="1">
      <c r="A367" s="2" t="s">
        <v>483</v>
      </c>
      <c r="B367" s="1" t="s">
        <v>14</v>
      </c>
      <c r="C367" s="1" t="s">
        <v>27</v>
      </c>
      <c r="D367" s="3">
        <v>130000.0</v>
      </c>
      <c r="E367" s="2" t="s">
        <v>29</v>
      </c>
      <c r="F367" s="1" t="s">
        <v>30</v>
      </c>
      <c r="G367" s="1" t="s">
        <v>36</v>
      </c>
      <c r="H367" s="1" t="s">
        <v>25</v>
      </c>
      <c r="I367" s="2" t="s">
        <v>29</v>
      </c>
      <c r="J367" s="1" t="s">
        <v>43</v>
      </c>
      <c r="K367" s="1" t="s">
        <v>23</v>
      </c>
      <c r="L367" s="2" t="s">
        <v>178</v>
      </c>
      <c r="M367" s="1" t="s">
        <v>20</v>
      </c>
    </row>
    <row r="368" ht="15.75" customHeight="1">
      <c r="A368" s="2" t="s">
        <v>484</v>
      </c>
      <c r="B368" s="1" t="s">
        <v>14</v>
      </c>
      <c r="C368" s="1" t="s">
        <v>27</v>
      </c>
      <c r="D368" s="3">
        <v>30000.0</v>
      </c>
      <c r="E368" s="2" t="s">
        <v>29</v>
      </c>
      <c r="F368" s="1" t="s">
        <v>30</v>
      </c>
      <c r="G368" s="1" t="s">
        <v>31</v>
      </c>
      <c r="H368" s="1" t="s">
        <v>25</v>
      </c>
      <c r="I368" s="2" t="s">
        <v>37</v>
      </c>
      <c r="J368" s="1" t="s">
        <v>43</v>
      </c>
      <c r="K368" s="1" t="s">
        <v>44</v>
      </c>
      <c r="L368" s="2" t="s">
        <v>91</v>
      </c>
      <c r="M368" s="1" t="s">
        <v>25</v>
      </c>
    </row>
    <row r="369" ht="15.75" customHeight="1">
      <c r="A369" s="2" t="s">
        <v>485</v>
      </c>
      <c r="B369" s="1" t="s">
        <v>14</v>
      </c>
      <c r="C369" s="1" t="s">
        <v>27</v>
      </c>
      <c r="D369" s="3">
        <v>60000.0</v>
      </c>
      <c r="E369" s="2" t="s">
        <v>29</v>
      </c>
      <c r="F369" s="1" t="s">
        <v>18</v>
      </c>
      <c r="G369" s="1" t="s">
        <v>36</v>
      </c>
      <c r="H369" s="1" t="s">
        <v>20</v>
      </c>
      <c r="I369" s="2" t="s">
        <v>37</v>
      </c>
      <c r="J369" s="1" t="s">
        <v>43</v>
      </c>
      <c r="K369" s="1" t="s">
        <v>44</v>
      </c>
      <c r="L369" s="2" t="s">
        <v>32</v>
      </c>
      <c r="M369" s="1" t="s">
        <v>25</v>
      </c>
    </row>
    <row r="370" ht="15.75" customHeight="1">
      <c r="A370" s="2" t="s">
        <v>486</v>
      </c>
      <c r="B370" s="1" t="s">
        <v>41</v>
      </c>
      <c r="C370" s="1" t="s">
        <v>27</v>
      </c>
      <c r="D370" s="3">
        <v>70000.0</v>
      </c>
      <c r="E370" s="2" t="s">
        <v>21</v>
      </c>
      <c r="F370" s="1" t="s">
        <v>18</v>
      </c>
      <c r="G370" s="1" t="s">
        <v>36</v>
      </c>
      <c r="H370" s="1" t="s">
        <v>25</v>
      </c>
      <c r="I370" s="2" t="s">
        <v>29</v>
      </c>
      <c r="J370" s="1" t="s">
        <v>69</v>
      </c>
      <c r="K370" s="1" t="s">
        <v>44</v>
      </c>
      <c r="L370" s="2" t="s">
        <v>116</v>
      </c>
      <c r="M370" s="1" t="s">
        <v>20</v>
      </c>
    </row>
    <row r="371" ht="15.75" customHeight="1">
      <c r="A371" s="2" t="s">
        <v>487</v>
      </c>
      <c r="B371" s="1" t="s">
        <v>14</v>
      </c>
      <c r="C371" s="1" t="s">
        <v>15</v>
      </c>
      <c r="D371" s="3">
        <v>30000.0</v>
      </c>
      <c r="E371" s="2" t="s">
        <v>37</v>
      </c>
      <c r="F371" s="1" t="s">
        <v>30</v>
      </c>
      <c r="G371" s="1" t="s">
        <v>31</v>
      </c>
      <c r="H371" s="1" t="s">
        <v>20</v>
      </c>
      <c r="I371" s="2" t="s">
        <v>37</v>
      </c>
      <c r="J371" s="1" t="s">
        <v>43</v>
      </c>
      <c r="K371" s="1" t="s">
        <v>44</v>
      </c>
      <c r="L371" s="2" t="s">
        <v>403</v>
      </c>
      <c r="M371" s="1" t="s">
        <v>25</v>
      </c>
    </row>
    <row r="372" ht="15.75" customHeight="1">
      <c r="A372" s="2" t="s">
        <v>488</v>
      </c>
      <c r="B372" s="1" t="s">
        <v>14</v>
      </c>
      <c r="C372" s="1" t="s">
        <v>27</v>
      </c>
      <c r="D372" s="3">
        <v>80000.0</v>
      </c>
      <c r="E372" s="2" t="s">
        <v>57</v>
      </c>
      <c r="F372" s="1" t="s">
        <v>30</v>
      </c>
      <c r="G372" s="1" t="s">
        <v>36</v>
      </c>
      <c r="H372" s="1" t="s">
        <v>20</v>
      </c>
      <c r="I372" s="2" t="s">
        <v>37</v>
      </c>
      <c r="J372" s="1" t="s">
        <v>69</v>
      </c>
      <c r="K372" s="1" t="s">
        <v>23</v>
      </c>
      <c r="L372" s="2" t="s">
        <v>201</v>
      </c>
      <c r="M372" s="1" t="s">
        <v>25</v>
      </c>
    </row>
    <row r="373" ht="15.75" customHeight="1">
      <c r="A373" s="2" t="s">
        <v>489</v>
      </c>
      <c r="B373" s="1" t="s">
        <v>14</v>
      </c>
      <c r="C373" s="1" t="s">
        <v>27</v>
      </c>
      <c r="D373" s="3">
        <v>40000.0</v>
      </c>
      <c r="E373" s="2" t="s">
        <v>21</v>
      </c>
      <c r="F373" s="1" t="s">
        <v>87</v>
      </c>
      <c r="G373" s="1" t="s">
        <v>31</v>
      </c>
      <c r="H373" s="1" t="s">
        <v>20</v>
      </c>
      <c r="I373" s="2" t="s">
        <v>21</v>
      </c>
      <c r="J373" s="1" t="s">
        <v>22</v>
      </c>
      <c r="K373" s="1" t="s">
        <v>23</v>
      </c>
      <c r="L373" s="2" t="s">
        <v>153</v>
      </c>
      <c r="M373" s="1" t="s">
        <v>20</v>
      </c>
    </row>
    <row r="374" ht="15.75" customHeight="1">
      <c r="A374" s="2" t="s">
        <v>490</v>
      </c>
      <c r="B374" s="1" t="s">
        <v>41</v>
      </c>
      <c r="C374" s="1" t="s">
        <v>15</v>
      </c>
      <c r="D374" s="3">
        <v>10000.0</v>
      </c>
      <c r="E374" s="2" t="s">
        <v>21</v>
      </c>
      <c r="F374" s="1" t="s">
        <v>30</v>
      </c>
      <c r="G374" s="1" t="s">
        <v>50</v>
      </c>
      <c r="H374" s="1" t="s">
        <v>25</v>
      </c>
      <c r="I374" s="2" t="s">
        <v>17</v>
      </c>
      <c r="J374" s="1" t="s">
        <v>22</v>
      </c>
      <c r="K374" s="1" t="s">
        <v>44</v>
      </c>
      <c r="L374" s="2" t="s">
        <v>118</v>
      </c>
      <c r="M374" s="1" t="s">
        <v>20</v>
      </c>
    </row>
    <row r="375" ht="15.75" customHeight="1">
      <c r="A375" s="2" t="s">
        <v>491</v>
      </c>
      <c r="B375" s="1" t="s">
        <v>41</v>
      </c>
      <c r="C375" s="1" t="s">
        <v>27</v>
      </c>
      <c r="D375" s="3">
        <v>30000.0</v>
      </c>
      <c r="E375" s="2" t="s">
        <v>29</v>
      </c>
      <c r="F375" s="1" t="s">
        <v>30</v>
      </c>
      <c r="G375" s="1" t="s">
        <v>31</v>
      </c>
      <c r="H375" s="1" t="s">
        <v>20</v>
      </c>
      <c r="I375" s="2" t="s">
        <v>21</v>
      </c>
      <c r="J375" s="1" t="s">
        <v>22</v>
      </c>
      <c r="K375" s="1" t="s">
        <v>23</v>
      </c>
      <c r="L375" s="2" t="s">
        <v>32</v>
      </c>
      <c r="M375" s="1" t="s">
        <v>25</v>
      </c>
    </row>
    <row r="376" ht="15.75" customHeight="1">
      <c r="A376" s="2" t="s">
        <v>492</v>
      </c>
      <c r="B376" s="1" t="s">
        <v>41</v>
      </c>
      <c r="C376" s="1" t="s">
        <v>15</v>
      </c>
      <c r="D376" s="3">
        <v>120000.0</v>
      </c>
      <c r="E376" s="5">
        <v>0.0</v>
      </c>
      <c r="F376" s="1" t="s">
        <v>62</v>
      </c>
      <c r="G376" s="1" t="s">
        <v>36</v>
      </c>
      <c r="H376" s="1" t="s">
        <v>20</v>
      </c>
      <c r="I376" s="2" t="s">
        <v>57</v>
      </c>
      <c r="J376" s="1" t="s">
        <v>69</v>
      </c>
      <c r="K376" s="1" t="s">
        <v>44</v>
      </c>
      <c r="L376" s="2" t="s">
        <v>93</v>
      </c>
      <c r="M376" s="1" t="s">
        <v>20</v>
      </c>
    </row>
    <row r="377" ht="15.75" customHeight="1">
      <c r="A377" s="2" t="s">
        <v>493</v>
      </c>
      <c r="B377" s="1" t="s">
        <v>41</v>
      </c>
      <c r="C377" s="1" t="s">
        <v>15</v>
      </c>
      <c r="D377" s="3">
        <v>20000.0</v>
      </c>
      <c r="E377" s="2" t="s">
        <v>21</v>
      </c>
      <c r="F377" s="1" t="s">
        <v>62</v>
      </c>
      <c r="G377" s="1" t="s">
        <v>50</v>
      </c>
      <c r="H377" s="1" t="s">
        <v>25</v>
      </c>
      <c r="I377" s="2" t="s">
        <v>37</v>
      </c>
      <c r="J377" s="1" t="s">
        <v>51</v>
      </c>
      <c r="K377" s="1" t="s">
        <v>23</v>
      </c>
      <c r="L377" s="2" t="s">
        <v>93</v>
      </c>
      <c r="M377" s="1" t="s">
        <v>20</v>
      </c>
    </row>
    <row r="378" ht="15.75" customHeight="1">
      <c r="A378" s="2" t="s">
        <v>494</v>
      </c>
      <c r="B378" s="1" t="s">
        <v>14</v>
      </c>
      <c r="C378" s="1" t="s">
        <v>15</v>
      </c>
      <c r="D378" s="3">
        <v>30000.0</v>
      </c>
      <c r="E378" s="2" t="s">
        <v>17</v>
      </c>
      <c r="F378" s="1" t="s">
        <v>18</v>
      </c>
      <c r="G378" s="1" t="s">
        <v>31</v>
      </c>
      <c r="H378" s="1" t="s">
        <v>20</v>
      </c>
      <c r="I378" s="2" t="s">
        <v>21</v>
      </c>
      <c r="J378" s="1" t="s">
        <v>22</v>
      </c>
      <c r="K378" s="1" t="s">
        <v>23</v>
      </c>
      <c r="L378" s="2" t="s">
        <v>421</v>
      </c>
      <c r="M378" s="1" t="s">
        <v>25</v>
      </c>
    </row>
    <row r="379" ht="15.75" customHeight="1">
      <c r="A379" s="2" t="s">
        <v>495</v>
      </c>
      <c r="B379" s="1" t="s">
        <v>14</v>
      </c>
      <c r="C379" s="1" t="s">
        <v>15</v>
      </c>
      <c r="D379" s="3">
        <v>80000.0</v>
      </c>
      <c r="E379" s="2" t="s">
        <v>21</v>
      </c>
      <c r="F379" s="1" t="s">
        <v>18</v>
      </c>
      <c r="G379" s="1" t="s">
        <v>36</v>
      </c>
      <c r="H379" s="1" t="s">
        <v>20</v>
      </c>
      <c r="I379" s="2" t="s">
        <v>17</v>
      </c>
      <c r="J379" s="1" t="s">
        <v>51</v>
      </c>
      <c r="K379" s="1" t="s">
        <v>44</v>
      </c>
      <c r="L379" s="2" t="s">
        <v>45</v>
      </c>
      <c r="M379" s="1" t="s">
        <v>20</v>
      </c>
    </row>
    <row r="380" ht="15.75" customHeight="1">
      <c r="A380" s="2" t="s">
        <v>496</v>
      </c>
      <c r="B380" s="1" t="s">
        <v>41</v>
      </c>
      <c r="C380" s="1" t="s">
        <v>27</v>
      </c>
      <c r="D380" s="3">
        <v>70000.0</v>
      </c>
      <c r="E380" s="2" t="s">
        <v>21</v>
      </c>
      <c r="F380" s="1" t="s">
        <v>18</v>
      </c>
      <c r="G380" s="1" t="s">
        <v>36</v>
      </c>
      <c r="H380" s="1" t="s">
        <v>25</v>
      </c>
      <c r="I380" s="2" t="s">
        <v>17</v>
      </c>
      <c r="J380" s="1" t="s">
        <v>43</v>
      </c>
      <c r="K380" s="1" t="s">
        <v>44</v>
      </c>
      <c r="L380" s="2" t="s">
        <v>79</v>
      </c>
      <c r="M380" s="1" t="s">
        <v>25</v>
      </c>
    </row>
    <row r="381" ht="15.75" customHeight="1">
      <c r="A381" s="2" t="s">
        <v>497</v>
      </c>
      <c r="B381" s="1" t="s">
        <v>41</v>
      </c>
      <c r="C381" s="1" t="s">
        <v>15</v>
      </c>
      <c r="D381" s="3">
        <v>70000.0</v>
      </c>
      <c r="E381" s="2" t="s">
        <v>21</v>
      </c>
      <c r="F381" s="1" t="s">
        <v>18</v>
      </c>
      <c r="G381" s="1" t="s">
        <v>36</v>
      </c>
      <c r="H381" s="1" t="s">
        <v>25</v>
      </c>
      <c r="I381" s="2" t="s">
        <v>17</v>
      </c>
      <c r="J381" s="1" t="s">
        <v>22</v>
      </c>
      <c r="K381" s="1" t="s">
        <v>44</v>
      </c>
      <c r="L381" s="2" t="s">
        <v>45</v>
      </c>
      <c r="M381" s="1" t="s">
        <v>20</v>
      </c>
    </row>
    <row r="382" ht="15.75" customHeight="1">
      <c r="A382" s="2" t="s">
        <v>498</v>
      </c>
      <c r="B382" s="1" t="s">
        <v>41</v>
      </c>
      <c r="C382" s="1" t="s">
        <v>27</v>
      </c>
      <c r="D382" s="3">
        <v>20000.0</v>
      </c>
      <c r="E382" s="2" t="s">
        <v>17</v>
      </c>
      <c r="F382" s="1" t="s">
        <v>18</v>
      </c>
      <c r="G382" s="1" t="s">
        <v>31</v>
      </c>
      <c r="H382" s="1" t="s">
        <v>25</v>
      </c>
      <c r="I382" s="2" t="s">
        <v>21</v>
      </c>
      <c r="J382" s="1" t="s">
        <v>22</v>
      </c>
      <c r="K382" s="1" t="s">
        <v>23</v>
      </c>
      <c r="L382" s="2" t="s">
        <v>178</v>
      </c>
      <c r="M382" s="1" t="s">
        <v>25</v>
      </c>
    </row>
    <row r="383" ht="15.75" customHeight="1">
      <c r="A383" s="2" t="s">
        <v>499</v>
      </c>
      <c r="B383" s="1" t="s">
        <v>14</v>
      </c>
      <c r="C383" s="1" t="s">
        <v>15</v>
      </c>
      <c r="D383" s="3">
        <v>10000.0</v>
      </c>
      <c r="E383" s="2" t="s">
        <v>21</v>
      </c>
      <c r="F383" s="1" t="s">
        <v>62</v>
      </c>
      <c r="G383" s="1" t="s">
        <v>50</v>
      </c>
      <c r="H383" s="1" t="s">
        <v>20</v>
      </c>
      <c r="I383" s="2" t="s">
        <v>37</v>
      </c>
      <c r="J383" s="1" t="s">
        <v>51</v>
      </c>
      <c r="K383" s="1" t="s">
        <v>23</v>
      </c>
      <c r="L383" s="2" t="s">
        <v>104</v>
      </c>
      <c r="M383" s="1" t="s">
        <v>25</v>
      </c>
    </row>
    <row r="384" ht="15.75" customHeight="1">
      <c r="A384" s="2" t="s">
        <v>500</v>
      </c>
      <c r="B384" s="1" t="s">
        <v>14</v>
      </c>
      <c r="C384" s="1" t="s">
        <v>15</v>
      </c>
      <c r="D384" s="3">
        <v>40000.0</v>
      </c>
      <c r="E384" s="2" t="s">
        <v>21</v>
      </c>
      <c r="F384" s="1" t="s">
        <v>18</v>
      </c>
      <c r="G384" s="1" t="s">
        <v>31</v>
      </c>
      <c r="H384" s="1" t="s">
        <v>20</v>
      </c>
      <c r="I384" s="2" t="s">
        <v>21</v>
      </c>
      <c r="J384" s="1" t="s">
        <v>22</v>
      </c>
      <c r="K384" s="1" t="s">
        <v>23</v>
      </c>
      <c r="L384" s="2" t="s">
        <v>79</v>
      </c>
      <c r="M384" s="1" t="s">
        <v>20</v>
      </c>
    </row>
    <row r="385" ht="15.75" customHeight="1">
      <c r="A385" s="2" t="s">
        <v>501</v>
      </c>
      <c r="B385" s="1" t="s">
        <v>14</v>
      </c>
      <c r="C385" s="1" t="s">
        <v>27</v>
      </c>
      <c r="D385" s="3">
        <v>30000.0</v>
      </c>
      <c r="E385" s="2" t="s">
        <v>17</v>
      </c>
      <c r="F385" s="1" t="s">
        <v>18</v>
      </c>
      <c r="G385" s="1" t="s">
        <v>31</v>
      </c>
      <c r="H385" s="1" t="s">
        <v>20</v>
      </c>
      <c r="I385" s="2" t="s">
        <v>21</v>
      </c>
      <c r="J385" s="1" t="s">
        <v>22</v>
      </c>
      <c r="K385" s="1" t="s">
        <v>23</v>
      </c>
      <c r="L385" s="2" t="s">
        <v>79</v>
      </c>
      <c r="M385" s="1" t="s">
        <v>20</v>
      </c>
    </row>
    <row r="386" ht="15.75" customHeight="1">
      <c r="A386" s="2" t="s">
        <v>502</v>
      </c>
      <c r="B386" s="1" t="s">
        <v>41</v>
      </c>
      <c r="C386" s="1" t="s">
        <v>27</v>
      </c>
      <c r="D386" s="3">
        <v>60000.0</v>
      </c>
      <c r="E386" s="2" t="s">
        <v>37</v>
      </c>
      <c r="F386" s="1" t="s">
        <v>18</v>
      </c>
      <c r="G386" s="1" t="s">
        <v>36</v>
      </c>
      <c r="H386" s="1" t="s">
        <v>20</v>
      </c>
      <c r="I386" s="2" t="s">
        <v>17</v>
      </c>
      <c r="J386" s="1" t="s">
        <v>38</v>
      </c>
      <c r="K386" s="1" t="s">
        <v>44</v>
      </c>
      <c r="L386" s="2" t="s">
        <v>79</v>
      </c>
      <c r="M386" s="1" t="s">
        <v>20</v>
      </c>
    </row>
    <row r="387" ht="15.75" customHeight="1">
      <c r="A387" s="2" t="s">
        <v>503</v>
      </c>
      <c r="B387" s="1" t="s">
        <v>14</v>
      </c>
      <c r="C387" s="1" t="s">
        <v>15</v>
      </c>
      <c r="D387" s="3">
        <v>10000.0</v>
      </c>
      <c r="E387" s="2" t="s">
        <v>37</v>
      </c>
      <c r="F387" s="1" t="s">
        <v>62</v>
      </c>
      <c r="G387" s="1" t="s">
        <v>31</v>
      </c>
      <c r="H387" s="1" t="s">
        <v>20</v>
      </c>
      <c r="I387" s="2" t="s">
        <v>37</v>
      </c>
      <c r="J387" s="1" t="s">
        <v>43</v>
      </c>
      <c r="K387" s="1" t="s">
        <v>44</v>
      </c>
      <c r="L387" s="2" t="s">
        <v>63</v>
      </c>
      <c r="M387" s="1" t="s">
        <v>25</v>
      </c>
    </row>
    <row r="388" ht="15.75" customHeight="1">
      <c r="A388" s="2" t="s">
        <v>504</v>
      </c>
      <c r="B388" s="1" t="s">
        <v>41</v>
      </c>
      <c r="C388" s="1" t="s">
        <v>27</v>
      </c>
      <c r="D388" s="3">
        <v>30000.0</v>
      </c>
      <c r="E388" s="2" t="s">
        <v>17</v>
      </c>
      <c r="F388" s="1" t="s">
        <v>18</v>
      </c>
      <c r="G388" s="1" t="s">
        <v>31</v>
      </c>
      <c r="H388" s="1" t="s">
        <v>20</v>
      </c>
      <c r="I388" s="2" t="s">
        <v>17</v>
      </c>
      <c r="J388" s="1" t="s">
        <v>51</v>
      </c>
      <c r="K388" s="1" t="s">
        <v>23</v>
      </c>
      <c r="L388" s="2" t="s">
        <v>135</v>
      </c>
      <c r="M388" s="1" t="s">
        <v>20</v>
      </c>
    </row>
    <row r="389" ht="15.75" customHeight="1">
      <c r="A389" s="2" t="s">
        <v>505</v>
      </c>
      <c r="B389" s="1" t="s">
        <v>41</v>
      </c>
      <c r="C389" s="1" t="s">
        <v>15</v>
      </c>
      <c r="D389" s="3">
        <v>40000.0</v>
      </c>
      <c r="E389" s="2" t="s">
        <v>37</v>
      </c>
      <c r="F389" s="1" t="s">
        <v>18</v>
      </c>
      <c r="G389" s="1" t="s">
        <v>56</v>
      </c>
      <c r="H389" s="1" t="s">
        <v>25</v>
      </c>
      <c r="I389" s="2" t="s">
        <v>17</v>
      </c>
      <c r="J389" s="1" t="s">
        <v>43</v>
      </c>
      <c r="K389" s="1" t="s">
        <v>44</v>
      </c>
      <c r="L389" s="2" t="s">
        <v>201</v>
      </c>
      <c r="M389" s="1" t="s">
        <v>20</v>
      </c>
    </row>
    <row r="390" ht="15.75" customHeight="1">
      <c r="A390" s="2" t="s">
        <v>506</v>
      </c>
      <c r="B390" s="1" t="s">
        <v>41</v>
      </c>
      <c r="C390" s="1" t="s">
        <v>15</v>
      </c>
      <c r="D390" s="3">
        <v>110000.0</v>
      </c>
      <c r="E390" s="2" t="s">
        <v>29</v>
      </c>
      <c r="F390" s="1" t="s">
        <v>18</v>
      </c>
      <c r="G390" s="1" t="s">
        <v>56</v>
      </c>
      <c r="H390" s="1" t="s">
        <v>20</v>
      </c>
      <c r="I390" s="2" t="s">
        <v>57</v>
      </c>
      <c r="J390" s="1" t="s">
        <v>69</v>
      </c>
      <c r="K390" s="1" t="s">
        <v>23</v>
      </c>
      <c r="L390" s="2" t="s">
        <v>201</v>
      </c>
      <c r="M390" s="1" t="s">
        <v>25</v>
      </c>
    </row>
    <row r="391" ht="15.75" customHeight="1">
      <c r="A391" s="2" t="s">
        <v>507</v>
      </c>
      <c r="B391" s="1" t="s">
        <v>14</v>
      </c>
      <c r="C391" s="1" t="s">
        <v>15</v>
      </c>
      <c r="D391" s="3">
        <v>40000.0</v>
      </c>
      <c r="E391" s="2" t="s">
        <v>17</v>
      </c>
      <c r="F391" s="1" t="s">
        <v>18</v>
      </c>
      <c r="G391" s="1" t="s">
        <v>31</v>
      </c>
      <c r="H391" s="1" t="s">
        <v>20</v>
      </c>
      <c r="I391" s="2" t="s">
        <v>21</v>
      </c>
      <c r="J391" s="1" t="s">
        <v>22</v>
      </c>
      <c r="K391" s="1" t="s">
        <v>23</v>
      </c>
      <c r="L391" s="2" t="s">
        <v>508</v>
      </c>
      <c r="M391" s="1" t="s">
        <v>25</v>
      </c>
    </row>
    <row r="392" ht="15.75" customHeight="1">
      <c r="A392" s="2" t="s">
        <v>509</v>
      </c>
      <c r="B392" s="1" t="s">
        <v>14</v>
      </c>
      <c r="C392" s="1" t="s">
        <v>27</v>
      </c>
      <c r="D392" s="3">
        <v>10000.0</v>
      </c>
      <c r="E392" s="2" t="s">
        <v>17</v>
      </c>
      <c r="F392" s="1" t="s">
        <v>87</v>
      </c>
      <c r="G392" s="1" t="s">
        <v>50</v>
      </c>
      <c r="H392" s="1" t="s">
        <v>20</v>
      </c>
      <c r="I392" s="2" t="s">
        <v>21</v>
      </c>
      <c r="J392" s="1" t="s">
        <v>22</v>
      </c>
      <c r="K392" s="1" t="s">
        <v>23</v>
      </c>
      <c r="L392" s="2" t="s">
        <v>102</v>
      </c>
      <c r="M392" s="1" t="s">
        <v>25</v>
      </c>
    </row>
    <row r="393" ht="15.75" customHeight="1">
      <c r="A393" s="2" t="s">
        <v>510</v>
      </c>
      <c r="B393" s="1" t="s">
        <v>14</v>
      </c>
      <c r="C393" s="1" t="s">
        <v>27</v>
      </c>
      <c r="D393" s="3">
        <v>20000.0</v>
      </c>
      <c r="E393" s="2" t="s">
        <v>17</v>
      </c>
      <c r="F393" s="1" t="s">
        <v>87</v>
      </c>
      <c r="G393" s="1" t="s">
        <v>31</v>
      </c>
      <c r="H393" s="1" t="s">
        <v>20</v>
      </c>
      <c r="I393" s="2" t="s">
        <v>21</v>
      </c>
      <c r="J393" s="1" t="s">
        <v>22</v>
      </c>
      <c r="K393" s="1" t="s">
        <v>23</v>
      </c>
      <c r="L393" s="2" t="s">
        <v>102</v>
      </c>
      <c r="M393" s="1" t="s">
        <v>25</v>
      </c>
    </row>
    <row r="394" ht="15.75" customHeight="1">
      <c r="A394" s="2" t="s">
        <v>511</v>
      </c>
      <c r="B394" s="1" t="s">
        <v>14</v>
      </c>
      <c r="C394" s="1" t="s">
        <v>27</v>
      </c>
      <c r="D394" s="3">
        <v>30000.0</v>
      </c>
      <c r="E394" s="2" t="s">
        <v>29</v>
      </c>
      <c r="F394" s="1" t="s">
        <v>55</v>
      </c>
      <c r="G394" s="1" t="s">
        <v>19</v>
      </c>
      <c r="H394" s="1" t="s">
        <v>20</v>
      </c>
      <c r="I394" s="2" t="s">
        <v>37</v>
      </c>
      <c r="J394" s="1" t="s">
        <v>43</v>
      </c>
      <c r="K394" s="1" t="s">
        <v>44</v>
      </c>
      <c r="L394" s="2" t="s">
        <v>66</v>
      </c>
      <c r="M394" s="1" t="s">
        <v>20</v>
      </c>
    </row>
    <row r="395" ht="15.75" customHeight="1">
      <c r="A395" s="2" t="s">
        <v>512</v>
      </c>
      <c r="B395" s="1" t="s">
        <v>14</v>
      </c>
      <c r="C395" s="1" t="s">
        <v>15</v>
      </c>
      <c r="D395" s="3">
        <v>30000.0</v>
      </c>
      <c r="E395" s="2" t="s">
        <v>21</v>
      </c>
      <c r="F395" s="1" t="s">
        <v>18</v>
      </c>
      <c r="G395" s="1" t="s">
        <v>31</v>
      </c>
      <c r="H395" s="1" t="s">
        <v>20</v>
      </c>
      <c r="I395" s="2" t="s">
        <v>21</v>
      </c>
      <c r="J395" s="1" t="s">
        <v>22</v>
      </c>
      <c r="K395" s="1" t="s">
        <v>23</v>
      </c>
      <c r="L395" s="2" t="s">
        <v>153</v>
      </c>
      <c r="M395" s="1" t="s">
        <v>20</v>
      </c>
    </row>
    <row r="396" ht="15.75" customHeight="1">
      <c r="A396" s="2" t="s">
        <v>513</v>
      </c>
      <c r="B396" s="1" t="s">
        <v>14</v>
      </c>
      <c r="C396" s="1" t="s">
        <v>15</v>
      </c>
      <c r="D396" s="3">
        <v>40000.0</v>
      </c>
      <c r="E396" s="2" t="s">
        <v>17</v>
      </c>
      <c r="F396" s="1" t="s">
        <v>18</v>
      </c>
      <c r="G396" s="1" t="s">
        <v>19</v>
      </c>
      <c r="H396" s="1" t="s">
        <v>20</v>
      </c>
      <c r="I396" s="2" t="s">
        <v>21</v>
      </c>
      <c r="J396" s="1" t="s">
        <v>22</v>
      </c>
      <c r="K396" s="1" t="s">
        <v>23</v>
      </c>
      <c r="L396" s="2" t="s">
        <v>45</v>
      </c>
      <c r="M396" s="1" t="s">
        <v>25</v>
      </c>
    </row>
    <row r="397" ht="15.75" customHeight="1">
      <c r="A397" s="2" t="s">
        <v>514</v>
      </c>
      <c r="B397" s="1" t="s">
        <v>41</v>
      </c>
      <c r="C397" s="1" t="s">
        <v>15</v>
      </c>
      <c r="D397" s="3">
        <v>90000.0</v>
      </c>
      <c r="E397" s="2" t="s">
        <v>37</v>
      </c>
      <c r="F397" s="1" t="s">
        <v>18</v>
      </c>
      <c r="G397" s="1" t="s">
        <v>36</v>
      </c>
      <c r="H397" s="1" t="s">
        <v>25</v>
      </c>
      <c r="I397" s="2" t="s">
        <v>21</v>
      </c>
      <c r="J397" s="1" t="s">
        <v>22</v>
      </c>
      <c r="K397" s="1" t="s">
        <v>44</v>
      </c>
      <c r="L397" s="2" t="s">
        <v>47</v>
      </c>
      <c r="M397" s="1" t="s">
        <v>20</v>
      </c>
    </row>
    <row r="398" ht="15.75" customHeight="1">
      <c r="A398" s="2" t="s">
        <v>515</v>
      </c>
      <c r="B398" s="1" t="s">
        <v>41</v>
      </c>
      <c r="C398" s="1" t="s">
        <v>15</v>
      </c>
      <c r="D398" s="3">
        <v>40000.0</v>
      </c>
      <c r="E398" s="2" t="s">
        <v>37</v>
      </c>
      <c r="F398" s="1" t="s">
        <v>30</v>
      </c>
      <c r="G398" s="1" t="s">
        <v>31</v>
      </c>
      <c r="H398" s="1" t="s">
        <v>20</v>
      </c>
      <c r="I398" s="2" t="s">
        <v>21</v>
      </c>
      <c r="J398" s="1" t="s">
        <v>22</v>
      </c>
      <c r="K398" s="1" t="s">
        <v>23</v>
      </c>
      <c r="L398" s="2" t="s">
        <v>58</v>
      </c>
      <c r="M398" s="1" t="s">
        <v>25</v>
      </c>
    </row>
    <row r="399" ht="15.75" customHeight="1">
      <c r="A399" s="2" t="s">
        <v>516</v>
      </c>
      <c r="B399" s="1" t="s">
        <v>14</v>
      </c>
      <c r="C399" s="1" t="s">
        <v>15</v>
      </c>
      <c r="D399" s="3">
        <v>130000.0</v>
      </c>
      <c r="E399" s="2" t="s">
        <v>29</v>
      </c>
      <c r="F399" s="1" t="s">
        <v>30</v>
      </c>
      <c r="G399" s="1" t="s">
        <v>36</v>
      </c>
      <c r="H399" s="1" t="s">
        <v>20</v>
      </c>
      <c r="I399" s="2" t="s">
        <v>57</v>
      </c>
      <c r="J399" s="1" t="s">
        <v>22</v>
      </c>
      <c r="K399" s="1" t="s">
        <v>23</v>
      </c>
      <c r="L399" s="2" t="s">
        <v>132</v>
      </c>
      <c r="M399" s="1" t="s">
        <v>25</v>
      </c>
    </row>
    <row r="400" ht="15.75" customHeight="1">
      <c r="A400" s="2" t="s">
        <v>517</v>
      </c>
      <c r="B400" s="1" t="s">
        <v>14</v>
      </c>
      <c r="C400" s="1" t="s">
        <v>15</v>
      </c>
      <c r="D400" s="3">
        <v>20000.0</v>
      </c>
      <c r="E400" s="2" t="s">
        <v>37</v>
      </c>
      <c r="F400" s="1" t="s">
        <v>30</v>
      </c>
      <c r="G400" s="1" t="s">
        <v>50</v>
      </c>
      <c r="H400" s="1" t="s">
        <v>20</v>
      </c>
      <c r="I400" s="2" t="s">
        <v>17</v>
      </c>
      <c r="J400" s="1" t="s">
        <v>22</v>
      </c>
      <c r="K400" s="1" t="s">
        <v>23</v>
      </c>
      <c r="L400" s="2" t="s">
        <v>130</v>
      </c>
      <c r="M400" s="1" t="s">
        <v>20</v>
      </c>
    </row>
    <row r="401" ht="15.75" customHeight="1">
      <c r="A401" s="2" t="s">
        <v>518</v>
      </c>
      <c r="B401" s="1" t="s">
        <v>14</v>
      </c>
      <c r="C401" s="1" t="s">
        <v>27</v>
      </c>
      <c r="D401" s="3">
        <v>70000.0</v>
      </c>
      <c r="E401" s="2" t="s">
        <v>35</v>
      </c>
      <c r="F401" s="1" t="s">
        <v>30</v>
      </c>
      <c r="G401" s="1" t="s">
        <v>19</v>
      </c>
      <c r="H401" s="1" t="s">
        <v>20</v>
      </c>
      <c r="I401" s="2" t="s">
        <v>37</v>
      </c>
      <c r="J401" s="1" t="s">
        <v>43</v>
      </c>
      <c r="K401" s="1" t="s">
        <v>44</v>
      </c>
      <c r="L401" s="2" t="s">
        <v>32</v>
      </c>
      <c r="M401" s="1" t="s">
        <v>25</v>
      </c>
    </row>
    <row r="402" ht="15.75" customHeight="1">
      <c r="A402" s="2" t="s">
        <v>519</v>
      </c>
      <c r="B402" s="1" t="s">
        <v>41</v>
      </c>
      <c r="C402" s="1" t="s">
        <v>27</v>
      </c>
      <c r="D402" s="3">
        <v>40000.0</v>
      </c>
      <c r="E402" s="2" t="s">
        <v>37</v>
      </c>
      <c r="F402" s="1" t="s">
        <v>30</v>
      </c>
      <c r="G402" s="1" t="s">
        <v>31</v>
      </c>
      <c r="H402" s="1" t="s">
        <v>20</v>
      </c>
      <c r="I402" s="2" t="s">
        <v>21</v>
      </c>
      <c r="J402" s="1" t="s">
        <v>22</v>
      </c>
      <c r="K402" s="1" t="s">
        <v>23</v>
      </c>
      <c r="L402" s="2" t="s">
        <v>93</v>
      </c>
      <c r="M402" s="1" t="s">
        <v>25</v>
      </c>
    </row>
    <row r="403" ht="15.75" customHeight="1">
      <c r="A403" s="2" t="s">
        <v>520</v>
      </c>
      <c r="B403" s="1" t="s">
        <v>41</v>
      </c>
      <c r="C403" s="1" t="s">
        <v>15</v>
      </c>
      <c r="D403" s="3">
        <v>30000.0</v>
      </c>
      <c r="E403" s="2" t="s">
        <v>37</v>
      </c>
      <c r="F403" s="1" t="s">
        <v>30</v>
      </c>
      <c r="G403" s="1" t="s">
        <v>31</v>
      </c>
      <c r="H403" s="1" t="s">
        <v>25</v>
      </c>
      <c r="I403" s="2" t="s">
        <v>37</v>
      </c>
      <c r="J403" s="1" t="s">
        <v>43</v>
      </c>
      <c r="K403" s="1" t="s">
        <v>44</v>
      </c>
      <c r="L403" s="2" t="s">
        <v>297</v>
      </c>
      <c r="M403" s="1" t="s">
        <v>25</v>
      </c>
    </row>
    <row r="404" ht="15.75" customHeight="1">
      <c r="A404" s="2" t="s">
        <v>521</v>
      </c>
      <c r="B404" s="1" t="s">
        <v>14</v>
      </c>
      <c r="C404" s="1" t="s">
        <v>15</v>
      </c>
      <c r="D404" s="3">
        <v>40000.0</v>
      </c>
      <c r="E404" s="2" t="s">
        <v>21</v>
      </c>
      <c r="F404" s="1" t="s">
        <v>87</v>
      </c>
      <c r="G404" s="1" t="s">
        <v>31</v>
      </c>
      <c r="H404" s="1" t="s">
        <v>20</v>
      </c>
      <c r="I404" s="2" t="s">
        <v>21</v>
      </c>
      <c r="J404" s="1" t="s">
        <v>22</v>
      </c>
      <c r="K404" s="1" t="s">
        <v>23</v>
      </c>
      <c r="L404" s="2" t="s">
        <v>74</v>
      </c>
      <c r="M404" s="1" t="s">
        <v>20</v>
      </c>
    </row>
    <row r="405" ht="15.75" customHeight="1">
      <c r="A405" s="2" t="s">
        <v>522</v>
      </c>
      <c r="B405" s="1" t="s">
        <v>14</v>
      </c>
      <c r="C405" s="1" t="s">
        <v>15</v>
      </c>
      <c r="D405" s="3">
        <v>80000.0</v>
      </c>
      <c r="E405" s="2" t="s">
        <v>35</v>
      </c>
      <c r="F405" s="1" t="s">
        <v>87</v>
      </c>
      <c r="G405" s="1" t="s">
        <v>56</v>
      </c>
      <c r="H405" s="1" t="s">
        <v>20</v>
      </c>
      <c r="I405" s="2" t="s">
        <v>29</v>
      </c>
      <c r="J405" s="1" t="s">
        <v>22</v>
      </c>
      <c r="K405" s="1" t="s">
        <v>44</v>
      </c>
      <c r="L405" s="2" t="s">
        <v>100</v>
      </c>
      <c r="M405" s="1" t="s">
        <v>25</v>
      </c>
    </row>
    <row r="406" ht="15.75" customHeight="1">
      <c r="A406" s="2" t="s">
        <v>523</v>
      </c>
      <c r="B406" s="1" t="s">
        <v>41</v>
      </c>
      <c r="C406" s="1" t="s">
        <v>27</v>
      </c>
      <c r="D406" s="3">
        <v>60000.0</v>
      </c>
      <c r="E406" s="2" t="s">
        <v>37</v>
      </c>
      <c r="F406" s="1" t="s">
        <v>18</v>
      </c>
      <c r="G406" s="1" t="s">
        <v>36</v>
      </c>
      <c r="H406" s="1" t="s">
        <v>25</v>
      </c>
      <c r="I406" s="2" t="s">
        <v>17</v>
      </c>
      <c r="J406" s="1" t="s">
        <v>22</v>
      </c>
      <c r="K406" s="1" t="s">
        <v>44</v>
      </c>
      <c r="L406" s="2" t="s">
        <v>153</v>
      </c>
      <c r="M406" s="1" t="s">
        <v>20</v>
      </c>
    </row>
    <row r="407" ht="15.75" customHeight="1">
      <c r="A407" s="2" t="s">
        <v>524</v>
      </c>
      <c r="B407" s="1" t="s">
        <v>41</v>
      </c>
      <c r="C407" s="1" t="s">
        <v>15</v>
      </c>
      <c r="D407" s="3">
        <v>30000.0</v>
      </c>
      <c r="E407" s="2" t="s">
        <v>37</v>
      </c>
      <c r="F407" s="1" t="s">
        <v>30</v>
      </c>
      <c r="G407" s="1" t="s">
        <v>31</v>
      </c>
      <c r="H407" s="1" t="s">
        <v>25</v>
      </c>
      <c r="I407" s="2" t="s">
        <v>37</v>
      </c>
      <c r="J407" s="1" t="s">
        <v>43</v>
      </c>
      <c r="K407" s="1" t="s">
        <v>44</v>
      </c>
      <c r="L407" s="2" t="s">
        <v>297</v>
      </c>
      <c r="M407" s="1" t="s">
        <v>25</v>
      </c>
    </row>
    <row r="408" ht="15.75" customHeight="1">
      <c r="A408" s="2" t="s">
        <v>525</v>
      </c>
      <c r="B408" s="1" t="s">
        <v>14</v>
      </c>
      <c r="C408" s="1" t="s">
        <v>27</v>
      </c>
      <c r="D408" s="3">
        <v>30000.0</v>
      </c>
      <c r="E408" s="2" t="s">
        <v>17</v>
      </c>
      <c r="F408" s="1" t="s">
        <v>18</v>
      </c>
      <c r="G408" s="1" t="s">
        <v>19</v>
      </c>
      <c r="H408" s="1" t="s">
        <v>20</v>
      </c>
      <c r="I408" s="2" t="s">
        <v>37</v>
      </c>
      <c r="J408" s="1" t="s">
        <v>22</v>
      </c>
      <c r="K408" s="1" t="s">
        <v>23</v>
      </c>
      <c r="L408" s="2" t="s">
        <v>45</v>
      </c>
      <c r="M408" s="1" t="s">
        <v>20</v>
      </c>
    </row>
    <row r="409" ht="15.75" customHeight="1">
      <c r="A409" s="2" t="s">
        <v>526</v>
      </c>
      <c r="B409" s="1" t="s">
        <v>41</v>
      </c>
      <c r="C409" s="1" t="s">
        <v>27</v>
      </c>
      <c r="D409" s="3">
        <v>10000.0</v>
      </c>
      <c r="E409" s="2" t="s">
        <v>37</v>
      </c>
      <c r="F409" s="1" t="s">
        <v>30</v>
      </c>
      <c r="G409" s="1" t="s">
        <v>50</v>
      </c>
      <c r="H409" s="1" t="s">
        <v>20</v>
      </c>
      <c r="I409" s="2" t="s">
        <v>17</v>
      </c>
      <c r="J409" s="1" t="s">
        <v>22</v>
      </c>
      <c r="K409" s="1" t="s">
        <v>23</v>
      </c>
      <c r="L409" s="2" t="s">
        <v>178</v>
      </c>
      <c r="M409" s="1" t="s">
        <v>20</v>
      </c>
    </row>
    <row r="410" ht="15.75" customHeight="1">
      <c r="A410" s="2" t="s">
        <v>527</v>
      </c>
      <c r="B410" s="1" t="s">
        <v>14</v>
      </c>
      <c r="C410" s="1" t="s">
        <v>15</v>
      </c>
      <c r="D410" s="3">
        <v>100000.0</v>
      </c>
      <c r="E410" s="2" t="s">
        <v>37</v>
      </c>
      <c r="F410" s="1" t="s">
        <v>18</v>
      </c>
      <c r="G410" s="1" t="s">
        <v>56</v>
      </c>
      <c r="H410" s="1" t="s">
        <v>20</v>
      </c>
      <c r="I410" s="2" t="s">
        <v>57</v>
      </c>
      <c r="J410" s="1" t="s">
        <v>69</v>
      </c>
      <c r="K410" s="1" t="s">
        <v>23</v>
      </c>
      <c r="L410" s="2" t="s">
        <v>81</v>
      </c>
      <c r="M410" s="1" t="s">
        <v>25</v>
      </c>
    </row>
    <row r="411" ht="15.75" customHeight="1">
      <c r="A411" s="2" t="s">
        <v>528</v>
      </c>
      <c r="B411" s="1" t="s">
        <v>14</v>
      </c>
      <c r="C411" s="1" t="s">
        <v>27</v>
      </c>
      <c r="D411" s="3">
        <v>10000.0</v>
      </c>
      <c r="E411" s="2" t="s">
        <v>37</v>
      </c>
      <c r="F411" s="1" t="s">
        <v>30</v>
      </c>
      <c r="G411" s="1" t="s">
        <v>50</v>
      </c>
      <c r="H411" s="1" t="s">
        <v>20</v>
      </c>
      <c r="I411" s="2" t="s">
        <v>21</v>
      </c>
      <c r="J411" s="1" t="s">
        <v>51</v>
      </c>
      <c r="K411" s="1" t="s">
        <v>23</v>
      </c>
      <c r="L411" s="2" t="s">
        <v>178</v>
      </c>
      <c r="M411" s="1" t="s">
        <v>25</v>
      </c>
    </row>
    <row r="412" ht="15.75" customHeight="1">
      <c r="A412" s="2" t="s">
        <v>529</v>
      </c>
      <c r="B412" s="1" t="s">
        <v>41</v>
      </c>
      <c r="C412" s="1" t="s">
        <v>27</v>
      </c>
      <c r="D412" s="3">
        <v>110000.0</v>
      </c>
      <c r="E412" s="2" t="s">
        <v>21</v>
      </c>
      <c r="F412" s="1" t="s">
        <v>30</v>
      </c>
      <c r="G412" s="1" t="s">
        <v>56</v>
      </c>
      <c r="H412" s="1" t="s">
        <v>25</v>
      </c>
      <c r="I412" s="2" t="s">
        <v>29</v>
      </c>
      <c r="J412" s="1" t="s">
        <v>69</v>
      </c>
      <c r="K412" s="1" t="s">
        <v>44</v>
      </c>
      <c r="L412" s="2" t="s">
        <v>104</v>
      </c>
      <c r="M412" s="1" t="s">
        <v>20</v>
      </c>
    </row>
    <row r="413" ht="15.75" customHeight="1">
      <c r="A413" s="2" t="s">
        <v>530</v>
      </c>
      <c r="B413" s="1" t="s">
        <v>41</v>
      </c>
      <c r="C413" s="1" t="s">
        <v>27</v>
      </c>
      <c r="D413" s="3">
        <v>30000.0</v>
      </c>
      <c r="E413" s="2" t="s">
        <v>21</v>
      </c>
      <c r="F413" s="1" t="s">
        <v>55</v>
      </c>
      <c r="G413" s="1" t="s">
        <v>50</v>
      </c>
      <c r="H413" s="1" t="s">
        <v>20</v>
      </c>
      <c r="I413" s="2" t="s">
        <v>17</v>
      </c>
      <c r="J413" s="1" t="s">
        <v>38</v>
      </c>
      <c r="K413" s="1" t="s">
        <v>23</v>
      </c>
      <c r="L413" s="2" t="s">
        <v>93</v>
      </c>
      <c r="M413" s="1" t="s">
        <v>20</v>
      </c>
    </row>
    <row r="414" ht="15.75" customHeight="1">
      <c r="A414" s="2" t="s">
        <v>531</v>
      </c>
      <c r="B414" s="1" t="s">
        <v>41</v>
      </c>
      <c r="C414" s="1" t="s">
        <v>15</v>
      </c>
      <c r="D414" s="3">
        <v>10000.0</v>
      </c>
      <c r="E414" s="2" t="s">
        <v>29</v>
      </c>
      <c r="F414" s="1" t="s">
        <v>62</v>
      </c>
      <c r="G414" s="1" t="s">
        <v>50</v>
      </c>
      <c r="H414" s="1" t="s">
        <v>20</v>
      </c>
      <c r="I414" s="2" t="s">
        <v>37</v>
      </c>
      <c r="J414" s="1" t="s">
        <v>22</v>
      </c>
      <c r="K414" s="1" t="s">
        <v>23</v>
      </c>
      <c r="L414" s="2" t="s">
        <v>32</v>
      </c>
      <c r="M414" s="1" t="s">
        <v>25</v>
      </c>
    </row>
    <row r="415" ht="15.75" customHeight="1">
      <c r="A415" s="2" t="s">
        <v>532</v>
      </c>
      <c r="B415" s="1" t="s">
        <v>14</v>
      </c>
      <c r="C415" s="1" t="s">
        <v>27</v>
      </c>
      <c r="D415" s="3">
        <v>40000.0</v>
      </c>
      <c r="E415" s="2" t="s">
        <v>37</v>
      </c>
      <c r="F415" s="1" t="s">
        <v>18</v>
      </c>
      <c r="G415" s="1" t="s">
        <v>56</v>
      </c>
      <c r="H415" s="1" t="s">
        <v>20</v>
      </c>
      <c r="I415" s="2" t="s">
        <v>37</v>
      </c>
      <c r="J415" s="1" t="s">
        <v>22</v>
      </c>
      <c r="K415" s="1" t="s">
        <v>44</v>
      </c>
      <c r="L415" s="2" t="s">
        <v>297</v>
      </c>
      <c r="M415" s="1" t="s">
        <v>25</v>
      </c>
    </row>
    <row r="416" ht="15.75" customHeight="1">
      <c r="A416" s="2" t="s">
        <v>533</v>
      </c>
      <c r="B416" s="1" t="s">
        <v>41</v>
      </c>
      <c r="C416" s="1" t="s">
        <v>27</v>
      </c>
      <c r="D416" s="3">
        <v>30000.0</v>
      </c>
      <c r="E416" s="2" t="s">
        <v>21</v>
      </c>
      <c r="F416" s="1" t="s">
        <v>30</v>
      </c>
      <c r="G416" s="1" t="s">
        <v>31</v>
      </c>
      <c r="H416" s="1" t="s">
        <v>25</v>
      </c>
      <c r="I416" s="2" t="s">
        <v>17</v>
      </c>
      <c r="J416" s="1" t="s">
        <v>38</v>
      </c>
      <c r="K416" s="1" t="s">
        <v>23</v>
      </c>
      <c r="L416" s="2" t="s">
        <v>118</v>
      </c>
      <c r="M416" s="1" t="s">
        <v>25</v>
      </c>
    </row>
    <row r="417" ht="15.75" customHeight="1">
      <c r="A417" s="2" t="s">
        <v>534</v>
      </c>
      <c r="B417" s="1" t="s">
        <v>41</v>
      </c>
      <c r="C417" s="1" t="s">
        <v>15</v>
      </c>
      <c r="D417" s="3">
        <v>90000.0</v>
      </c>
      <c r="E417" s="2" t="s">
        <v>17</v>
      </c>
      <c r="F417" s="1" t="s">
        <v>87</v>
      </c>
      <c r="G417" s="1" t="s">
        <v>56</v>
      </c>
      <c r="H417" s="1" t="s">
        <v>20</v>
      </c>
      <c r="I417" s="2" t="s">
        <v>21</v>
      </c>
      <c r="J417" s="1" t="s">
        <v>22</v>
      </c>
      <c r="K417" s="1" t="s">
        <v>44</v>
      </c>
      <c r="L417" s="2" t="s">
        <v>47</v>
      </c>
      <c r="M417" s="1" t="s">
        <v>20</v>
      </c>
    </row>
    <row r="418" ht="15.75" customHeight="1">
      <c r="A418" s="2" t="s">
        <v>535</v>
      </c>
      <c r="B418" s="1" t="s">
        <v>14</v>
      </c>
      <c r="C418" s="1" t="s">
        <v>27</v>
      </c>
      <c r="D418" s="3">
        <v>110000.0</v>
      </c>
      <c r="E418" s="2" t="s">
        <v>57</v>
      </c>
      <c r="F418" s="1" t="s">
        <v>18</v>
      </c>
      <c r="G418" s="1" t="s">
        <v>56</v>
      </c>
      <c r="H418" s="1" t="s">
        <v>20</v>
      </c>
      <c r="I418" s="2" t="s">
        <v>29</v>
      </c>
      <c r="J418" s="1" t="s">
        <v>38</v>
      </c>
      <c r="K418" s="1" t="s">
        <v>44</v>
      </c>
      <c r="L418" s="2" t="s">
        <v>125</v>
      </c>
      <c r="M418" s="1" t="s">
        <v>25</v>
      </c>
    </row>
    <row r="419" ht="15.75" customHeight="1">
      <c r="A419" s="2" t="s">
        <v>536</v>
      </c>
      <c r="B419" s="1" t="s">
        <v>41</v>
      </c>
      <c r="C419" s="1" t="s">
        <v>15</v>
      </c>
      <c r="D419" s="3">
        <v>30000.0</v>
      </c>
      <c r="E419" s="2" t="s">
        <v>21</v>
      </c>
      <c r="F419" s="1" t="s">
        <v>30</v>
      </c>
      <c r="G419" s="1" t="s">
        <v>31</v>
      </c>
      <c r="H419" s="1" t="s">
        <v>20</v>
      </c>
      <c r="I419" s="2" t="s">
        <v>17</v>
      </c>
      <c r="J419" s="1" t="s">
        <v>38</v>
      </c>
      <c r="K419" s="1" t="s">
        <v>23</v>
      </c>
      <c r="L419" s="2" t="s">
        <v>109</v>
      </c>
      <c r="M419" s="1" t="s">
        <v>25</v>
      </c>
    </row>
    <row r="420" ht="15.75" customHeight="1">
      <c r="A420" s="2" t="s">
        <v>537</v>
      </c>
      <c r="B420" s="1" t="s">
        <v>41</v>
      </c>
      <c r="C420" s="1" t="s">
        <v>15</v>
      </c>
      <c r="D420" s="3">
        <v>30000.0</v>
      </c>
      <c r="E420" s="2" t="s">
        <v>29</v>
      </c>
      <c r="F420" s="1" t="s">
        <v>55</v>
      </c>
      <c r="G420" s="1" t="s">
        <v>19</v>
      </c>
      <c r="H420" s="1" t="s">
        <v>20</v>
      </c>
      <c r="I420" s="2" t="s">
        <v>37</v>
      </c>
      <c r="J420" s="1" t="s">
        <v>43</v>
      </c>
      <c r="K420" s="1" t="s">
        <v>44</v>
      </c>
      <c r="L420" s="2" t="s">
        <v>72</v>
      </c>
      <c r="M420" s="1" t="s">
        <v>25</v>
      </c>
    </row>
    <row r="421" ht="15.75" customHeight="1">
      <c r="A421" s="2" t="s">
        <v>538</v>
      </c>
      <c r="B421" s="1" t="s">
        <v>41</v>
      </c>
      <c r="C421" s="1" t="s">
        <v>27</v>
      </c>
      <c r="D421" s="3">
        <v>20000.0</v>
      </c>
      <c r="E421" s="2" t="s">
        <v>21</v>
      </c>
      <c r="F421" s="1" t="s">
        <v>30</v>
      </c>
      <c r="G421" s="1" t="s">
        <v>50</v>
      </c>
      <c r="H421" s="1" t="s">
        <v>20</v>
      </c>
      <c r="I421" s="2" t="s">
        <v>21</v>
      </c>
      <c r="J421" s="1" t="s">
        <v>22</v>
      </c>
      <c r="K421" s="1" t="s">
        <v>44</v>
      </c>
      <c r="L421" s="2" t="s">
        <v>118</v>
      </c>
      <c r="M421" s="1" t="s">
        <v>20</v>
      </c>
    </row>
    <row r="422" ht="15.75" customHeight="1">
      <c r="A422" s="2" t="s">
        <v>539</v>
      </c>
      <c r="B422" s="1" t="s">
        <v>14</v>
      </c>
      <c r="C422" s="1" t="s">
        <v>15</v>
      </c>
      <c r="D422" s="3">
        <v>110000.0</v>
      </c>
      <c r="E422" s="2" t="s">
        <v>21</v>
      </c>
      <c r="F422" s="1" t="s">
        <v>55</v>
      </c>
      <c r="G422" s="1" t="s">
        <v>56</v>
      </c>
      <c r="H422" s="1" t="s">
        <v>20</v>
      </c>
      <c r="I422" s="2" t="s">
        <v>29</v>
      </c>
      <c r="J422" s="1" t="s">
        <v>69</v>
      </c>
      <c r="K422" s="1" t="s">
        <v>44</v>
      </c>
      <c r="L422" s="2" t="s">
        <v>93</v>
      </c>
      <c r="M422" s="1" t="s">
        <v>20</v>
      </c>
    </row>
    <row r="423" ht="15.75" customHeight="1">
      <c r="A423" s="2" t="s">
        <v>540</v>
      </c>
      <c r="B423" s="1" t="s">
        <v>41</v>
      </c>
      <c r="C423" s="1" t="s">
        <v>15</v>
      </c>
      <c r="D423" s="3">
        <v>30000.0</v>
      </c>
      <c r="E423" s="2" t="s">
        <v>29</v>
      </c>
      <c r="F423" s="1" t="s">
        <v>30</v>
      </c>
      <c r="G423" s="1" t="s">
        <v>31</v>
      </c>
      <c r="H423" s="1" t="s">
        <v>25</v>
      </c>
      <c r="I423" s="2" t="s">
        <v>17</v>
      </c>
      <c r="J423" s="1" t="s">
        <v>22</v>
      </c>
      <c r="K423" s="1" t="s">
        <v>23</v>
      </c>
      <c r="L423" s="2" t="s">
        <v>107</v>
      </c>
      <c r="M423" s="1" t="s">
        <v>25</v>
      </c>
    </row>
    <row r="424" ht="15.75" customHeight="1">
      <c r="A424" s="2" t="s">
        <v>541</v>
      </c>
      <c r="B424" s="1" t="s">
        <v>14</v>
      </c>
      <c r="C424" s="1" t="s">
        <v>15</v>
      </c>
      <c r="D424" s="3">
        <v>30000.0</v>
      </c>
      <c r="E424" s="2" t="s">
        <v>29</v>
      </c>
      <c r="F424" s="1" t="s">
        <v>55</v>
      </c>
      <c r="G424" s="1" t="s">
        <v>19</v>
      </c>
      <c r="H424" s="1" t="s">
        <v>20</v>
      </c>
      <c r="I424" s="2" t="s">
        <v>37</v>
      </c>
      <c r="J424" s="1" t="s">
        <v>43</v>
      </c>
      <c r="K424" s="1" t="s">
        <v>44</v>
      </c>
      <c r="L424" s="2" t="s">
        <v>201</v>
      </c>
      <c r="M424" s="1" t="s">
        <v>20</v>
      </c>
    </row>
    <row r="425" ht="15.75" customHeight="1">
      <c r="A425" s="2" t="s">
        <v>542</v>
      </c>
      <c r="B425" s="1" t="s">
        <v>41</v>
      </c>
      <c r="C425" s="1" t="s">
        <v>15</v>
      </c>
      <c r="D425" s="3">
        <v>10000.0</v>
      </c>
      <c r="E425" s="2" t="s">
        <v>37</v>
      </c>
      <c r="F425" s="1" t="s">
        <v>18</v>
      </c>
      <c r="G425" s="1" t="s">
        <v>31</v>
      </c>
      <c r="H425" s="1" t="s">
        <v>25</v>
      </c>
      <c r="I425" s="2" t="s">
        <v>17</v>
      </c>
      <c r="J425" s="1" t="s">
        <v>38</v>
      </c>
      <c r="K425" s="1" t="s">
        <v>23</v>
      </c>
      <c r="L425" s="2" t="s">
        <v>155</v>
      </c>
      <c r="M425" s="1" t="s">
        <v>25</v>
      </c>
    </row>
    <row r="426" ht="15.75" customHeight="1">
      <c r="A426" s="2" t="s">
        <v>543</v>
      </c>
      <c r="B426" s="1" t="s">
        <v>14</v>
      </c>
      <c r="C426" s="1" t="s">
        <v>15</v>
      </c>
      <c r="D426" s="3">
        <v>80000.0</v>
      </c>
      <c r="E426" s="2" t="s">
        <v>37</v>
      </c>
      <c r="F426" s="1" t="s">
        <v>55</v>
      </c>
      <c r="G426" s="1" t="s">
        <v>19</v>
      </c>
      <c r="H426" s="1" t="s">
        <v>20</v>
      </c>
      <c r="I426" s="2" t="s">
        <v>37</v>
      </c>
      <c r="J426" s="1" t="s">
        <v>43</v>
      </c>
      <c r="K426" s="1" t="s">
        <v>44</v>
      </c>
      <c r="L426" s="2" t="s">
        <v>52</v>
      </c>
      <c r="M426" s="1" t="s">
        <v>20</v>
      </c>
    </row>
    <row r="427" ht="15.75" customHeight="1">
      <c r="A427" s="2" t="s">
        <v>544</v>
      </c>
      <c r="B427" s="1" t="s">
        <v>41</v>
      </c>
      <c r="C427" s="1" t="s">
        <v>15</v>
      </c>
      <c r="D427" s="3">
        <v>30000.0</v>
      </c>
      <c r="E427" s="2" t="s">
        <v>29</v>
      </c>
      <c r="F427" s="1" t="s">
        <v>30</v>
      </c>
      <c r="G427" s="1" t="s">
        <v>31</v>
      </c>
      <c r="H427" s="1" t="s">
        <v>20</v>
      </c>
      <c r="I427" s="2" t="s">
        <v>37</v>
      </c>
      <c r="J427" s="1" t="s">
        <v>22</v>
      </c>
      <c r="K427" s="1" t="s">
        <v>23</v>
      </c>
      <c r="L427" s="2" t="s">
        <v>118</v>
      </c>
      <c r="M427" s="1" t="s">
        <v>20</v>
      </c>
    </row>
    <row r="428" ht="15.75" customHeight="1">
      <c r="A428" s="2" t="s">
        <v>545</v>
      </c>
      <c r="B428" s="1" t="s">
        <v>41</v>
      </c>
      <c r="C428" s="1" t="s">
        <v>15</v>
      </c>
      <c r="D428" s="3">
        <v>80000.0</v>
      </c>
      <c r="E428" s="2" t="s">
        <v>21</v>
      </c>
      <c r="F428" s="1" t="s">
        <v>87</v>
      </c>
      <c r="G428" s="1" t="s">
        <v>19</v>
      </c>
      <c r="H428" s="1" t="s">
        <v>25</v>
      </c>
      <c r="I428" s="2" t="s">
        <v>21</v>
      </c>
      <c r="J428" s="1" t="s">
        <v>22</v>
      </c>
      <c r="K428" s="1" t="s">
        <v>23</v>
      </c>
      <c r="L428" s="2" t="s">
        <v>100</v>
      </c>
      <c r="M428" s="1" t="s">
        <v>20</v>
      </c>
    </row>
    <row r="429" ht="15.75" customHeight="1">
      <c r="A429" s="2" t="s">
        <v>546</v>
      </c>
      <c r="B429" s="1" t="s">
        <v>14</v>
      </c>
      <c r="C429" s="1" t="s">
        <v>27</v>
      </c>
      <c r="D429" s="3">
        <v>70000.0</v>
      </c>
      <c r="E429" s="2" t="s">
        <v>35</v>
      </c>
      <c r="F429" s="1" t="s">
        <v>30</v>
      </c>
      <c r="G429" s="1" t="s">
        <v>19</v>
      </c>
      <c r="H429" s="1" t="s">
        <v>20</v>
      </c>
      <c r="I429" s="2" t="s">
        <v>37</v>
      </c>
      <c r="J429" s="1" t="s">
        <v>22</v>
      </c>
      <c r="K429" s="1" t="s">
        <v>44</v>
      </c>
      <c r="L429" s="2" t="s">
        <v>102</v>
      </c>
      <c r="M429" s="1" t="s">
        <v>25</v>
      </c>
    </row>
    <row r="430" ht="15.75" customHeight="1">
      <c r="A430" s="2" t="s">
        <v>547</v>
      </c>
      <c r="B430" s="1" t="s">
        <v>41</v>
      </c>
      <c r="C430" s="1" t="s">
        <v>27</v>
      </c>
      <c r="D430" s="3">
        <v>90000.0</v>
      </c>
      <c r="E430" s="2" t="s">
        <v>21</v>
      </c>
      <c r="F430" s="1" t="s">
        <v>18</v>
      </c>
      <c r="G430" s="1" t="s">
        <v>36</v>
      </c>
      <c r="H430" s="1" t="s">
        <v>25</v>
      </c>
      <c r="I430" s="2" t="s">
        <v>29</v>
      </c>
      <c r="J430" s="1" t="s">
        <v>69</v>
      </c>
      <c r="K430" s="1" t="s">
        <v>44</v>
      </c>
      <c r="L430" s="2" t="s">
        <v>93</v>
      </c>
      <c r="M430" s="1" t="s">
        <v>20</v>
      </c>
    </row>
    <row r="431" ht="15.75" customHeight="1">
      <c r="A431" s="2" t="s">
        <v>549</v>
      </c>
      <c r="B431" s="1" t="s">
        <v>41</v>
      </c>
      <c r="C431" s="1" t="s">
        <v>27</v>
      </c>
      <c r="D431" s="3">
        <v>80000.0</v>
      </c>
      <c r="E431" s="2" t="s">
        <v>57</v>
      </c>
      <c r="F431" s="1" t="s">
        <v>87</v>
      </c>
      <c r="G431" s="1" t="s">
        <v>56</v>
      </c>
      <c r="H431" s="1" t="s">
        <v>20</v>
      </c>
      <c r="I431" s="2" t="s">
        <v>21</v>
      </c>
      <c r="J431" s="1" t="s">
        <v>22</v>
      </c>
      <c r="K431" s="1" t="s">
        <v>44</v>
      </c>
      <c r="L431" s="2" t="s">
        <v>47</v>
      </c>
      <c r="M431" s="1" t="s">
        <v>20</v>
      </c>
    </row>
    <row r="432" ht="15.75" customHeight="1">
      <c r="A432" s="2" t="s">
        <v>550</v>
      </c>
      <c r="B432" s="1" t="s">
        <v>14</v>
      </c>
      <c r="C432" s="1" t="s">
        <v>15</v>
      </c>
      <c r="D432" s="3">
        <v>40000.0</v>
      </c>
      <c r="E432" s="2" t="s">
        <v>17</v>
      </c>
      <c r="F432" s="1" t="s">
        <v>18</v>
      </c>
      <c r="G432" s="1" t="s">
        <v>19</v>
      </c>
      <c r="H432" s="1" t="s">
        <v>20</v>
      </c>
      <c r="I432" s="2" t="s">
        <v>17</v>
      </c>
      <c r="J432" s="1" t="s">
        <v>22</v>
      </c>
      <c r="K432" s="1" t="s">
        <v>23</v>
      </c>
      <c r="L432" s="2" t="s">
        <v>32</v>
      </c>
      <c r="M432" s="1" t="s">
        <v>20</v>
      </c>
    </row>
    <row r="433" ht="15.75" customHeight="1">
      <c r="A433" s="2" t="s">
        <v>551</v>
      </c>
      <c r="B433" s="1" t="s">
        <v>41</v>
      </c>
      <c r="C433" s="1" t="s">
        <v>27</v>
      </c>
      <c r="D433" s="3">
        <v>30000.0</v>
      </c>
      <c r="E433" s="2" t="s">
        <v>21</v>
      </c>
      <c r="F433" s="1" t="s">
        <v>55</v>
      </c>
      <c r="G433" s="1" t="s">
        <v>50</v>
      </c>
      <c r="H433" s="1" t="s">
        <v>25</v>
      </c>
      <c r="I433" s="2" t="s">
        <v>17</v>
      </c>
      <c r="J433" s="1" t="s">
        <v>51</v>
      </c>
      <c r="K433" s="1" t="s">
        <v>23</v>
      </c>
      <c r="L433" s="2" t="s">
        <v>104</v>
      </c>
      <c r="M433" s="1" t="s">
        <v>25</v>
      </c>
    </row>
    <row r="434" ht="15.75" customHeight="1">
      <c r="A434" s="2" t="s">
        <v>552</v>
      </c>
      <c r="B434" s="1" t="s">
        <v>14</v>
      </c>
      <c r="C434" s="1" t="s">
        <v>15</v>
      </c>
      <c r="D434" s="3">
        <v>40000.0</v>
      </c>
      <c r="E434" s="2" t="s">
        <v>17</v>
      </c>
      <c r="F434" s="1" t="s">
        <v>18</v>
      </c>
      <c r="G434" s="1" t="s">
        <v>19</v>
      </c>
      <c r="H434" s="1" t="s">
        <v>20</v>
      </c>
      <c r="I434" s="2" t="s">
        <v>17</v>
      </c>
      <c r="J434" s="1" t="s">
        <v>51</v>
      </c>
      <c r="K434" s="1" t="s">
        <v>23</v>
      </c>
      <c r="L434" s="2" t="s">
        <v>104</v>
      </c>
      <c r="M434" s="1" t="s">
        <v>20</v>
      </c>
    </row>
    <row r="435" ht="15.75" customHeight="1">
      <c r="A435" s="2" t="s">
        <v>553</v>
      </c>
      <c r="B435" s="1" t="s">
        <v>14</v>
      </c>
      <c r="C435" s="1" t="s">
        <v>15</v>
      </c>
      <c r="D435" s="3">
        <v>130000.0</v>
      </c>
      <c r="E435" s="2" t="s">
        <v>21</v>
      </c>
      <c r="F435" s="1" t="s">
        <v>87</v>
      </c>
      <c r="G435" s="1" t="s">
        <v>56</v>
      </c>
      <c r="H435" s="1" t="s">
        <v>20</v>
      </c>
      <c r="I435" s="2" t="s">
        <v>17</v>
      </c>
      <c r="J435" s="1" t="s">
        <v>69</v>
      </c>
      <c r="K435" s="1" t="s">
        <v>44</v>
      </c>
      <c r="L435" s="2" t="s">
        <v>125</v>
      </c>
      <c r="M435" s="1" t="s">
        <v>25</v>
      </c>
    </row>
    <row r="436" ht="15.75" customHeight="1">
      <c r="A436" s="2" t="s">
        <v>554</v>
      </c>
      <c r="B436" s="1" t="s">
        <v>14</v>
      </c>
      <c r="C436" s="1" t="s">
        <v>15</v>
      </c>
      <c r="D436" s="3">
        <v>40000.0</v>
      </c>
      <c r="E436" s="2" t="s">
        <v>17</v>
      </c>
      <c r="F436" s="1" t="s">
        <v>18</v>
      </c>
      <c r="G436" s="1" t="s">
        <v>19</v>
      </c>
      <c r="H436" s="1" t="s">
        <v>20</v>
      </c>
      <c r="I436" s="2" t="s">
        <v>21</v>
      </c>
      <c r="J436" s="1" t="s">
        <v>51</v>
      </c>
      <c r="K436" s="1" t="s">
        <v>23</v>
      </c>
      <c r="L436" s="2" t="s">
        <v>104</v>
      </c>
      <c r="M436" s="1" t="s">
        <v>20</v>
      </c>
    </row>
    <row r="437" ht="15.75" customHeight="1">
      <c r="A437" s="2" t="s">
        <v>556</v>
      </c>
      <c r="B437" s="1" t="s">
        <v>14</v>
      </c>
      <c r="C437" s="1" t="s">
        <v>15</v>
      </c>
      <c r="D437" s="3">
        <v>40000.0</v>
      </c>
      <c r="E437" s="2" t="s">
        <v>17</v>
      </c>
      <c r="F437" s="1" t="s">
        <v>18</v>
      </c>
      <c r="G437" s="1" t="s">
        <v>19</v>
      </c>
      <c r="H437" s="1" t="s">
        <v>20</v>
      </c>
      <c r="I437" s="2" t="s">
        <v>21</v>
      </c>
      <c r="J437" s="1" t="s">
        <v>22</v>
      </c>
      <c r="K437" s="1" t="s">
        <v>23</v>
      </c>
      <c r="L437" s="2" t="s">
        <v>24</v>
      </c>
      <c r="M437" s="1" t="s">
        <v>25</v>
      </c>
    </row>
    <row r="438" ht="15.75" customHeight="1">
      <c r="A438" s="2" t="s">
        <v>557</v>
      </c>
      <c r="B438" s="1" t="s">
        <v>41</v>
      </c>
      <c r="C438" s="1" t="s">
        <v>15</v>
      </c>
      <c r="D438" s="3">
        <v>10000.0</v>
      </c>
      <c r="E438" s="2" t="s">
        <v>37</v>
      </c>
      <c r="F438" s="1" t="s">
        <v>55</v>
      </c>
      <c r="G438" s="1" t="s">
        <v>50</v>
      </c>
      <c r="H438" s="1" t="s">
        <v>20</v>
      </c>
      <c r="I438" s="2" t="s">
        <v>21</v>
      </c>
      <c r="J438" s="1" t="s">
        <v>22</v>
      </c>
      <c r="K438" s="1" t="s">
        <v>23</v>
      </c>
      <c r="L438" s="2" t="s">
        <v>47</v>
      </c>
      <c r="M438" s="1" t="s">
        <v>20</v>
      </c>
    </row>
    <row r="439" ht="15.75" customHeight="1">
      <c r="A439" s="2" t="s">
        <v>558</v>
      </c>
      <c r="B439" s="1" t="s">
        <v>14</v>
      </c>
      <c r="C439" s="1" t="s">
        <v>15</v>
      </c>
      <c r="D439" s="3">
        <v>40000.0</v>
      </c>
      <c r="E439" s="2" t="s">
        <v>17</v>
      </c>
      <c r="F439" s="1" t="s">
        <v>18</v>
      </c>
      <c r="G439" s="1" t="s">
        <v>19</v>
      </c>
      <c r="H439" s="1" t="s">
        <v>20</v>
      </c>
      <c r="I439" s="2" t="s">
        <v>21</v>
      </c>
      <c r="J439" s="1" t="s">
        <v>22</v>
      </c>
      <c r="K439" s="1" t="s">
        <v>23</v>
      </c>
      <c r="L439" s="2" t="s">
        <v>45</v>
      </c>
      <c r="M439" s="1" t="s">
        <v>25</v>
      </c>
    </row>
    <row r="440" ht="15.75" customHeight="1">
      <c r="A440" s="2" t="s">
        <v>559</v>
      </c>
      <c r="B440" s="1" t="s">
        <v>14</v>
      </c>
      <c r="C440" s="1" t="s">
        <v>15</v>
      </c>
      <c r="D440" s="3">
        <v>30000.0</v>
      </c>
      <c r="E440" s="2" t="s">
        <v>37</v>
      </c>
      <c r="F440" s="1" t="s">
        <v>30</v>
      </c>
      <c r="G440" s="1" t="s">
        <v>31</v>
      </c>
      <c r="H440" s="1" t="s">
        <v>25</v>
      </c>
      <c r="I440" s="2" t="s">
        <v>37</v>
      </c>
      <c r="J440" s="1" t="s">
        <v>22</v>
      </c>
      <c r="K440" s="1" t="s">
        <v>44</v>
      </c>
      <c r="L440" s="2" t="s">
        <v>403</v>
      </c>
      <c r="M440" s="1" t="s">
        <v>25</v>
      </c>
    </row>
    <row r="441" ht="15.75" customHeight="1">
      <c r="A441" s="2" t="s">
        <v>560</v>
      </c>
      <c r="B441" s="1" t="s">
        <v>41</v>
      </c>
      <c r="C441" s="1" t="s">
        <v>15</v>
      </c>
      <c r="D441" s="3">
        <v>70000.0</v>
      </c>
      <c r="E441" s="2" t="s">
        <v>35</v>
      </c>
      <c r="F441" s="1" t="s">
        <v>30</v>
      </c>
      <c r="G441" s="1" t="s">
        <v>19</v>
      </c>
      <c r="H441" s="1" t="s">
        <v>20</v>
      </c>
      <c r="I441" s="2" t="s">
        <v>37</v>
      </c>
      <c r="J441" s="1" t="s">
        <v>43</v>
      </c>
      <c r="K441" s="1" t="s">
        <v>44</v>
      </c>
      <c r="L441" s="2" t="s">
        <v>77</v>
      </c>
      <c r="M441" s="1" t="s">
        <v>25</v>
      </c>
    </row>
    <row r="442" ht="15.75" customHeight="1">
      <c r="A442" s="2" t="s">
        <v>561</v>
      </c>
      <c r="B442" s="1" t="s">
        <v>41</v>
      </c>
      <c r="C442" s="1" t="s">
        <v>27</v>
      </c>
      <c r="D442" s="3">
        <v>30000.0</v>
      </c>
      <c r="E442" s="2" t="s">
        <v>21</v>
      </c>
      <c r="F442" s="1" t="s">
        <v>55</v>
      </c>
      <c r="G442" s="1" t="s">
        <v>50</v>
      </c>
      <c r="H442" s="1" t="s">
        <v>25</v>
      </c>
      <c r="I442" s="2" t="s">
        <v>17</v>
      </c>
      <c r="J442" s="1" t="s">
        <v>38</v>
      </c>
      <c r="K442" s="1" t="s">
        <v>23</v>
      </c>
      <c r="L442" s="2" t="s">
        <v>93</v>
      </c>
      <c r="M442" s="1" t="s">
        <v>25</v>
      </c>
    </row>
    <row r="443" ht="15.75" customHeight="1">
      <c r="A443" s="2" t="s">
        <v>562</v>
      </c>
      <c r="B443" s="1" t="s">
        <v>14</v>
      </c>
      <c r="C443" s="1" t="s">
        <v>15</v>
      </c>
      <c r="D443" s="3">
        <v>80000.0</v>
      </c>
      <c r="E443" s="2" t="s">
        <v>57</v>
      </c>
      <c r="F443" s="1" t="s">
        <v>30</v>
      </c>
      <c r="G443" s="1" t="s">
        <v>36</v>
      </c>
      <c r="H443" s="1" t="s">
        <v>25</v>
      </c>
      <c r="I443" s="2" t="s">
        <v>17</v>
      </c>
      <c r="J443" s="1" t="s">
        <v>38</v>
      </c>
      <c r="K443" s="1" t="s">
        <v>23</v>
      </c>
      <c r="L443" s="2" t="s">
        <v>201</v>
      </c>
      <c r="M443" s="1" t="s">
        <v>20</v>
      </c>
    </row>
    <row r="444" ht="15.75" customHeight="1">
      <c r="A444" s="2" t="s">
        <v>563</v>
      </c>
      <c r="B444" s="1" t="s">
        <v>41</v>
      </c>
      <c r="C444" s="1" t="s">
        <v>27</v>
      </c>
      <c r="D444" s="3">
        <v>120000.0</v>
      </c>
      <c r="E444" s="2" t="s">
        <v>29</v>
      </c>
      <c r="F444" s="1" t="s">
        <v>55</v>
      </c>
      <c r="G444" s="1" t="s">
        <v>36</v>
      </c>
      <c r="H444" s="1" t="s">
        <v>25</v>
      </c>
      <c r="I444" s="2" t="s">
        <v>57</v>
      </c>
      <c r="J444" s="1" t="s">
        <v>43</v>
      </c>
      <c r="K444" s="1" t="s">
        <v>23</v>
      </c>
      <c r="L444" s="2" t="s">
        <v>52</v>
      </c>
      <c r="M444" s="1" t="s">
        <v>25</v>
      </c>
    </row>
    <row r="445" ht="15.75" customHeight="1">
      <c r="A445" s="2" t="s">
        <v>564</v>
      </c>
      <c r="B445" s="1" t="s">
        <v>14</v>
      </c>
      <c r="C445" s="1" t="s">
        <v>15</v>
      </c>
      <c r="D445" s="3">
        <v>20000.0</v>
      </c>
      <c r="E445" s="2" t="s">
        <v>17</v>
      </c>
      <c r="F445" s="1" t="s">
        <v>30</v>
      </c>
      <c r="G445" s="1" t="s">
        <v>50</v>
      </c>
      <c r="H445" s="1" t="s">
        <v>20</v>
      </c>
      <c r="I445" s="2" t="s">
        <v>21</v>
      </c>
      <c r="J445" s="1" t="s">
        <v>22</v>
      </c>
      <c r="K445" s="1" t="s">
        <v>23</v>
      </c>
      <c r="L445" s="2" t="s">
        <v>122</v>
      </c>
      <c r="M445" s="1" t="s">
        <v>25</v>
      </c>
    </row>
    <row r="446" ht="15.75" customHeight="1">
      <c r="A446" s="2" t="s">
        <v>565</v>
      </c>
      <c r="B446" s="1" t="s">
        <v>14</v>
      </c>
      <c r="C446" s="1" t="s">
        <v>27</v>
      </c>
      <c r="D446" s="3">
        <v>120000.0</v>
      </c>
      <c r="E446" s="2" t="s">
        <v>21</v>
      </c>
      <c r="F446" s="1" t="s">
        <v>62</v>
      </c>
      <c r="G446" s="1" t="s">
        <v>36</v>
      </c>
      <c r="H446" s="1" t="s">
        <v>20</v>
      </c>
      <c r="I446" s="2" t="s">
        <v>57</v>
      </c>
      <c r="J446" s="1" t="s">
        <v>69</v>
      </c>
      <c r="K446" s="1" t="s">
        <v>44</v>
      </c>
      <c r="L446" s="2" t="s">
        <v>104</v>
      </c>
      <c r="M446" s="1" t="s">
        <v>20</v>
      </c>
    </row>
    <row r="447" ht="15.75" customHeight="1">
      <c r="A447" s="2" t="s">
        <v>566</v>
      </c>
      <c r="B447" s="1" t="s">
        <v>41</v>
      </c>
      <c r="C447" s="1" t="s">
        <v>15</v>
      </c>
      <c r="D447" s="3">
        <v>80000.0</v>
      </c>
      <c r="E447" s="2" t="s">
        <v>21</v>
      </c>
      <c r="F447" s="1" t="s">
        <v>18</v>
      </c>
      <c r="G447" s="1" t="s">
        <v>36</v>
      </c>
      <c r="H447" s="1" t="s">
        <v>25</v>
      </c>
      <c r="I447" s="2" t="s">
        <v>29</v>
      </c>
      <c r="J447" s="1" t="s">
        <v>69</v>
      </c>
      <c r="K447" s="1" t="s">
        <v>44</v>
      </c>
      <c r="L447" s="2" t="s">
        <v>58</v>
      </c>
      <c r="M447" s="1" t="s">
        <v>25</v>
      </c>
    </row>
    <row r="448" ht="15.75" customHeight="1">
      <c r="A448" s="2" t="s">
        <v>567</v>
      </c>
      <c r="B448" s="1" t="s">
        <v>41</v>
      </c>
      <c r="C448" s="1" t="s">
        <v>27</v>
      </c>
      <c r="D448" s="3">
        <v>20000.0</v>
      </c>
      <c r="E448" s="2" t="s">
        <v>21</v>
      </c>
      <c r="F448" s="1" t="s">
        <v>62</v>
      </c>
      <c r="G448" s="1" t="s">
        <v>50</v>
      </c>
      <c r="H448" s="1" t="s">
        <v>20</v>
      </c>
      <c r="I448" s="2" t="s">
        <v>37</v>
      </c>
      <c r="J448" s="1" t="s">
        <v>51</v>
      </c>
      <c r="K448" s="1" t="s">
        <v>23</v>
      </c>
      <c r="L448" s="2" t="s">
        <v>109</v>
      </c>
      <c r="M448" s="1" t="s">
        <v>20</v>
      </c>
    </row>
    <row r="449" ht="15.75" customHeight="1">
      <c r="A449" s="2" t="s">
        <v>568</v>
      </c>
      <c r="B449" s="1" t="s">
        <v>14</v>
      </c>
      <c r="C449" s="1" t="s">
        <v>15</v>
      </c>
      <c r="D449" s="3">
        <v>120000.0</v>
      </c>
      <c r="E449" s="2" t="s">
        <v>17</v>
      </c>
      <c r="F449" s="1" t="s">
        <v>18</v>
      </c>
      <c r="G449" s="1" t="s">
        <v>56</v>
      </c>
      <c r="H449" s="1" t="s">
        <v>20</v>
      </c>
      <c r="I449" s="2" t="s">
        <v>37</v>
      </c>
      <c r="J449" s="1" t="s">
        <v>22</v>
      </c>
      <c r="K449" s="1" t="s">
        <v>44</v>
      </c>
      <c r="L449" s="2" t="s">
        <v>130</v>
      </c>
      <c r="M449" s="1" t="s">
        <v>20</v>
      </c>
    </row>
    <row r="450" ht="15.75" customHeight="1">
      <c r="A450" s="2" t="s">
        <v>569</v>
      </c>
      <c r="B450" s="1" t="s">
        <v>14</v>
      </c>
      <c r="C450" s="1" t="s">
        <v>15</v>
      </c>
      <c r="D450" s="3">
        <v>40000.0</v>
      </c>
      <c r="E450" s="2" t="s">
        <v>21</v>
      </c>
      <c r="F450" s="1" t="s">
        <v>18</v>
      </c>
      <c r="G450" s="1" t="s">
        <v>31</v>
      </c>
      <c r="H450" s="1" t="s">
        <v>20</v>
      </c>
      <c r="I450" s="2" t="s">
        <v>21</v>
      </c>
      <c r="J450" s="1" t="s">
        <v>22</v>
      </c>
      <c r="K450" s="1" t="s">
        <v>23</v>
      </c>
      <c r="L450" s="2" t="s">
        <v>135</v>
      </c>
      <c r="M450" s="1" t="s">
        <v>20</v>
      </c>
    </row>
    <row r="451" ht="15.75" customHeight="1">
      <c r="A451" s="2" t="s">
        <v>570</v>
      </c>
      <c r="B451" s="1" t="s">
        <v>41</v>
      </c>
      <c r="C451" s="1" t="s">
        <v>27</v>
      </c>
      <c r="D451" s="3">
        <v>20000.0</v>
      </c>
      <c r="E451" s="2" t="s">
        <v>37</v>
      </c>
      <c r="F451" s="1" t="s">
        <v>55</v>
      </c>
      <c r="G451" s="1" t="s">
        <v>50</v>
      </c>
      <c r="H451" s="1" t="s">
        <v>20</v>
      </c>
      <c r="I451" s="2" t="s">
        <v>17</v>
      </c>
      <c r="J451" s="1" t="s">
        <v>22</v>
      </c>
      <c r="K451" s="1" t="s">
        <v>23</v>
      </c>
      <c r="L451" s="2" t="s">
        <v>100</v>
      </c>
      <c r="M451" s="1" t="s">
        <v>25</v>
      </c>
    </row>
    <row r="452" ht="15.75" customHeight="1">
      <c r="A452" s="2" t="s">
        <v>571</v>
      </c>
      <c r="B452" s="1" t="s">
        <v>41</v>
      </c>
      <c r="C452" s="1" t="s">
        <v>15</v>
      </c>
      <c r="D452" s="3">
        <v>30000.0</v>
      </c>
      <c r="E452" s="2" t="s">
        <v>29</v>
      </c>
      <c r="F452" s="1" t="s">
        <v>18</v>
      </c>
      <c r="G452" s="1" t="s">
        <v>31</v>
      </c>
      <c r="H452" s="1" t="s">
        <v>20</v>
      </c>
      <c r="I452" s="2" t="s">
        <v>21</v>
      </c>
      <c r="J452" s="1" t="s">
        <v>22</v>
      </c>
      <c r="K452" s="1" t="s">
        <v>23</v>
      </c>
      <c r="L452" s="2" t="s">
        <v>130</v>
      </c>
      <c r="M452" s="1" t="s">
        <v>20</v>
      </c>
    </row>
    <row r="453" ht="15.75" customHeight="1">
      <c r="A453" s="2" t="s">
        <v>572</v>
      </c>
      <c r="B453" s="1" t="s">
        <v>14</v>
      </c>
      <c r="C453" s="1" t="s">
        <v>27</v>
      </c>
      <c r="D453" s="3">
        <v>40000.0</v>
      </c>
      <c r="E453" s="2" t="s">
        <v>37</v>
      </c>
      <c r="F453" s="1" t="s">
        <v>18</v>
      </c>
      <c r="G453" s="1" t="s">
        <v>56</v>
      </c>
      <c r="H453" s="1" t="s">
        <v>20</v>
      </c>
      <c r="I453" s="2" t="s">
        <v>37</v>
      </c>
      <c r="J453" s="1" t="s">
        <v>22</v>
      </c>
      <c r="K453" s="1" t="s">
        <v>44</v>
      </c>
      <c r="L453" s="2" t="s">
        <v>122</v>
      </c>
      <c r="M453" s="1" t="s">
        <v>25</v>
      </c>
    </row>
    <row r="454" ht="15.75" customHeight="1">
      <c r="A454" s="2" t="s">
        <v>573</v>
      </c>
      <c r="B454" s="1" t="s">
        <v>41</v>
      </c>
      <c r="C454" s="1" t="s">
        <v>15</v>
      </c>
      <c r="D454" s="3">
        <v>30000.0</v>
      </c>
      <c r="E454" s="2" t="s">
        <v>29</v>
      </c>
      <c r="F454" s="1" t="s">
        <v>18</v>
      </c>
      <c r="G454" s="1" t="s">
        <v>31</v>
      </c>
      <c r="H454" s="1" t="s">
        <v>20</v>
      </c>
      <c r="I454" s="2" t="s">
        <v>21</v>
      </c>
      <c r="J454" s="1" t="s">
        <v>22</v>
      </c>
      <c r="K454" s="1" t="s">
        <v>23</v>
      </c>
      <c r="L454" s="2" t="s">
        <v>83</v>
      </c>
      <c r="M454" s="1" t="s">
        <v>20</v>
      </c>
    </row>
    <row r="455" ht="15.75" customHeight="1">
      <c r="A455" s="2" t="s">
        <v>574</v>
      </c>
      <c r="B455" s="1" t="s">
        <v>41</v>
      </c>
      <c r="C455" s="1" t="s">
        <v>27</v>
      </c>
      <c r="D455" s="3">
        <v>100000.0</v>
      </c>
      <c r="E455" s="2" t="s">
        <v>17</v>
      </c>
      <c r="F455" s="1" t="s">
        <v>18</v>
      </c>
      <c r="G455" s="1" t="s">
        <v>56</v>
      </c>
      <c r="H455" s="1" t="s">
        <v>25</v>
      </c>
      <c r="I455" s="2" t="s">
        <v>29</v>
      </c>
      <c r="J455" s="1" t="s">
        <v>22</v>
      </c>
      <c r="K455" s="1" t="s">
        <v>44</v>
      </c>
      <c r="L455" s="2" t="s">
        <v>130</v>
      </c>
      <c r="M455" s="1" t="s">
        <v>20</v>
      </c>
    </row>
    <row r="456" ht="15.75" customHeight="1">
      <c r="A456" s="2" t="s">
        <v>575</v>
      </c>
      <c r="B456" s="1" t="s">
        <v>14</v>
      </c>
      <c r="C456" s="1" t="s">
        <v>15</v>
      </c>
      <c r="D456" s="3">
        <v>80000.0</v>
      </c>
      <c r="E456" s="2" t="s">
        <v>35</v>
      </c>
      <c r="F456" s="1" t="s">
        <v>87</v>
      </c>
      <c r="G456" s="1" t="s">
        <v>56</v>
      </c>
      <c r="H456" s="1" t="s">
        <v>20</v>
      </c>
      <c r="I456" s="2" t="s">
        <v>29</v>
      </c>
      <c r="J456" s="1" t="s">
        <v>22</v>
      </c>
      <c r="K456" s="1" t="s">
        <v>44</v>
      </c>
      <c r="L456" s="2" t="s">
        <v>100</v>
      </c>
      <c r="M456" s="1" t="s">
        <v>25</v>
      </c>
    </row>
    <row r="457" ht="15.75" customHeight="1">
      <c r="A457" s="2" t="s">
        <v>576</v>
      </c>
      <c r="B457" s="1" t="s">
        <v>14</v>
      </c>
      <c r="C457" s="1" t="s">
        <v>15</v>
      </c>
      <c r="D457" s="3">
        <v>30000.0</v>
      </c>
      <c r="E457" s="2" t="s">
        <v>17</v>
      </c>
      <c r="F457" s="1" t="s">
        <v>18</v>
      </c>
      <c r="G457" s="1" t="s">
        <v>31</v>
      </c>
      <c r="H457" s="1" t="s">
        <v>20</v>
      </c>
      <c r="I457" s="2" t="s">
        <v>21</v>
      </c>
      <c r="J457" s="1" t="s">
        <v>22</v>
      </c>
      <c r="K457" s="1" t="s">
        <v>23</v>
      </c>
      <c r="L457" s="2" t="s">
        <v>122</v>
      </c>
      <c r="M457" s="1" t="s">
        <v>25</v>
      </c>
    </row>
    <row r="458" ht="15.75" customHeight="1">
      <c r="A458" s="2" t="s">
        <v>577</v>
      </c>
      <c r="B458" s="1" t="s">
        <v>41</v>
      </c>
      <c r="C458" s="1" t="s">
        <v>27</v>
      </c>
      <c r="D458" s="3">
        <v>30000.0</v>
      </c>
      <c r="E458" s="2" t="s">
        <v>21</v>
      </c>
      <c r="F458" s="1" t="s">
        <v>55</v>
      </c>
      <c r="G458" s="1" t="s">
        <v>50</v>
      </c>
      <c r="H458" s="1" t="s">
        <v>25</v>
      </c>
      <c r="I458" s="2" t="s">
        <v>17</v>
      </c>
      <c r="J458" s="1" t="s">
        <v>51</v>
      </c>
      <c r="K458" s="1" t="s">
        <v>23</v>
      </c>
      <c r="L458" s="2" t="s">
        <v>118</v>
      </c>
      <c r="M458" s="1" t="s">
        <v>25</v>
      </c>
    </row>
    <row r="459" ht="15.75" customHeight="1">
      <c r="A459" s="2" t="s">
        <v>578</v>
      </c>
      <c r="B459" s="1" t="s">
        <v>41</v>
      </c>
      <c r="C459" s="1" t="s">
        <v>27</v>
      </c>
      <c r="D459" s="3">
        <v>70000.0</v>
      </c>
      <c r="E459" s="2" t="s">
        <v>21</v>
      </c>
      <c r="F459" s="1" t="s">
        <v>18</v>
      </c>
      <c r="G459" s="1" t="s">
        <v>36</v>
      </c>
      <c r="H459" s="1" t="s">
        <v>25</v>
      </c>
      <c r="I459" s="2" t="s">
        <v>37</v>
      </c>
      <c r="J459" s="1" t="s">
        <v>43</v>
      </c>
      <c r="K459" s="1" t="s">
        <v>44</v>
      </c>
      <c r="L459" s="2" t="s">
        <v>32</v>
      </c>
      <c r="M459" s="1" t="s">
        <v>20</v>
      </c>
    </row>
    <row r="460" ht="15.75" customHeight="1">
      <c r="A460" s="2" t="s">
        <v>579</v>
      </c>
      <c r="B460" s="1" t="s">
        <v>41</v>
      </c>
      <c r="C460" s="1" t="s">
        <v>15</v>
      </c>
      <c r="D460" s="3">
        <v>40000.0</v>
      </c>
      <c r="E460" s="2" t="s">
        <v>21</v>
      </c>
      <c r="F460" s="1" t="s">
        <v>87</v>
      </c>
      <c r="G460" s="1" t="s">
        <v>31</v>
      </c>
      <c r="H460" s="1" t="s">
        <v>20</v>
      </c>
      <c r="I460" s="2" t="s">
        <v>21</v>
      </c>
      <c r="J460" s="1" t="s">
        <v>22</v>
      </c>
      <c r="K460" s="1" t="s">
        <v>23</v>
      </c>
      <c r="L460" s="2" t="s">
        <v>79</v>
      </c>
      <c r="M460" s="1" t="s">
        <v>20</v>
      </c>
    </row>
    <row r="461" ht="15.75" customHeight="1">
      <c r="A461" s="2" t="s">
        <v>580</v>
      </c>
      <c r="B461" s="1" t="s">
        <v>14</v>
      </c>
      <c r="C461" s="1" t="s">
        <v>15</v>
      </c>
      <c r="D461" s="3">
        <v>30000.0</v>
      </c>
      <c r="E461" s="2" t="s">
        <v>21</v>
      </c>
      <c r="F461" s="1" t="s">
        <v>18</v>
      </c>
      <c r="G461" s="1" t="s">
        <v>31</v>
      </c>
      <c r="H461" s="1" t="s">
        <v>20</v>
      </c>
      <c r="I461" s="2" t="s">
        <v>21</v>
      </c>
      <c r="J461" s="1" t="s">
        <v>22</v>
      </c>
      <c r="K461" s="1" t="s">
        <v>23</v>
      </c>
      <c r="L461" s="2" t="s">
        <v>83</v>
      </c>
      <c r="M461" s="1" t="s">
        <v>20</v>
      </c>
    </row>
    <row r="462" ht="15.75" customHeight="1">
      <c r="A462" s="2" t="s">
        <v>581</v>
      </c>
      <c r="B462" s="1" t="s">
        <v>14</v>
      </c>
      <c r="C462" s="1" t="s">
        <v>15</v>
      </c>
      <c r="D462" s="3">
        <v>90000.0</v>
      </c>
      <c r="E462" s="2" t="s">
        <v>37</v>
      </c>
      <c r="F462" s="1" t="s">
        <v>18</v>
      </c>
      <c r="G462" s="1" t="s">
        <v>36</v>
      </c>
      <c r="H462" s="1" t="s">
        <v>25</v>
      </c>
      <c r="I462" s="2" t="s">
        <v>21</v>
      </c>
      <c r="J462" s="1" t="s">
        <v>22</v>
      </c>
      <c r="K462" s="1" t="s">
        <v>44</v>
      </c>
      <c r="L462" s="2" t="s">
        <v>47</v>
      </c>
      <c r="M462" s="1" t="s">
        <v>20</v>
      </c>
    </row>
    <row r="463" ht="15.75" customHeight="1">
      <c r="A463" s="2" t="s">
        <v>582</v>
      </c>
      <c r="B463" s="1" t="s">
        <v>14</v>
      </c>
      <c r="C463" s="1" t="s">
        <v>27</v>
      </c>
      <c r="D463" s="3">
        <v>20000.0</v>
      </c>
      <c r="E463" s="2" t="s">
        <v>57</v>
      </c>
      <c r="F463" s="1" t="s">
        <v>55</v>
      </c>
      <c r="G463" s="1" t="s">
        <v>19</v>
      </c>
      <c r="H463" s="1" t="s">
        <v>25</v>
      </c>
      <c r="I463" s="2" t="s">
        <v>37</v>
      </c>
      <c r="J463" s="1" t="s">
        <v>51</v>
      </c>
      <c r="K463" s="1" t="s">
        <v>44</v>
      </c>
      <c r="L463" s="2" t="s">
        <v>39</v>
      </c>
      <c r="M463" s="1" t="s">
        <v>25</v>
      </c>
    </row>
    <row r="464" ht="15.75" customHeight="1">
      <c r="A464" s="2" t="s">
        <v>583</v>
      </c>
      <c r="B464" s="1" t="s">
        <v>41</v>
      </c>
      <c r="C464" s="1" t="s">
        <v>15</v>
      </c>
      <c r="D464" s="3">
        <v>70000.0</v>
      </c>
      <c r="E464" s="2" t="s">
        <v>21</v>
      </c>
      <c r="F464" s="1" t="s">
        <v>18</v>
      </c>
      <c r="G464" s="1" t="s">
        <v>36</v>
      </c>
      <c r="H464" s="1" t="s">
        <v>20</v>
      </c>
      <c r="I464" s="2" t="s">
        <v>17</v>
      </c>
      <c r="J464" s="1" t="s">
        <v>43</v>
      </c>
      <c r="K464" s="1" t="s">
        <v>44</v>
      </c>
      <c r="L464" s="2" t="s">
        <v>24</v>
      </c>
      <c r="M464" s="1" t="s">
        <v>20</v>
      </c>
    </row>
    <row r="465" ht="15.75" customHeight="1">
      <c r="A465" s="2" t="s">
        <v>584</v>
      </c>
      <c r="B465" s="1" t="s">
        <v>14</v>
      </c>
      <c r="C465" s="1" t="s">
        <v>27</v>
      </c>
      <c r="D465" s="3">
        <v>70000.0</v>
      </c>
      <c r="E465" s="2" t="s">
        <v>37</v>
      </c>
      <c r="F465" s="1" t="s">
        <v>55</v>
      </c>
      <c r="G465" s="1" t="s">
        <v>19</v>
      </c>
      <c r="H465" s="1" t="s">
        <v>25</v>
      </c>
      <c r="I465" s="2" t="s">
        <v>37</v>
      </c>
      <c r="J465" s="1" t="s">
        <v>51</v>
      </c>
      <c r="K465" s="1" t="s">
        <v>44</v>
      </c>
      <c r="L465" s="2" t="s">
        <v>52</v>
      </c>
      <c r="M465" s="1" t="s">
        <v>20</v>
      </c>
    </row>
    <row r="466" ht="15.75" customHeight="1">
      <c r="A466" s="2" t="s">
        <v>585</v>
      </c>
      <c r="B466" s="1" t="s">
        <v>14</v>
      </c>
      <c r="C466" s="1" t="s">
        <v>27</v>
      </c>
      <c r="D466" s="3">
        <v>30000.0</v>
      </c>
      <c r="E466" s="2" t="s">
        <v>21</v>
      </c>
      <c r="F466" s="1" t="s">
        <v>18</v>
      </c>
      <c r="G466" s="1" t="s">
        <v>31</v>
      </c>
      <c r="H466" s="1" t="s">
        <v>20</v>
      </c>
      <c r="I466" s="2" t="s">
        <v>21</v>
      </c>
      <c r="J466" s="1" t="s">
        <v>22</v>
      </c>
      <c r="K466" s="1" t="s">
        <v>23</v>
      </c>
      <c r="L466" s="2" t="s">
        <v>74</v>
      </c>
      <c r="M466" s="1" t="s">
        <v>20</v>
      </c>
    </row>
    <row r="467" ht="15.75" customHeight="1">
      <c r="A467" s="2" t="s">
        <v>586</v>
      </c>
      <c r="B467" s="1" t="s">
        <v>14</v>
      </c>
      <c r="C467" s="1" t="s">
        <v>27</v>
      </c>
      <c r="D467" s="3">
        <v>40000.0</v>
      </c>
      <c r="E467" s="2" t="s">
        <v>17</v>
      </c>
      <c r="F467" s="1" t="s">
        <v>18</v>
      </c>
      <c r="G467" s="1" t="s">
        <v>19</v>
      </c>
      <c r="H467" s="1" t="s">
        <v>20</v>
      </c>
      <c r="I467" s="2" t="s">
        <v>17</v>
      </c>
      <c r="J467" s="1" t="s">
        <v>22</v>
      </c>
      <c r="K467" s="1" t="s">
        <v>23</v>
      </c>
      <c r="L467" s="2" t="s">
        <v>104</v>
      </c>
      <c r="M467" s="1" t="s">
        <v>20</v>
      </c>
    </row>
    <row r="468" ht="15.75" customHeight="1">
      <c r="A468" s="2" t="s">
        <v>587</v>
      </c>
      <c r="B468" s="1" t="s">
        <v>14</v>
      </c>
      <c r="C468" s="1" t="s">
        <v>15</v>
      </c>
      <c r="D468" s="3">
        <v>90000.0</v>
      </c>
      <c r="E468" s="2" t="s">
        <v>17</v>
      </c>
      <c r="F468" s="1" t="s">
        <v>18</v>
      </c>
      <c r="G468" s="1" t="s">
        <v>36</v>
      </c>
      <c r="H468" s="1" t="s">
        <v>20</v>
      </c>
      <c r="I468" s="2" t="s">
        <v>17</v>
      </c>
      <c r="J468" s="1" t="s">
        <v>43</v>
      </c>
      <c r="K468" s="1" t="s">
        <v>44</v>
      </c>
      <c r="L468" s="2" t="s">
        <v>130</v>
      </c>
      <c r="M468" s="1" t="s">
        <v>25</v>
      </c>
    </row>
    <row r="469" ht="15.75" customHeight="1">
      <c r="A469" s="2" t="s">
        <v>588</v>
      </c>
      <c r="B469" s="1" t="s">
        <v>41</v>
      </c>
      <c r="C469" s="1" t="s">
        <v>15</v>
      </c>
      <c r="D469" s="3">
        <v>40000.0</v>
      </c>
      <c r="E469" s="2" t="s">
        <v>37</v>
      </c>
      <c r="F469" s="1" t="s">
        <v>30</v>
      </c>
      <c r="G469" s="1" t="s">
        <v>31</v>
      </c>
      <c r="H469" s="1" t="s">
        <v>20</v>
      </c>
      <c r="I469" s="2" t="s">
        <v>21</v>
      </c>
      <c r="J469" s="1" t="s">
        <v>51</v>
      </c>
      <c r="K469" s="1" t="s">
        <v>23</v>
      </c>
      <c r="L469" s="2" t="s">
        <v>58</v>
      </c>
      <c r="M469" s="1" t="s">
        <v>20</v>
      </c>
    </row>
    <row r="470" ht="15.75" customHeight="1">
      <c r="A470" s="2" t="s">
        <v>589</v>
      </c>
      <c r="B470" s="1" t="s">
        <v>41</v>
      </c>
      <c r="C470" s="1" t="s">
        <v>27</v>
      </c>
      <c r="D470" s="3">
        <v>40000.0</v>
      </c>
      <c r="E470" s="2" t="s">
        <v>21</v>
      </c>
      <c r="F470" s="1" t="s">
        <v>87</v>
      </c>
      <c r="G470" s="1" t="s">
        <v>31</v>
      </c>
      <c r="H470" s="1" t="s">
        <v>25</v>
      </c>
      <c r="I470" s="2" t="s">
        <v>21</v>
      </c>
      <c r="J470" s="1" t="s">
        <v>22</v>
      </c>
      <c r="K470" s="1" t="s">
        <v>23</v>
      </c>
      <c r="L470" s="2" t="s">
        <v>47</v>
      </c>
      <c r="M470" s="1" t="s">
        <v>20</v>
      </c>
    </row>
    <row r="471" ht="15.75" customHeight="1">
      <c r="A471" s="2" t="s">
        <v>590</v>
      </c>
      <c r="B471" s="1" t="s">
        <v>14</v>
      </c>
      <c r="C471" s="1" t="s">
        <v>27</v>
      </c>
      <c r="D471" s="3">
        <v>10000.0</v>
      </c>
      <c r="E471" s="2" t="s">
        <v>17</v>
      </c>
      <c r="F471" s="1" t="s">
        <v>87</v>
      </c>
      <c r="G471" s="1" t="s">
        <v>31</v>
      </c>
      <c r="H471" s="1" t="s">
        <v>20</v>
      </c>
      <c r="I471" s="2" t="s">
        <v>21</v>
      </c>
      <c r="J471" s="1" t="s">
        <v>22</v>
      </c>
      <c r="K471" s="1" t="s">
        <v>23</v>
      </c>
      <c r="L471" s="2" t="s">
        <v>337</v>
      </c>
      <c r="M471" s="1" t="s">
        <v>25</v>
      </c>
    </row>
    <row r="472" ht="15.75" customHeight="1">
      <c r="A472" s="2" t="s">
        <v>591</v>
      </c>
      <c r="B472" s="1" t="s">
        <v>41</v>
      </c>
      <c r="C472" s="1" t="s">
        <v>15</v>
      </c>
      <c r="D472" s="3">
        <v>30000.0</v>
      </c>
      <c r="E472" s="2" t="s">
        <v>21</v>
      </c>
      <c r="F472" s="1" t="s">
        <v>30</v>
      </c>
      <c r="G472" s="1" t="s">
        <v>31</v>
      </c>
      <c r="H472" s="1" t="s">
        <v>25</v>
      </c>
      <c r="I472" s="2" t="s">
        <v>17</v>
      </c>
      <c r="J472" s="1" t="s">
        <v>38</v>
      </c>
      <c r="K472" s="1" t="s">
        <v>23</v>
      </c>
      <c r="L472" s="2" t="s">
        <v>109</v>
      </c>
      <c r="M472" s="1" t="s">
        <v>20</v>
      </c>
    </row>
    <row r="473" ht="15.75" customHeight="1">
      <c r="A473" s="2" t="s">
        <v>592</v>
      </c>
      <c r="B473" s="1" t="s">
        <v>41</v>
      </c>
      <c r="C473" s="1" t="s">
        <v>27</v>
      </c>
      <c r="D473" s="3">
        <v>30000.0</v>
      </c>
      <c r="E473" s="2" t="s">
        <v>37</v>
      </c>
      <c r="F473" s="1" t="s">
        <v>30</v>
      </c>
      <c r="G473" s="1" t="s">
        <v>31</v>
      </c>
      <c r="H473" s="1" t="s">
        <v>20</v>
      </c>
      <c r="I473" s="2" t="s">
        <v>37</v>
      </c>
      <c r="J473" s="1" t="s">
        <v>22</v>
      </c>
      <c r="K473" s="1" t="s">
        <v>23</v>
      </c>
      <c r="L473" s="2" t="s">
        <v>24</v>
      </c>
      <c r="M473" s="1" t="s">
        <v>25</v>
      </c>
    </row>
    <row r="474" ht="15.75" customHeight="1">
      <c r="A474" s="2" t="s">
        <v>593</v>
      </c>
      <c r="B474" s="1" t="s">
        <v>14</v>
      </c>
      <c r="C474" s="1" t="s">
        <v>15</v>
      </c>
      <c r="D474" s="3">
        <v>90000.0</v>
      </c>
      <c r="E474" s="2" t="s">
        <v>57</v>
      </c>
      <c r="F474" s="1" t="s">
        <v>62</v>
      </c>
      <c r="G474" s="1" t="s">
        <v>19</v>
      </c>
      <c r="H474" s="1" t="s">
        <v>20</v>
      </c>
      <c r="I474" s="2" t="s">
        <v>57</v>
      </c>
      <c r="J474" s="1" t="s">
        <v>69</v>
      </c>
      <c r="K474" s="1" t="s">
        <v>23</v>
      </c>
      <c r="L474" s="2" t="s">
        <v>63</v>
      </c>
      <c r="M474" s="1" t="s">
        <v>25</v>
      </c>
    </row>
    <row r="475" ht="15.75" customHeight="1">
      <c r="A475" s="2" t="s">
        <v>594</v>
      </c>
      <c r="B475" s="1" t="s">
        <v>14</v>
      </c>
      <c r="C475" s="1" t="s">
        <v>27</v>
      </c>
      <c r="D475" s="3">
        <v>40000.0</v>
      </c>
      <c r="E475" s="2" t="s">
        <v>21</v>
      </c>
      <c r="F475" s="1" t="s">
        <v>18</v>
      </c>
      <c r="G475" s="1" t="s">
        <v>31</v>
      </c>
      <c r="H475" s="1" t="s">
        <v>20</v>
      </c>
      <c r="I475" s="2" t="s">
        <v>21</v>
      </c>
      <c r="J475" s="1" t="s">
        <v>22</v>
      </c>
      <c r="K475" s="1" t="s">
        <v>23</v>
      </c>
      <c r="L475" s="2" t="s">
        <v>135</v>
      </c>
      <c r="M475" s="1" t="s">
        <v>25</v>
      </c>
    </row>
    <row r="476" ht="15.75" customHeight="1">
      <c r="A476" s="2" t="s">
        <v>595</v>
      </c>
      <c r="B476" s="1" t="s">
        <v>41</v>
      </c>
      <c r="C476" s="1" t="s">
        <v>15</v>
      </c>
      <c r="D476" s="3">
        <v>10000.0</v>
      </c>
      <c r="E476" s="2" t="s">
        <v>21</v>
      </c>
      <c r="F476" s="1" t="s">
        <v>62</v>
      </c>
      <c r="G476" s="1" t="s">
        <v>50</v>
      </c>
      <c r="H476" s="1" t="s">
        <v>20</v>
      </c>
      <c r="I476" s="2" t="s">
        <v>37</v>
      </c>
      <c r="J476" s="1" t="s">
        <v>51</v>
      </c>
      <c r="K476" s="1" t="s">
        <v>23</v>
      </c>
      <c r="L476" s="2" t="s">
        <v>93</v>
      </c>
      <c r="M476" s="1" t="s">
        <v>25</v>
      </c>
    </row>
    <row r="477" ht="15.75" customHeight="1">
      <c r="A477" s="2" t="s">
        <v>596</v>
      </c>
      <c r="B477" s="1" t="s">
        <v>14</v>
      </c>
      <c r="C477" s="1" t="s">
        <v>27</v>
      </c>
      <c r="D477" s="3">
        <v>20000.0</v>
      </c>
      <c r="E477" s="2" t="s">
        <v>21</v>
      </c>
      <c r="F477" s="1" t="s">
        <v>62</v>
      </c>
      <c r="G477" s="1" t="s">
        <v>50</v>
      </c>
      <c r="H477" s="1" t="s">
        <v>20</v>
      </c>
      <c r="I477" s="2" t="s">
        <v>37</v>
      </c>
      <c r="J477" s="1" t="s">
        <v>22</v>
      </c>
      <c r="K477" s="1" t="s">
        <v>23</v>
      </c>
      <c r="L477" s="2" t="s">
        <v>104</v>
      </c>
      <c r="M477" s="1" t="s">
        <v>25</v>
      </c>
    </row>
    <row r="478" ht="15.75" customHeight="1">
      <c r="A478" s="2" t="s">
        <v>597</v>
      </c>
      <c r="B478" s="1" t="s">
        <v>14</v>
      </c>
      <c r="C478" s="1" t="s">
        <v>27</v>
      </c>
      <c r="D478" s="3">
        <v>60000.0</v>
      </c>
      <c r="E478" s="2" t="s">
        <v>57</v>
      </c>
      <c r="F478" s="1" t="s">
        <v>18</v>
      </c>
      <c r="G478" s="1" t="s">
        <v>36</v>
      </c>
      <c r="H478" s="1" t="s">
        <v>20</v>
      </c>
      <c r="I478" s="2" t="s">
        <v>21</v>
      </c>
      <c r="J478" s="1" t="s">
        <v>38</v>
      </c>
      <c r="K478" s="1" t="s">
        <v>598</v>
      </c>
      <c r="L478" s="2" t="s">
        <v>130</v>
      </c>
      <c r="M478" s="1" t="s">
        <v>25</v>
      </c>
    </row>
    <row r="479" ht="15.75" customHeight="1">
      <c r="A479" s="2" t="s">
        <v>599</v>
      </c>
      <c r="B479" s="1" t="s">
        <v>14</v>
      </c>
      <c r="C479" s="1" t="s">
        <v>27</v>
      </c>
      <c r="D479" s="3">
        <v>70000.0</v>
      </c>
      <c r="E479" s="2" t="s">
        <v>37</v>
      </c>
      <c r="F479" s="1" t="s">
        <v>62</v>
      </c>
      <c r="G479" s="1" t="s">
        <v>19</v>
      </c>
      <c r="H479" s="1" t="s">
        <v>20</v>
      </c>
      <c r="I479" s="2" t="s">
        <v>37</v>
      </c>
      <c r="J479" s="1" t="s">
        <v>43</v>
      </c>
      <c r="K479" s="1" t="s">
        <v>598</v>
      </c>
      <c r="L479" s="2" t="s">
        <v>125</v>
      </c>
      <c r="M479" s="1" t="s">
        <v>25</v>
      </c>
    </row>
    <row r="480" ht="15.75" customHeight="1">
      <c r="A480" s="2" t="s">
        <v>600</v>
      </c>
      <c r="B480" s="1" t="s">
        <v>41</v>
      </c>
      <c r="C480" s="1" t="s">
        <v>15</v>
      </c>
      <c r="D480" s="3">
        <v>40000.0</v>
      </c>
      <c r="E480" s="2" t="s">
        <v>29</v>
      </c>
      <c r="F480" s="1" t="s">
        <v>30</v>
      </c>
      <c r="G480" s="1" t="s">
        <v>31</v>
      </c>
      <c r="H480" s="1" t="s">
        <v>20</v>
      </c>
      <c r="I480" s="2" t="s">
        <v>17</v>
      </c>
      <c r="J480" s="1" t="s">
        <v>51</v>
      </c>
      <c r="K480" s="1" t="s">
        <v>598</v>
      </c>
      <c r="L480" s="2" t="s">
        <v>109</v>
      </c>
      <c r="M480" s="1" t="s">
        <v>20</v>
      </c>
    </row>
    <row r="481" ht="15.75" customHeight="1">
      <c r="A481" s="2" t="s">
        <v>601</v>
      </c>
      <c r="B481" s="1" t="s">
        <v>41</v>
      </c>
      <c r="C481" s="1" t="s">
        <v>27</v>
      </c>
      <c r="D481" s="3">
        <v>70000.0</v>
      </c>
      <c r="E481" s="2" t="s">
        <v>35</v>
      </c>
      <c r="F481" s="1" t="s">
        <v>18</v>
      </c>
      <c r="G481" s="1" t="s">
        <v>56</v>
      </c>
      <c r="H481" s="1" t="s">
        <v>20</v>
      </c>
      <c r="I481" s="2" t="s">
        <v>29</v>
      </c>
      <c r="J481" s="1" t="s">
        <v>69</v>
      </c>
      <c r="K481" s="1" t="s">
        <v>598</v>
      </c>
      <c r="L481" s="2" t="s">
        <v>39</v>
      </c>
      <c r="M481" s="1" t="s">
        <v>20</v>
      </c>
    </row>
    <row r="482" ht="15.75" customHeight="1">
      <c r="A482" s="2" t="s">
        <v>602</v>
      </c>
      <c r="B482" s="1" t="s">
        <v>14</v>
      </c>
      <c r="C482" s="1" t="s">
        <v>27</v>
      </c>
      <c r="D482" s="3">
        <v>70000.0</v>
      </c>
      <c r="E482" s="2" t="s">
        <v>57</v>
      </c>
      <c r="F482" s="1" t="s">
        <v>55</v>
      </c>
      <c r="G482" s="1" t="s">
        <v>36</v>
      </c>
      <c r="H482" s="1" t="s">
        <v>20</v>
      </c>
      <c r="I482" s="2" t="s">
        <v>21</v>
      </c>
      <c r="J482" s="1" t="s">
        <v>43</v>
      </c>
      <c r="K482" s="1" t="s">
        <v>598</v>
      </c>
      <c r="L482" s="2" t="s">
        <v>178</v>
      </c>
      <c r="M482" s="1" t="s">
        <v>25</v>
      </c>
    </row>
    <row r="483" ht="15.75" customHeight="1">
      <c r="A483" s="2" t="s">
        <v>603</v>
      </c>
      <c r="B483" s="1" t="s">
        <v>14</v>
      </c>
      <c r="C483" s="1" t="s">
        <v>27</v>
      </c>
      <c r="D483" s="3">
        <v>60000.0</v>
      </c>
      <c r="E483" s="2" t="s">
        <v>37</v>
      </c>
      <c r="F483" s="1" t="s">
        <v>30</v>
      </c>
      <c r="G483" s="1" t="s">
        <v>36</v>
      </c>
      <c r="H483" s="1" t="s">
        <v>20</v>
      </c>
      <c r="I483" s="2" t="s">
        <v>37</v>
      </c>
      <c r="J483" s="1" t="s">
        <v>69</v>
      </c>
      <c r="K483" s="1" t="s">
        <v>598</v>
      </c>
      <c r="L483" s="2" t="s">
        <v>91</v>
      </c>
      <c r="M483" s="1" t="s">
        <v>25</v>
      </c>
    </row>
    <row r="484" ht="15.75" customHeight="1">
      <c r="A484" s="2" t="s">
        <v>604</v>
      </c>
      <c r="B484" s="1" t="s">
        <v>41</v>
      </c>
      <c r="C484" s="1" t="s">
        <v>15</v>
      </c>
      <c r="D484" s="3">
        <v>60000.0</v>
      </c>
      <c r="E484" s="2" t="s">
        <v>29</v>
      </c>
      <c r="F484" s="1" t="s">
        <v>18</v>
      </c>
      <c r="G484" s="1" t="s">
        <v>19</v>
      </c>
      <c r="H484" s="1" t="s">
        <v>20</v>
      </c>
      <c r="I484" s="2" t="s">
        <v>17</v>
      </c>
      <c r="J484" s="1" t="s">
        <v>38</v>
      </c>
      <c r="K484" s="1" t="s">
        <v>598</v>
      </c>
      <c r="L484" s="2" t="s">
        <v>100</v>
      </c>
      <c r="M484" s="1" t="s">
        <v>20</v>
      </c>
    </row>
    <row r="485" ht="15.75" customHeight="1">
      <c r="A485" s="2" t="s">
        <v>605</v>
      </c>
      <c r="B485" s="1" t="s">
        <v>41</v>
      </c>
      <c r="C485" s="1" t="s">
        <v>15</v>
      </c>
      <c r="D485" s="3">
        <v>70000.0</v>
      </c>
      <c r="E485" s="2" t="s">
        <v>17</v>
      </c>
      <c r="F485" s="1" t="s">
        <v>87</v>
      </c>
      <c r="G485" s="1" t="s">
        <v>36</v>
      </c>
      <c r="H485" s="1" t="s">
        <v>20</v>
      </c>
      <c r="I485" s="2" t="s">
        <v>21</v>
      </c>
      <c r="J485" s="1" t="s">
        <v>38</v>
      </c>
      <c r="K485" s="1" t="s">
        <v>598</v>
      </c>
      <c r="L485" s="2" t="s">
        <v>93</v>
      </c>
      <c r="M485" s="1" t="s">
        <v>20</v>
      </c>
    </row>
    <row r="486" ht="15.75" customHeight="1">
      <c r="A486" s="2" t="s">
        <v>606</v>
      </c>
      <c r="B486" s="1" t="s">
        <v>14</v>
      </c>
      <c r="C486" s="1" t="s">
        <v>27</v>
      </c>
      <c r="D486" s="3">
        <v>80000.0</v>
      </c>
      <c r="E486" s="2" t="s">
        <v>17</v>
      </c>
      <c r="F486" s="1" t="s">
        <v>30</v>
      </c>
      <c r="G486" s="1" t="s">
        <v>19</v>
      </c>
      <c r="H486" s="1" t="s">
        <v>20</v>
      </c>
      <c r="I486" s="2" t="s">
        <v>17</v>
      </c>
      <c r="J486" s="1" t="s">
        <v>38</v>
      </c>
      <c r="K486" s="1" t="s">
        <v>598</v>
      </c>
      <c r="L486" s="2" t="s">
        <v>125</v>
      </c>
      <c r="M486" s="1" t="s">
        <v>20</v>
      </c>
    </row>
    <row r="487" ht="15.75" customHeight="1">
      <c r="A487" s="2" t="s">
        <v>607</v>
      </c>
      <c r="B487" s="1" t="s">
        <v>41</v>
      </c>
      <c r="C487" s="1" t="s">
        <v>15</v>
      </c>
      <c r="D487" s="3">
        <v>40000.0</v>
      </c>
      <c r="E487" s="2" t="s">
        <v>21</v>
      </c>
      <c r="F487" s="1" t="s">
        <v>55</v>
      </c>
      <c r="G487" s="1" t="s">
        <v>19</v>
      </c>
      <c r="H487" s="1" t="s">
        <v>25</v>
      </c>
      <c r="I487" s="2" t="s">
        <v>37</v>
      </c>
      <c r="J487" s="1" t="s">
        <v>51</v>
      </c>
      <c r="K487" s="1" t="s">
        <v>598</v>
      </c>
      <c r="L487" s="2" t="s">
        <v>109</v>
      </c>
      <c r="M487" s="1" t="s">
        <v>20</v>
      </c>
    </row>
    <row r="488" ht="15.75" customHeight="1">
      <c r="A488" s="2" t="s">
        <v>608</v>
      </c>
      <c r="B488" s="1" t="s">
        <v>14</v>
      </c>
      <c r="C488" s="1" t="s">
        <v>27</v>
      </c>
      <c r="D488" s="3">
        <v>60000.0</v>
      </c>
      <c r="E488" s="2" t="s">
        <v>35</v>
      </c>
      <c r="F488" s="1" t="s">
        <v>18</v>
      </c>
      <c r="G488" s="1" t="s">
        <v>36</v>
      </c>
      <c r="H488" s="1" t="s">
        <v>20</v>
      </c>
      <c r="I488" s="2" t="s">
        <v>17</v>
      </c>
      <c r="J488" s="1" t="s">
        <v>38</v>
      </c>
      <c r="K488" s="1" t="s">
        <v>598</v>
      </c>
      <c r="L488" s="2" t="s">
        <v>83</v>
      </c>
      <c r="M488" s="1" t="s">
        <v>25</v>
      </c>
    </row>
    <row r="489" ht="15.75" customHeight="1">
      <c r="A489" s="2" t="s">
        <v>609</v>
      </c>
      <c r="B489" s="1" t="s">
        <v>14</v>
      </c>
      <c r="C489" s="1" t="s">
        <v>15</v>
      </c>
      <c r="D489" s="3">
        <v>50000.0</v>
      </c>
      <c r="E489" s="2" t="s">
        <v>21</v>
      </c>
      <c r="F489" s="1" t="s">
        <v>87</v>
      </c>
      <c r="G489" s="1" t="s">
        <v>19</v>
      </c>
      <c r="H489" s="1" t="s">
        <v>20</v>
      </c>
      <c r="I489" s="2" t="s">
        <v>21</v>
      </c>
      <c r="J489" s="1" t="s">
        <v>22</v>
      </c>
      <c r="K489" s="1" t="s">
        <v>598</v>
      </c>
      <c r="L489" s="2" t="s">
        <v>93</v>
      </c>
      <c r="M489" s="1" t="s">
        <v>25</v>
      </c>
    </row>
    <row r="490" ht="15.75" customHeight="1">
      <c r="A490" s="2" t="s">
        <v>610</v>
      </c>
      <c r="B490" s="1" t="s">
        <v>14</v>
      </c>
      <c r="C490" s="1" t="s">
        <v>27</v>
      </c>
      <c r="D490" s="3">
        <v>40000.0</v>
      </c>
      <c r="E490" s="2" t="s">
        <v>21</v>
      </c>
      <c r="F490" s="1" t="s">
        <v>30</v>
      </c>
      <c r="G490" s="1" t="s">
        <v>19</v>
      </c>
      <c r="H490" s="1" t="s">
        <v>20</v>
      </c>
      <c r="I490" s="2" t="s">
        <v>17</v>
      </c>
      <c r="J490" s="1" t="s">
        <v>43</v>
      </c>
      <c r="K490" s="1" t="s">
        <v>598</v>
      </c>
      <c r="L490" s="2" t="s">
        <v>97</v>
      </c>
      <c r="M490" s="1" t="s">
        <v>25</v>
      </c>
    </row>
    <row r="491" ht="15.75" customHeight="1">
      <c r="A491" s="2" t="s">
        <v>611</v>
      </c>
      <c r="B491" s="1" t="s">
        <v>14</v>
      </c>
      <c r="C491" s="1" t="s">
        <v>15</v>
      </c>
      <c r="D491" s="3">
        <v>130000.0</v>
      </c>
      <c r="E491" s="2" t="s">
        <v>17</v>
      </c>
      <c r="F491" s="1" t="s">
        <v>18</v>
      </c>
      <c r="G491" s="1" t="s">
        <v>56</v>
      </c>
      <c r="H491" s="1" t="s">
        <v>20</v>
      </c>
      <c r="I491" s="2" t="s">
        <v>57</v>
      </c>
      <c r="J491" s="1" t="s">
        <v>38</v>
      </c>
      <c r="K491" s="1" t="s">
        <v>598</v>
      </c>
      <c r="L491" s="2" t="s">
        <v>102</v>
      </c>
      <c r="M491" s="1" t="s">
        <v>20</v>
      </c>
    </row>
    <row r="492" ht="15.75" customHeight="1">
      <c r="A492" s="2" t="s">
        <v>612</v>
      </c>
      <c r="B492" s="1" t="s">
        <v>14</v>
      </c>
      <c r="C492" s="1" t="s">
        <v>27</v>
      </c>
      <c r="D492" s="3">
        <v>70000.0</v>
      </c>
      <c r="E492" s="2" t="s">
        <v>37</v>
      </c>
      <c r="F492" s="1" t="s">
        <v>18</v>
      </c>
      <c r="G492" s="1" t="s">
        <v>19</v>
      </c>
      <c r="H492" s="1" t="s">
        <v>20</v>
      </c>
      <c r="I492" s="2" t="s">
        <v>17</v>
      </c>
      <c r="J492" s="1" t="s">
        <v>38</v>
      </c>
      <c r="K492" s="1" t="s">
        <v>598</v>
      </c>
      <c r="L492" s="2" t="s">
        <v>79</v>
      </c>
      <c r="M492" s="1" t="s">
        <v>20</v>
      </c>
    </row>
    <row r="493" ht="15.75" customHeight="1">
      <c r="A493" s="2" t="s">
        <v>613</v>
      </c>
      <c r="B493" s="1" t="s">
        <v>14</v>
      </c>
      <c r="C493" s="1" t="s">
        <v>27</v>
      </c>
      <c r="D493" s="3">
        <v>100000.0</v>
      </c>
      <c r="E493" s="2" t="s">
        <v>57</v>
      </c>
      <c r="F493" s="1" t="s">
        <v>30</v>
      </c>
      <c r="G493" s="1" t="s">
        <v>36</v>
      </c>
      <c r="H493" s="1" t="s">
        <v>20</v>
      </c>
      <c r="I493" s="2" t="s">
        <v>57</v>
      </c>
      <c r="J493" s="1" t="s">
        <v>22</v>
      </c>
      <c r="K493" s="1" t="s">
        <v>598</v>
      </c>
      <c r="L493" s="2" t="s">
        <v>100</v>
      </c>
      <c r="M493" s="1" t="s">
        <v>25</v>
      </c>
    </row>
    <row r="494" ht="15.75" customHeight="1">
      <c r="A494" s="2" t="s">
        <v>614</v>
      </c>
      <c r="B494" s="1" t="s">
        <v>14</v>
      </c>
      <c r="C494" s="1" t="s">
        <v>15</v>
      </c>
      <c r="D494" s="3">
        <v>70000.0</v>
      </c>
      <c r="E494" s="2" t="s">
        <v>57</v>
      </c>
      <c r="F494" s="1" t="s">
        <v>18</v>
      </c>
      <c r="G494" s="1" t="s">
        <v>36</v>
      </c>
      <c r="H494" s="1" t="s">
        <v>20</v>
      </c>
      <c r="I494" s="2" t="s">
        <v>37</v>
      </c>
      <c r="J494" s="1" t="s">
        <v>38</v>
      </c>
      <c r="K494" s="1" t="s">
        <v>598</v>
      </c>
      <c r="L494" s="2" t="s">
        <v>24</v>
      </c>
      <c r="M494" s="1" t="s">
        <v>20</v>
      </c>
    </row>
    <row r="495" ht="15.75" customHeight="1">
      <c r="A495" s="2" t="s">
        <v>615</v>
      </c>
      <c r="B495" s="1" t="s">
        <v>14</v>
      </c>
      <c r="C495" s="1" t="s">
        <v>15</v>
      </c>
      <c r="D495" s="3">
        <v>40000.0</v>
      </c>
      <c r="E495" s="2" t="s">
        <v>17</v>
      </c>
      <c r="F495" s="1" t="s">
        <v>30</v>
      </c>
      <c r="G495" s="1" t="s">
        <v>31</v>
      </c>
      <c r="H495" s="1" t="s">
        <v>20</v>
      </c>
      <c r="I495" s="2" t="s">
        <v>17</v>
      </c>
      <c r="J495" s="1" t="s">
        <v>51</v>
      </c>
      <c r="K495" s="1" t="s">
        <v>598</v>
      </c>
      <c r="L495" s="2" t="s">
        <v>178</v>
      </c>
      <c r="M495" s="1" t="s">
        <v>20</v>
      </c>
    </row>
    <row r="496" ht="15.75" customHeight="1">
      <c r="A496" s="2" t="s">
        <v>616</v>
      </c>
      <c r="B496" s="1" t="s">
        <v>14</v>
      </c>
      <c r="C496" s="1" t="s">
        <v>27</v>
      </c>
      <c r="D496" s="3">
        <v>60000.0</v>
      </c>
      <c r="E496" s="2" t="s">
        <v>21</v>
      </c>
      <c r="F496" s="1" t="s">
        <v>30</v>
      </c>
      <c r="G496" s="1" t="s">
        <v>19</v>
      </c>
      <c r="H496" s="1" t="s">
        <v>25</v>
      </c>
      <c r="I496" s="2" t="s">
        <v>37</v>
      </c>
      <c r="J496" s="1" t="s">
        <v>51</v>
      </c>
      <c r="K496" s="1" t="s">
        <v>598</v>
      </c>
      <c r="L496" s="2" t="s">
        <v>97</v>
      </c>
      <c r="M496" s="1" t="s">
        <v>25</v>
      </c>
    </row>
    <row r="497" ht="15.75" customHeight="1">
      <c r="A497" s="2" t="s">
        <v>618</v>
      </c>
      <c r="B497" s="1" t="s">
        <v>41</v>
      </c>
      <c r="C497" s="1" t="s">
        <v>27</v>
      </c>
      <c r="D497" s="3">
        <v>70000.0</v>
      </c>
      <c r="E497" s="2" t="s">
        <v>21</v>
      </c>
      <c r="F497" s="1" t="s">
        <v>18</v>
      </c>
      <c r="G497" s="1" t="s">
        <v>36</v>
      </c>
      <c r="H497" s="1" t="s">
        <v>25</v>
      </c>
      <c r="I497" s="2" t="s">
        <v>17</v>
      </c>
      <c r="J497" s="1" t="s">
        <v>38</v>
      </c>
      <c r="K497" s="1" t="s">
        <v>598</v>
      </c>
      <c r="L497" s="2" t="s">
        <v>153</v>
      </c>
      <c r="M497" s="1" t="s">
        <v>20</v>
      </c>
    </row>
    <row r="498" ht="15.75" customHeight="1">
      <c r="A498" s="2" t="s">
        <v>620</v>
      </c>
      <c r="B498" s="1" t="s">
        <v>14</v>
      </c>
      <c r="C498" s="1" t="s">
        <v>15</v>
      </c>
      <c r="D498" s="3">
        <v>60000.0</v>
      </c>
      <c r="E498" s="2" t="s">
        <v>17</v>
      </c>
      <c r="F498" s="1" t="s">
        <v>30</v>
      </c>
      <c r="G498" s="1" t="s">
        <v>19</v>
      </c>
      <c r="H498" s="1" t="s">
        <v>20</v>
      </c>
      <c r="I498" s="2" t="s">
        <v>17</v>
      </c>
      <c r="J498" s="1" t="s">
        <v>22</v>
      </c>
      <c r="K498" s="1" t="s">
        <v>598</v>
      </c>
      <c r="L498" s="2" t="s">
        <v>77</v>
      </c>
      <c r="M498" s="1" t="s">
        <v>20</v>
      </c>
    </row>
    <row r="499" ht="15.75" customHeight="1">
      <c r="A499" s="2" t="s">
        <v>621</v>
      </c>
      <c r="B499" s="1" t="s">
        <v>41</v>
      </c>
      <c r="C499" s="1" t="s">
        <v>15</v>
      </c>
      <c r="D499" s="3">
        <v>60000.0</v>
      </c>
      <c r="E499" s="2" t="s">
        <v>57</v>
      </c>
      <c r="F499" s="1" t="s">
        <v>87</v>
      </c>
      <c r="G499" s="1" t="s">
        <v>56</v>
      </c>
      <c r="H499" s="1" t="s">
        <v>20</v>
      </c>
      <c r="I499" s="2" t="s">
        <v>37</v>
      </c>
      <c r="J499" s="1" t="s">
        <v>69</v>
      </c>
      <c r="K499" s="1" t="s">
        <v>598</v>
      </c>
      <c r="L499" s="2" t="s">
        <v>145</v>
      </c>
      <c r="M499" s="1" t="s">
        <v>20</v>
      </c>
    </row>
    <row r="500" ht="15.75" customHeight="1">
      <c r="A500" s="2" t="s">
        <v>622</v>
      </c>
      <c r="B500" s="1" t="s">
        <v>41</v>
      </c>
      <c r="C500" s="1" t="s">
        <v>27</v>
      </c>
      <c r="D500" s="3">
        <v>40000.0</v>
      </c>
      <c r="E500" s="2" t="s">
        <v>21</v>
      </c>
      <c r="F500" s="1" t="s">
        <v>18</v>
      </c>
      <c r="G500" s="1" t="s">
        <v>36</v>
      </c>
      <c r="H500" s="1" t="s">
        <v>25</v>
      </c>
      <c r="I500" s="2" t="s">
        <v>17</v>
      </c>
      <c r="J500" s="1" t="s">
        <v>38</v>
      </c>
      <c r="K500" s="1" t="s">
        <v>598</v>
      </c>
      <c r="L500" s="2" t="s">
        <v>77</v>
      </c>
      <c r="M500" s="1" t="s">
        <v>25</v>
      </c>
    </row>
    <row r="501" ht="15.75" customHeight="1">
      <c r="A501" s="2" t="s">
        <v>623</v>
      </c>
      <c r="B501" s="1" t="s">
        <v>14</v>
      </c>
      <c r="C501" s="1" t="s">
        <v>15</v>
      </c>
      <c r="D501" s="3">
        <v>70000.0</v>
      </c>
      <c r="E501" s="2" t="s">
        <v>35</v>
      </c>
      <c r="F501" s="1" t="s">
        <v>18</v>
      </c>
      <c r="G501" s="1" t="s">
        <v>36</v>
      </c>
      <c r="H501" s="1" t="s">
        <v>20</v>
      </c>
      <c r="I501" s="2" t="s">
        <v>37</v>
      </c>
      <c r="J501" s="1" t="s">
        <v>38</v>
      </c>
      <c r="K501" s="1" t="s">
        <v>598</v>
      </c>
      <c r="L501" s="2" t="s">
        <v>83</v>
      </c>
      <c r="M501" s="1" t="s">
        <v>25</v>
      </c>
    </row>
    <row r="502" ht="15.75" customHeight="1">
      <c r="A502" s="2" t="s">
        <v>624</v>
      </c>
      <c r="B502" s="1" t="s">
        <v>14</v>
      </c>
      <c r="C502" s="1" t="s">
        <v>15</v>
      </c>
      <c r="D502" s="3">
        <v>60000.0</v>
      </c>
      <c r="E502" s="2" t="s">
        <v>37</v>
      </c>
      <c r="F502" s="1" t="s">
        <v>55</v>
      </c>
      <c r="G502" s="1" t="s">
        <v>36</v>
      </c>
      <c r="H502" s="1" t="s">
        <v>20</v>
      </c>
      <c r="I502" s="2" t="s">
        <v>37</v>
      </c>
      <c r="J502" s="1" t="s">
        <v>43</v>
      </c>
      <c r="K502" s="1" t="s">
        <v>598</v>
      </c>
      <c r="L502" s="2" t="s">
        <v>195</v>
      </c>
      <c r="M502" s="1" t="s">
        <v>25</v>
      </c>
    </row>
    <row r="503" ht="15.75" customHeight="1">
      <c r="A503" s="2" t="s">
        <v>625</v>
      </c>
      <c r="B503" s="1" t="s">
        <v>41</v>
      </c>
      <c r="C503" s="1" t="s">
        <v>27</v>
      </c>
      <c r="D503" s="3">
        <v>60000.0</v>
      </c>
      <c r="E503" s="2" t="s">
        <v>29</v>
      </c>
      <c r="F503" s="1" t="s">
        <v>18</v>
      </c>
      <c r="G503" s="1" t="s">
        <v>36</v>
      </c>
      <c r="H503" s="1" t="s">
        <v>25</v>
      </c>
      <c r="I503" s="2" t="s">
        <v>21</v>
      </c>
      <c r="J503" s="1" t="s">
        <v>22</v>
      </c>
      <c r="K503" s="1" t="s">
        <v>598</v>
      </c>
      <c r="L503" s="2" t="s">
        <v>83</v>
      </c>
      <c r="M503" s="1" t="s">
        <v>20</v>
      </c>
    </row>
    <row r="504" ht="15.75" customHeight="1">
      <c r="A504" s="2" t="s">
        <v>626</v>
      </c>
      <c r="B504" s="1" t="s">
        <v>14</v>
      </c>
      <c r="C504" s="1" t="s">
        <v>15</v>
      </c>
      <c r="D504" s="3">
        <v>80000.0</v>
      </c>
      <c r="E504" s="2" t="s">
        <v>21</v>
      </c>
      <c r="F504" s="1" t="s">
        <v>18</v>
      </c>
      <c r="G504" s="1" t="s">
        <v>56</v>
      </c>
      <c r="H504" s="1" t="s">
        <v>20</v>
      </c>
      <c r="I504" s="2" t="s">
        <v>17</v>
      </c>
      <c r="J504" s="1" t="s">
        <v>51</v>
      </c>
      <c r="K504" s="1" t="s">
        <v>598</v>
      </c>
      <c r="L504" s="2" t="s">
        <v>93</v>
      </c>
      <c r="M504" s="1" t="s">
        <v>20</v>
      </c>
    </row>
    <row r="505" ht="15.75" customHeight="1">
      <c r="A505" s="2" t="s">
        <v>627</v>
      </c>
      <c r="B505" s="1" t="s">
        <v>14</v>
      </c>
      <c r="C505" s="1" t="s">
        <v>27</v>
      </c>
      <c r="D505" s="3">
        <v>80000.0</v>
      </c>
      <c r="E505" s="2" t="s">
        <v>35</v>
      </c>
      <c r="F505" s="1" t="s">
        <v>18</v>
      </c>
      <c r="G505" s="1" t="s">
        <v>56</v>
      </c>
      <c r="H505" s="1" t="s">
        <v>20</v>
      </c>
      <c r="I505" s="2" t="s">
        <v>37</v>
      </c>
      <c r="J505" s="1" t="s">
        <v>51</v>
      </c>
      <c r="K505" s="1" t="s">
        <v>598</v>
      </c>
      <c r="L505" s="2" t="s">
        <v>421</v>
      </c>
      <c r="M505" s="1" t="s">
        <v>25</v>
      </c>
    </row>
    <row r="506" ht="15.75" customHeight="1">
      <c r="A506" s="2" t="s">
        <v>628</v>
      </c>
      <c r="B506" s="1" t="s">
        <v>41</v>
      </c>
      <c r="C506" s="1" t="s">
        <v>27</v>
      </c>
      <c r="D506" s="3">
        <v>100000.0</v>
      </c>
      <c r="E506" s="2" t="s">
        <v>17</v>
      </c>
      <c r="F506" s="1" t="s">
        <v>30</v>
      </c>
      <c r="G506" s="1" t="s">
        <v>36</v>
      </c>
      <c r="H506" s="1" t="s">
        <v>25</v>
      </c>
      <c r="I506" s="2" t="s">
        <v>29</v>
      </c>
      <c r="J506" s="1" t="s">
        <v>51</v>
      </c>
      <c r="K506" s="1" t="s">
        <v>598</v>
      </c>
      <c r="L506" s="2" t="s">
        <v>102</v>
      </c>
      <c r="M506" s="1" t="s">
        <v>25</v>
      </c>
    </row>
    <row r="507" ht="15.75" customHeight="1">
      <c r="A507" s="2" t="s">
        <v>629</v>
      </c>
      <c r="B507" s="1" t="s">
        <v>41</v>
      </c>
      <c r="C507" s="1" t="s">
        <v>27</v>
      </c>
      <c r="D507" s="3">
        <v>40000.0</v>
      </c>
      <c r="E507" s="2" t="s">
        <v>57</v>
      </c>
      <c r="F507" s="1" t="s">
        <v>55</v>
      </c>
      <c r="G507" s="1" t="s">
        <v>36</v>
      </c>
      <c r="H507" s="1" t="s">
        <v>20</v>
      </c>
      <c r="I507" s="2" t="s">
        <v>37</v>
      </c>
      <c r="J507" s="1" t="s">
        <v>69</v>
      </c>
      <c r="K507" s="1" t="s">
        <v>598</v>
      </c>
      <c r="L507" s="2" t="s">
        <v>112</v>
      </c>
      <c r="M507" s="1" t="s">
        <v>20</v>
      </c>
    </row>
    <row r="508" ht="15.75" customHeight="1">
      <c r="A508" s="2" t="s">
        <v>630</v>
      </c>
      <c r="B508" s="1" t="s">
        <v>41</v>
      </c>
      <c r="C508" s="1" t="s">
        <v>27</v>
      </c>
      <c r="D508" s="3">
        <v>60000.0</v>
      </c>
      <c r="E508" s="2" t="s">
        <v>29</v>
      </c>
      <c r="F508" s="1" t="s">
        <v>18</v>
      </c>
      <c r="G508" s="1" t="s">
        <v>36</v>
      </c>
      <c r="H508" s="1" t="s">
        <v>25</v>
      </c>
      <c r="I508" s="2" t="s">
        <v>17</v>
      </c>
      <c r="J508" s="1" t="s">
        <v>22</v>
      </c>
      <c r="K508" s="1" t="s">
        <v>598</v>
      </c>
      <c r="L508" s="2" t="s">
        <v>83</v>
      </c>
      <c r="M508" s="1" t="s">
        <v>20</v>
      </c>
    </row>
    <row r="509" ht="15.75" customHeight="1">
      <c r="A509" s="2" t="s">
        <v>631</v>
      </c>
      <c r="B509" s="1" t="s">
        <v>14</v>
      </c>
      <c r="C509" s="1" t="s">
        <v>27</v>
      </c>
      <c r="D509" s="3">
        <v>80000.0</v>
      </c>
      <c r="E509" s="2" t="s">
        <v>29</v>
      </c>
      <c r="F509" s="1" t="s">
        <v>30</v>
      </c>
      <c r="G509" s="1" t="s">
        <v>36</v>
      </c>
      <c r="H509" s="1" t="s">
        <v>25</v>
      </c>
      <c r="I509" s="2" t="s">
        <v>37</v>
      </c>
      <c r="J509" s="1" t="s">
        <v>22</v>
      </c>
      <c r="K509" s="1" t="s">
        <v>598</v>
      </c>
      <c r="L509" s="2" t="s">
        <v>195</v>
      </c>
      <c r="M509" s="1" t="s">
        <v>20</v>
      </c>
    </row>
    <row r="510" ht="15.75" customHeight="1">
      <c r="A510" s="2" t="s">
        <v>632</v>
      </c>
      <c r="B510" s="1" t="s">
        <v>41</v>
      </c>
      <c r="C510" s="1" t="s">
        <v>15</v>
      </c>
      <c r="D510" s="3">
        <v>80000.0</v>
      </c>
      <c r="E510" s="2" t="s">
        <v>57</v>
      </c>
      <c r="F510" s="1" t="s">
        <v>87</v>
      </c>
      <c r="G510" s="1" t="s">
        <v>56</v>
      </c>
      <c r="H510" s="1" t="s">
        <v>20</v>
      </c>
      <c r="I510" s="2" t="s">
        <v>37</v>
      </c>
      <c r="J510" s="1" t="s">
        <v>43</v>
      </c>
      <c r="K510" s="1" t="s">
        <v>598</v>
      </c>
      <c r="L510" s="2" t="s">
        <v>297</v>
      </c>
      <c r="M510" s="1" t="s">
        <v>25</v>
      </c>
    </row>
    <row r="511" ht="15.75" customHeight="1">
      <c r="A511" s="2" t="s">
        <v>633</v>
      </c>
      <c r="B511" s="1" t="s">
        <v>41</v>
      </c>
      <c r="C511" s="1" t="s">
        <v>27</v>
      </c>
      <c r="D511" s="3">
        <v>60000.0</v>
      </c>
      <c r="E511" s="2" t="s">
        <v>35</v>
      </c>
      <c r="F511" s="1" t="s">
        <v>18</v>
      </c>
      <c r="G511" s="1" t="s">
        <v>56</v>
      </c>
      <c r="H511" s="1" t="s">
        <v>20</v>
      </c>
      <c r="I511" s="2" t="s">
        <v>29</v>
      </c>
      <c r="J511" s="1" t="s">
        <v>69</v>
      </c>
      <c r="K511" s="1" t="s">
        <v>598</v>
      </c>
      <c r="L511" s="2" t="s">
        <v>81</v>
      </c>
      <c r="M511" s="1" t="s">
        <v>20</v>
      </c>
    </row>
    <row r="512" ht="15.75" customHeight="1">
      <c r="A512" s="2" t="s">
        <v>634</v>
      </c>
      <c r="B512" s="1" t="s">
        <v>14</v>
      </c>
      <c r="C512" s="1" t="s">
        <v>15</v>
      </c>
      <c r="D512" s="3">
        <v>110000.0</v>
      </c>
      <c r="E512" s="2" t="s">
        <v>17</v>
      </c>
      <c r="F512" s="1" t="s">
        <v>18</v>
      </c>
      <c r="G512" s="1" t="s">
        <v>56</v>
      </c>
      <c r="H512" s="1" t="s">
        <v>20</v>
      </c>
      <c r="I512" s="2" t="s">
        <v>37</v>
      </c>
      <c r="J512" s="1" t="s">
        <v>51</v>
      </c>
      <c r="K512" s="1" t="s">
        <v>598</v>
      </c>
      <c r="L512" s="2" t="s">
        <v>102</v>
      </c>
      <c r="M512" s="1" t="s">
        <v>25</v>
      </c>
    </row>
    <row r="513" ht="15.75" customHeight="1">
      <c r="A513" s="2" t="s">
        <v>635</v>
      </c>
      <c r="B513" s="1" t="s">
        <v>14</v>
      </c>
      <c r="C513" s="1" t="s">
        <v>27</v>
      </c>
      <c r="D513" s="3">
        <v>50000.0</v>
      </c>
      <c r="E513" s="2" t="s">
        <v>17</v>
      </c>
      <c r="F513" s="1" t="s">
        <v>18</v>
      </c>
      <c r="G513" s="1" t="s">
        <v>19</v>
      </c>
      <c r="H513" s="1" t="s">
        <v>20</v>
      </c>
      <c r="I513" s="2" t="s">
        <v>21</v>
      </c>
      <c r="J513" s="1" t="s">
        <v>22</v>
      </c>
      <c r="K513" s="1" t="s">
        <v>598</v>
      </c>
      <c r="L513" s="2" t="s">
        <v>47</v>
      </c>
      <c r="M513" s="1" t="s">
        <v>25</v>
      </c>
    </row>
    <row r="514" ht="15.75" customHeight="1">
      <c r="A514" s="2" t="s">
        <v>636</v>
      </c>
      <c r="B514" s="1" t="s">
        <v>41</v>
      </c>
      <c r="C514" s="1" t="s">
        <v>15</v>
      </c>
      <c r="D514" s="3">
        <v>30000.0</v>
      </c>
      <c r="E514" s="2" t="s">
        <v>21</v>
      </c>
      <c r="F514" s="1" t="s">
        <v>30</v>
      </c>
      <c r="G514" s="1" t="s">
        <v>19</v>
      </c>
      <c r="H514" s="1" t="s">
        <v>20</v>
      </c>
      <c r="I514" s="2" t="s">
        <v>17</v>
      </c>
      <c r="J514" s="1" t="s">
        <v>43</v>
      </c>
      <c r="K514" s="1" t="s">
        <v>598</v>
      </c>
      <c r="L514" s="2" t="s">
        <v>118</v>
      </c>
      <c r="M514" s="1" t="s">
        <v>25</v>
      </c>
    </row>
    <row r="515" ht="15.75" customHeight="1">
      <c r="A515" s="2" t="s">
        <v>637</v>
      </c>
      <c r="B515" s="1" t="s">
        <v>14</v>
      </c>
      <c r="C515" s="1" t="s">
        <v>27</v>
      </c>
      <c r="D515" s="3">
        <v>60000.0</v>
      </c>
      <c r="E515" s="2" t="s">
        <v>37</v>
      </c>
      <c r="F515" s="1" t="s">
        <v>30</v>
      </c>
      <c r="G515" s="1" t="s">
        <v>36</v>
      </c>
      <c r="H515" s="1" t="s">
        <v>20</v>
      </c>
      <c r="I515" s="2" t="s">
        <v>17</v>
      </c>
      <c r="J515" s="1" t="s">
        <v>69</v>
      </c>
      <c r="K515" s="1" t="s">
        <v>598</v>
      </c>
      <c r="L515" s="2" t="s">
        <v>330</v>
      </c>
      <c r="M515" s="1" t="s">
        <v>20</v>
      </c>
    </row>
    <row r="516" ht="15.75" customHeight="1">
      <c r="A516" s="2" t="s">
        <v>638</v>
      </c>
      <c r="B516" s="1" t="s">
        <v>14</v>
      </c>
      <c r="C516" s="1" t="s">
        <v>27</v>
      </c>
      <c r="D516" s="3">
        <v>60000.0</v>
      </c>
      <c r="E516" s="2" t="s">
        <v>21</v>
      </c>
      <c r="F516" s="1" t="s">
        <v>30</v>
      </c>
      <c r="G516" s="1" t="s">
        <v>19</v>
      </c>
      <c r="H516" s="1" t="s">
        <v>20</v>
      </c>
      <c r="I516" s="2" t="s">
        <v>17</v>
      </c>
      <c r="J516" s="1" t="s">
        <v>43</v>
      </c>
      <c r="K516" s="1" t="s">
        <v>598</v>
      </c>
      <c r="L516" s="2" t="s">
        <v>245</v>
      </c>
      <c r="M516" s="1" t="s">
        <v>20</v>
      </c>
    </row>
    <row r="517" ht="15.75" customHeight="1">
      <c r="A517" s="2" t="s">
        <v>639</v>
      </c>
      <c r="B517" s="1" t="s">
        <v>41</v>
      </c>
      <c r="C517" s="1" t="s">
        <v>27</v>
      </c>
      <c r="D517" s="3">
        <v>30000.0</v>
      </c>
      <c r="E517" s="2" t="s">
        <v>21</v>
      </c>
      <c r="F517" s="1" t="s">
        <v>62</v>
      </c>
      <c r="G517" s="1" t="s">
        <v>31</v>
      </c>
      <c r="H517" s="1" t="s">
        <v>20</v>
      </c>
      <c r="I517" s="2" t="s">
        <v>37</v>
      </c>
      <c r="J517" s="1" t="s">
        <v>43</v>
      </c>
      <c r="K517" s="1" t="s">
        <v>598</v>
      </c>
      <c r="L517" s="2" t="s">
        <v>118</v>
      </c>
      <c r="M517" s="1" t="s">
        <v>25</v>
      </c>
    </row>
    <row r="518" ht="15.75" customHeight="1">
      <c r="A518" s="2" t="s">
        <v>640</v>
      </c>
      <c r="B518" s="1" t="s">
        <v>41</v>
      </c>
      <c r="C518" s="1" t="s">
        <v>15</v>
      </c>
      <c r="D518" s="3">
        <v>60000.0</v>
      </c>
      <c r="E518" s="2" t="s">
        <v>17</v>
      </c>
      <c r="F518" s="1" t="s">
        <v>18</v>
      </c>
      <c r="G518" s="1" t="s">
        <v>36</v>
      </c>
      <c r="H518" s="1" t="s">
        <v>25</v>
      </c>
      <c r="I518" s="2" t="s">
        <v>17</v>
      </c>
      <c r="J518" s="1" t="s">
        <v>22</v>
      </c>
      <c r="K518" s="1" t="s">
        <v>598</v>
      </c>
      <c r="L518" s="2" t="s">
        <v>102</v>
      </c>
      <c r="M518" s="1" t="s">
        <v>20</v>
      </c>
    </row>
    <row r="519" ht="15.75" customHeight="1">
      <c r="A519" s="2" t="s">
        <v>641</v>
      </c>
      <c r="B519" s="1" t="s">
        <v>14</v>
      </c>
      <c r="C519" s="1" t="s">
        <v>27</v>
      </c>
      <c r="D519" s="3">
        <v>60000.0</v>
      </c>
      <c r="E519" s="2" t="s">
        <v>29</v>
      </c>
      <c r="F519" s="1" t="s">
        <v>18</v>
      </c>
      <c r="G519" s="1" t="s">
        <v>56</v>
      </c>
      <c r="H519" s="1" t="s">
        <v>20</v>
      </c>
      <c r="I519" s="2" t="s">
        <v>37</v>
      </c>
      <c r="J519" s="1" t="s">
        <v>69</v>
      </c>
      <c r="K519" s="1" t="s">
        <v>598</v>
      </c>
      <c r="L519" s="2" t="s">
        <v>128</v>
      </c>
      <c r="M519" s="1" t="s">
        <v>25</v>
      </c>
    </row>
    <row r="520" ht="15.75" customHeight="1">
      <c r="A520" s="2" t="s">
        <v>642</v>
      </c>
      <c r="B520" s="1" t="s">
        <v>14</v>
      </c>
      <c r="C520" s="1" t="s">
        <v>27</v>
      </c>
      <c r="D520" s="3">
        <v>40000.0</v>
      </c>
      <c r="E520" s="2" t="s">
        <v>57</v>
      </c>
      <c r="F520" s="1" t="s">
        <v>55</v>
      </c>
      <c r="G520" s="1" t="s">
        <v>36</v>
      </c>
      <c r="H520" s="1" t="s">
        <v>20</v>
      </c>
      <c r="I520" s="2" t="s">
        <v>37</v>
      </c>
      <c r="J520" s="1" t="s">
        <v>69</v>
      </c>
      <c r="K520" s="1" t="s">
        <v>598</v>
      </c>
      <c r="L520" s="2" t="s">
        <v>421</v>
      </c>
      <c r="M520" s="1" t="s">
        <v>25</v>
      </c>
    </row>
    <row r="521" ht="15.75" customHeight="1">
      <c r="A521" s="2" t="s">
        <v>643</v>
      </c>
      <c r="B521" s="1" t="s">
        <v>14</v>
      </c>
      <c r="C521" s="1" t="s">
        <v>27</v>
      </c>
      <c r="D521" s="3">
        <v>50000.0</v>
      </c>
      <c r="E521" s="2" t="s">
        <v>29</v>
      </c>
      <c r="F521" s="1" t="s">
        <v>18</v>
      </c>
      <c r="G521" s="1" t="s">
        <v>19</v>
      </c>
      <c r="H521" s="1" t="s">
        <v>20</v>
      </c>
      <c r="I521" s="2" t="s">
        <v>29</v>
      </c>
      <c r="J521" s="1" t="s">
        <v>69</v>
      </c>
      <c r="K521" s="1" t="s">
        <v>598</v>
      </c>
      <c r="L521" s="2" t="s">
        <v>45</v>
      </c>
      <c r="M521" s="1" t="s">
        <v>25</v>
      </c>
    </row>
    <row r="522" ht="15.75" customHeight="1">
      <c r="A522" s="2" t="s">
        <v>644</v>
      </c>
      <c r="B522" s="1" t="s">
        <v>41</v>
      </c>
      <c r="C522" s="1" t="s">
        <v>15</v>
      </c>
      <c r="D522" s="3">
        <v>80000.0</v>
      </c>
      <c r="E522" s="2" t="s">
        <v>29</v>
      </c>
      <c r="F522" s="1" t="s">
        <v>18</v>
      </c>
      <c r="G522" s="1" t="s">
        <v>19</v>
      </c>
      <c r="H522" s="1" t="s">
        <v>20</v>
      </c>
      <c r="I522" s="2" t="s">
        <v>17</v>
      </c>
      <c r="J522" s="1" t="s">
        <v>22</v>
      </c>
      <c r="K522" s="1" t="s">
        <v>598</v>
      </c>
      <c r="L522" s="2" t="s">
        <v>45</v>
      </c>
      <c r="M522" s="1" t="s">
        <v>20</v>
      </c>
    </row>
    <row r="523" ht="15.75" customHeight="1">
      <c r="A523" s="2" t="s">
        <v>645</v>
      </c>
      <c r="B523" s="1" t="s">
        <v>14</v>
      </c>
      <c r="C523" s="1" t="s">
        <v>15</v>
      </c>
      <c r="D523" s="3">
        <v>40000.0</v>
      </c>
      <c r="E523" s="2" t="s">
        <v>17</v>
      </c>
      <c r="F523" s="1" t="s">
        <v>30</v>
      </c>
      <c r="G523" s="1" t="s">
        <v>31</v>
      </c>
      <c r="H523" s="1" t="s">
        <v>20</v>
      </c>
      <c r="I523" s="2" t="s">
        <v>17</v>
      </c>
      <c r="J523" s="1" t="s">
        <v>51</v>
      </c>
      <c r="K523" s="1" t="s">
        <v>598</v>
      </c>
      <c r="L523" s="2" t="s">
        <v>195</v>
      </c>
      <c r="M523" s="1" t="s">
        <v>20</v>
      </c>
    </row>
    <row r="524" ht="15.75" customHeight="1">
      <c r="A524" s="2" t="s">
        <v>646</v>
      </c>
      <c r="B524" s="1" t="s">
        <v>14</v>
      </c>
      <c r="C524" s="1" t="s">
        <v>15</v>
      </c>
      <c r="D524" s="3">
        <v>80000.0</v>
      </c>
      <c r="E524" s="2" t="s">
        <v>57</v>
      </c>
      <c r="F524" s="1" t="s">
        <v>18</v>
      </c>
      <c r="G524" s="1" t="s">
        <v>56</v>
      </c>
      <c r="H524" s="1" t="s">
        <v>20</v>
      </c>
      <c r="I524" s="2" t="s">
        <v>21</v>
      </c>
      <c r="J524" s="1" t="s">
        <v>22</v>
      </c>
      <c r="K524" s="1" t="s">
        <v>598</v>
      </c>
      <c r="L524" s="2" t="s">
        <v>24</v>
      </c>
      <c r="M524" s="1" t="s">
        <v>25</v>
      </c>
    </row>
    <row r="525" ht="15.75" customHeight="1">
      <c r="A525" s="2" t="s">
        <v>647</v>
      </c>
      <c r="B525" s="1" t="s">
        <v>41</v>
      </c>
      <c r="C525" s="1" t="s">
        <v>15</v>
      </c>
      <c r="D525" s="3">
        <v>70000.0</v>
      </c>
      <c r="E525" s="2" t="s">
        <v>21</v>
      </c>
      <c r="F525" s="1" t="s">
        <v>18</v>
      </c>
      <c r="G525" s="1" t="s">
        <v>36</v>
      </c>
      <c r="H525" s="1" t="s">
        <v>25</v>
      </c>
      <c r="I525" s="2" t="s">
        <v>17</v>
      </c>
      <c r="J525" s="1" t="s">
        <v>38</v>
      </c>
      <c r="K525" s="1" t="s">
        <v>598</v>
      </c>
      <c r="L525" s="2" t="s">
        <v>153</v>
      </c>
      <c r="M525" s="1" t="s">
        <v>20</v>
      </c>
    </row>
    <row r="526" ht="15.75" customHeight="1">
      <c r="A526" s="2" t="s">
        <v>648</v>
      </c>
      <c r="B526" s="1" t="s">
        <v>41</v>
      </c>
      <c r="C526" s="1" t="s">
        <v>15</v>
      </c>
      <c r="D526" s="3">
        <v>70000.0</v>
      </c>
      <c r="E526" s="2" t="s">
        <v>29</v>
      </c>
      <c r="F526" s="1" t="s">
        <v>87</v>
      </c>
      <c r="G526" s="1" t="s">
        <v>56</v>
      </c>
      <c r="H526" s="1" t="s">
        <v>20</v>
      </c>
      <c r="I526" s="2" t="s">
        <v>37</v>
      </c>
      <c r="J526" s="1" t="s">
        <v>51</v>
      </c>
      <c r="K526" s="1" t="s">
        <v>598</v>
      </c>
      <c r="L526" s="2" t="s">
        <v>132</v>
      </c>
      <c r="M526" s="1" t="s">
        <v>25</v>
      </c>
    </row>
    <row r="527" ht="15.75" customHeight="1">
      <c r="A527" s="2" t="s">
        <v>649</v>
      </c>
      <c r="B527" s="1" t="s">
        <v>14</v>
      </c>
      <c r="C527" s="1" t="s">
        <v>27</v>
      </c>
      <c r="D527" s="3">
        <v>50000.0</v>
      </c>
      <c r="E527" s="2" t="s">
        <v>17</v>
      </c>
      <c r="F527" s="1" t="s">
        <v>87</v>
      </c>
      <c r="G527" s="1" t="s">
        <v>19</v>
      </c>
      <c r="H527" s="1" t="s">
        <v>20</v>
      </c>
      <c r="I527" s="2" t="s">
        <v>21</v>
      </c>
      <c r="J527" s="1" t="s">
        <v>51</v>
      </c>
      <c r="K527" s="1" t="s">
        <v>598</v>
      </c>
      <c r="L527" s="2" t="s">
        <v>93</v>
      </c>
      <c r="M527" s="1" t="s">
        <v>25</v>
      </c>
    </row>
    <row r="528" ht="15.75" customHeight="1">
      <c r="A528" s="2" t="s">
        <v>650</v>
      </c>
      <c r="B528" s="1" t="s">
        <v>14</v>
      </c>
      <c r="C528" s="1" t="s">
        <v>27</v>
      </c>
      <c r="D528" s="3">
        <v>40000.0</v>
      </c>
      <c r="E528" s="2" t="s">
        <v>21</v>
      </c>
      <c r="F528" s="1" t="s">
        <v>55</v>
      </c>
      <c r="G528" s="1" t="s">
        <v>19</v>
      </c>
      <c r="H528" s="1" t="s">
        <v>20</v>
      </c>
      <c r="I528" s="2" t="s">
        <v>37</v>
      </c>
      <c r="J528" s="1" t="s">
        <v>43</v>
      </c>
      <c r="K528" s="1" t="s">
        <v>598</v>
      </c>
      <c r="L528" s="2" t="s">
        <v>97</v>
      </c>
      <c r="M528" s="1" t="s">
        <v>25</v>
      </c>
    </row>
    <row r="529" ht="15.75" customHeight="1">
      <c r="A529" s="2" t="s">
        <v>651</v>
      </c>
      <c r="B529" s="1" t="s">
        <v>14</v>
      </c>
      <c r="C529" s="1" t="s">
        <v>15</v>
      </c>
      <c r="D529" s="3">
        <v>70000.0</v>
      </c>
      <c r="E529" s="2" t="s">
        <v>37</v>
      </c>
      <c r="F529" s="1" t="s">
        <v>55</v>
      </c>
      <c r="G529" s="1" t="s">
        <v>36</v>
      </c>
      <c r="H529" s="1" t="s">
        <v>20</v>
      </c>
      <c r="I529" s="2" t="s">
        <v>37</v>
      </c>
      <c r="J529" s="1" t="s">
        <v>38</v>
      </c>
      <c r="K529" s="1" t="s">
        <v>598</v>
      </c>
      <c r="L529" s="2" t="s">
        <v>201</v>
      </c>
      <c r="M529" s="1" t="s">
        <v>25</v>
      </c>
    </row>
    <row r="530" ht="15.75" customHeight="1">
      <c r="A530" s="2" t="s">
        <v>652</v>
      </c>
      <c r="B530" s="1" t="s">
        <v>41</v>
      </c>
      <c r="C530" s="1" t="s">
        <v>27</v>
      </c>
      <c r="D530" s="3">
        <v>120000.0</v>
      </c>
      <c r="E530" s="2" t="s">
        <v>37</v>
      </c>
      <c r="F530" s="1" t="s">
        <v>18</v>
      </c>
      <c r="G530" s="1" t="s">
        <v>56</v>
      </c>
      <c r="H530" s="1" t="s">
        <v>25</v>
      </c>
      <c r="I530" s="2" t="s">
        <v>57</v>
      </c>
      <c r="J530" s="1" t="s">
        <v>51</v>
      </c>
      <c r="K530" s="1" t="s">
        <v>598</v>
      </c>
      <c r="L530" s="2" t="s">
        <v>100</v>
      </c>
      <c r="M530" s="1" t="s">
        <v>25</v>
      </c>
    </row>
    <row r="531" ht="15.75" customHeight="1">
      <c r="A531" s="2" t="s">
        <v>653</v>
      </c>
      <c r="B531" s="1" t="s">
        <v>41</v>
      </c>
      <c r="C531" s="1" t="s">
        <v>27</v>
      </c>
      <c r="D531" s="3">
        <v>60000.0</v>
      </c>
      <c r="E531" s="2" t="s">
        <v>21</v>
      </c>
      <c r="F531" s="1" t="s">
        <v>30</v>
      </c>
      <c r="G531" s="1" t="s">
        <v>19</v>
      </c>
      <c r="H531" s="1" t="s">
        <v>25</v>
      </c>
      <c r="I531" s="2" t="s">
        <v>37</v>
      </c>
      <c r="J531" s="1" t="s">
        <v>51</v>
      </c>
      <c r="K531" s="1" t="s">
        <v>598</v>
      </c>
      <c r="L531" s="2" t="s">
        <v>97</v>
      </c>
      <c r="M531" s="1" t="s">
        <v>25</v>
      </c>
    </row>
    <row r="532" ht="15.75" customHeight="1">
      <c r="A532" s="2" t="s">
        <v>654</v>
      </c>
      <c r="B532" s="1" t="s">
        <v>14</v>
      </c>
      <c r="C532" s="1" t="s">
        <v>27</v>
      </c>
      <c r="D532" s="3">
        <v>60000.0</v>
      </c>
      <c r="E532" s="2" t="s">
        <v>57</v>
      </c>
      <c r="F532" s="1" t="s">
        <v>18</v>
      </c>
      <c r="G532" s="1" t="s">
        <v>36</v>
      </c>
      <c r="H532" s="1" t="s">
        <v>20</v>
      </c>
      <c r="I532" s="2" t="s">
        <v>37</v>
      </c>
      <c r="J532" s="1" t="s">
        <v>38</v>
      </c>
      <c r="K532" s="1" t="s">
        <v>598</v>
      </c>
      <c r="L532" s="2" t="s">
        <v>32</v>
      </c>
      <c r="M532" s="1" t="s">
        <v>20</v>
      </c>
    </row>
    <row r="533" ht="15.75" customHeight="1">
      <c r="A533" s="2" t="s">
        <v>655</v>
      </c>
      <c r="B533" s="1" t="s">
        <v>14</v>
      </c>
      <c r="C533" s="1" t="s">
        <v>27</v>
      </c>
      <c r="D533" s="3">
        <v>60000.0</v>
      </c>
      <c r="E533" s="2" t="s">
        <v>37</v>
      </c>
      <c r="F533" s="1" t="s">
        <v>55</v>
      </c>
      <c r="G533" s="1" t="s">
        <v>36</v>
      </c>
      <c r="H533" s="1" t="s">
        <v>20</v>
      </c>
      <c r="I533" s="2" t="s">
        <v>37</v>
      </c>
      <c r="J533" s="1" t="s">
        <v>38</v>
      </c>
      <c r="K533" s="1" t="s">
        <v>598</v>
      </c>
      <c r="L533" s="2" t="s">
        <v>72</v>
      </c>
      <c r="M533" s="1" t="s">
        <v>20</v>
      </c>
    </row>
    <row r="534" ht="15.75" customHeight="1">
      <c r="A534" s="2" t="s">
        <v>656</v>
      </c>
      <c r="B534" s="1" t="s">
        <v>41</v>
      </c>
      <c r="C534" s="1" t="s">
        <v>15</v>
      </c>
      <c r="D534" s="3">
        <v>80000.0</v>
      </c>
      <c r="E534" s="2" t="s">
        <v>57</v>
      </c>
      <c r="F534" s="1" t="s">
        <v>87</v>
      </c>
      <c r="G534" s="1" t="s">
        <v>19</v>
      </c>
      <c r="H534" s="1" t="s">
        <v>25</v>
      </c>
      <c r="I534" s="2" t="s">
        <v>21</v>
      </c>
      <c r="J534" s="1" t="s">
        <v>22</v>
      </c>
      <c r="K534" s="1" t="s">
        <v>598</v>
      </c>
      <c r="L534" s="2" t="s">
        <v>125</v>
      </c>
      <c r="M534" s="1" t="s">
        <v>25</v>
      </c>
    </row>
    <row r="535" ht="15.75" customHeight="1">
      <c r="A535" s="2" t="s">
        <v>658</v>
      </c>
      <c r="B535" s="1" t="s">
        <v>41</v>
      </c>
      <c r="C535" s="1" t="s">
        <v>15</v>
      </c>
      <c r="D535" s="3">
        <v>70000.0</v>
      </c>
      <c r="E535" s="2" t="s">
        <v>21</v>
      </c>
      <c r="F535" s="1" t="s">
        <v>18</v>
      </c>
      <c r="G535" s="1" t="s">
        <v>36</v>
      </c>
      <c r="H535" s="1" t="s">
        <v>25</v>
      </c>
      <c r="I535" s="2" t="s">
        <v>17</v>
      </c>
      <c r="J535" s="1" t="s">
        <v>22</v>
      </c>
      <c r="K535" s="1" t="s">
        <v>44</v>
      </c>
      <c r="L535" s="2" t="s">
        <v>24</v>
      </c>
      <c r="M535" s="1" t="s">
        <v>20</v>
      </c>
    </row>
    <row r="536" ht="15.75" customHeight="1">
      <c r="A536" s="2" t="s">
        <v>659</v>
      </c>
      <c r="B536" s="1" t="s">
        <v>14</v>
      </c>
      <c r="C536" s="1" t="s">
        <v>15</v>
      </c>
      <c r="D536" s="3">
        <v>50000.0</v>
      </c>
      <c r="E536" s="2" t="s">
        <v>57</v>
      </c>
      <c r="F536" s="1" t="s">
        <v>18</v>
      </c>
      <c r="G536" s="1" t="s">
        <v>56</v>
      </c>
      <c r="H536" s="1" t="s">
        <v>20</v>
      </c>
      <c r="I536" s="2" t="s">
        <v>37</v>
      </c>
      <c r="J536" s="1" t="s">
        <v>69</v>
      </c>
      <c r="K536" s="1" t="s">
        <v>598</v>
      </c>
      <c r="L536" s="2" t="s">
        <v>95</v>
      </c>
      <c r="M536" s="1" t="s">
        <v>25</v>
      </c>
    </row>
    <row r="537" ht="15.75" customHeight="1">
      <c r="A537" s="2" t="s">
        <v>660</v>
      </c>
      <c r="B537" s="1" t="s">
        <v>41</v>
      </c>
      <c r="C537" s="1" t="s">
        <v>27</v>
      </c>
      <c r="D537" s="3">
        <v>60000.0</v>
      </c>
      <c r="E537" s="2" t="s">
        <v>29</v>
      </c>
      <c r="F537" s="1" t="s">
        <v>55</v>
      </c>
      <c r="G537" s="1" t="s">
        <v>36</v>
      </c>
      <c r="H537" s="1" t="s">
        <v>20</v>
      </c>
      <c r="I537" s="2" t="s">
        <v>37</v>
      </c>
      <c r="J537" s="1" t="s">
        <v>69</v>
      </c>
      <c r="K537" s="1" t="s">
        <v>598</v>
      </c>
      <c r="L537" s="2" t="s">
        <v>66</v>
      </c>
      <c r="M537" s="1" t="s">
        <v>20</v>
      </c>
    </row>
    <row r="538" ht="15.75" customHeight="1">
      <c r="A538" s="2" t="s">
        <v>661</v>
      </c>
      <c r="B538" s="1" t="s">
        <v>14</v>
      </c>
      <c r="C538" s="1" t="s">
        <v>27</v>
      </c>
      <c r="D538" s="3">
        <v>40000.0</v>
      </c>
      <c r="E538" s="2" t="s">
        <v>29</v>
      </c>
      <c r="F538" s="1" t="s">
        <v>30</v>
      </c>
      <c r="G538" s="1" t="s">
        <v>36</v>
      </c>
      <c r="H538" s="1" t="s">
        <v>25</v>
      </c>
      <c r="I538" s="2" t="s">
        <v>37</v>
      </c>
      <c r="J538" s="1" t="s">
        <v>43</v>
      </c>
      <c r="K538" s="1" t="s">
        <v>598</v>
      </c>
      <c r="L538" s="2" t="s">
        <v>662</v>
      </c>
      <c r="M538" s="1" t="s">
        <v>20</v>
      </c>
    </row>
    <row r="539" ht="15.75" customHeight="1">
      <c r="A539" s="2" t="s">
        <v>664</v>
      </c>
      <c r="B539" s="1" t="s">
        <v>41</v>
      </c>
      <c r="C539" s="1" t="s">
        <v>27</v>
      </c>
      <c r="D539" s="3">
        <v>50000.0</v>
      </c>
      <c r="E539" s="2" t="s">
        <v>21</v>
      </c>
      <c r="F539" s="1" t="s">
        <v>30</v>
      </c>
      <c r="G539" s="1" t="s">
        <v>19</v>
      </c>
      <c r="H539" s="1" t="s">
        <v>25</v>
      </c>
      <c r="I539" s="2" t="s">
        <v>17</v>
      </c>
      <c r="J539" s="1" t="s">
        <v>38</v>
      </c>
      <c r="K539" s="1" t="s">
        <v>598</v>
      </c>
      <c r="L539" s="2" t="s">
        <v>135</v>
      </c>
      <c r="M539" s="1" t="s">
        <v>20</v>
      </c>
    </row>
    <row r="540" ht="15.75" customHeight="1">
      <c r="A540" s="2" t="s">
        <v>665</v>
      </c>
      <c r="B540" s="1" t="s">
        <v>14</v>
      </c>
      <c r="C540" s="1" t="s">
        <v>27</v>
      </c>
      <c r="D540" s="3">
        <v>80000.0</v>
      </c>
      <c r="E540" s="2" t="s">
        <v>57</v>
      </c>
      <c r="F540" s="1" t="s">
        <v>18</v>
      </c>
      <c r="G540" s="1" t="s">
        <v>56</v>
      </c>
      <c r="H540" s="1" t="s">
        <v>20</v>
      </c>
      <c r="I540" s="2" t="s">
        <v>21</v>
      </c>
      <c r="J540" s="1" t="s">
        <v>51</v>
      </c>
      <c r="K540" s="1" t="s">
        <v>598</v>
      </c>
      <c r="L540" s="2" t="s">
        <v>24</v>
      </c>
      <c r="M540" s="1" t="s">
        <v>25</v>
      </c>
    </row>
    <row r="541" ht="15.75" customHeight="1">
      <c r="A541" s="2" t="s">
        <v>666</v>
      </c>
      <c r="B541" s="1" t="s">
        <v>14</v>
      </c>
      <c r="C541" s="1" t="s">
        <v>15</v>
      </c>
      <c r="D541" s="3">
        <v>40000.0</v>
      </c>
      <c r="E541" s="2" t="s">
        <v>29</v>
      </c>
      <c r="F541" s="1" t="s">
        <v>30</v>
      </c>
      <c r="G541" s="1" t="s">
        <v>31</v>
      </c>
      <c r="H541" s="1" t="s">
        <v>20</v>
      </c>
      <c r="I541" s="2" t="s">
        <v>21</v>
      </c>
      <c r="J541" s="1" t="s">
        <v>51</v>
      </c>
      <c r="K541" s="1" t="s">
        <v>598</v>
      </c>
      <c r="L541" s="2" t="s">
        <v>109</v>
      </c>
      <c r="M541" s="1" t="s">
        <v>25</v>
      </c>
    </row>
    <row r="542" ht="15.75" customHeight="1">
      <c r="A542" s="2" t="s">
        <v>667</v>
      </c>
      <c r="B542" s="1" t="s">
        <v>14</v>
      </c>
      <c r="C542" s="1" t="s">
        <v>15</v>
      </c>
      <c r="D542" s="3">
        <v>50000.0</v>
      </c>
      <c r="E542" s="2" t="s">
        <v>29</v>
      </c>
      <c r="F542" s="1" t="s">
        <v>18</v>
      </c>
      <c r="G542" s="1" t="s">
        <v>19</v>
      </c>
      <c r="H542" s="1" t="s">
        <v>20</v>
      </c>
      <c r="I542" s="2" t="s">
        <v>37</v>
      </c>
      <c r="J542" s="1" t="s">
        <v>22</v>
      </c>
      <c r="K542" s="1" t="s">
        <v>598</v>
      </c>
      <c r="L542" s="2" t="s">
        <v>45</v>
      </c>
      <c r="M542" s="1" t="s">
        <v>25</v>
      </c>
    </row>
    <row r="543" ht="15.75" customHeight="1">
      <c r="A543" s="2" t="s">
        <v>668</v>
      </c>
      <c r="B543" s="1" t="s">
        <v>41</v>
      </c>
      <c r="C543" s="1" t="s">
        <v>15</v>
      </c>
      <c r="D543" s="3">
        <v>60000.0</v>
      </c>
      <c r="E543" s="2" t="s">
        <v>37</v>
      </c>
      <c r="F543" s="1" t="s">
        <v>18</v>
      </c>
      <c r="G543" s="1" t="s">
        <v>56</v>
      </c>
      <c r="H543" s="1" t="s">
        <v>20</v>
      </c>
      <c r="I543" s="2" t="s">
        <v>21</v>
      </c>
      <c r="J543" s="1" t="s">
        <v>69</v>
      </c>
      <c r="K543" s="1" t="s">
        <v>598</v>
      </c>
      <c r="L543" s="2" t="s">
        <v>63</v>
      </c>
      <c r="M543" s="1" t="s">
        <v>25</v>
      </c>
    </row>
    <row r="544" ht="15.75" customHeight="1">
      <c r="A544" s="2" t="s">
        <v>669</v>
      </c>
      <c r="B544" s="1" t="s">
        <v>14</v>
      </c>
      <c r="C544" s="1" t="s">
        <v>15</v>
      </c>
      <c r="D544" s="3">
        <v>60000.0</v>
      </c>
      <c r="E544" s="2" t="s">
        <v>21</v>
      </c>
      <c r="F544" s="1" t="s">
        <v>87</v>
      </c>
      <c r="G544" s="1" t="s">
        <v>36</v>
      </c>
      <c r="H544" s="1" t="s">
        <v>20</v>
      </c>
      <c r="I544" s="2" t="s">
        <v>21</v>
      </c>
      <c r="J544" s="1" t="s">
        <v>22</v>
      </c>
      <c r="K544" s="1" t="s">
        <v>598</v>
      </c>
      <c r="L544" s="2" t="s">
        <v>100</v>
      </c>
      <c r="M544" s="1" t="s">
        <v>25</v>
      </c>
    </row>
    <row r="545" ht="15.75" customHeight="1">
      <c r="A545" s="2" t="s">
        <v>671</v>
      </c>
      <c r="B545" s="1" t="s">
        <v>14</v>
      </c>
      <c r="C545" s="1" t="s">
        <v>15</v>
      </c>
      <c r="D545" s="3">
        <v>70000.0</v>
      </c>
      <c r="E545" s="2" t="s">
        <v>37</v>
      </c>
      <c r="F545" s="1" t="s">
        <v>87</v>
      </c>
      <c r="G545" s="1" t="s">
        <v>36</v>
      </c>
      <c r="H545" s="1" t="s">
        <v>20</v>
      </c>
      <c r="I545" s="2" t="s">
        <v>21</v>
      </c>
      <c r="J545" s="1" t="s">
        <v>38</v>
      </c>
      <c r="K545" s="1" t="s">
        <v>598</v>
      </c>
      <c r="L545" s="2" t="s">
        <v>93</v>
      </c>
      <c r="M545" s="1" t="s">
        <v>20</v>
      </c>
    </row>
    <row r="546" ht="15.75" customHeight="1">
      <c r="A546" s="2" t="s">
        <v>672</v>
      </c>
      <c r="B546" s="1" t="s">
        <v>41</v>
      </c>
      <c r="C546" s="1" t="s">
        <v>15</v>
      </c>
      <c r="D546" s="3">
        <v>30000.0</v>
      </c>
      <c r="E546" s="2" t="s">
        <v>21</v>
      </c>
      <c r="F546" s="1" t="s">
        <v>30</v>
      </c>
      <c r="G546" s="1" t="s">
        <v>19</v>
      </c>
      <c r="H546" s="1" t="s">
        <v>20</v>
      </c>
      <c r="I546" s="2" t="s">
        <v>17</v>
      </c>
      <c r="J546" s="1" t="s">
        <v>43</v>
      </c>
      <c r="K546" s="1" t="s">
        <v>598</v>
      </c>
      <c r="L546" s="2" t="s">
        <v>118</v>
      </c>
      <c r="M546" s="1" t="s">
        <v>25</v>
      </c>
    </row>
    <row r="547" ht="15.75" customHeight="1">
      <c r="A547" s="2" t="s">
        <v>673</v>
      </c>
      <c r="B547" s="1" t="s">
        <v>41</v>
      </c>
      <c r="C547" s="1" t="s">
        <v>27</v>
      </c>
      <c r="D547" s="3">
        <v>30000.0</v>
      </c>
      <c r="E547" s="2" t="s">
        <v>21</v>
      </c>
      <c r="F547" s="1" t="s">
        <v>30</v>
      </c>
      <c r="G547" s="1" t="s">
        <v>19</v>
      </c>
      <c r="H547" s="1" t="s">
        <v>20</v>
      </c>
      <c r="I547" s="2" t="s">
        <v>17</v>
      </c>
      <c r="J547" s="1" t="s">
        <v>43</v>
      </c>
      <c r="K547" s="1" t="s">
        <v>598</v>
      </c>
      <c r="L547" s="2" t="s">
        <v>245</v>
      </c>
      <c r="M547" s="1" t="s">
        <v>25</v>
      </c>
    </row>
    <row r="548" ht="15.75" customHeight="1">
      <c r="A548" s="2" t="s">
        <v>674</v>
      </c>
      <c r="B548" s="1" t="s">
        <v>14</v>
      </c>
      <c r="C548" s="1" t="s">
        <v>27</v>
      </c>
      <c r="D548" s="3">
        <v>40000.0</v>
      </c>
      <c r="E548" s="2" t="s">
        <v>29</v>
      </c>
      <c r="F548" s="1" t="s">
        <v>30</v>
      </c>
      <c r="G548" s="1" t="s">
        <v>36</v>
      </c>
      <c r="H548" s="1" t="s">
        <v>25</v>
      </c>
      <c r="I548" s="2" t="s">
        <v>37</v>
      </c>
      <c r="J548" s="1" t="s">
        <v>43</v>
      </c>
      <c r="K548" s="1" t="s">
        <v>598</v>
      </c>
      <c r="L548" s="2" t="s">
        <v>66</v>
      </c>
      <c r="M548" s="1" t="s">
        <v>20</v>
      </c>
    </row>
    <row r="549" ht="15.75" customHeight="1">
      <c r="A549" s="2" t="s">
        <v>675</v>
      </c>
      <c r="B549" s="1" t="s">
        <v>14</v>
      </c>
      <c r="C549" s="1" t="s">
        <v>15</v>
      </c>
      <c r="D549" s="3">
        <v>60000.0</v>
      </c>
      <c r="E549" s="2" t="s">
        <v>37</v>
      </c>
      <c r="F549" s="1" t="s">
        <v>87</v>
      </c>
      <c r="G549" s="1" t="s">
        <v>56</v>
      </c>
      <c r="H549" s="1" t="s">
        <v>20</v>
      </c>
      <c r="I549" s="2" t="s">
        <v>37</v>
      </c>
      <c r="J549" s="1" t="s">
        <v>43</v>
      </c>
      <c r="K549" s="1" t="s">
        <v>598</v>
      </c>
      <c r="L549" s="2" t="s">
        <v>337</v>
      </c>
      <c r="M549" s="1" t="s">
        <v>25</v>
      </c>
    </row>
    <row r="550" ht="15.75" customHeight="1">
      <c r="A550" s="2" t="s">
        <v>676</v>
      </c>
      <c r="B550" s="1" t="s">
        <v>14</v>
      </c>
      <c r="C550" s="1" t="s">
        <v>27</v>
      </c>
      <c r="D550" s="3">
        <v>40000.0</v>
      </c>
      <c r="E550" s="2" t="s">
        <v>17</v>
      </c>
      <c r="F550" s="1" t="s">
        <v>30</v>
      </c>
      <c r="G550" s="1" t="s">
        <v>31</v>
      </c>
      <c r="H550" s="1" t="s">
        <v>20</v>
      </c>
      <c r="I550" s="2" t="s">
        <v>17</v>
      </c>
      <c r="J550" s="1" t="s">
        <v>51</v>
      </c>
      <c r="K550" s="1" t="s">
        <v>598</v>
      </c>
      <c r="L550" s="2" t="s">
        <v>125</v>
      </c>
      <c r="M550" s="1" t="s">
        <v>20</v>
      </c>
    </row>
    <row r="551" ht="15.75" customHeight="1">
      <c r="A551" s="2" t="s">
        <v>677</v>
      </c>
      <c r="B551" s="1" t="s">
        <v>14</v>
      </c>
      <c r="C551" s="1" t="s">
        <v>27</v>
      </c>
      <c r="D551" s="3">
        <v>70000.0</v>
      </c>
      <c r="E551" s="2" t="s">
        <v>17</v>
      </c>
      <c r="F551" s="1" t="s">
        <v>30</v>
      </c>
      <c r="G551" s="1" t="s">
        <v>19</v>
      </c>
      <c r="H551" s="1" t="s">
        <v>20</v>
      </c>
      <c r="I551" s="2" t="s">
        <v>17</v>
      </c>
      <c r="J551" s="1" t="s">
        <v>38</v>
      </c>
      <c r="K551" s="1" t="s">
        <v>598</v>
      </c>
      <c r="L551" s="2" t="s">
        <v>102</v>
      </c>
      <c r="M551" s="1" t="s">
        <v>20</v>
      </c>
    </row>
    <row r="552" ht="15.75" customHeight="1">
      <c r="A552" s="2" t="s">
        <v>678</v>
      </c>
      <c r="B552" s="1" t="s">
        <v>41</v>
      </c>
      <c r="C552" s="1" t="s">
        <v>27</v>
      </c>
      <c r="D552" s="3">
        <v>50000.0</v>
      </c>
      <c r="E552" s="2" t="s">
        <v>29</v>
      </c>
      <c r="F552" s="1" t="s">
        <v>87</v>
      </c>
      <c r="G552" s="1" t="s">
        <v>56</v>
      </c>
      <c r="H552" s="1" t="s">
        <v>20</v>
      </c>
      <c r="I552" s="2" t="s">
        <v>37</v>
      </c>
      <c r="J552" s="1" t="s">
        <v>69</v>
      </c>
      <c r="K552" s="1" t="s">
        <v>598</v>
      </c>
      <c r="L552" s="2" t="s">
        <v>403</v>
      </c>
      <c r="M552" s="1" t="s">
        <v>25</v>
      </c>
    </row>
    <row r="553" ht="15.75" customHeight="1">
      <c r="A553" s="2" t="s">
        <v>679</v>
      </c>
      <c r="B553" s="1" t="s">
        <v>14</v>
      </c>
      <c r="C553" s="1" t="s">
        <v>27</v>
      </c>
      <c r="D553" s="3">
        <v>70000.0</v>
      </c>
      <c r="E553" s="2" t="s">
        <v>29</v>
      </c>
      <c r="F553" s="1" t="s">
        <v>62</v>
      </c>
      <c r="G553" s="1" t="s">
        <v>19</v>
      </c>
      <c r="H553" s="1" t="s">
        <v>20</v>
      </c>
      <c r="I553" s="2" t="s">
        <v>37</v>
      </c>
      <c r="J553" s="1" t="s">
        <v>43</v>
      </c>
      <c r="K553" s="1" t="s">
        <v>598</v>
      </c>
      <c r="L553" s="2" t="s">
        <v>132</v>
      </c>
      <c r="M553" s="1" t="s">
        <v>25</v>
      </c>
    </row>
    <row r="554" ht="15.75" customHeight="1">
      <c r="A554" s="2" t="s">
        <v>680</v>
      </c>
      <c r="B554" s="1" t="s">
        <v>14</v>
      </c>
      <c r="C554" s="1" t="s">
        <v>27</v>
      </c>
      <c r="D554" s="3">
        <v>40000.0</v>
      </c>
      <c r="E554" s="2" t="s">
        <v>37</v>
      </c>
      <c r="F554" s="1" t="s">
        <v>62</v>
      </c>
      <c r="G554" s="1" t="s">
        <v>19</v>
      </c>
      <c r="H554" s="1" t="s">
        <v>20</v>
      </c>
      <c r="I554" s="2" t="s">
        <v>37</v>
      </c>
      <c r="J554" s="1" t="s">
        <v>38</v>
      </c>
      <c r="K554" s="1" t="s">
        <v>598</v>
      </c>
      <c r="L554" s="2" t="s">
        <v>72</v>
      </c>
      <c r="M554" s="1" t="s">
        <v>25</v>
      </c>
    </row>
    <row r="555" ht="15.75" customHeight="1">
      <c r="A555" s="2" t="s">
        <v>681</v>
      </c>
      <c r="B555" s="1" t="s">
        <v>41</v>
      </c>
      <c r="C555" s="1" t="s">
        <v>27</v>
      </c>
      <c r="D555" s="3">
        <v>30000.0</v>
      </c>
      <c r="E555" s="2" t="s">
        <v>21</v>
      </c>
      <c r="F555" s="1" t="s">
        <v>55</v>
      </c>
      <c r="G555" s="1" t="s">
        <v>19</v>
      </c>
      <c r="H555" s="1" t="s">
        <v>20</v>
      </c>
      <c r="I555" s="2" t="s">
        <v>37</v>
      </c>
      <c r="J555" s="1" t="s">
        <v>43</v>
      </c>
      <c r="K555" s="1" t="s">
        <v>598</v>
      </c>
      <c r="L555" s="2" t="s">
        <v>116</v>
      </c>
      <c r="M555" s="1" t="s">
        <v>25</v>
      </c>
    </row>
    <row r="556" ht="15.75" customHeight="1">
      <c r="A556" s="2" t="s">
        <v>682</v>
      </c>
      <c r="B556" s="1" t="s">
        <v>14</v>
      </c>
      <c r="C556" s="1" t="s">
        <v>27</v>
      </c>
      <c r="D556" s="3">
        <v>60000.0</v>
      </c>
      <c r="E556" s="2" t="s">
        <v>29</v>
      </c>
      <c r="F556" s="1" t="s">
        <v>87</v>
      </c>
      <c r="G556" s="1" t="s">
        <v>56</v>
      </c>
      <c r="H556" s="1" t="s">
        <v>20</v>
      </c>
      <c r="I556" s="2" t="s">
        <v>37</v>
      </c>
      <c r="J556" s="1" t="s">
        <v>51</v>
      </c>
      <c r="K556" s="1" t="s">
        <v>598</v>
      </c>
      <c r="L556" s="2" t="s">
        <v>95</v>
      </c>
      <c r="M556" s="1" t="s">
        <v>25</v>
      </c>
    </row>
    <row r="557" ht="15.75" customHeight="1">
      <c r="A557" s="2" t="s">
        <v>683</v>
      </c>
      <c r="B557" s="1" t="s">
        <v>41</v>
      </c>
      <c r="C557" s="1" t="s">
        <v>15</v>
      </c>
      <c r="D557" s="3">
        <v>80000.0</v>
      </c>
      <c r="E557" s="2" t="s">
        <v>21</v>
      </c>
      <c r="F557" s="1" t="s">
        <v>18</v>
      </c>
      <c r="G557" s="1" t="s">
        <v>56</v>
      </c>
      <c r="H557" s="1" t="s">
        <v>20</v>
      </c>
      <c r="I557" s="2" t="s">
        <v>17</v>
      </c>
      <c r="J557" s="1" t="s">
        <v>51</v>
      </c>
      <c r="K557" s="1" t="s">
        <v>598</v>
      </c>
      <c r="L557" s="2" t="s">
        <v>93</v>
      </c>
      <c r="M557" s="1" t="s">
        <v>20</v>
      </c>
    </row>
    <row r="558" ht="15.75" customHeight="1">
      <c r="A558" s="2" t="s">
        <v>684</v>
      </c>
      <c r="B558" s="1" t="s">
        <v>41</v>
      </c>
      <c r="C558" s="1" t="s">
        <v>27</v>
      </c>
      <c r="D558" s="3">
        <v>60000.0</v>
      </c>
      <c r="E558" s="2" t="s">
        <v>37</v>
      </c>
      <c r="F558" s="1" t="s">
        <v>30</v>
      </c>
      <c r="G558" s="1" t="s">
        <v>36</v>
      </c>
      <c r="H558" s="1" t="s">
        <v>20</v>
      </c>
      <c r="I558" s="2" t="s">
        <v>17</v>
      </c>
      <c r="J558" s="1" t="s">
        <v>69</v>
      </c>
      <c r="K558" s="1" t="s">
        <v>598</v>
      </c>
      <c r="L558" s="2" t="s">
        <v>91</v>
      </c>
      <c r="M558" s="1" t="s">
        <v>25</v>
      </c>
    </row>
    <row r="559" ht="15.75" customHeight="1">
      <c r="A559" s="2" t="s">
        <v>685</v>
      </c>
      <c r="B559" s="1" t="s">
        <v>41</v>
      </c>
      <c r="C559" s="1" t="s">
        <v>15</v>
      </c>
      <c r="D559" s="3">
        <v>40000.0</v>
      </c>
      <c r="E559" s="2" t="s">
        <v>21</v>
      </c>
      <c r="F559" s="1" t="s">
        <v>55</v>
      </c>
      <c r="G559" s="1" t="s">
        <v>19</v>
      </c>
      <c r="H559" s="1" t="s">
        <v>20</v>
      </c>
      <c r="I559" s="2" t="s">
        <v>17</v>
      </c>
      <c r="J559" s="1" t="s">
        <v>43</v>
      </c>
      <c r="K559" s="1" t="s">
        <v>598</v>
      </c>
      <c r="L559" s="2" t="s">
        <v>109</v>
      </c>
      <c r="M559" s="1" t="s">
        <v>25</v>
      </c>
    </row>
    <row r="560" ht="15.75" customHeight="1">
      <c r="A560" s="2" t="s">
        <v>686</v>
      </c>
      <c r="B560" s="1" t="s">
        <v>14</v>
      </c>
      <c r="C560" s="1" t="s">
        <v>27</v>
      </c>
      <c r="D560" s="3">
        <v>120000.0</v>
      </c>
      <c r="E560" s="2" t="s">
        <v>17</v>
      </c>
      <c r="F560" s="1" t="s">
        <v>18</v>
      </c>
      <c r="G560" s="1" t="s">
        <v>56</v>
      </c>
      <c r="H560" s="1" t="s">
        <v>20</v>
      </c>
      <c r="I560" s="2" t="s">
        <v>57</v>
      </c>
      <c r="J560" s="1" t="s">
        <v>22</v>
      </c>
      <c r="K560" s="1" t="s">
        <v>598</v>
      </c>
      <c r="L560" s="2" t="s">
        <v>79</v>
      </c>
      <c r="M560" s="1" t="s">
        <v>25</v>
      </c>
    </row>
    <row r="561" ht="15.75" customHeight="1">
      <c r="A561" s="2" t="s">
        <v>687</v>
      </c>
      <c r="B561" s="1" t="s">
        <v>14</v>
      </c>
      <c r="C561" s="1" t="s">
        <v>27</v>
      </c>
      <c r="D561" s="3">
        <v>60000.0</v>
      </c>
      <c r="E561" s="2" t="s">
        <v>57</v>
      </c>
      <c r="F561" s="1" t="s">
        <v>18</v>
      </c>
      <c r="G561" s="1" t="s">
        <v>56</v>
      </c>
      <c r="H561" s="1" t="s">
        <v>20</v>
      </c>
      <c r="I561" s="2" t="s">
        <v>37</v>
      </c>
      <c r="J561" s="1" t="s">
        <v>38</v>
      </c>
      <c r="K561" s="1" t="s">
        <v>598</v>
      </c>
      <c r="L561" s="2" t="s">
        <v>81</v>
      </c>
      <c r="M561" s="1" t="s">
        <v>25</v>
      </c>
    </row>
    <row r="562" ht="15.75" customHeight="1">
      <c r="A562" s="2" t="s">
        <v>688</v>
      </c>
      <c r="B562" s="1" t="s">
        <v>41</v>
      </c>
      <c r="C562" s="1" t="s">
        <v>15</v>
      </c>
      <c r="D562" s="3">
        <v>40000.0</v>
      </c>
      <c r="E562" s="2" t="s">
        <v>29</v>
      </c>
      <c r="F562" s="1" t="s">
        <v>30</v>
      </c>
      <c r="G562" s="1" t="s">
        <v>31</v>
      </c>
      <c r="H562" s="1" t="s">
        <v>25</v>
      </c>
      <c r="I562" s="2" t="s">
        <v>37</v>
      </c>
      <c r="J562" s="1" t="s">
        <v>22</v>
      </c>
      <c r="K562" s="1" t="s">
        <v>598</v>
      </c>
      <c r="L562" s="2" t="s">
        <v>104</v>
      </c>
      <c r="M562" s="1" t="s">
        <v>25</v>
      </c>
    </row>
    <row r="563" ht="15.75" customHeight="1">
      <c r="A563" s="2" t="s">
        <v>689</v>
      </c>
      <c r="B563" s="1" t="s">
        <v>14</v>
      </c>
      <c r="C563" s="1" t="s">
        <v>15</v>
      </c>
      <c r="D563" s="3">
        <v>60000.0</v>
      </c>
      <c r="E563" s="2" t="s">
        <v>29</v>
      </c>
      <c r="F563" s="1" t="s">
        <v>87</v>
      </c>
      <c r="G563" s="1" t="s">
        <v>56</v>
      </c>
      <c r="H563" s="1" t="s">
        <v>20</v>
      </c>
      <c r="I563" s="2" t="s">
        <v>37</v>
      </c>
      <c r="J563" s="1" t="s">
        <v>69</v>
      </c>
      <c r="K563" s="1" t="s">
        <v>598</v>
      </c>
      <c r="L563" s="2" t="s">
        <v>403</v>
      </c>
      <c r="M563" s="1" t="s">
        <v>25</v>
      </c>
    </row>
    <row r="564" ht="15.75" customHeight="1">
      <c r="A564" s="2" t="s">
        <v>690</v>
      </c>
      <c r="B564" s="1" t="s">
        <v>14</v>
      </c>
      <c r="C564" s="1" t="s">
        <v>27</v>
      </c>
      <c r="D564" s="3">
        <v>40000.0</v>
      </c>
      <c r="E564" s="2" t="s">
        <v>21</v>
      </c>
      <c r="F564" s="1" t="s">
        <v>30</v>
      </c>
      <c r="G564" s="1" t="s">
        <v>19</v>
      </c>
      <c r="H564" s="1" t="s">
        <v>20</v>
      </c>
      <c r="I564" s="2" t="s">
        <v>17</v>
      </c>
      <c r="J564" s="1" t="s">
        <v>43</v>
      </c>
      <c r="K564" s="1" t="s">
        <v>598</v>
      </c>
      <c r="L564" s="2" t="s">
        <v>118</v>
      </c>
      <c r="M564" s="1" t="s">
        <v>25</v>
      </c>
    </row>
    <row r="565" ht="15.75" customHeight="1">
      <c r="A565" s="2" t="s">
        <v>691</v>
      </c>
      <c r="B565" s="1" t="s">
        <v>14</v>
      </c>
      <c r="C565" s="1" t="s">
        <v>27</v>
      </c>
      <c r="D565" s="3">
        <v>80000.0</v>
      </c>
      <c r="E565" s="2" t="s">
        <v>57</v>
      </c>
      <c r="F565" s="1" t="s">
        <v>87</v>
      </c>
      <c r="G565" s="1" t="s">
        <v>19</v>
      </c>
      <c r="H565" s="1" t="s">
        <v>20</v>
      </c>
      <c r="I565" s="2" t="s">
        <v>21</v>
      </c>
      <c r="J565" s="1" t="s">
        <v>51</v>
      </c>
      <c r="K565" s="1" t="s">
        <v>598</v>
      </c>
      <c r="L565" s="2" t="s">
        <v>83</v>
      </c>
      <c r="M565" s="1" t="s">
        <v>25</v>
      </c>
    </row>
    <row r="566" ht="15.75" customHeight="1">
      <c r="A566" s="2" t="s">
        <v>692</v>
      </c>
      <c r="B566" s="1" t="s">
        <v>14</v>
      </c>
      <c r="C566" s="1" t="s">
        <v>27</v>
      </c>
      <c r="D566" s="3">
        <v>60000.0</v>
      </c>
      <c r="E566" s="2" t="s">
        <v>29</v>
      </c>
      <c r="F566" s="1" t="s">
        <v>18</v>
      </c>
      <c r="G566" s="1" t="s">
        <v>56</v>
      </c>
      <c r="H566" s="1" t="s">
        <v>20</v>
      </c>
      <c r="I566" s="2" t="s">
        <v>37</v>
      </c>
      <c r="J566" s="1" t="s">
        <v>69</v>
      </c>
      <c r="K566" s="1" t="s">
        <v>598</v>
      </c>
      <c r="L566" s="2" t="s">
        <v>128</v>
      </c>
      <c r="M566" s="1" t="s">
        <v>25</v>
      </c>
    </row>
    <row r="567" ht="15.75" customHeight="1">
      <c r="A567" s="2" t="s">
        <v>693</v>
      </c>
      <c r="B567" s="1" t="s">
        <v>41</v>
      </c>
      <c r="C567" s="1" t="s">
        <v>27</v>
      </c>
      <c r="D567" s="3">
        <v>70000.0</v>
      </c>
      <c r="E567" s="2" t="s">
        <v>37</v>
      </c>
      <c r="F567" s="1" t="s">
        <v>18</v>
      </c>
      <c r="G567" s="1" t="s">
        <v>19</v>
      </c>
      <c r="H567" s="1" t="s">
        <v>25</v>
      </c>
      <c r="I567" s="2" t="s">
        <v>17</v>
      </c>
      <c r="J567" s="1" t="s">
        <v>22</v>
      </c>
      <c r="K567" s="1" t="s">
        <v>598</v>
      </c>
      <c r="L567" s="2" t="s">
        <v>153</v>
      </c>
      <c r="M567" s="1" t="s">
        <v>20</v>
      </c>
    </row>
    <row r="568" ht="15.75" customHeight="1">
      <c r="A568" s="2" t="s">
        <v>694</v>
      </c>
      <c r="B568" s="1" t="s">
        <v>41</v>
      </c>
      <c r="C568" s="1" t="s">
        <v>27</v>
      </c>
      <c r="D568" s="3">
        <v>120000.0</v>
      </c>
      <c r="E568" s="2" t="s">
        <v>37</v>
      </c>
      <c r="F568" s="1" t="s">
        <v>18</v>
      </c>
      <c r="G568" s="1" t="s">
        <v>56</v>
      </c>
      <c r="H568" s="1" t="s">
        <v>25</v>
      </c>
      <c r="I568" s="2" t="s">
        <v>29</v>
      </c>
      <c r="J568" s="1" t="s">
        <v>22</v>
      </c>
      <c r="K568" s="1" t="s">
        <v>598</v>
      </c>
      <c r="L568" s="2" t="s">
        <v>135</v>
      </c>
      <c r="M568" s="1" t="s">
        <v>20</v>
      </c>
    </row>
    <row r="569" ht="15.75" customHeight="1">
      <c r="A569" s="2" t="s">
        <v>695</v>
      </c>
      <c r="B569" s="1" t="s">
        <v>14</v>
      </c>
      <c r="C569" s="1" t="s">
        <v>27</v>
      </c>
      <c r="D569" s="3">
        <v>60000.0</v>
      </c>
      <c r="E569" s="2" t="s">
        <v>37</v>
      </c>
      <c r="F569" s="1" t="s">
        <v>55</v>
      </c>
      <c r="G569" s="1" t="s">
        <v>36</v>
      </c>
      <c r="H569" s="1" t="s">
        <v>25</v>
      </c>
      <c r="I569" s="2" t="s">
        <v>37</v>
      </c>
      <c r="J569" s="1" t="s">
        <v>51</v>
      </c>
      <c r="K569" s="1" t="s">
        <v>598</v>
      </c>
      <c r="L569" s="2" t="s">
        <v>178</v>
      </c>
      <c r="M569" s="1" t="s">
        <v>25</v>
      </c>
    </row>
    <row r="570" ht="15.75" customHeight="1">
      <c r="A570" s="2" t="s">
        <v>696</v>
      </c>
      <c r="B570" s="1" t="s">
        <v>14</v>
      </c>
      <c r="C570" s="1" t="s">
        <v>15</v>
      </c>
      <c r="D570" s="3">
        <v>130000.0</v>
      </c>
      <c r="E570" s="2" t="s">
        <v>21</v>
      </c>
      <c r="F570" s="1" t="s">
        <v>87</v>
      </c>
      <c r="G570" s="1" t="s">
        <v>56</v>
      </c>
      <c r="H570" s="1" t="s">
        <v>20</v>
      </c>
      <c r="I570" s="2" t="s">
        <v>29</v>
      </c>
      <c r="J570" s="1" t="s">
        <v>51</v>
      </c>
      <c r="K570" s="1" t="s">
        <v>598</v>
      </c>
      <c r="L570" s="2" t="s">
        <v>100</v>
      </c>
      <c r="M570" s="1" t="s">
        <v>25</v>
      </c>
    </row>
    <row r="571" ht="15.75" customHeight="1">
      <c r="A571" s="2" t="s">
        <v>697</v>
      </c>
      <c r="B571" s="1" t="s">
        <v>14</v>
      </c>
      <c r="C571" s="1" t="s">
        <v>15</v>
      </c>
      <c r="D571" s="3">
        <v>90000.0</v>
      </c>
      <c r="E571" s="2" t="s">
        <v>37</v>
      </c>
      <c r="F571" s="1" t="s">
        <v>55</v>
      </c>
      <c r="G571" s="1" t="s">
        <v>36</v>
      </c>
      <c r="H571" s="1" t="s">
        <v>20</v>
      </c>
      <c r="I571" s="2" t="s">
        <v>17</v>
      </c>
      <c r="J571" s="1" t="s">
        <v>69</v>
      </c>
      <c r="K571" s="1" t="s">
        <v>598</v>
      </c>
      <c r="L571" s="2" t="s">
        <v>178</v>
      </c>
      <c r="M571" s="1" t="s">
        <v>20</v>
      </c>
    </row>
    <row r="572" ht="15.75" customHeight="1">
      <c r="A572" s="2" t="s">
        <v>698</v>
      </c>
      <c r="B572" s="1" t="s">
        <v>41</v>
      </c>
      <c r="C572" s="1" t="s">
        <v>27</v>
      </c>
      <c r="D572" s="3">
        <v>60000.0</v>
      </c>
      <c r="E572" s="2" t="s">
        <v>37</v>
      </c>
      <c r="F572" s="1" t="s">
        <v>18</v>
      </c>
      <c r="G572" s="1" t="s">
        <v>56</v>
      </c>
      <c r="H572" s="1" t="s">
        <v>20</v>
      </c>
      <c r="I572" s="2" t="s">
        <v>21</v>
      </c>
      <c r="J572" s="1" t="s">
        <v>69</v>
      </c>
      <c r="K572" s="1" t="s">
        <v>598</v>
      </c>
      <c r="L572" s="2" t="s">
        <v>330</v>
      </c>
      <c r="M572" s="1" t="s">
        <v>25</v>
      </c>
    </row>
    <row r="573" ht="15.75" customHeight="1">
      <c r="A573" s="2" t="s">
        <v>699</v>
      </c>
      <c r="B573" s="1" t="s">
        <v>14</v>
      </c>
      <c r="C573" s="1" t="s">
        <v>15</v>
      </c>
      <c r="D573" s="3">
        <v>60000.0</v>
      </c>
      <c r="E573" s="2" t="s">
        <v>17</v>
      </c>
      <c r="F573" s="1" t="s">
        <v>87</v>
      </c>
      <c r="G573" s="1" t="s">
        <v>36</v>
      </c>
      <c r="H573" s="1" t="s">
        <v>25</v>
      </c>
      <c r="I573" s="2" t="s">
        <v>21</v>
      </c>
      <c r="J573" s="1" t="s">
        <v>22</v>
      </c>
      <c r="K573" s="1" t="s">
        <v>598</v>
      </c>
      <c r="L573" s="2" t="s">
        <v>74</v>
      </c>
      <c r="M573" s="1" t="s">
        <v>20</v>
      </c>
    </row>
    <row r="574" ht="15.75" customHeight="1">
      <c r="A574" s="2" t="s">
        <v>700</v>
      </c>
      <c r="B574" s="1" t="s">
        <v>14</v>
      </c>
      <c r="C574" s="1" t="s">
        <v>27</v>
      </c>
      <c r="D574" s="3">
        <v>40000.0</v>
      </c>
      <c r="E574" s="2" t="s">
        <v>57</v>
      </c>
      <c r="F574" s="1" t="s">
        <v>55</v>
      </c>
      <c r="G574" s="1" t="s">
        <v>36</v>
      </c>
      <c r="H574" s="1" t="s">
        <v>25</v>
      </c>
      <c r="I574" s="2" t="s">
        <v>37</v>
      </c>
      <c r="J574" s="1" t="s">
        <v>69</v>
      </c>
      <c r="K574" s="1" t="s">
        <v>598</v>
      </c>
      <c r="L574" s="2" t="s">
        <v>145</v>
      </c>
      <c r="M574" s="1" t="s">
        <v>20</v>
      </c>
    </row>
    <row r="575" ht="15.75" customHeight="1">
      <c r="A575" s="2" t="s">
        <v>701</v>
      </c>
      <c r="B575" s="1" t="s">
        <v>41</v>
      </c>
      <c r="C575" s="1" t="s">
        <v>15</v>
      </c>
      <c r="D575" s="3">
        <v>80000.0</v>
      </c>
      <c r="E575" s="2" t="s">
        <v>35</v>
      </c>
      <c r="F575" s="1" t="s">
        <v>30</v>
      </c>
      <c r="G575" s="1" t="s">
        <v>36</v>
      </c>
      <c r="H575" s="1" t="s">
        <v>20</v>
      </c>
      <c r="I575" s="2" t="s">
        <v>37</v>
      </c>
      <c r="J575" s="1" t="s">
        <v>43</v>
      </c>
      <c r="K575" s="1" t="s">
        <v>598</v>
      </c>
      <c r="L575" s="2" t="s">
        <v>102</v>
      </c>
      <c r="M575" s="1" t="s">
        <v>25</v>
      </c>
    </row>
    <row r="576" ht="15.75" customHeight="1">
      <c r="A576" s="2" t="s">
        <v>702</v>
      </c>
      <c r="B576" s="1" t="s">
        <v>41</v>
      </c>
      <c r="C576" s="1" t="s">
        <v>15</v>
      </c>
      <c r="D576" s="3">
        <v>70000.0</v>
      </c>
      <c r="E576" s="2" t="s">
        <v>37</v>
      </c>
      <c r="F576" s="1" t="s">
        <v>30</v>
      </c>
      <c r="G576" s="1" t="s">
        <v>36</v>
      </c>
      <c r="H576" s="1" t="s">
        <v>20</v>
      </c>
      <c r="I576" s="2" t="s">
        <v>21</v>
      </c>
      <c r="J576" s="1" t="s">
        <v>43</v>
      </c>
      <c r="K576" s="1" t="s">
        <v>598</v>
      </c>
      <c r="L576" s="2" t="s">
        <v>195</v>
      </c>
      <c r="M576" s="1" t="s">
        <v>20</v>
      </c>
    </row>
    <row r="577" ht="15.75" customHeight="1">
      <c r="A577" s="2" t="s">
        <v>703</v>
      </c>
      <c r="B577" s="1" t="s">
        <v>14</v>
      </c>
      <c r="C577" s="1" t="s">
        <v>27</v>
      </c>
      <c r="D577" s="3">
        <v>80000.0</v>
      </c>
      <c r="E577" s="2" t="s">
        <v>57</v>
      </c>
      <c r="F577" s="1" t="s">
        <v>87</v>
      </c>
      <c r="G577" s="1" t="s">
        <v>56</v>
      </c>
      <c r="H577" s="1" t="s">
        <v>20</v>
      </c>
      <c r="I577" s="2" t="s">
        <v>37</v>
      </c>
      <c r="J577" s="1" t="s">
        <v>43</v>
      </c>
      <c r="K577" s="1" t="s">
        <v>598</v>
      </c>
      <c r="L577" s="2" t="s">
        <v>337</v>
      </c>
      <c r="M577" s="1" t="s">
        <v>25</v>
      </c>
    </row>
    <row r="578" ht="15.75" customHeight="1">
      <c r="A578" s="2" t="s">
        <v>704</v>
      </c>
      <c r="B578" s="1" t="s">
        <v>41</v>
      </c>
      <c r="C578" s="1" t="s">
        <v>15</v>
      </c>
      <c r="D578" s="3">
        <v>20000.0</v>
      </c>
      <c r="E578" s="2" t="s">
        <v>29</v>
      </c>
      <c r="F578" s="1" t="s">
        <v>55</v>
      </c>
      <c r="G578" s="1" t="s">
        <v>19</v>
      </c>
      <c r="H578" s="1" t="s">
        <v>20</v>
      </c>
      <c r="I578" s="2" t="s">
        <v>37</v>
      </c>
      <c r="J578" s="1" t="s">
        <v>38</v>
      </c>
      <c r="K578" s="1" t="s">
        <v>598</v>
      </c>
      <c r="L578" s="2" t="s">
        <v>353</v>
      </c>
      <c r="M578" s="1" t="s">
        <v>25</v>
      </c>
    </row>
    <row r="579" ht="15.75" customHeight="1">
      <c r="A579" s="2" t="s">
        <v>705</v>
      </c>
      <c r="B579" s="1" t="s">
        <v>14</v>
      </c>
      <c r="C579" s="1" t="s">
        <v>15</v>
      </c>
      <c r="D579" s="3">
        <v>90000.0</v>
      </c>
      <c r="E579" s="2" t="s">
        <v>57</v>
      </c>
      <c r="F579" s="1" t="s">
        <v>30</v>
      </c>
      <c r="G579" s="1" t="s">
        <v>36</v>
      </c>
      <c r="H579" s="1" t="s">
        <v>20</v>
      </c>
      <c r="I579" s="2" t="s">
        <v>17</v>
      </c>
      <c r="J579" s="1" t="s">
        <v>51</v>
      </c>
      <c r="K579" s="1" t="s">
        <v>598</v>
      </c>
      <c r="L579" s="2" t="s">
        <v>77</v>
      </c>
      <c r="M579" s="1" t="s">
        <v>25</v>
      </c>
    </row>
    <row r="580" ht="15.75" customHeight="1">
      <c r="A580" s="2" t="s">
        <v>706</v>
      </c>
      <c r="B580" s="1" t="s">
        <v>41</v>
      </c>
      <c r="C580" s="1" t="s">
        <v>27</v>
      </c>
      <c r="D580" s="3">
        <v>40000.0</v>
      </c>
      <c r="E580" s="2" t="s">
        <v>37</v>
      </c>
      <c r="F580" s="1" t="s">
        <v>55</v>
      </c>
      <c r="G580" s="1" t="s">
        <v>36</v>
      </c>
      <c r="H580" s="1" t="s">
        <v>25</v>
      </c>
      <c r="I580" s="2" t="s">
        <v>17</v>
      </c>
      <c r="J580" s="1" t="s">
        <v>38</v>
      </c>
      <c r="K580" s="1" t="s">
        <v>598</v>
      </c>
      <c r="L580" s="2" t="s">
        <v>63</v>
      </c>
      <c r="M580" s="1" t="s">
        <v>20</v>
      </c>
    </row>
    <row r="581" ht="15.75" customHeight="1">
      <c r="A581" s="2" t="s">
        <v>707</v>
      </c>
      <c r="B581" s="1" t="s">
        <v>14</v>
      </c>
      <c r="C581" s="1" t="s">
        <v>27</v>
      </c>
      <c r="D581" s="3">
        <v>130000.0</v>
      </c>
      <c r="E581" s="2" t="s">
        <v>17</v>
      </c>
      <c r="F581" s="1" t="s">
        <v>87</v>
      </c>
      <c r="G581" s="1" t="s">
        <v>56</v>
      </c>
      <c r="H581" s="1" t="s">
        <v>20</v>
      </c>
      <c r="I581" s="2" t="s">
        <v>57</v>
      </c>
      <c r="J581" s="1" t="s">
        <v>22</v>
      </c>
      <c r="K581" s="1" t="s">
        <v>598</v>
      </c>
      <c r="L581" s="2" t="s">
        <v>45</v>
      </c>
      <c r="M581" s="1" t="s">
        <v>25</v>
      </c>
    </row>
    <row r="582" ht="15.75" customHeight="1">
      <c r="A582" s="2" t="s">
        <v>708</v>
      </c>
      <c r="B582" s="1" t="s">
        <v>14</v>
      </c>
      <c r="C582" s="1" t="s">
        <v>15</v>
      </c>
      <c r="D582" s="3">
        <v>60000.0</v>
      </c>
      <c r="E582" s="2" t="s">
        <v>37</v>
      </c>
      <c r="F582" s="1" t="s">
        <v>30</v>
      </c>
      <c r="G582" s="1" t="s">
        <v>36</v>
      </c>
      <c r="H582" s="1" t="s">
        <v>20</v>
      </c>
      <c r="I582" s="2" t="s">
        <v>17</v>
      </c>
      <c r="J582" s="1" t="s">
        <v>38</v>
      </c>
      <c r="K582" s="1" t="s">
        <v>598</v>
      </c>
      <c r="L582" s="2" t="s">
        <v>330</v>
      </c>
      <c r="M582" s="1" t="s">
        <v>20</v>
      </c>
    </row>
    <row r="583" ht="15.75" customHeight="1">
      <c r="A583" s="2" t="s">
        <v>709</v>
      </c>
      <c r="B583" s="1" t="s">
        <v>14</v>
      </c>
      <c r="C583" s="1" t="s">
        <v>27</v>
      </c>
      <c r="D583" s="3">
        <v>30000.0</v>
      </c>
      <c r="E583" s="2" t="s">
        <v>37</v>
      </c>
      <c r="F583" s="1" t="s">
        <v>55</v>
      </c>
      <c r="G583" s="1" t="s">
        <v>19</v>
      </c>
      <c r="H583" s="1" t="s">
        <v>25</v>
      </c>
      <c r="I583" s="2" t="s">
        <v>37</v>
      </c>
      <c r="J583" s="1" t="s">
        <v>22</v>
      </c>
      <c r="K583" s="1" t="s">
        <v>598</v>
      </c>
      <c r="L583" s="2" t="s">
        <v>195</v>
      </c>
      <c r="M583" s="1" t="s">
        <v>25</v>
      </c>
    </row>
    <row r="584" ht="15.75" customHeight="1">
      <c r="A584" s="2" t="s">
        <v>710</v>
      </c>
      <c r="B584" s="1" t="s">
        <v>41</v>
      </c>
      <c r="C584" s="1" t="s">
        <v>1111</v>
      </c>
      <c r="D584" s="3">
        <v>80000.0</v>
      </c>
      <c r="E584" s="2" t="s">
        <v>57</v>
      </c>
      <c r="F584" s="1" t="s">
        <v>30</v>
      </c>
      <c r="G584" s="1" t="s">
        <v>36</v>
      </c>
      <c r="H584" s="1" t="s">
        <v>25</v>
      </c>
      <c r="I584" s="2" t="s">
        <v>37</v>
      </c>
      <c r="J584" s="1" t="s">
        <v>22</v>
      </c>
      <c r="K584" s="1" t="s">
        <v>598</v>
      </c>
      <c r="L584" s="2" t="s">
        <v>32</v>
      </c>
      <c r="M584" s="1" t="s">
        <v>25</v>
      </c>
    </row>
    <row r="585" ht="15.75" customHeight="1">
      <c r="A585" s="2" t="s">
        <v>711</v>
      </c>
      <c r="B585" s="1" t="s">
        <v>41</v>
      </c>
      <c r="C585" s="1" t="s">
        <v>27</v>
      </c>
      <c r="D585" s="3">
        <v>60000.0</v>
      </c>
      <c r="E585" s="2" t="s">
        <v>37</v>
      </c>
      <c r="F585" s="1" t="s">
        <v>62</v>
      </c>
      <c r="G585" s="1" t="s">
        <v>19</v>
      </c>
      <c r="H585" s="1" t="s">
        <v>20</v>
      </c>
      <c r="I585" s="2" t="s">
        <v>37</v>
      </c>
      <c r="J585" s="1" t="s">
        <v>43</v>
      </c>
      <c r="K585" s="1" t="s">
        <v>598</v>
      </c>
      <c r="L585" s="2" t="s">
        <v>132</v>
      </c>
      <c r="M585" s="1" t="s">
        <v>20</v>
      </c>
    </row>
    <row r="586" ht="15.75" customHeight="1">
      <c r="A586" s="2" t="s">
        <v>61</v>
      </c>
      <c r="B586" s="1" t="s">
        <v>14</v>
      </c>
      <c r="C586" s="1" t="s">
        <v>27</v>
      </c>
      <c r="D586" s="3">
        <v>60000.0</v>
      </c>
      <c r="E586" s="2" t="s">
        <v>17</v>
      </c>
      <c r="F586" s="1" t="s">
        <v>87</v>
      </c>
      <c r="G586" s="1" t="s">
        <v>36</v>
      </c>
      <c r="H586" s="1" t="s">
        <v>20</v>
      </c>
      <c r="I586" s="2" t="s">
        <v>21</v>
      </c>
      <c r="J586" s="1" t="s">
        <v>22</v>
      </c>
      <c r="K586" s="1" t="s">
        <v>598</v>
      </c>
      <c r="L586" s="2" t="s">
        <v>74</v>
      </c>
      <c r="M586" s="1" t="s">
        <v>20</v>
      </c>
    </row>
    <row r="587" ht="15.75" customHeight="1">
      <c r="A587" s="2" t="s">
        <v>712</v>
      </c>
      <c r="B587" s="1" t="s">
        <v>14</v>
      </c>
      <c r="C587" s="1" t="s">
        <v>27</v>
      </c>
      <c r="D587" s="3">
        <v>40000.0</v>
      </c>
      <c r="E587" s="2" t="s">
        <v>21</v>
      </c>
      <c r="F587" s="1" t="s">
        <v>55</v>
      </c>
      <c r="G587" s="1" t="s">
        <v>19</v>
      </c>
      <c r="H587" s="1" t="s">
        <v>20</v>
      </c>
      <c r="I587" s="2" t="s">
        <v>37</v>
      </c>
      <c r="J587" s="1" t="s">
        <v>43</v>
      </c>
      <c r="K587" s="1" t="s">
        <v>598</v>
      </c>
      <c r="L587" s="2" t="s">
        <v>245</v>
      </c>
      <c r="M587" s="1" t="s">
        <v>25</v>
      </c>
    </row>
    <row r="588" ht="15.75" customHeight="1">
      <c r="A588" s="2" t="s">
        <v>713</v>
      </c>
      <c r="B588" s="1" t="s">
        <v>41</v>
      </c>
      <c r="C588" s="1" t="s">
        <v>27</v>
      </c>
      <c r="D588" s="3">
        <v>70000.0</v>
      </c>
      <c r="E588" s="2" t="s">
        <v>29</v>
      </c>
      <c r="F588" s="1" t="s">
        <v>55</v>
      </c>
      <c r="G588" s="1" t="s">
        <v>36</v>
      </c>
      <c r="H588" s="1" t="s">
        <v>20</v>
      </c>
      <c r="I588" s="2" t="s">
        <v>21</v>
      </c>
      <c r="J588" s="1" t="s">
        <v>43</v>
      </c>
      <c r="K588" s="1" t="s">
        <v>598</v>
      </c>
      <c r="L588" s="2" t="s">
        <v>132</v>
      </c>
      <c r="M588" s="1" t="s">
        <v>20</v>
      </c>
    </row>
    <row r="589" ht="15.75" customHeight="1">
      <c r="A589" s="2" t="s">
        <v>714</v>
      </c>
      <c r="B589" s="1" t="s">
        <v>41</v>
      </c>
      <c r="C589" s="1" t="s">
        <v>27</v>
      </c>
      <c r="D589" s="3">
        <v>40000.0</v>
      </c>
      <c r="E589" s="2" t="s">
        <v>37</v>
      </c>
      <c r="F589" s="1" t="s">
        <v>18</v>
      </c>
      <c r="G589" s="1" t="s">
        <v>19</v>
      </c>
      <c r="H589" s="1" t="s">
        <v>20</v>
      </c>
      <c r="I589" s="2" t="s">
        <v>21</v>
      </c>
      <c r="J589" s="1" t="s">
        <v>38</v>
      </c>
      <c r="K589" s="1" t="s">
        <v>598</v>
      </c>
      <c r="L589" s="2" t="s">
        <v>47</v>
      </c>
      <c r="M589" s="1" t="s">
        <v>25</v>
      </c>
    </row>
    <row r="590" ht="15.75" customHeight="1">
      <c r="A590" s="2" t="s">
        <v>715</v>
      </c>
      <c r="B590" s="1" t="s">
        <v>41</v>
      </c>
      <c r="C590" s="1" t="s">
        <v>15</v>
      </c>
      <c r="D590" s="3">
        <v>70000.0</v>
      </c>
      <c r="E590" s="2" t="s">
        <v>35</v>
      </c>
      <c r="F590" s="1" t="s">
        <v>87</v>
      </c>
      <c r="G590" s="1" t="s">
        <v>36</v>
      </c>
      <c r="H590" s="1" t="s">
        <v>20</v>
      </c>
      <c r="I590" s="2" t="s">
        <v>29</v>
      </c>
      <c r="J590" s="1" t="s">
        <v>69</v>
      </c>
      <c r="K590" s="1" t="s">
        <v>598</v>
      </c>
      <c r="L590" s="2" t="s">
        <v>130</v>
      </c>
      <c r="M590" s="1" t="s">
        <v>20</v>
      </c>
    </row>
    <row r="591" ht="15.75" customHeight="1">
      <c r="A591" s="2" t="s">
        <v>716</v>
      </c>
      <c r="B591" s="1" t="s">
        <v>14</v>
      </c>
      <c r="C591" s="1" t="s">
        <v>27</v>
      </c>
      <c r="D591" s="3">
        <v>60000.0</v>
      </c>
      <c r="E591" s="2" t="s">
        <v>29</v>
      </c>
      <c r="F591" s="1" t="s">
        <v>62</v>
      </c>
      <c r="G591" s="1" t="s">
        <v>19</v>
      </c>
      <c r="H591" s="1" t="s">
        <v>20</v>
      </c>
      <c r="I591" s="2" t="s">
        <v>37</v>
      </c>
      <c r="J591" s="1" t="s">
        <v>43</v>
      </c>
      <c r="K591" s="1" t="s">
        <v>598</v>
      </c>
      <c r="L591" s="2" t="s">
        <v>132</v>
      </c>
      <c r="M591" s="1" t="s">
        <v>20</v>
      </c>
    </row>
    <row r="592" ht="15.75" customHeight="1">
      <c r="A592" s="2" t="s">
        <v>717</v>
      </c>
      <c r="B592" s="1" t="s">
        <v>14</v>
      </c>
      <c r="C592" s="1" t="s">
        <v>27</v>
      </c>
      <c r="D592" s="3">
        <v>70000.0</v>
      </c>
      <c r="E592" s="2" t="s">
        <v>21</v>
      </c>
      <c r="F592" s="1" t="s">
        <v>18</v>
      </c>
      <c r="G592" s="1" t="s">
        <v>36</v>
      </c>
      <c r="H592" s="1" t="s">
        <v>25</v>
      </c>
      <c r="I592" s="2" t="s">
        <v>17</v>
      </c>
      <c r="J592" s="1" t="s">
        <v>22</v>
      </c>
      <c r="K592" s="1" t="s">
        <v>598</v>
      </c>
      <c r="L592" s="2" t="s">
        <v>32</v>
      </c>
      <c r="M592" s="1" t="s">
        <v>25</v>
      </c>
    </row>
    <row r="593" ht="15.75" customHeight="1">
      <c r="A593" s="2" t="s">
        <v>718</v>
      </c>
      <c r="B593" s="1" t="s">
        <v>14</v>
      </c>
      <c r="C593" s="1" t="s">
        <v>27</v>
      </c>
      <c r="D593" s="3">
        <v>60000.0</v>
      </c>
      <c r="E593" s="2" t="s">
        <v>17</v>
      </c>
      <c r="F593" s="1" t="s">
        <v>30</v>
      </c>
      <c r="G593" s="1" t="s">
        <v>19</v>
      </c>
      <c r="H593" s="1" t="s">
        <v>20</v>
      </c>
      <c r="I593" s="2" t="s">
        <v>17</v>
      </c>
      <c r="J593" s="1" t="s">
        <v>38</v>
      </c>
      <c r="K593" s="1" t="s">
        <v>598</v>
      </c>
      <c r="L593" s="2" t="s">
        <v>102</v>
      </c>
      <c r="M593" s="1" t="s">
        <v>25</v>
      </c>
    </row>
    <row r="594" ht="15.75" customHeight="1">
      <c r="A594" s="2" t="s">
        <v>719</v>
      </c>
      <c r="B594" s="1" t="s">
        <v>14</v>
      </c>
      <c r="C594" s="1" t="s">
        <v>15</v>
      </c>
      <c r="D594" s="3">
        <v>80000.0</v>
      </c>
      <c r="E594" s="2" t="s">
        <v>21</v>
      </c>
      <c r="F594" s="1" t="s">
        <v>18</v>
      </c>
      <c r="G594" s="1" t="s">
        <v>56</v>
      </c>
      <c r="H594" s="1" t="s">
        <v>20</v>
      </c>
      <c r="I594" s="2" t="s">
        <v>17</v>
      </c>
      <c r="J594" s="1" t="s">
        <v>51</v>
      </c>
      <c r="K594" s="1" t="s">
        <v>598</v>
      </c>
      <c r="L594" s="2" t="s">
        <v>93</v>
      </c>
      <c r="M594" s="1" t="s">
        <v>20</v>
      </c>
    </row>
    <row r="595" ht="15.75" customHeight="1">
      <c r="A595" s="2" t="s">
        <v>720</v>
      </c>
      <c r="B595" s="1" t="s">
        <v>41</v>
      </c>
      <c r="C595" s="1" t="s">
        <v>15</v>
      </c>
      <c r="D595" s="3">
        <v>30000.0</v>
      </c>
      <c r="E595" s="2" t="s">
        <v>21</v>
      </c>
      <c r="F595" s="1" t="s">
        <v>62</v>
      </c>
      <c r="G595" s="1" t="s">
        <v>31</v>
      </c>
      <c r="H595" s="1" t="s">
        <v>20</v>
      </c>
      <c r="I595" s="2" t="s">
        <v>37</v>
      </c>
      <c r="J595" s="1" t="s">
        <v>43</v>
      </c>
      <c r="K595" s="1" t="s">
        <v>598</v>
      </c>
      <c r="L595" s="2" t="s">
        <v>245</v>
      </c>
      <c r="M595" s="1" t="s">
        <v>25</v>
      </c>
    </row>
    <row r="596" ht="15.75" customHeight="1">
      <c r="A596" s="2" t="s">
        <v>721</v>
      </c>
      <c r="B596" s="1" t="s">
        <v>41</v>
      </c>
      <c r="C596" s="1" t="s">
        <v>27</v>
      </c>
      <c r="D596" s="3">
        <v>110000.0</v>
      </c>
      <c r="E596" s="2" t="s">
        <v>17</v>
      </c>
      <c r="F596" s="1" t="s">
        <v>30</v>
      </c>
      <c r="G596" s="1" t="s">
        <v>36</v>
      </c>
      <c r="H596" s="1" t="s">
        <v>20</v>
      </c>
      <c r="I596" s="2" t="s">
        <v>57</v>
      </c>
      <c r="J596" s="1" t="s">
        <v>43</v>
      </c>
      <c r="K596" s="1" t="s">
        <v>598</v>
      </c>
      <c r="L596" s="2" t="s">
        <v>77</v>
      </c>
      <c r="M596" s="1" t="s">
        <v>20</v>
      </c>
    </row>
    <row r="597" ht="15.75" customHeight="1">
      <c r="A597" s="2" t="s">
        <v>722</v>
      </c>
      <c r="B597" s="1" t="s">
        <v>14</v>
      </c>
      <c r="C597" s="1" t="s">
        <v>15</v>
      </c>
      <c r="D597" s="3">
        <v>100000.0</v>
      </c>
      <c r="E597" s="2" t="s">
        <v>29</v>
      </c>
      <c r="F597" s="1" t="s">
        <v>30</v>
      </c>
      <c r="G597" s="1" t="s">
        <v>36</v>
      </c>
      <c r="H597" s="1" t="s">
        <v>20</v>
      </c>
      <c r="I597" s="2" t="s">
        <v>57</v>
      </c>
      <c r="J597" s="1" t="s">
        <v>51</v>
      </c>
      <c r="K597" s="1" t="s">
        <v>598</v>
      </c>
      <c r="L597" s="2" t="s">
        <v>77</v>
      </c>
      <c r="M597" s="1" t="s">
        <v>25</v>
      </c>
    </row>
    <row r="598" ht="15.75" customHeight="1">
      <c r="A598" s="2" t="s">
        <v>724</v>
      </c>
      <c r="B598" s="1" t="s">
        <v>41</v>
      </c>
      <c r="C598" s="1" t="s">
        <v>15</v>
      </c>
      <c r="D598" s="3">
        <v>80000.0</v>
      </c>
      <c r="E598" s="2" t="s">
        <v>57</v>
      </c>
      <c r="F598" s="1" t="s">
        <v>87</v>
      </c>
      <c r="G598" s="1" t="s">
        <v>19</v>
      </c>
      <c r="H598" s="1" t="s">
        <v>20</v>
      </c>
      <c r="I598" s="2" t="s">
        <v>21</v>
      </c>
      <c r="J598" s="1" t="s">
        <v>51</v>
      </c>
      <c r="K598" s="1" t="s">
        <v>598</v>
      </c>
      <c r="L598" s="2" t="s">
        <v>83</v>
      </c>
      <c r="M598" s="1" t="s">
        <v>25</v>
      </c>
    </row>
    <row r="599" ht="15.75" customHeight="1">
      <c r="A599" s="2" t="s">
        <v>725</v>
      </c>
      <c r="B599" s="1" t="s">
        <v>14</v>
      </c>
      <c r="C599" s="1" t="s">
        <v>27</v>
      </c>
      <c r="D599" s="3">
        <v>40000.0</v>
      </c>
      <c r="E599" s="2" t="s">
        <v>57</v>
      </c>
      <c r="F599" s="1" t="s">
        <v>55</v>
      </c>
      <c r="G599" s="1" t="s">
        <v>19</v>
      </c>
      <c r="H599" s="1" t="s">
        <v>20</v>
      </c>
      <c r="I599" s="2" t="s">
        <v>37</v>
      </c>
      <c r="J599" s="1" t="s">
        <v>38</v>
      </c>
      <c r="K599" s="1" t="s">
        <v>598</v>
      </c>
      <c r="L599" s="2" t="s">
        <v>102</v>
      </c>
      <c r="M599" s="1" t="s">
        <v>20</v>
      </c>
    </row>
    <row r="600" ht="15.75" customHeight="1">
      <c r="A600" s="2" t="s">
        <v>726</v>
      </c>
      <c r="B600" s="1" t="s">
        <v>41</v>
      </c>
      <c r="C600" s="1" t="s">
        <v>15</v>
      </c>
      <c r="D600" s="3">
        <v>20000.0</v>
      </c>
      <c r="E600" s="2" t="s">
        <v>29</v>
      </c>
      <c r="F600" s="1" t="s">
        <v>62</v>
      </c>
      <c r="G600" s="1" t="s">
        <v>31</v>
      </c>
      <c r="H600" s="1" t="s">
        <v>25</v>
      </c>
      <c r="I600" s="2" t="s">
        <v>37</v>
      </c>
      <c r="J600" s="1" t="s">
        <v>22</v>
      </c>
      <c r="K600" s="1" t="s">
        <v>598</v>
      </c>
      <c r="L600" s="2" t="s">
        <v>195</v>
      </c>
      <c r="M600" s="1" t="s">
        <v>25</v>
      </c>
    </row>
    <row r="601" ht="15.75" customHeight="1">
      <c r="A601" s="2" t="s">
        <v>727</v>
      </c>
      <c r="B601" s="1" t="s">
        <v>41</v>
      </c>
      <c r="C601" s="1" t="s">
        <v>15</v>
      </c>
      <c r="D601" s="3">
        <v>40000.0</v>
      </c>
      <c r="E601" s="2" t="s">
        <v>21</v>
      </c>
      <c r="F601" s="1" t="s">
        <v>55</v>
      </c>
      <c r="G601" s="1" t="s">
        <v>19</v>
      </c>
      <c r="H601" s="1" t="s">
        <v>20</v>
      </c>
      <c r="I601" s="2" t="s">
        <v>17</v>
      </c>
      <c r="J601" s="1" t="s">
        <v>43</v>
      </c>
      <c r="K601" s="1" t="s">
        <v>598</v>
      </c>
      <c r="L601" s="2" t="s">
        <v>116</v>
      </c>
      <c r="M601" s="1" t="s">
        <v>25</v>
      </c>
    </row>
    <row r="602" ht="15.75" customHeight="1">
      <c r="A602" s="2" t="s">
        <v>728</v>
      </c>
      <c r="B602" s="1" t="s">
        <v>14</v>
      </c>
      <c r="C602" s="1" t="s">
        <v>15</v>
      </c>
      <c r="D602" s="3">
        <v>100000.0</v>
      </c>
      <c r="E602" s="2" t="s">
        <v>57</v>
      </c>
      <c r="F602" s="1" t="s">
        <v>30</v>
      </c>
      <c r="G602" s="1" t="s">
        <v>36</v>
      </c>
      <c r="H602" s="1" t="s">
        <v>20</v>
      </c>
      <c r="I602" s="2" t="s">
        <v>57</v>
      </c>
      <c r="J602" s="1" t="s">
        <v>38</v>
      </c>
      <c r="K602" s="1" t="s">
        <v>598</v>
      </c>
      <c r="L602" s="2" t="s">
        <v>45</v>
      </c>
      <c r="M602" s="1" t="s">
        <v>20</v>
      </c>
    </row>
    <row r="603" ht="15.75" customHeight="1">
      <c r="A603" s="2" t="s">
        <v>729</v>
      </c>
      <c r="B603" s="1" t="s">
        <v>14</v>
      </c>
      <c r="C603" s="1" t="s">
        <v>27</v>
      </c>
      <c r="D603" s="3">
        <v>70000.0</v>
      </c>
      <c r="E603" s="2" t="s">
        <v>57</v>
      </c>
      <c r="F603" s="1" t="s">
        <v>18</v>
      </c>
      <c r="G603" s="1" t="s">
        <v>56</v>
      </c>
      <c r="H603" s="1" t="s">
        <v>20</v>
      </c>
      <c r="I603" s="2" t="s">
        <v>17</v>
      </c>
      <c r="J603" s="1" t="s">
        <v>51</v>
      </c>
      <c r="K603" s="1" t="s">
        <v>598</v>
      </c>
      <c r="L603" s="2" t="s">
        <v>63</v>
      </c>
      <c r="M603" s="1" t="s">
        <v>25</v>
      </c>
    </row>
    <row r="604" ht="15.75" customHeight="1">
      <c r="A604" s="2" t="s">
        <v>730</v>
      </c>
      <c r="B604" s="1" t="s">
        <v>14</v>
      </c>
      <c r="C604" s="1" t="s">
        <v>27</v>
      </c>
      <c r="D604" s="3">
        <v>60000.0</v>
      </c>
      <c r="E604" s="2" t="s">
        <v>35</v>
      </c>
      <c r="F604" s="1" t="s">
        <v>18</v>
      </c>
      <c r="G604" s="1" t="s">
        <v>36</v>
      </c>
      <c r="H604" s="1" t="s">
        <v>20</v>
      </c>
      <c r="I604" s="2" t="s">
        <v>17</v>
      </c>
      <c r="J604" s="1" t="s">
        <v>38</v>
      </c>
      <c r="K604" s="1" t="s">
        <v>598</v>
      </c>
      <c r="L604" s="2" t="s">
        <v>83</v>
      </c>
      <c r="M604" s="1" t="s">
        <v>25</v>
      </c>
    </row>
    <row r="605" ht="15.75" customHeight="1">
      <c r="A605" s="2" t="s">
        <v>731</v>
      </c>
      <c r="B605" s="1" t="s">
        <v>14</v>
      </c>
      <c r="C605" s="1" t="s">
        <v>15</v>
      </c>
      <c r="D605" s="3">
        <v>70000.0</v>
      </c>
      <c r="E605" s="2" t="s">
        <v>57</v>
      </c>
      <c r="F605" s="1" t="s">
        <v>30</v>
      </c>
      <c r="G605" s="1" t="s">
        <v>36</v>
      </c>
      <c r="H605" s="1" t="s">
        <v>20</v>
      </c>
      <c r="I605" s="2" t="s">
        <v>17</v>
      </c>
      <c r="J605" s="1" t="s">
        <v>51</v>
      </c>
      <c r="K605" s="1" t="s">
        <v>598</v>
      </c>
      <c r="L605" s="2" t="s">
        <v>72</v>
      </c>
      <c r="M605" s="1" t="s">
        <v>25</v>
      </c>
    </row>
    <row r="606" ht="15.75" customHeight="1">
      <c r="A606" s="2" t="s">
        <v>732</v>
      </c>
      <c r="B606" s="1" t="s">
        <v>41</v>
      </c>
      <c r="C606" s="1" t="s">
        <v>15</v>
      </c>
      <c r="D606" s="3">
        <v>70000.0</v>
      </c>
      <c r="E606" s="2" t="s">
        <v>21</v>
      </c>
      <c r="F606" s="1" t="s">
        <v>30</v>
      </c>
      <c r="G606" s="1" t="s">
        <v>19</v>
      </c>
      <c r="H606" s="1" t="s">
        <v>25</v>
      </c>
      <c r="I606" s="2" t="s">
        <v>37</v>
      </c>
      <c r="J606" s="1" t="s">
        <v>22</v>
      </c>
      <c r="K606" s="1" t="s">
        <v>598</v>
      </c>
      <c r="L606" s="2" t="s">
        <v>245</v>
      </c>
      <c r="M606" s="1" t="s">
        <v>20</v>
      </c>
    </row>
    <row r="607" ht="15.75" customHeight="1">
      <c r="A607" s="2" t="s">
        <v>733</v>
      </c>
      <c r="B607" s="1" t="s">
        <v>14</v>
      </c>
      <c r="C607" s="1" t="s">
        <v>27</v>
      </c>
      <c r="D607" s="3">
        <v>60000.0</v>
      </c>
      <c r="E607" s="2" t="s">
        <v>29</v>
      </c>
      <c r="F607" s="1" t="s">
        <v>87</v>
      </c>
      <c r="G607" s="1" t="s">
        <v>56</v>
      </c>
      <c r="H607" s="1" t="s">
        <v>20</v>
      </c>
      <c r="I607" s="2" t="s">
        <v>37</v>
      </c>
      <c r="J607" s="1" t="s">
        <v>51</v>
      </c>
      <c r="K607" s="1" t="s">
        <v>598</v>
      </c>
      <c r="L607" s="2" t="s">
        <v>297</v>
      </c>
      <c r="M607" s="1" t="s">
        <v>25</v>
      </c>
    </row>
    <row r="608" ht="15.75" customHeight="1">
      <c r="A608" s="2" t="s">
        <v>734</v>
      </c>
      <c r="B608" s="1" t="s">
        <v>14</v>
      </c>
      <c r="C608" s="1" t="s">
        <v>15</v>
      </c>
      <c r="D608" s="3">
        <v>60000.0</v>
      </c>
      <c r="E608" s="2" t="s">
        <v>21</v>
      </c>
      <c r="F608" s="1" t="s">
        <v>30</v>
      </c>
      <c r="G608" s="1" t="s">
        <v>19</v>
      </c>
      <c r="H608" s="1" t="s">
        <v>20</v>
      </c>
      <c r="I608" s="2" t="s">
        <v>37</v>
      </c>
      <c r="J608" s="1" t="s">
        <v>43</v>
      </c>
      <c r="K608" s="1" t="s">
        <v>598</v>
      </c>
      <c r="L608" s="2" t="s">
        <v>97</v>
      </c>
      <c r="M608" s="1" t="s">
        <v>25</v>
      </c>
    </row>
    <row r="609" ht="15.75" customHeight="1">
      <c r="A609" s="2" t="s">
        <v>735</v>
      </c>
      <c r="B609" s="1" t="s">
        <v>14</v>
      </c>
      <c r="C609" s="1" t="s">
        <v>15</v>
      </c>
      <c r="D609" s="3">
        <v>60000.0</v>
      </c>
      <c r="E609" s="2" t="s">
        <v>29</v>
      </c>
      <c r="F609" s="1" t="s">
        <v>87</v>
      </c>
      <c r="G609" s="1" t="s">
        <v>56</v>
      </c>
      <c r="H609" s="1" t="s">
        <v>20</v>
      </c>
      <c r="I609" s="2" t="s">
        <v>37</v>
      </c>
      <c r="J609" s="1" t="s">
        <v>51</v>
      </c>
      <c r="K609" s="1" t="s">
        <v>598</v>
      </c>
      <c r="L609" s="2" t="s">
        <v>297</v>
      </c>
      <c r="M609" s="1" t="s">
        <v>25</v>
      </c>
    </row>
    <row r="610" ht="15.75" customHeight="1">
      <c r="A610" s="2" t="s">
        <v>736</v>
      </c>
      <c r="B610" s="1" t="s">
        <v>41</v>
      </c>
      <c r="C610" s="1" t="s">
        <v>27</v>
      </c>
      <c r="D610" s="3">
        <v>80000.0</v>
      </c>
      <c r="E610" s="2" t="s">
        <v>29</v>
      </c>
      <c r="F610" s="1" t="s">
        <v>30</v>
      </c>
      <c r="G610" s="1" t="s">
        <v>36</v>
      </c>
      <c r="H610" s="1" t="s">
        <v>25</v>
      </c>
      <c r="I610" s="2" t="s">
        <v>17</v>
      </c>
      <c r="J610" s="1" t="s">
        <v>51</v>
      </c>
      <c r="K610" s="1" t="s">
        <v>598</v>
      </c>
      <c r="L610" s="2" t="s">
        <v>178</v>
      </c>
      <c r="M610" s="1" t="s">
        <v>20</v>
      </c>
    </row>
    <row r="611" ht="15.75" customHeight="1">
      <c r="A611" s="2" t="s">
        <v>737</v>
      </c>
      <c r="B611" s="1" t="s">
        <v>14</v>
      </c>
      <c r="C611" s="1" t="s">
        <v>15</v>
      </c>
      <c r="D611" s="3">
        <v>50000.0</v>
      </c>
      <c r="E611" s="2" t="s">
        <v>17</v>
      </c>
      <c r="F611" s="1" t="s">
        <v>87</v>
      </c>
      <c r="G611" s="1" t="s">
        <v>19</v>
      </c>
      <c r="H611" s="1" t="s">
        <v>20</v>
      </c>
      <c r="I611" s="2" t="s">
        <v>21</v>
      </c>
      <c r="J611" s="1" t="s">
        <v>22</v>
      </c>
      <c r="K611" s="1" t="s">
        <v>598</v>
      </c>
      <c r="L611" s="2" t="s">
        <v>74</v>
      </c>
      <c r="M611" s="1" t="s">
        <v>25</v>
      </c>
    </row>
    <row r="612" ht="15.75" customHeight="1">
      <c r="A612" s="2" t="s">
        <v>738</v>
      </c>
      <c r="B612" s="1" t="s">
        <v>14</v>
      </c>
      <c r="C612" s="1" t="s">
        <v>27</v>
      </c>
      <c r="D612" s="3">
        <v>40000.0</v>
      </c>
      <c r="E612" s="2" t="s">
        <v>21</v>
      </c>
      <c r="F612" s="1" t="s">
        <v>55</v>
      </c>
      <c r="G612" s="1" t="s">
        <v>19</v>
      </c>
      <c r="H612" s="1" t="s">
        <v>25</v>
      </c>
      <c r="I612" s="2" t="s">
        <v>37</v>
      </c>
      <c r="J612" s="1" t="s">
        <v>51</v>
      </c>
      <c r="K612" s="1" t="s">
        <v>598</v>
      </c>
      <c r="L612" s="2" t="s">
        <v>116</v>
      </c>
      <c r="M612" s="1" t="s">
        <v>25</v>
      </c>
    </row>
    <row r="613" ht="15.75" customHeight="1">
      <c r="A613" s="2" t="s">
        <v>739</v>
      </c>
      <c r="B613" s="1" t="s">
        <v>41</v>
      </c>
      <c r="C613" s="1" t="s">
        <v>27</v>
      </c>
      <c r="D613" s="3">
        <v>70000.0</v>
      </c>
      <c r="E613" s="2" t="s">
        <v>35</v>
      </c>
      <c r="F613" s="1" t="s">
        <v>30</v>
      </c>
      <c r="G613" s="1" t="s">
        <v>36</v>
      </c>
      <c r="H613" s="1" t="s">
        <v>20</v>
      </c>
      <c r="I613" s="2" t="s">
        <v>29</v>
      </c>
      <c r="J613" s="1" t="s">
        <v>38</v>
      </c>
      <c r="K613" s="1" t="s">
        <v>598</v>
      </c>
      <c r="L613" s="2" t="s">
        <v>102</v>
      </c>
      <c r="M613" s="1" t="s">
        <v>25</v>
      </c>
    </row>
    <row r="614" ht="15.75" customHeight="1">
      <c r="A614" s="2" t="s">
        <v>740</v>
      </c>
      <c r="B614" s="1" t="s">
        <v>41</v>
      </c>
      <c r="C614" s="1" t="s">
        <v>15</v>
      </c>
      <c r="D614" s="3">
        <v>80000.0</v>
      </c>
      <c r="E614" s="2" t="s">
        <v>57</v>
      </c>
      <c r="F614" s="1" t="s">
        <v>87</v>
      </c>
      <c r="G614" s="1" t="s">
        <v>19</v>
      </c>
      <c r="H614" s="1" t="s">
        <v>20</v>
      </c>
      <c r="I614" s="2" t="s">
        <v>21</v>
      </c>
      <c r="J614" s="1" t="s">
        <v>51</v>
      </c>
      <c r="K614" s="1" t="s">
        <v>598</v>
      </c>
      <c r="L614" s="2" t="s">
        <v>125</v>
      </c>
      <c r="M614" s="1" t="s">
        <v>25</v>
      </c>
    </row>
    <row r="615" ht="15.75" customHeight="1">
      <c r="A615" s="2" t="s">
        <v>741</v>
      </c>
      <c r="B615" s="1" t="s">
        <v>14</v>
      </c>
      <c r="C615" s="1" t="s">
        <v>15</v>
      </c>
      <c r="D615" s="3">
        <v>130000.0</v>
      </c>
      <c r="E615" s="2" t="s">
        <v>17</v>
      </c>
      <c r="F615" s="1" t="s">
        <v>18</v>
      </c>
      <c r="G615" s="1" t="s">
        <v>56</v>
      </c>
      <c r="H615" s="1" t="s">
        <v>20</v>
      </c>
      <c r="I615" s="2" t="s">
        <v>37</v>
      </c>
      <c r="J615" s="1" t="s">
        <v>22</v>
      </c>
      <c r="K615" s="1" t="s">
        <v>598</v>
      </c>
      <c r="L615" s="2" t="s">
        <v>77</v>
      </c>
      <c r="M615" s="1" t="s">
        <v>20</v>
      </c>
    </row>
    <row r="616" ht="15.75" customHeight="1">
      <c r="A616" s="2" t="s">
        <v>742</v>
      </c>
      <c r="B616" s="1" t="s">
        <v>14</v>
      </c>
      <c r="C616" s="1" t="s">
        <v>27</v>
      </c>
      <c r="D616" s="3">
        <v>60000.0</v>
      </c>
      <c r="E616" s="2" t="s">
        <v>29</v>
      </c>
      <c r="F616" s="1" t="s">
        <v>18</v>
      </c>
      <c r="G616" s="1" t="s">
        <v>56</v>
      </c>
      <c r="H616" s="1" t="s">
        <v>25</v>
      </c>
      <c r="I616" s="2" t="s">
        <v>37</v>
      </c>
      <c r="J616" s="1" t="s">
        <v>51</v>
      </c>
      <c r="K616" s="1" t="s">
        <v>598</v>
      </c>
      <c r="L616" s="2" t="s">
        <v>128</v>
      </c>
      <c r="M616" s="1" t="s">
        <v>25</v>
      </c>
    </row>
    <row r="617" ht="15.75" customHeight="1">
      <c r="A617" s="2" t="s">
        <v>743</v>
      </c>
      <c r="B617" s="1" t="s">
        <v>41</v>
      </c>
      <c r="C617" s="1" t="s">
        <v>15</v>
      </c>
      <c r="D617" s="3">
        <v>30000.0</v>
      </c>
      <c r="E617" s="2" t="s">
        <v>37</v>
      </c>
      <c r="F617" s="1" t="s">
        <v>55</v>
      </c>
      <c r="G617" s="1" t="s">
        <v>19</v>
      </c>
      <c r="H617" s="1" t="s">
        <v>25</v>
      </c>
      <c r="I617" s="2" t="s">
        <v>37</v>
      </c>
      <c r="J617" s="1" t="s">
        <v>22</v>
      </c>
      <c r="K617" s="1" t="s">
        <v>598</v>
      </c>
      <c r="L617" s="2" t="s">
        <v>195</v>
      </c>
      <c r="M617" s="1" t="s">
        <v>25</v>
      </c>
    </row>
    <row r="618" ht="15.75" customHeight="1">
      <c r="A618" s="2" t="s">
        <v>744</v>
      </c>
      <c r="B618" s="1" t="s">
        <v>41</v>
      </c>
      <c r="C618" s="1" t="s">
        <v>15</v>
      </c>
      <c r="D618" s="3">
        <v>120000.0</v>
      </c>
      <c r="E618" s="2" t="s">
        <v>57</v>
      </c>
      <c r="F618" s="1" t="s">
        <v>30</v>
      </c>
      <c r="G618" s="1" t="s">
        <v>36</v>
      </c>
      <c r="H618" s="1" t="s">
        <v>20</v>
      </c>
      <c r="I618" s="2" t="s">
        <v>29</v>
      </c>
      <c r="J618" s="1" t="s">
        <v>43</v>
      </c>
      <c r="K618" s="1" t="s">
        <v>598</v>
      </c>
      <c r="L618" s="2" t="s">
        <v>32</v>
      </c>
      <c r="M618" s="1" t="s">
        <v>20</v>
      </c>
    </row>
    <row r="619" ht="15.75" customHeight="1">
      <c r="A619" s="2" t="s">
        <v>745</v>
      </c>
      <c r="B619" s="1" t="s">
        <v>41</v>
      </c>
      <c r="C619" s="1" t="s">
        <v>27</v>
      </c>
      <c r="D619" s="3">
        <v>40000.0</v>
      </c>
      <c r="E619" s="2" t="s">
        <v>21</v>
      </c>
      <c r="F619" s="1" t="s">
        <v>55</v>
      </c>
      <c r="G619" s="1" t="s">
        <v>19</v>
      </c>
      <c r="H619" s="1" t="s">
        <v>25</v>
      </c>
      <c r="I619" s="2" t="s">
        <v>37</v>
      </c>
      <c r="J619" s="1" t="s">
        <v>51</v>
      </c>
      <c r="K619" s="1" t="s">
        <v>598</v>
      </c>
      <c r="L619" s="2" t="s">
        <v>116</v>
      </c>
      <c r="M619" s="1" t="s">
        <v>25</v>
      </c>
    </row>
    <row r="620" ht="15.75" customHeight="1">
      <c r="A620" s="2" t="s">
        <v>748</v>
      </c>
      <c r="B620" s="1" t="s">
        <v>14</v>
      </c>
      <c r="C620" s="1" t="s">
        <v>27</v>
      </c>
      <c r="D620" s="3">
        <v>100000.0</v>
      </c>
      <c r="E620" s="2" t="s">
        <v>37</v>
      </c>
      <c r="F620" s="1" t="s">
        <v>87</v>
      </c>
      <c r="G620" s="1" t="s">
        <v>56</v>
      </c>
      <c r="H620" s="1" t="s">
        <v>20</v>
      </c>
      <c r="I620" s="2" t="s">
        <v>29</v>
      </c>
      <c r="J620" s="1" t="s">
        <v>51</v>
      </c>
      <c r="K620" s="1" t="s">
        <v>598</v>
      </c>
      <c r="L620" s="2" t="s">
        <v>122</v>
      </c>
      <c r="M620" s="1" t="s">
        <v>25</v>
      </c>
    </row>
    <row r="621" ht="15.75" customHeight="1">
      <c r="A621" s="2" t="s">
        <v>749</v>
      </c>
      <c r="B621" s="1" t="s">
        <v>14</v>
      </c>
      <c r="C621" s="1" t="s">
        <v>15</v>
      </c>
      <c r="D621" s="3">
        <v>60000.0</v>
      </c>
      <c r="E621" s="2" t="s">
        <v>37</v>
      </c>
      <c r="F621" s="1" t="s">
        <v>30</v>
      </c>
      <c r="G621" s="1" t="s">
        <v>36</v>
      </c>
      <c r="H621" s="1" t="s">
        <v>20</v>
      </c>
      <c r="I621" s="2" t="s">
        <v>37</v>
      </c>
      <c r="J621" s="1" t="s">
        <v>38</v>
      </c>
      <c r="K621" s="1" t="s">
        <v>598</v>
      </c>
      <c r="L621" s="2" t="s">
        <v>91</v>
      </c>
      <c r="M621" s="1" t="s">
        <v>20</v>
      </c>
    </row>
    <row r="622" ht="15.75" customHeight="1">
      <c r="A622" s="2" t="s">
        <v>750</v>
      </c>
      <c r="B622" s="1" t="s">
        <v>14</v>
      </c>
      <c r="C622" s="1" t="s">
        <v>27</v>
      </c>
      <c r="D622" s="3">
        <v>50000.0</v>
      </c>
      <c r="E622" s="2" t="s">
        <v>57</v>
      </c>
      <c r="F622" s="1" t="s">
        <v>18</v>
      </c>
      <c r="G622" s="1" t="s">
        <v>56</v>
      </c>
      <c r="H622" s="1" t="s">
        <v>20</v>
      </c>
      <c r="I622" s="2" t="s">
        <v>37</v>
      </c>
      <c r="J622" s="1" t="s">
        <v>69</v>
      </c>
      <c r="K622" s="1" t="s">
        <v>598</v>
      </c>
      <c r="L622" s="2" t="s">
        <v>421</v>
      </c>
      <c r="M622" s="1" t="s">
        <v>25</v>
      </c>
    </row>
    <row r="623" ht="15.75" customHeight="1">
      <c r="A623" s="2" t="s">
        <v>751</v>
      </c>
      <c r="B623" s="1" t="s">
        <v>14</v>
      </c>
      <c r="C623" s="1" t="s">
        <v>15</v>
      </c>
      <c r="D623" s="3">
        <v>70000.0</v>
      </c>
      <c r="E623" s="2" t="s">
        <v>29</v>
      </c>
      <c r="F623" s="1" t="s">
        <v>30</v>
      </c>
      <c r="G623" s="1" t="s">
        <v>36</v>
      </c>
      <c r="H623" s="1" t="s">
        <v>20</v>
      </c>
      <c r="I623" s="2" t="s">
        <v>37</v>
      </c>
      <c r="J623" s="1" t="s">
        <v>43</v>
      </c>
      <c r="K623" s="1" t="s">
        <v>598</v>
      </c>
      <c r="L623" s="2" t="s">
        <v>52</v>
      </c>
      <c r="M623" s="1" t="s">
        <v>20</v>
      </c>
    </row>
    <row r="624" ht="15.75" customHeight="1">
      <c r="A624" s="2" t="s">
        <v>752</v>
      </c>
      <c r="B624" s="1" t="s">
        <v>14</v>
      </c>
      <c r="C624" s="1" t="s">
        <v>15</v>
      </c>
      <c r="D624" s="3">
        <v>70000.0</v>
      </c>
      <c r="E624" s="2" t="s">
        <v>29</v>
      </c>
      <c r="F624" s="1" t="s">
        <v>87</v>
      </c>
      <c r="G624" s="1" t="s">
        <v>36</v>
      </c>
      <c r="H624" s="1" t="s">
        <v>20</v>
      </c>
      <c r="I624" s="2" t="s">
        <v>21</v>
      </c>
      <c r="J624" s="1" t="s">
        <v>38</v>
      </c>
      <c r="K624" s="1" t="s">
        <v>598</v>
      </c>
      <c r="L624" s="2" t="s">
        <v>74</v>
      </c>
      <c r="M624" s="1" t="s">
        <v>20</v>
      </c>
    </row>
    <row r="625" ht="15.75" customHeight="1">
      <c r="A625" s="2" t="s">
        <v>753</v>
      </c>
      <c r="B625" s="1" t="s">
        <v>14</v>
      </c>
      <c r="C625" s="1" t="s">
        <v>15</v>
      </c>
      <c r="D625" s="3">
        <v>60000.0</v>
      </c>
      <c r="E625" s="2" t="s">
        <v>35</v>
      </c>
      <c r="F625" s="1" t="s">
        <v>18</v>
      </c>
      <c r="G625" s="1" t="s">
        <v>19</v>
      </c>
      <c r="H625" s="1" t="s">
        <v>20</v>
      </c>
      <c r="I625" s="2" t="s">
        <v>29</v>
      </c>
      <c r="J625" s="1" t="s">
        <v>69</v>
      </c>
      <c r="K625" s="1" t="s">
        <v>598</v>
      </c>
      <c r="L625" s="2" t="s">
        <v>45</v>
      </c>
      <c r="M625" s="1" t="s">
        <v>25</v>
      </c>
    </row>
    <row r="626" ht="15.75" customHeight="1">
      <c r="A626" s="2" t="s">
        <v>754</v>
      </c>
      <c r="B626" s="1" t="s">
        <v>41</v>
      </c>
      <c r="C626" s="1" t="s">
        <v>15</v>
      </c>
      <c r="D626" s="3">
        <v>60000.0</v>
      </c>
      <c r="E626" s="2" t="s">
        <v>21</v>
      </c>
      <c r="F626" s="1" t="s">
        <v>87</v>
      </c>
      <c r="G626" s="1" t="s">
        <v>19</v>
      </c>
      <c r="H626" s="1" t="s">
        <v>20</v>
      </c>
      <c r="I626" s="2" t="s">
        <v>21</v>
      </c>
      <c r="J626" s="1" t="s">
        <v>22</v>
      </c>
      <c r="K626" s="1" t="s">
        <v>598</v>
      </c>
      <c r="L626" s="2" t="s">
        <v>135</v>
      </c>
      <c r="M626" s="1" t="s">
        <v>25</v>
      </c>
    </row>
    <row r="627" ht="15.75" customHeight="1">
      <c r="A627" s="2" t="s">
        <v>755</v>
      </c>
      <c r="B627" s="1" t="s">
        <v>41</v>
      </c>
      <c r="C627" s="1" t="s">
        <v>15</v>
      </c>
      <c r="D627" s="3">
        <v>60000.0</v>
      </c>
      <c r="E627" s="2" t="s">
        <v>57</v>
      </c>
      <c r="F627" s="1" t="s">
        <v>87</v>
      </c>
      <c r="G627" s="1" t="s">
        <v>19</v>
      </c>
      <c r="H627" s="1" t="s">
        <v>1111</v>
      </c>
      <c r="I627" s="2" t="s">
        <v>21</v>
      </c>
      <c r="J627" s="1" t="s">
        <v>51</v>
      </c>
      <c r="K627" s="1" t="s">
        <v>598</v>
      </c>
      <c r="L627" s="2" t="s">
        <v>83</v>
      </c>
      <c r="M627" s="1" t="s">
        <v>25</v>
      </c>
    </row>
    <row r="628" ht="15.75" customHeight="1">
      <c r="A628" s="2" t="s">
        <v>756</v>
      </c>
      <c r="B628" s="1" t="s">
        <v>41</v>
      </c>
      <c r="C628" s="1" t="s">
        <v>27</v>
      </c>
      <c r="D628" s="3">
        <v>40000.0</v>
      </c>
      <c r="E628" s="2" t="s">
        <v>21</v>
      </c>
      <c r="F628" s="1" t="s">
        <v>55</v>
      </c>
      <c r="G628" s="1" t="s">
        <v>19</v>
      </c>
      <c r="H628" s="1" t="s">
        <v>20</v>
      </c>
      <c r="I628" s="2" t="s">
        <v>37</v>
      </c>
      <c r="J628" s="1" t="s">
        <v>43</v>
      </c>
      <c r="K628" s="1" t="s">
        <v>598</v>
      </c>
      <c r="L628" s="2" t="s">
        <v>109</v>
      </c>
      <c r="M628" s="1" t="s">
        <v>25</v>
      </c>
    </row>
    <row r="629" ht="15.75" customHeight="1">
      <c r="A629" s="2" t="s">
        <v>757</v>
      </c>
      <c r="B629" s="1" t="s">
        <v>41</v>
      </c>
      <c r="C629" s="1" t="s">
        <v>15</v>
      </c>
      <c r="D629" s="3">
        <v>70000.0</v>
      </c>
      <c r="E629" s="2" t="s">
        <v>37</v>
      </c>
      <c r="F629" s="1" t="s">
        <v>18</v>
      </c>
      <c r="G629" s="1" t="s">
        <v>56</v>
      </c>
      <c r="H629" s="1" t="s">
        <v>25</v>
      </c>
      <c r="I629" s="2" t="s">
        <v>17</v>
      </c>
      <c r="J629" s="1" t="s">
        <v>38</v>
      </c>
      <c r="K629" s="1" t="s">
        <v>598</v>
      </c>
      <c r="L629" s="2" t="s">
        <v>63</v>
      </c>
      <c r="M629" s="1" t="s">
        <v>20</v>
      </c>
    </row>
    <row r="630" ht="15.75" customHeight="1">
      <c r="A630" s="2" t="s">
        <v>758</v>
      </c>
      <c r="B630" s="1" t="s">
        <v>41</v>
      </c>
      <c r="C630" s="1" t="s">
        <v>15</v>
      </c>
      <c r="D630" s="3">
        <v>70000.0</v>
      </c>
      <c r="E630" s="2" t="s">
        <v>21</v>
      </c>
      <c r="F630" s="1" t="s">
        <v>18</v>
      </c>
      <c r="G630" s="1" t="s">
        <v>36</v>
      </c>
      <c r="H630" s="1" t="s">
        <v>25</v>
      </c>
      <c r="I630" s="2" t="s">
        <v>17</v>
      </c>
      <c r="J630" s="1" t="s">
        <v>38</v>
      </c>
      <c r="K630" s="1" t="s">
        <v>598</v>
      </c>
      <c r="L630" s="2" t="s">
        <v>79</v>
      </c>
      <c r="M630" s="1" t="s">
        <v>20</v>
      </c>
    </row>
    <row r="631" ht="15.75" customHeight="1">
      <c r="A631" s="2" t="s">
        <v>759</v>
      </c>
      <c r="B631" s="1" t="s">
        <v>41</v>
      </c>
      <c r="C631" s="1" t="s">
        <v>15</v>
      </c>
      <c r="D631" s="3">
        <v>70000.0</v>
      </c>
      <c r="E631" s="2" t="s">
        <v>35</v>
      </c>
      <c r="F631" s="1" t="s">
        <v>87</v>
      </c>
      <c r="G631" s="1" t="s">
        <v>56</v>
      </c>
      <c r="H631" s="1" t="s">
        <v>20</v>
      </c>
      <c r="I631" s="2" t="s">
        <v>37</v>
      </c>
      <c r="J631" s="1" t="s">
        <v>69</v>
      </c>
      <c r="K631" s="1" t="s">
        <v>598</v>
      </c>
      <c r="L631" s="2" t="s">
        <v>297</v>
      </c>
      <c r="M631" s="1" t="s">
        <v>20</v>
      </c>
    </row>
    <row r="632" ht="15.75" customHeight="1">
      <c r="A632" s="2" t="s">
        <v>760</v>
      </c>
      <c r="B632" s="1" t="s">
        <v>41</v>
      </c>
      <c r="C632" s="1" t="s">
        <v>27</v>
      </c>
      <c r="D632" s="3">
        <v>60000.0</v>
      </c>
      <c r="E632" s="2" t="s">
        <v>21</v>
      </c>
      <c r="F632" s="1" t="s">
        <v>30</v>
      </c>
      <c r="G632" s="1" t="s">
        <v>36</v>
      </c>
      <c r="H632" s="1" t="s">
        <v>25</v>
      </c>
      <c r="I632" s="2" t="s">
        <v>37</v>
      </c>
      <c r="J632" s="1" t="s">
        <v>51</v>
      </c>
      <c r="K632" s="1" t="s">
        <v>598</v>
      </c>
      <c r="L632" s="2" t="s">
        <v>104</v>
      </c>
      <c r="M632" s="1" t="s">
        <v>20</v>
      </c>
    </row>
    <row r="633" ht="15.75" customHeight="1">
      <c r="A633" s="2" t="s">
        <v>761</v>
      </c>
      <c r="B633" s="1" t="s">
        <v>14</v>
      </c>
      <c r="C633" s="1" t="s">
        <v>27</v>
      </c>
      <c r="D633" s="3">
        <v>70000.0</v>
      </c>
      <c r="E633" s="2" t="s">
        <v>35</v>
      </c>
      <c r="F633" s="1" t="s">
        <v>30</v>
      </c>
      <c r="G633" s="1" t="s">
        <v>36</v>
      </c>
      <c r="H633" s="1" t="s">
        <v>25</v>
      </c>
      <c r="I633" s="2" t="s">
        <v>29</v>
      </c>
      <c r="J633" s="1" t="s">
        <v>43</v>
      </c>
      <c r="K633" s="1" t="s">
        <v>598</v>
      </c>
      <c r="L633" s="2" t="s">
        <v>77</v>
      </c>
      <c r="M633" s="1" t="s">
        <v>25</v>
      </c>
    </row>
    <row r="634" ht="15.75" customHeight="1">
      <c r="A634" s="2" t="s">
        <v>762</v>
      </c>
      <c r="B634" s="1" t="s">
        <v>41</v>
      </c>
      <c r="C634" s="1" t="s">
        <v>27</v>
      </c>
      <c r="D634" s="3">
        <v>30000.0</v>
      </c>
      <c r="E634" s="2" t="s">
        <v>21</v>
      </c>
      <c r="F634" s="1" t="s">
        <v>55</v>
      </c>
      <c r="G634" s="1" t="s">
        <v>19</v>
      </c>
      <c r="H634" s="1" t="s">
        <v>25</v>
      </c>
      <c r="I634" s="2" t="s">
        <v>37</v>
      </c>
      <c r="J634" s="1" t="s">
        <v>51</v>
      </c>
      <c r="K634" s="1" t="s">
        <v>598</v>
      </c>
      <c r="L634" s="2" t="s">
        <v>109</v>
      </c>
      <c r="M634" s="1" t="s">
        <v>20</v>
      </c>
    </row>
    <row r="635" ht="15.75" customHeight="1">
      <c r="A635" s="2" t="s">
        <v>763</v>
      </c>
      <c r="B635" s="1" t="s">
        <v>41</v>
      </c>
      <c r="C635" s="1" t="s">
        <v>27</v>
      </c>
      <c r="D635" s="3">
        <v>40000.0</v>
      </c>
      <c r="E635" s="2" t="s">
        <v>21</v>
      </c>
      <c r="F635" s="1" t="s">
        <v>55</v>
      </c>
      <c r="G635" s="1" t="s">
        <v>19</v>
      </c>
      <c r="H635" s="1" t="s">
        <v>25</v>
      </c>
      <c r="I635" s="2" t="s">
        <v>37</v>
      </c>
      <c r="J635" s="1" t="s">
        <v>51</v>
      </c>
      <c r="K635" s="1" t="s">
        <v>598</v>
      </c>
      <c r="L635" s="2" t="s">
        <v>109</v>
      </c>
      <c r="M635" s="1" t="s">
        <v>20</v>
      </c>
    </row>
    <row r="636" ht="15.75" customHeight="1">
      <c r="A636" s="2" t="s">
        <v>764</v>
      </c>
      <c r="B636" s="1" t="s">
        <v>14</v>
      </c>
      <c r="C636" s="1" t="s">
        <v>15</v>
      </c>
      <c r="D636" s="3">
        <v>40000.0</v>
      </c>
      <c r="E636" s="2" t="s">
        <v>29</v>
      </c>
      <c r="F636" s="1" t="s">
        <v>30</v>
      </c>
      <c r="G636" s="1" t="s">
        <v>31</v>
      </c>
      <c r="H636" s="1" t="s">
        <v>20</v>
      </c>
      <c r="I636" s="2" t="s">
        <v>17</v>
      </c>
      <c r="J636" s="1" t="s">
        <v>22</v>
      </c>
      <c r="K636" s="1" t="s">
        <v>598</v>
      </c>
      <c r="L636" s="2" t="s">
        <v>109</v>
      </c>
      <c r="M636" s="1" t="s">
        <v>25</v>
      </c>
    </row>
    <row r="637" ht="15.75" customHeight="1">
      <c r="A637" s="2" t="s">
        <v>765</v>
      </c>
      <c r="B637" s="1" t="s">
        <v>14</v>
      </c>
      <c r="C637" s="1" t="s">
        <v>27</v>
      </c>
      <c r="D637" s="3">
        <v>60000.0</v>
      </c>
      <c r="E637" s="2" t="s">
        <v>37</v>
      </c>
      <c r="F637" s="1" t="s">
        <v>55</v>
      </c>
      <c r="G637" s="1" t="s">
        <v>36</v>
      </c>
      <c r="H637" s="1" t="s">
        <v>25</v>
      </c>
      <c r="I637" s="2" t="s">
        <v>37</v>
      </c>
      <c r="J637" s="1" t="s">
        <v>43</v>
      </c>
      <c r="K637" s="1" t="s">
        <v>598</v>
      </c>
      <c r="L637" s="2" t="s">
        <v>52</v>
      </c>
      <c r="M637" s="1" t="s">
        <v>25</v>
      </c>
    </row>
    <row r="638" ht="15.75" customHeight="1">
      <c r="A638" s="2" t="s">
        <v>766</v>
      </c>
      <c r="B638" s="1" t="s">
        <v>14</v>
      </c>
      <c r="C638" s="1" t="s">
        <v>27</v>
      </c>
      <c r="D638" s="3">
        <v>70000.0</v>
      </c>
      <c r="E638" s="2" t="s">
        <v>17</v>
      </c>
      <c r="F638" s="1" t="s">
        <v>30</v>
      </c>
      <c r="G638" s="1" t="s">
        <v>19</v>
      </c>
      <c r="H638" s="1" t="s">
        <v>20</v>
      </c>
      <c r="I638" s="2" t="s">
        <v>17</v>
      </c>
      <c r="J638" s="1" t="s">
        <v>22</v>
      </c>
      <c r="K638" s="1" t="s">
        <v>598</v>
      </c>
      <c r="L638" s="2" t="s">
        <v>102</v>
      </c>
      <c r="M638" s="1" t="s">
        <v>25</v>
      </c>
    </row>
    <row r="639" ht="15.75" customHeight="1">
      <c r="A639" s="2" t="s">
        <v>767</v>
      </c>
      <c r="B639" s="1" t="s">
        <v>41</v>
      </c>
      <c r="C639" s="1" t="s">
        <v>27</v>
      </c>
      <c r="D639" s="3">
        <v>50000.0</v>
      </c>
      <c r="E639" s="2" t="s">
        <v>37</v>
      </c>
      <c r="F639" s="1" t="s">
        <v>18</v>
      </c>
      <c r="G639" s="1" t="s">
        <v>19</v>
      </c>
      <c r="H639" s="1" t="s">
        <v>20</v>
      </c>
      <c r="I639" s="2" t="s">
        <v>17</v>
      </c>
      <c r="J639" s="1" t="s">
        <v>38</v>
      </c>
      <c r="K639" s="1" t="s">
        <v>598</v>
      </c>
      <c r="L639" s="2" t="s">
        <v>79</v>
      </c>
      <c r="M639" s="1" t="s">
        <v>20</v>
      </c>
    </row>
    <row r="640" ht="15.75" customHeight="1">
      <c r="A640" s="2" t="s">
        <v>768</v>
      </c>
      <c r="B640" s="1" t="s">
        <v>41</v>
      </c>
      <c r="C640" s="1" t="s">
        <v>15</v>
      </c>
      <c r="D640" s="3">
        <v>60000.0</v>
      </c>
      <c r="E640" s="2" t="s">
        <v>57</v>
      </c>
      <c r="F640" s="1" t="s">
        <v>18</v>
      </c>
      <c r="G640" s="1" t="s">
        <v>56</v>
      </c>
      <c r="H640" s="1" t="s">
        <v>20</v>
      </c>
      <c r="I640" s="2" t="s">
        <v>37</v>
      </c>
      <c r="J640" s="1" t="s">
        <v>69</v>
      </c>
      <c r="K640" s="1" t="s">
        <v>598</v>
      </c>
      <c r="L640" s="2" t="s">
        <v>95</v>
      </c>
      <c r="M640" s="1" t="s">
        <v>25</v>
      </c>
    </row>
    <row r="641" ht="15.75" customHeight="1">
      <c r="A641" s="2" t="s">
        <v>769</v>
      </c>
      <c r="B641" s="1" t="s">
        <v>14</v>
      </c>
      <c r="C641" s="1" t="s">
        <v>15</v>
      </c>
      <c r="D641" s="3">
        <v>60000.0</v>
      </c>
      <c r="E641" s="2" t="s">
        <v>17</v>
      </c>
      <c r="F641" s="1" t="s">
        <v>87</v>
      </c>
      <c r="G641" s="1" t="s">
        <v>36</v>
      </c>
      <c r="H641" s="1" t="s">
        <v>20</v>
      </c>
      <c r="I641" s="2" t="s">
        <v>21</v>
      </c>
      <c r="J641" s="1" t="s">
        <v>38</v>
      </c>
      <c r="K641" s="1" t="s">
        <v>598</v>
      </c>
      <c r="L641" s="2" t="s">
        <v>47</v>
      </c>
      <c r="M641" s="1" t="s">
        <v>20</v>
      </c>
    </row>
    <row r="642" ht="15.75" customHeight="1">
      <c r="A642" s="2" t="s">
        <v>770</v>
      </c>
      <c r="B642" s="1" t="s">
        <v>41</v>
      </c>
      <c r="C642" s="1" t="s">
        <v>27</v>
      </c>
      <c r="D642" s="3">
        <v>40000.0</v>
      </c>
      <c r="E642" s="2" t="s">
        <v>21</v>
      </c>
      <c r="F642" s="1" t="s">
        <v>55</v>
      </c>
      <c r="G642" s="1" t="s">
        <v>19</v>
      </c>
      <c r="H642" s="1" t="s">
        <v>25</v>
      </c>
      <c r="I642" s="2" t="s">
        <v>37</v>
      </c>
      <c r="J642" s="1" t="s">
        <v>22</v>
      </c>
      <c r="K642" s="1" t="s">
        <v>598</v>
      </c>
      <c r="L642" s="2" t="s">
        <v>118</v>
      </c>
      <c r="M642" s="1" t="s">
        <v>20</v>
      </c>
    </row>
    <row r="643" ht="15.75" customHeight="1">
      <c r="A643" s="2" t="s">
        <v>771</v>
      </c>
      <c r="B643" s="1" t="s">
        <v>41</v>
      </c>
      <c r="C643" s="1" t="s">
        <v>15</v>
      </c>
      <c r="D643" s="3">
        <v>100000.0</v>
      </c>
      <c r="E643" s="2" t="s">
        <v>17</v>
      </c>
      <c r="F643" s="1" t="s">
        <v>30</v>
      </c>
      <c r="G643" s="1" t="s">
        <v>36</v>
      </c>
      <c r="H643" s="1" t="s">
        <v>25</v>
      </c>
      <c r="I643" s="2" t="s">
        <v>29</v>
      </c>
      <c r="J643" s="1" t="s">
        <v>51</v>
      </c>
      <c r="K643" s="1" t="s">
        <v>598</v>
      </c>
      <c r="L643" s="2" t="s">
        <v>102</v>
      </c>
      <c r="M643" s="1" t="s">
        <v>25</v>
      </c>
    </row>
    <row r="644" ht="15.75" customHeight="1">
      <c r="A644" s="2" t="s">
        <v>772</v>
      </c>
      <c r="B644" s="1" t="s">
        <v>14</v>
      </c>
      <c r="C644" s="1" t="s">
        <v>15</v>
      </c>
      <c r="D644" s="3">
        <v>70000.0</v>
      </c>
      <c r="E644" s="2" t="s">
        <v>35</v>
      </c>
      <c r="F644" s="1" t="s">
        <v>87</v>
      </c>
      <c r="G644" s="1" t="s">
        <v>36</v>
      </c>
      <c r="H644" s="1" t="s">
        <v>20</v>
      </c>
      <c r="I644" s="2" t="s">
        <v>17</v>
      </c>
      <c r="J644" s="1" t="s">
        <v>22</v>
      </c>
      <c r="K644" s="1" t="s">
        <v>598</v>
      </c>
      <c r="L644" s="2" t="s">
        <v>83</v>
      </c>
      <c r="M644" s="1" t="s">
        <v>25</v>
      </c>
    </row>
    <row r="645" ht="15.75" customHeight="1">
      <c r="A645" s="2" t="s">
        <v>773</v>
      </c>
      <c r="B645" s="1" t="s">
        <v>14</v>
      </c>
      <c r="C645" s="1" t="s">
        <v>15</v>
      </c>
      <c r="D645" s="3">
        <v>80000.0</v>
      </c>
      <c r="E645" s="2" t="s">
        <v>21</v>
      </c>
      <c r="F645" s="1" t="s">
        <v>87</v>
      </c>
      <c r="G645" s="1" t="s">
        <v>19</v>
      </c>
      <c r="H645" s="1" t="s">
        <v>20</v>
      </c>
      <c r="I645" s="2" t="s">
        <v>21</v>
      </c>
      <c r="J645" s="1" t="s">
        <v>51</v>
      </c>
      <c r="K645" s="1" t="s">
        <v>598</v>
      </c>
      <c r="L645" s="2" t="s">
        <v>100</v>
      </c>
      <c r="M645" s="1" t="s">
        <v>20</v>
      </c>
    </row>
    <row r="646" ht="15.75" customHeight="1">
      <c r="A646" s="2" t="s">
        <v>774</v>
      </c>
      <c r="B646" s="1" t="s">
        <v>14</v>
      </c>
      <c r="C646" s="1" t="s">
        <v>27</v>
      </c>
      <c r="D646" s="3">
        <v>130000.0</v>
      </c>
      <c r="E646" s="2" t="s">
        <v>17</v>
      </c>
      <c r="F646" s="1" t="s">
        <v>87</v>
      </c>
      <c r="G646" s="1" t="s">
        <v>56</v>
      </c>
      <c r="H646" s="1" t="s">
        <v>20</v>
      </c>
      <c r="I646" s="2" t="s">
        <v>57</v>
      </c>
      <c r="J646" s="1" t="s">
        <v>22</v>
      </c>
      <c r="K646" s="1" t="s">
        <v>598</v>
      </c>
      <c r="L646" s="2" t="s">
        <v>100</v>
      </c>
      <c r="M646" s="1" t="s">
        <v>25</v>
      </c>
    </row>
    <row r="647" ht="15.75" customHeight="1">
      <c r="A647" s="2" t="s">
        <v>775</v>
      </c>
      <c r="B647" s="1" t="s">
        <v>14</v>
      </c>
      <c r="C647" s="1" t="s">
        <v>15</v>
      </c>
      <c r="D647" s="3">
        <v>60000.0</v>
      </c>
      <c r="E647" s="2" t="s">
        <v>17</v>
      </c>
      <c r="F647" s="1" t="s">
        <v>30</v>
      </c>
      <c r="G647" s="1" t="s">
        <v>19</v>
      </c>
      <c r="H647" s="1" t="s">
        <v>20</v>
      </c>
      <c r="I647" s="2" t="s">
        <v>17</v>
      </c>
      <c r="J647" s="1" t="s">
        <v>38</v>
      </c>
      <c r="K647" s="1" t="s">
        <v>598</v>
      </c>
      <c r="L647" s="2" t="s">
        <v>130</v>
      </c>
      <c r="M647" s="1" t="s">
        <v>20</v>
      </c>
    </row>
    <row r="648" ht="15.75" customHeight="1">
      <c r="A648" s="2" t="s">
        <v>776</v>
      </c>
      <c r="B648" s="1" t="s">
        <v>14</v>
      </c>
      <c r="C648" s="1" t="s">
        <v>15</v>
      </c>
      <c r="D648" s="3">
        <v>40000.0</v>
      </c>
      <c r="E648" s="2" t="s">
        <v>35</v>
      </c>
      <c r="F648" s="1" t="s">
        <v>55</v>
      </c>
      <c r="G648" s="1" t="s">
        <v>36</v>
      </c>
      <c r="H648" s="1" t="s">
        <v>25</v>
      </c>
      <c r="I648" s="2" t="s">
        <v>37</v>
      </c>
      <c r="J648" s="1" t="s">
        <v>69</v>
      </c>
      <c r="K648" s="1" t="s">
        <v>598</v>
      </c>
      <c r="L648" s="2" t="s">
        <v>145</v>
      </c>
      <c r="M648" s="1" t="s">
        <v>25</v>
      </c>
    </row>
    <row r="649" ht="15.75" customHeight="1">
      <c r="A649" s="2" t="s">
        <v>777</v>
      </c>
      <c r="B649" s="1" t="s">
        <v>14</v>
      </c>
      <c r="C649" s="1" t="s">
        <v>15</v>
      </c>
      <c r="D649" s="3">
        <v>60000.0</v>
      </c>
      <c r="E649" s="2" t="s">
        <v>21</v>
      </c>
      <c r="F649" s="1" t="s">
        <v>87</v>
      </c>
      <c r="G649" s="1" t="s">
        <v>36</v>
      </c>
      <c r="H649" s="1" t="s">
        <v>20</v>
      </c>
      <c r="I649" s="2" t="s">
        <v>21</v>
      </c>
      <c r="J649" s="1" t="s">
        <v>22</v>
      </c>
      <c r="K649" s="1" t="s">
        <v>598</v>
      </c>
      <c r="L649" s="2" t="s">
        <v>100</v>
      </c>
      <c r="M649" s="1" t="s">
        <v>25</v>
      </c>
    </row>
    <row r="650" ht="15.75" customHeight="1">
      <c r="A650" s="2" t="s">
        <v>778</v>
      </c>
      <c r="B650" s="1" t="s">
        <v>14</v>
      </c>
      <c r="C650" s="1" t="s">
        <v>15</v>
      </c>
      <c r="D650" s="3">
        <v>60000.0</v>
      </c>
      <c r="E650" s="2" t="s">
        <v>37</v>
      </c>
      <c r="F650" s="1" t="s">
        <v>55</v>
      </c>
      <c r="G650" s="1" t="s">
        <v>36</v>
      </c>
      <c r="H650" s="1" t="s">
        <v>20</v>
      </c>
      <c r="I650" s="2" t="s">
        <v>37</v>
      </c>
      <c r="J650" s="1" t="s">
        <v>43</v>
      </c>
      <c r="K650" s="1" t="s">
        <v>598</v>
      </c>
      <c r="L650" s="2" t="s">
        <v>52</v>
      </c>
      <c r="M650" s="1" t="s">
        <v>25</v>
      </c>
    </row>
    <row r="651" ht="15.75" customHeight="1">
      <c r="A651" s="2" t="s">
        <v>779</v>
      </c>
      <c r="B651" s="1" t="s">
        <v>14</v>
      </c>
      <c r="C651" s="1" t="s">
        <v>27</v>
      </c>
      <c r="D651" s="3">
        <v>70000.0</v>
      </c>
      <c r="E651" s="2" t="s">
        <v>37</v>
      </c>
      <c r="F651" s="1" t="s">
        <v>30</v>
      </c>
      <c r="G651" s="1" t="s">
        <v>36</v>
      </c>
      <c r="H651" s="1" t="s">
        <v>20</v>
      </c>
      <c r="I651" s="2" t="s">
        <v>17</v>
      </c>
      <c r="J651" s="1" t="s">
        <v>69</v>
      </c>
      <c r="K651" s="1" t="s">
        <v>598</v>
      </c>
      <c r="L651" s="2" t="s">
        <v>81</v>
      </c>
      <c r="M651" s="1" t="s">
        <v>25</v>
      </c>
    </row>
    <row r="652" ht="15.75" customHeight="1">
      <c r="A652" s="2" t="s">
        <v>780</v>
      </c>
      <c r="B652" s="1" t="s">
        <v>41</v>
      </c>
      <c r="C652" s="1" t="s">
        <v>15</v>
      </c>
      <c r="D652" s="3">
        <v>60000.0</v>
      </c>
      <c r="E652" s="2" t="s">
        <v>17</v>
      </c>
      <c r="F652" s="1" t="s">
        <v>87</v>
      </c>
      <c r="G652" s="1" t="s">
        <v>36</v>
      </c>
      <c r="H652" s="1" t="s">
        <v>20</v>
      </c>
      <c r="I652" s="2" t="s">
        <v>21</v>
      </c>
      <c r="J652" s="1" t="s">
        <v>38</v>
      </c>
      <c r="K652" s="1" t="s">
        <v>598</v>
      </c>
      <c r="L652" s="2" t="s">
        <v>47</v>
      </c>
      <c r="M652" s="1" t="s">
        <v>20</v>
      </c>
    </row>
    <row r="653" ht="15.75" customHeight="1">
      <c r="A653" s="2" t="s">
        <v>781</v>
      </c>
      <c r="B653" s="1" t="s">
        <v>41</v>
      </c>
      <c r="C653" s="1" t="s">
        <v>15</v>
      </c>
      <c r="D653" s="3">
        <v>40000.0</v>
      </c>
      <c r="E653" s="2" t="s">
        <v>21</v>
      </c>
      <c r="F653" s="1" t="s">
        <v>55</v>
      </c>
      <c r="G653" s="1" t="s">
        <v>19</v>
      </c>
      <c r="H653" s="1" t="s">
        <v>20</v>
      </c>
      <c r="I653" s="2" t="s">
        <v>37</v>
      </c>
      <c r="J653" s="1" t="s">
        <v>43</v>
      </c>
      <c r="K653" s="1" t="s">
        <v>598</v>
      </c>
      <c r="L653" s="2" t="s">
        <v>116</v>
      </c>
      <c r="M653" s="1" t="s">
        <v>25</v>
      </c>
    </row>
    <row r="654" ht="15.75" customHeight="1">
      <c r="A654" s="2" t="s">
        <v>782</v>
      </c>
      <c r="B654" s="1" t="s">
        <v>41</v>
      </c>
      <c r="C654" s="1" t="s">
        <v>15</v>
      </c>
      <c r="D654" s="3">
        <v>70000.0</v>
      </c>
      <c r="E654" s="2" t="s">
        <v>57</v>
      </c>
      <c r="F654" s="1" t="s">
        <v>87</v>
      </c>
      <c r="G654" s="1" t="s">
        <v>36</v>
      </c>
      <c r="H654" s="1" t="s">
        <v>20</v>
      </c>
      <c r="I654" s="2" t="s">
        <v>21</v>
      </c>
      <c r="J654" s="1" t="s">
        <v>38</v>
      </c>
      <c r="K654" s="1" t="s">
        <v>598</v>
      </c>
      <c r="L654" s="2" t="s">
        <v>74</v>
      </c>
      <c r="M654" s="1" t="s">
        <v>20</v>
      </c>
    </row>
    <row r="655" ht="15.75" customHeight="1">
      <c r="A655" s="2" t="s">
        <v>783</v>
      </c>
      <c r="B655" s="1" t="s">
        <v>14</v>
      </c>
      <c r="C655" s="1" t="s">
        <v>15</v>
      </c>
      <c r="D655" s="3">
        <v>30000.0</v>
      </c>
      <c r="E655" s="2" t="s">
        <v>37</v>
      </c>
      <c r="F655" s="1" t="s">
        <v>55</v>
      </c>
      <c r="G655" s="1" t="s">
        <v>19</v>
      </c>
      <c r="H655" s="1" t="s">
        <v>20</v>
      </c>
      <c r="I655" s="2" t="s">
        <v>37</v>
      </c>
      <c r="J655" s="1" t="s">
        <v>51</v>
      </c>
      <c r="K655" s="1" t="s">
        <v>598</v>
      </c>
      <c r="L655" s="2" t="s">
        <v>125</v>
      </c>
      <c r="M655" s="1" t="s">
        <v>25</v>
      </c>
    </row>
    <row r="656" ht="15.75" customHeight="1">
      <c r="A656" s="2" t="s">
        <v>784</v>
      </c>
      <c r="B656" s="1" t="s">
        <v>14</v>
      </c>
      <c r="C656" s="1" t="s">
        <v>27</v>
      </c>
      <c r="D656" s="3">
        <v>100000.0</v>
      </c>
      <c r="E656" s="2" t="s">
        <v>29</v>
      </c>
      <c r="F656" s="1" t="s">
        <v>18</v>
      </c>
      <c r="G656" s="1" t="s">
        <v>56</v>
      </c>
      <c r="H656" s="1" t="s">
        <v>20</v>
      </c>
      <c r="I656" s="2" t="s">
        <v>57</v>
      </c>
      <c r="J656" s="1" t="s">
        <v>22</v>
      </c>
      <c r="K656" s="1" t="s">
        <v>598</v>
      </c>
      <c r="L656" s="2" t="s">
        <v>45</v>
      </c>
      <c r="M656" s="1" t="s">
        <v>25</v>
      </c>
    </row>
    <row r="657" ht="15.75" customHeight="1">
      <c r="A657" s="2" t="s">
        <v>785</v>
      </c>
      <c r="B657" s="1" t="s">
        <v>14</v>
      </c>
      <c r="C657" s="1" t="s">
        <v>27</v>
      </c>
      <c r="D657" s="3">
        <v>40000.0</v>
      </c>
      <c r="E657" s="2" t="s">
        <v>37</v>
      </c>
      <c r="F657" s="1" t="s">
        <v>30</v>
      </c>
      <c r="G657" s="1" t="s">
        <v>31</v>
      </c>
      <c r="H657" s="1" t="s">
        <v>20</v>
      </c>
      <c r="I657" s="2" t="s">
        <v>17</v>
      </c>
      <c r="J657" s="1" t="s">
        <v>22</v>
      </c>
      <c r="K657" s="1" t="s">
        <v>598</v>
      </c>
      <c r="L657" s="2" t="s">
        <v>83</v>
      </c>
      <c r="M657" s="1" t="s">
        <v>25</v>
      </c>
    </row>
    <row r="658" ht="15.75" customHeight="1">
      <c r="A658" s="2" t="s">
        <v>786</v>
      </c>
      <c r="B658" s="1" t="s">
        <v>14</v>
      </c>
      <c r="C658" s="1" t="s">
        <v>27</v>
      </c>
      <c r="D658" s="3">
        <v>60000.0</v>
      </c>
      <c r="E658" s="2" t="s">
        <v>57</v>
      </c>
      <c r="F658" s="1" t="s">
        <v>87</v>
      </c>
      <c r="G658" s="1" t="s">
        <v>19</v>
      </c>
      <c r="H658" s="1" t="s">
        <v>25</v>
      </c>
      <c r="I658" s="2" t="s">
        <v>21</v>
      </c>
      <c r="J658" s="1" t="s">
        <v>22</v>
      </c>
      <c r="K658" s="1" t="s">
        <v>598</v>
      </c>
      <c r="L658" s="2" t="s">
        <v>83</v>
      </c>
      <c r="M658" s="1" t="s">
        <v>25</v>
      </c>
    </row>
    <row r="659" ht="15.75" customHeight="1">
      <c r="A659" s="2" t="s">
        <v>787</v>
      </c>
      <c r="B659" s="1" t="s">
        <v>14</v>
      </c>
      <c r="C659" s="1" t="s">
        <v>27</v>
      </c>
      <c r="D659" s="3">
        <v>80000.0</v>
      </c>
      <c r="E659" s="2" t="s">
        <v>35</v>
      </c>
      <c r="F659" s="1" t="s">
        <v>18</v>
      </c>
      <c r="G659" s="1" t="s">
        <v>56</v>
      </c>
      <c r="H659" s="1" t="s">
        <v>25</v>
      </c>
      <c r="I659" s="2" t="s">
        <v>37</v>
      </c>
      <c r="J659" s="1" t="s">
        <v>38</v>
      </c>
      <c r="K659" s="1" t="s">
        <v>23</v>
      </c>
      <c r="L659" s="2" t="s">
        <v>112</v>
      </c>
      <c r="M659" s="1" t="s">
        <v>25</v>
      </c>
    </row>
    <row r="660" ht="15.75" customHeight="1">
      <c r="A660" s="2" t="s">
        <v>788</v>
      </c>
      <c r="B660" s="1" t="s">
        <v>14</v>
      </c>
      <c r="C660" s="1" t="s">
        <v>27</v>
      </c>
      <c r="D660" s="3">
        <v>60000.0</v>
      </c>
      <c r="E660" s="2" t="s">
        <v>57</v>
      </c>
      <c r="F660" s="1" t="s">
        <v>18</v>
      </c>
      <c r="G660" s="1" t="s">
        <v>56</v>
      </c>
      <c r="H660" s="1" t="s">
        <v>20</v>
      </c>
      <c r="I660" s="2" t="s">
        <v>37</v>
      </c>
      <c r="J660" s="1" t="s">
        <v>69</v>
      </c>
      <c r="K660" s="1" t="s">
        <v>598</v>
      </c>
      <c r="L660" s="2" t="s">
        <v>39</v>
      </c>
      <c r="M660" s="1" t="s">
        <v>25</v>
      </c>
    </row>
    <row r="661" ht="15.75" customHeight="1">
      <c r="A661" s="2" t="s">
        <v>789</v>
      </c>
      <c r="B661" s="1" t="s">
        <v>14</v>
      </c>
      <c r="C661" s="1" t="s">
        <v>15</v>
      </c>
      <c r="D661" s="3">
        <v>60000.0</v>
      </c>
      <c r="E661" s="2" t="s">
        <v>21</v>
      </c>
      <c r="F661" s="1" t="s">
        <v>30</v>
      </c>
      <c r="G661" s="1" t="s">
        <v>19</v>
      </c>
      <c r="H661" s="1" t="s">
        <v>25</v>
      </c>
      <c r="I661" s="2" t="s">
        <v>17</v>
      </c>
      <c r="J661" s="1" t="s">
        <v>51</v>
      </c>
      <c r="K661" s="1" t="s">
        <v>598</v>
      </c>
      <c r="L661" s="2" t="s">
        <v>58</v>
      </c>
      <c r="M661" s="1" t="s">
        <v>25</v>
      </c>
    </row>
    <row r="662" ht="15.75" customHeight="1">
      <c r="A662" s="2" t="s">
        <v>790</v>
      </c>
      <c r="B662" s="1" t="s">
        <v>41</v>
      </c>
      <c r="C662" s="1" t="s">
        <v>15</v>
      </c>
      <c r="D662" s="3">
        <v>80000.0</v>
      </c>
      <c r="E662" s="2" t="s">
        <v>57</v>
      </c>
      <c r="F662" s="1" t="s">
        <v>87</v>
      </c>
      <c r="G662" s="1" t="s">
        <v>19</v>
      </c>
      <c r="H662" s="1" t="s">
        <v>25</v>
      </c>
      <c r="I662" s="2" t="s">
        <v>21</v>
      </c>
      <c r="J662" s="1" t="s">
        <v>22</v>
      </c>
      <c r="K662" s="1" t="s">
        <v>598</v>
      </c>
      <c r="L662" s="2" t="s">
        <v>83</v>
      </c>
      <c r="M662" s="1" t="s">
        <v>25</v>
      </c>
    </row>
    <row r="663" ht="15.75" customHeight="1">
      <c r="A663" s="2" t="s">
        <v>791</v>
      </c>
      <c r="B663" s="1" t="s">
        <v>14</v>
      </c>
      <c r="C663" s="1" t="s">
        <v>27</v>
      </c>
      <c r="D663" s="3">
        <v>20000.0</v>
      </c>
      <c r="E663" s="2" t="s">
        <v>29</v>
      </c>
      <c r="F663" s="1" t="s">
        <v>62</v>
      </c>
      <c r="G663" s="1" t="s">
        <v>31</v>
      </c>
      <c r="H663" s="1" t="s">
        <v>25</v>
      </c>
      <c r="I663" s="2" t="s">
        <v>37</v>
      </c>
      <c r="J663" s="1" t="s">
        <v>22</v>
      </c>
      <c r="K663" s="1" t="s">
        <v>598</v>
      </c>
      <c r="L663" s="2" t="s">
        <v>132</v>
      </c>
      <c r="M663" s="1" t="s">
        <v>25</v>
      </c>
    </row>
    <row r="664" ht="15.75" customHeight="1">
      <c r="A664" s="2" t="s">
        <v>792</v>
      </c>
      <c r="B664" s="1" t="s">
        <v>14</v>
      </c>
      <c r="C664" s="1" t="s">
        <v>15</v>
      </c>
      <c r="D664" s="3">
        <v>90000.0</v>
      </c>
      <c r="E664" s="2" t="s">
        <v>35</v>
      </c>
      <c r="F664" s="1" t="s">
        <v>30</v>
      </c>
      <c r="G664" s="1" t="s">
        <v>36</v>
      </c>
      <c r="H664" s="1" t="s">
        <v>20</v>
      </c>
      <c r="I664" s="2" t="s">
        <v>29</v>
      </c>
      <c r="J664" s="1" t="s">
        <v>38</v>
      </c>
      <c r="K664" s="1" t="s">
        <v>598</v>
      </c>
      <c r="L664" s="2" t="s">
        <v>100</v>
      </c>
      <c r="M664" s="1" t="s">
        <v>25</v>
      </c>
    </row>
    <row r="665" ht="15.75" customHeight="1">
      <c r="A665" s="2" t="s">
        <v>793</v>
      </c>
      <c r="B665" s="1" t="s">
        <v>41</v>
      </c>
      <c r="C665" s="1" t="s">
        <v>15</v>
      </c>
      <c r="D665" s="3">
        <v>60000.0</v>
      </c>
      <c r="E665" s="2" t="s">
        <v>57</v>
      </c>
      <c r="F665" s="1" t="s">
        <v>18</v>
      </c>
      <c r="G665" s="1" t="s">
        <v>19</v>
      </c>
      <c r="H665" s="1" t="s">
        <v>25</v>
      </c>
      <c r="I665" s="2" t="s">
        <v>37</v>
      </c>
      <c r="J665" s="1" t="s">
        <v>22</v>
      </c>
      <c r="K665" s="1" t="s">
        <v>598</v>
      </c>
      <c r="L665" s="2" t="s">
        <v>24</v>
      </c>
      <c r="M665" s="1" t="s">
        <v>25</v>
      </c>
    </row>
    <row r="666" ht="15.75" customHeight="1">
      <c r="A666" s="2" t="s">
        <v>794</v>
      </c>
      <c r="B666" s="1" t="s">
        <v>41</v>
      </c>
      <c r="C666" s="1" t="s">
        <v>15</v>
      </c>
      <c r="D666" s="3">
        <v>60000.0</v>
      </c>
      <c r="E666" s="2" t="s">
        <v>29</v>
      </c>
      <c r="F666" s="1" t="s">
        <v>87</v>
      </c>
      <c r="G666" s="1" t="s">
        <v>56</v>
      </c>
      <c r="H666" s="1" t="s">
        <v>20</v>
      </c>
      <c r="I666" s="2" t="s">
        <v>37</v>
      </c>
      <c r="J666" s="1" t="s">
        <v>43</v>
      </c>
      <c r="K666" s="1" t="s">
        <v>598</v>
      </c>
      <c r="L666" s="2" t="s">
        <v>201</v>
      </c>
      <c r="M666" s="1" t="s">
        <v>20</v>
      </c>
    </row>
    <row r="667" ht="15.75" customHeight="1">
      <c r="A667" s="2" t="s">
        <v>795</v>
      </c>
      <c r="B667" s="1" t="s">
        <v>14</v>
      </c>
      <c r="C667" s="1" t="s">
        <v>15</v>
      </c>
      <c r="D667" s="3">
        <v>40000.0</v>
      </c>
      <c r="E667" s="2" t="s">
        <v>17</v>
      </c>
      <c r="F667" s="1" t="s">
        <v>30</v>
      </c>
      <c r="G667" s="1" t="s">
        <v>31</v>
      </c>
      <c r="H667" s="1" t="s">
        <v>20</v>
      </c>
      <c r="I667" s="2" t="s">
        <v>17</v>
      </c>
      <c r="J667" s="1" t="s">
        <v>51</v>
      </c>
      <c r="K667" s="1" t="s">
        <v>598</v>
      </c>
      <c r="L667" s="2" t="s">
        <v>178</v>
      </c>
      <c r="M667" s="1" t="s">
        <v>20</v>
      </c>
    </row>
    <row r="668" ht="15.75" customHeight="1">
      <c r="A668" s="2" t="s">
        <v>796</v>
      </c>
      <c r="B668" s="1" t="s">
        <v>41</v>
      </c>
      <c r="C668" s="1" t="s">
        <v>27</v>
      </c>
      <c r="D668" s="3">
        <v>30000.0</v>
      </c>
      <c r="E668" s="2" t="s">
        <v>21</v>
      </c>
      <c r="F668" s="1" t="s">
        <v>30</v>
      </c>
      <c r="G668" s="1" t="s">
        <v>19</v>
      </c>
      <c r="H668" s="1" t="s">
        <v>20</v>
      </c>
      <c r="I668" s="2" t="s">
        <v>37</v>
      </c>
      <c r="J668" s="1" t="s">
        <v>43</v>
      </c>
      <c r="K668" s="1" t="s">
        <v>598</v>
      </c>
      <c r="L668" s="2" t="s">
        <v>116</v>
      </c>
      <c r="M668" s="1" t="s">
        <v>25</v>
      </c>
    </row>
    <row r="669" ht="15.75" customHeight="1">
      <c r="A669" s="2" t="s">
        <v>798</v>
      </c>
      <c r="B669" s="1" t="s">
        <v>14</v>
      </c>
      <c r="C669" s="1" t="s">
        <v>27</v>
      </c>
      <c r="D669" s="3">
        <v>30000.0</v>
      </c>
      <c r="E669" s="2" t="s">
        <v>21</v>
      </c>
      <c r="F669" s="1" t="s">
        <v>55</v>
      </c>
      <c r="G669" s="1" t="s">
        <v>19</v>
      </c>
      <c r="H669" s="1" t="s">
        <v>20</v>
      </c>
      <c r="I669" s="2" t="s">
        <v>37</v>
      </c>
      <c r="J669" s="1" t="s">
        <v>43</v>
      </c>
      <c r="K669" s="1" t="s">
        <v>598</v>
      </c>
      <c r="L669" s="2" t="s">
        <v>107</v>
      </c>
      <c r="M669" s="1" t="s">
        <v>25</v>
      </c>
    </row>
    <row r="670" ht="15.75" customHeight="1">
      <c r="A670" s="2" t="s">
        <v>799</v>
      </c>
      <c r="B670" s="1" t="s">
        <v>41</v>
      </c>
      <c r="C670" s="1" t="s">
        <v>15</v>
      </c>
      <c r="D670" s="3">
        <v>130000.0</v>
      </c>
      <c r="E670" s="2" t="s">
        <v>17</v>
      </c>
      <c r="F670" s="1" t="s">
        <v>18</v>
      </c>
      <c r="G670" s="1" t="s">
        <v>56</v>
      </c>
      <c r="H670" s="1" t="s">
        <v>25</v>
      </c>
      <c r="I670" s="2" t="s">
        <v>17</v>
      </c>
      <c r="J670" s="1" t="s">
        <v>38</v>
      </c>
      <c r="K670" s="1" t="s">
        <v>598</v>
      </c>
      <c r="L670" s="2" t="s">
        <v>77</v>
      </c>
      <c r="M670" s="1" t="s">
        <v>25</v>
      </c>
    </row>
    <row r="671" ht="15.75" customHeight="1">
      <c r="A671" s="2" t="s">
        <v>800</v>
      </c>
      <c r="B671" s="1" t="s">
        <v>14</v>
      </c>
      <c r="C671" s="1" t="s">
        <v>27</v>
      </c>
      <c r="D671" s="3">
        <v>50000.0</v>
      </c>
      <c r="E671" s="2" t="s">
        <v>17</v>
      </c>
      <c r="F671" s="1" t="s">
        <v>18</v>
      </c>
      <c r="G671" s="1" t="s">
        <v>19</v>
      </c>
      <c r="H671" s="1" t="s">
        <v>20</v>
      </c>
      <c r="I671" s="2" t="s">
        <v>21</v>
      </c>
      <c r="J671" s="1" t="s">
        <v>22</v>
      </c>
      <c r="K671" s="1" t="s">
        <v>598</v>
      </c>
      <c r="L671" s="2" t="s">
        <v>93</v>
      </c>
      <c r="M671" s="1" t="s">
        <v>20</v>
      </c>
    </row>
    <row r="672" ht="15.75" customHeight="1">
      <c r="A672" s="2" t="s">
        <v>801</v>
      </c>
      <c r="B672" s="1" t="s">
        <v>14</v>
      </c>
      <c r="C672" s="1" t="s">
        <v>27</v>
      </c>
      <c r="D672" s="3">
        <v>70000.0</v>
      </c>
      <c r="E672" s="2" t="s">
        <v>17</v>
      </c>
      <c r="F672" s="1" t="s">
        <v>18</v>
      </c>
      <c r="G672" s="1" t="s">
        <v>36</v>
      </c>
      <c r="H672" s="1" t="s">
        <v>20</v>
      </c>
      <c r="I672" s="2" t="s">
        <v>17</v>
      </c>
      <c r="J672" s="1" t="s">
        <v>38</v>
      </c>
      <c r="K672" s="1" t="s">
        <v>598</v>
      </c>
      <c r="L672" s="2" t="s">
        <v>102</v>
      </c>
      <c r="M672" s="1" t="s">
        <v>20</v>
      </c>
    </row>
    <row r="673" ht="15.75" customHeight="1">
      <c r="A673" s="2" t="s">
        <v>802</v>
      </c>
      <c r="B673" s="1" t="s">
        <v>41</v>
      </c>
      <c r="C673" s="1" t="s">
        <v>15</v>
      </c>
      <c r="D673" s="3">
        <v>60000.0</v>
      </c>
      <c r="E673" s="2" t="s">
        <v>57</v>
      </c>
      <c r="F673" s="1" t="s">
        <v>18</v>
      </c>
      <c r="G673" s="1" t="s">
        <v>19</v>
      </c>
      <c r="H673" s="1" t="s">
        <v>25</v>
      </c>
      <c r="I673" s="2" t="s">
        <v>37</v>
      </c>
      <c r="J673" s="1" t="s">
        <v>22</v>
      </c>
      <c r="K673" s="1" t="s">
        <v>598</v>
      </c>
      <c r="L673" s="2" t="s">
        <v>45</v>
      </c>
      <c r="M673" s="1" t="s">
        <v>20</v>
      </c>
    </row>
    <row r="674" ht="15.75" customHeight="1">
      <c r="A674" s="2" t="s">
        <v>803</v>
      </c>
      <c r="B674" s="1" t="s">
        <v>41</v>
      </c>
      <c r="C674" s="1" t="s">
        <v>15</v>
      </c>
      <c r="D674" s="3">
        <v>80000.0</v>
      </c>
      <c r="E674" s="2" t="s">
        <v>29</v>
      </c>
      <c r="F674" s="1" t="s">
        <v>87</v>
      </c>
      <c r="G674" s="1" t="s">
        <v>36</v>
      </c>
      <c r="H674" s="1" t="s">
        <v>25</v>
      </c>
      <c r="I674" s="2" t="s">
        <v>21</v>
      </c>
      <c r="J674" s="1" t="s">
        <v>22</v>
      </c>
      <c r="K674" s="1" t="s">
        <v>598</v>
      </c>
      <c r="L674" s="2" t="s">
        <v>47</v>
      </c>
      <c r="M674" s="1" t="s">
        <v>20</v>
      </c>
    </row>
    <row r="675" ht="15.75" customHeight="1">
      <c r="A675" s="2" t="s">
        <v>804</v>
      </c>
      <c r="B675" s="1" t="s">
        <v>14</v>
      </c>
      <c r="C675" s="1" t="s">
        <v>1111</v>
      </c>
      <c r="D675" s="3">
        <v>80000.0</v>
      </c>
      <c r="E675" s="2" t="s">
        <v>35</v>
      </c>
      <c r="F675" s="1" t="s">
        <v>30</v>
      </c>
      <c r="G675" s="1" t="s">
        <v>36</v>
      </c>
      <c r="H675" s="1" t="s">
        <v>20</v>
      </c>
      <c r="I675" s="2" t="s">
        <v>37</v>
      </c>
      <c r="J675" s="1" t="s">
        <v>22</v>
      </c>
      <c r="K675" s="1" t="s">
        <v>598</v>
      </c>
      <c r="L675" s="2" t="s">
        <v>102</v>
      </c>
      <c r="M675" s="1" t="s">
        <v>25</v>
      </c>
    </row>
    <row r="676" ht="15.75" customHeight="1">
      <c r="A676" s="2" t="s">
        <v>805</v>
      </c>
      <c r="B676" s="1" t="s">
        <v>41</v>
      </c>
      <c r="C676" s="1" t="s">
        <v>27</v>
      </c>
      <c r="D676" s="3">
        <v>60000.0</v>
      </c>
      <c r="E676" s="2" t="s">
        <v>21</v>
      </c>
      <c r="F676" s="1" t="s">
        <v>30</v>
      </c>
      <c r="G676" s="1" t="s">
        <v>36</v>
      </c>
      <c r="H676" s="1" t="s">
        <v>25</v>
      </c>
      <c r="I676" s="2" t="s">
        <v>37</v>
      </c>
      <c r="J676" s="1" t="s">
        <v>51</v>
      </c>
      <c r="K676" s="1" t="s">
        <v>598</v>
      </c>
      <c r="L676" s="2" t="s">
        <v>116</v>
      </c>
      <c r="M676" s="1" t="s">
        <v>25</v>
      </c>
    </row>
    <row r="677" ht="15.75" customHeight="1">
      <c r="A677" s="2" t="s">
        <v>806</v>
      </c>
      <c r="B677" s="1" t="s">
        <v>14</v>
      </c>
      <c r="C677" s="1" t="s">
        <v>15</v>
      </c>
      <c r="D677" s="3">
        <v>30000.0</v>
      </c>
      <c r="E677" s="2" t="s">
        <v>21</v>
      </c>
      <c r="F677" s="1" t="s">
        <v>62</v>
      </c>
      <c r="G677" s="1" t="s">
        <v>31</v>
      </c>
      <c r="H677" s="1" t="s">
        <v>25</v>
      </c>
      <c r="I677" s="2" t="s">
        <v>37</v>
      </c>
      <c r="J677" s="1" t="s">
        <v>22</v>
      </c>
      <c r="K677" s="1" t="s">
        <v>598</v>
      </c>
      <c r="L677" s="2" t="s">
        <v>118</v>
      </c>
      <c r="M677" s="1" t="s">
        <v>25</v>
      </c>
    </row>
    <row r="678" ht="15.75" customHeight="1">
      <c r="A678" s="2" t="s">
        <v>807</v>
      </c>
      <c r="B678" s="1" t="s">
        <v>14</v>
      </c>
      <c r="C678" s="1" t="s">
        <v>27</v>
      </c>
      <c r="D678" s="3">
        <v>20000.0</v>
      </c>
      <c r="E678" s="2" t="s">
        <v>37</v>
      </c>
      <c r="F678" s="1" t="s">
        <v>62</v>
      </c>
      <c r="G678" s="1" t="s">
        <v>31</v>
      </c>
      <c r="H678" s="1" t="s">
        <v>20</v>
      </c>
      <c r="I678" s="2" t="s">
        <v>37</v>
      </c>
      <c r="J678" s="1" t="s">
        <v>51</v>
      </c>
      <c r="K678" s="1" t="s">
        <v>598</v>
      </c>
      <c r="L678" s="2" t="s">
        <v>195</v>
      </c>
      <c r="M678" s="1" t="s">
        <v>25</v>
      </c>
    </row>
    <row r="679" ht="15.75" customHeight="1">
      <c r="A679" s="2" t="s">
        <v>808</v>
      </c>
      <c r="B679" s="1" t="s">
        <v>41</v>
      </c>
      <c r="C679" s="1" t="s">
        <v>27</v>
      </c>
      <c r="D679" s="3">
        <v>90000.0</v>
      </c>
      <c r="E679" s="2" t="s">
        <v>21</v>
      </c>
      <c r="F679" s="1" t="s">
        <v>30</v>
      </c>
      <c r="G679" s="1" t="s">
        <v>36</v>
      </c>
      <c r="H679" s="1" t="s">
        <v>25</v>
      </c>
      <c r="I679" s="2" t="s">
        <v>37</v>
      </c>
      <c r="J679" s="1" t="s">
        <v>22</v>
      </c>
      <c r="K679" s="1" t="s">
        <v>598</v>
      </c>
      <c r="L679" s="2" t="s">
        <v>32</v>
      </c>
      <c r="M679" s="1" t="s">
        <v>20</v>
      </c>
    </row>
    <row r="680" ht="15.75" customHeight="1">
      <c r="A680" s="2" t="s">
        <v>809</v>
      </c>
      <c r="B680" s="1" t="s">
        <v>14</v>
      </c>
      <c r="C680" s="1" t="s">
        <v>15</v>
      </c>
      <c r="D680" s="3">
        <v>70000.0</v>
      </c>
      <c r="E680" s="2" t="s">
        <v>57</v>
      </c>
      <c r="F680" s="1" t="s">
        <v>18</v>
      </c>
      <c r="G680" s="1" t="s">
        <v>56</v>
      </c>
      <c r="H680" s="1" t="s">
        <v>20</v>
      </c>
      <c r="I680" s="2" t="s">
        <v>17</v>
      </c>
      <c r="J680" s="1" t="s">
        <v>51</v>
      </c>
      <c r="K680" s="1" t="s">
        <v>598</v>
      </c>
      <c r="L680" s="2" t="s">
        <v>81</v>
      </c>
      <c r="M680" s="1" t="s">
        <v>25</v>
      </c>
    </row>
    <row r="681" ht="15.75" customHeight="1">
      <c r="A681" s="2" t="s">
        <v>810</v>
      </c>
      <c r="B681" s="1" t="s">
        <v>41</v>
      </c>
      <c r="C681" s="1" t="s">
        <v>27</v>
      </c>
      <c r="D681" s="3">
        <v>30000.0</v>
      </c>
      <c r="E681" s="2" t="s">
        <v>21</v>
      </c>
      <c r="F681" s="1" t="s">
        <v>55</v>
      </c>
      <c r="G681" s="1" t="s">
        <v>19</v>
      </c>
      <c r="H681" s="1" t="s">
        <v>20</v>
      </c>
      <c r="I681" s="2" t="s">
        <v>37</v>
      </c>
      <c r="J681" s="1" t="s">
        <v>43</v>
      </c>
      <c r="K681" s="1" t="s">
        <v>598</v>
      </c>
      <c r="L681" s="2" t="s">
        <v>107</v>
      </c>
      <c r="M681" s="1" t="s">
        <v>25</v>
      </c>
    </row>
    <row r="682" ht="15.75" customHeight="1">
      <c r="A682" s="2" t="s">
        <v>811</v>
      </c>
      <c r="B682" s="1" t="s">
        <v>14</v>
      </c>
      <c r="C682" s="1" t="s">
        <v>27</v>
      </c>
      <c r="D682" s="3">
        <v>120000.0</v>
      </c>
      <c r="E682" s="2" t="s">
        <v>17</v>
      </c>
      <c r="F682" s="1" t="s">
        <v>55</v>
      </c>
      <c r="G682" s="1" t="s">
        <v>36</v>
      </c>
      <c r="H682" s="1" t="s">
        <v>20</v>
      </c>
      <c r="I682" s="2" t="s">
        <v>57</v>
      </c>
      <c r="J682" s="1" t="s">
        <v>43</v>
      </c>
      <c r="K682" s="1" t="s">
        <v>598</v>
      </c>
      <c r="L682" s="2" t="s">
        <v>130</v>
      </c>
      <c r="M682" s="1" t="s">
        <v>20</v>
      </c>
    </row>
    <row r="683" ht="15.75" customHeight="1">
      <c r="A683" s="2" t="s">
        <v>812</v>
      </c>
      <c r="B683" s="1" t="s">
        <v>41</v>
      </c>
      <c r="C683" s="1" t="s">
        <v>15</v>
      </c>
      <c r="D683" s="3">
        <v>50000.0</v>
      </c>
      <c r="E683" s="2" t="s">
        <v>21</v>
      </c>
      <c r="F683" s="1" t="s">
        <v>87</v>
      </c>
      <c r="G683" s="1" t="s">
        <v>19</v>
      </c>
      <c r="H683" s="1" t="s">
        <v>20</v>
      </c>
      <c r="I683" s="2" t="s">
        <v>21</v>
      </c>
      <c r="J683" s="1" t="s">
        <v>51</v>
      </c>
      <c r="K683" s="1" t="s">
        <v>598</v>
      </c>
      <c r="L683" s="2" t="s">
        <v>58</v>
      </c>
      <c r="M683" s="1" t="s">
        <v>25</v>
      </c>
    </row>
    <row r="684" ht="15.75" customHeight="1">
      <c r="A684" s="2" t="s">
        <v>813</v>
      </c>
      <c r="B684" s="1" t="s">
        <v>41</v>
      </c>
      <c r="C684" s="1" t="s">
        <v>15</v>
      </c>
      <c r="D684" s="3">
        <v>40000.0</v>
      </c>
      <c r="E684" s="2" t="s">
        <v>21</v>
      </c>
      <c r="F684" s="1" t="s">
        <v>18</v>
      </c>
      <c r="G684" s="1" t="s">
        <v>36</v>
      </c>
      <c r="H684" s="1" t="s">
        <v>20</v>
      </c>
      <c r="I684" s="2" t="s">
        <v>17</v>
      </c>
      <c r="J684" s="1" t="s">
        <v>38</v>
      </c>
      <c r="K684" s="1" t="s">
        <v>598</v>
      </c>
      <c r="L684" s="2" t="s">
        <v>24</v>
      </c>
      <c r="M684" s="1" t="s">
        <v>20</v>
      </c>
    </row>
    <row r="685" ht="15.75" customHeight="1">
      <c r="A685" s="2" t="s">
        <v>814</v>
      </c>
      <c r="B685" s="1" t="s">
        <v>14</v>
      </c>
      <c r="C685" s="1" t="s">
        <v>15</v>
      </c>
      <c r="D685" s="3">
        <v>70000.0</v>
      </c>
      <c r="E685" s="2" t="s">
        <v>57</v>
      </c>
      <c r="F685" s="1" t="s">
        <v>18</v>
      </c>
      <c r="G685" s="1" t="s">
        <v>56</v>
      </c>
      <c r="H685" s="1" t="s">
        <v>20</v>
      </c>
      <c r="I685" s="2" t="s">
        <v>17</v>
      </c>
      <c r="J685" s="1" t="s">
        <v>69</v>
      </c>
      <c r="K685" s="1" t="s">
        <v>598</v>
      </c>
      <c r="L685" s="2" t="s">
        <v>81</v>
      </c>
      <c r="M685" s="1" t="s">
        <v>25</v>
      </c>
    </row>
    <row r="686" ht="15.75" customHeight="1">
      <c r="A686" s="2" t="s">
        <v>815</v>
      </c>
      <c r="B686" s="1" t="s">
        <v>41</v>
      </c>
      <c r="C686" s="1" t="s">
        <v>15</v>
      </c>
      <c r="D686" s="3">
        <v>60000.0</v>
      </c>
      <c r="E686" s="2" t="s">
        <v>21</v>
      </c>
      <c r="F686" s="1" t="s">
        <v>30</v>
      </c>
      <c r="G686" s="1" t="s">
        <v>19</v>
      </c>
      <c r="H686" s="1" t="s">
        <v>25</v>
      </c>
      <c r="I686" s="2" t="s">
        <v>17</v>
      </c>
      <c r="J686" s="1" t="s">
        <v>51</v>
      </c>
      <c r="K686" s="1" t="s">
        <v>598</v>
      </c>
      <c r="L686" s="2" t="s">
        <v>58</v>
      </c>
      <c r="M686" s="1" t="s">
        <v>20</v>
      </c>
    </row>
    <row r="687" ht="15.75" customHeight="1">
      <c r="A687" s="2" t="s">
        <v>816</v>
      </c>
      <c r="B687" s="1" t="s">
        <v>14</v>
      </c>
      <c r="C687" s="1" t="s">
        <v>15</v>
      </c>
      <c r="D687" s="3">
        <v>70000.0</v>
      </c>
      <c r="E687" s="2" t="s">
        <v>17</v>
      </c>
      <c r="F687" s="1" t="s">
        <v>30</v>
      </c>
      <c r="G687" s="1" t="s">
        <v>19</v>
      </c>
      <c r="H687" s="1" t="s">
        <v>20</v>
      </c>
      <c r="I687" s="2" t="s">
        <v>17</v>
      </c>
      <c r="J687" s="1" t="s">
        <v>22</v>
      </c>
      <c r="K687" s="1" t="s">
        <v>598</v>
      </c>
      <c r="L687" s="2" t="s">
        <v>102</v>
      </c>
      <c r="M687" s="1" t="s">
        <v>20</v>
      </c>
    </row>
    <row r="688" ht="15.75" customHeight="1">
      <c r="A688" s="2" t="s">
        <v>817</v>
      </c>
      <c r="B688" s="1" t="s">
        <v>14</v>
      </c>
      <c r="C688" s="1" t="s">
        <v>27</v>
      </c>
      <c r="D688" s="3">
        <v>70000.0</v>
      </c>
      <c r="E688" s="2" t="s">
        <v>35</v>
      </c>
      <c r="F688" s="1" t="s">
        <v>18</v>
      </c>
      <c r="G688" s="1" t="s">
        <v>56</v>
      </c>
      <c r="H688" s="1" t="s">
        <v>20</v>
      </c>
      <c r="I688" s="2" t="s">
        <v>57</v>
      </c>
      <c r="J688" s="1" t="s">
        <v>69</v>
      </c>
      <c r="K688" s="1" t="s">
        <v>598</v>
      </c>
      <c r="L688" s="2" t="s">
        <v>39</v>
      </c>
      <c r="M688" s="1" t="s">
        <v>25</v>
      </c>
    </row>
    <row r="689" ht="15.75" customHeight="1">
      <c r="A689" s="2" t="s">
        <v>818</v>
      </c>
      <c r="B689" s="1" t="s">
        <v>41</v>
      </c>
      <c r="C689" s="1" t="s">
        <v>15</v>
      </c>
      <c r="D689" s="3">
        <v>70000.0</v>
      </c>
      <c r="E689" s="2" t="s">
        <v>37</v>
      </c>
      <c r="F689" s="1" t="s">
        <v>18</v>
      </c>
      <c r="G689" s="1" t="s">
        <v>56</v>
      </c>
      <c r="H689" s="1" t="s">
        <v>20</v>
      </c>
      <c r="I689" s="2" t="s">
        <v>17</v>
      </c>
      <c r="J689" s="1" t="s">
        <v>69</v>
      </c>
      <c r="K689" s="1" t="s">
        <v>598</v>
      </c>
      <c r="L689" s="2" t="s">
        <v>81</v>
      </c>
      <c r="M689" s="1" t="s">
        <v>25</v>
      </c>
    </row>
    <row r="690" ht="15.75" customHeight="1">
      <c r="A690" s="2" t="s">
        <v>819</v>
      </c>
      <c r="B690" s="1" t="s">
        <v>14</v>
      </c>
      <c r="C690" s="1" t="s">
        <v>27</v>
      </c>
      <c r="D690" s="3">
        <v>60000.0</v>
      </c>
      <c r="E690" s="2" t="s">
        <v>21</v>
      </c>
      <c r="F690" s="1" t="s">
        <v>55</v>
      </c>
      <c r="G690" s="1" t="s">
        <v>36</v>
      </c>
      <c r="H690" s="1" t="s">
        <v>20</v>
      </c>
      <c r="I690" s="2" t="s">
        <v>37</v>
      </c>
      <c r="J690" s="1" t="s">
        <v>43</v>
      </c>
      <c r="K690" s="1" t="s">
        <v>598</v>
      </c>
      <c r="L690" s="2" t="s">
        <v>104</v>
      </c>
      <c r="M690" s="1" t="s">
        <v>20</v>
      </c>
    </row>
    <row r="691" ht="15.75" customHeight="1">
      <c r="A691" s="2" t="s">
        <v>820</v>
      </c>
      <c r="B691" s="1" t="s">
        <v>14</v>
      </c>
      <c r="C691" s="1" t="s">
        <v>15</v>
      </c>
      <c r="D691" s="3">
        <v>70000.0</v>
      </c>
      <c r="E691" s="2" t="s">
        <v>37</v>
      </c>
      <c r="F691" s="1" t="s">
        <v>30</v>
      </c>
      <c r="G691" s="1" t="s">
        <v>36</v>
      </c>
      <c r="H691" s="1" t="s">
        <v>20</v>
      </c>
      <c r="I691" s="2" t="s">
        <v>17</v>
      </c>
      <c r="J691" s="1" t="s">
        <v>69</v>
      </c>
      <c r="K691" s="1" t="s">
        <v>598</v>
      </c>
      <c r="L691" s="2" t="s">
        <v>63</v>
      </c>
      <c r="M691" s="1" t="s">
        <v>25</v>
      </c>
    </row>
    <row r="692" ht="15.75" customHeight="1">
      <c r="A692" s="2" t="s">
        <v>821</v>
      </c>
      <c r="B692" s="1" t="s">
        <v>14</v>
      </c>
      <c r="C692" s="1" t="s">
        <v>15</v>
      </c>
      <c r="D692" s="3">
        <v>40000.0</v>
      </c>
      <c r="E692" s="2" t="s">
        <v>37</v>
      </c>
      <c r="F692" s="1" t="s">
        <v>55</v>
      </c>
      <c r="G692" s="1" t="s">
        <v>36</v>
      </c>
      <c r="H692" s="1" t="s">
        <v>25</v>
      </c>
      <c r="I692" s="2" t="s">
        <v>37</v>
      </c>
      <c r="J692" s="1" t="s">
        <v>38</v>
      </c>
      <c r="K692" s="1" t="s">
        <v>598</v>
      </c>
      <c r="L692" s="2" t="s">
        <v>81</v>
      </c>
      <c r="M692" s="1" t="s">
        <v>25</v>
      </c>
    </row>
    <row r="693" ht="15.75" customHeight="1">
      <c r="A693" s="2" t="s">
        <v>822</v>
      </c>
      <c r="B693" s="1" t="s">
        <v>41</v>
      </c>
      <c r="C693" s="1" t="s">
        <v>15</v>
      </c>
      <c r="D693" s="3">
        <v>70000.0</v>
      </c>
      <c r="E693" s="2" t="s">
        <v>37</v>
      </c>
      <c r="F693" s="1" t="s">
        <v>18</v>
      </c>
      <c r="G693" s="1" t="s">
        <v>19</v>
      </c>
      <c r="H693" s="1" t="s">
        <v>20</v>
      </c>
      <c r="I693" s="2" t="s">
        <v>17</v>
      </c>
      <c r="J693" s="1" t="s">
        <v>38</v>
      </c>
      <c r="K693" s="1" t="s">
        <v>598</v>
      </c>
      <c r="L693" s="2" t="s">
        <v>79</v>
      </c>
      <c r="M693" s="1" t="s">
        <v>25</v>
      </c>
    </row>
    <row r="694" ht="15.75" customHeight="1">
      <c r="A694" s="2" t="s">
        <v>823</v>
      </c>
      <c r="B694" s="1" t="s">
        <v>14</v>
      </c>
      <c r="C694" s="1" t="s">
        <v>27</v>
      </c>
      <c r="D694" s="3">
        <v>40000.0</v>
      </c>
      <c r="E694" s="2" t="s">
        <v>21</v>
      </c>
      <c r="F694" s="1" t="s">
        <v>55</v>
      </c>
      <c r="G694" s="1" t="s">
        <v>19</v>
      </c>
      <c r="H694" s="1" t="s">
        <v>20</v>
      </c>
      <c r="I694" s="2" t="s">
        <v>37</v>
      </c>
      <c r="J694" s="1" t="s">
        <v>43</v>
      </c>
      <c r="K694" s="1" t="s">
        <v>598</v>
      </c>
      <c r="L694" s="2" t="s">
        <v>118</v>
      </c>
      <c r="M694" s="1" t="s">
        <v>20</v>
      </c>
    </row>
    <row r="695" ht="15.75" customHeight="1">
      <c r="A695" s="2" t="s">
        <v>824</v>
      </c>
      <c r="B695" s="1" t="s">
        <v>14</v>
      </c>
      <c r="C695" s="1" t="s">
        <v>15</v>
      </c>
      <c r="D695" s="3">
        <v>60000.0</v>
      </c>
      <c r="E695" s="2" t="s">
        <v>17</v>
      </c>
      <c r="F695" s="1" t="s">
        <v>87</v>
      </c>
      <c r="G695" s="1" t="s">
        <v>36</v>
      </c>
      <c r="H695" s="1" t="s">
        <v>20</v>
      </c>
      <c r="I695" s="2" t="s">
        <v>21</v>
      </c>
      <c r="J695" s="1" t="s">
        <v>38</v>
      </c>
      <c r="K695" s="1" t="s">
        <v>598</v>
      </c>
      <c r="L695" s="2" t="s">
        <v>153</v>
      </c>
      <c r="M695" s="1" t="s">
        <v>20</v>
      </c>
    </row>
    <row r="696" ht="15.75" customHeight="1">
      <c r="A696" s="2" t="s">
        <v>825</v>
      </c>
      <c r="B696" s="1" t="s">
        <v>41</v>
      </c>
      <c r="C696" s="1" t="s">
        <v>15</v>
      </c>
      <c r="D696" s="3">
        <v>80000.0</v>
      </c>
      <c r="E696" s="2" t="s">
        <v>21</v>
      </c>
      <c r="F696" s="1" t="s">
        <v>87</v>
      </c>
      <c r="G696" s="1" t="s">
        <v>19</v>
      </c>
      <c r="H696" s="1" t="s">
        <v>25</v>
      </c>
      <c r="I696" s="2" t="s">
        <v>21</v>
      </c>
      <c r="J696" s="1" t="s">
        <v>22</v>
      </c>
      <c r="K696" s="1" t="s">
        <v>598</v>
      </c>
      <c r="L696" s="2" t="s">
        <v>100</v>
      </c>
      <c r="M696" s="1" t="s">
        <v>25</v>
      </c>
    </row>
    <row r="697" ht="15.75" customHeight="1">
      <c r="A697" s="2" t="s">
        <v>826</v>
      </c>
      <c r="B697" s="1" t="s">
        <v>41</v>
      </c>
      <c r="C697" s="1" t="s">
        <v>27</v>
      </c>
      <c r="D697" s="3">
        <v>90000.0</v>
      </c>
      <c r="E697" s="2" t="s">
        <v>57</v>
      </c>
      <c r="F697" s="1" t="s">
        <v>18</v>
      </c>
      <c r="G697" s="1" t="s">
        <v>56</v>
      </c>
      <c r="H697" s="1" t="s">
        <v>20</v>
      </c>
      <c r="I697" s="2" t="s">
        <v>17</v>
      </c>
      <c r="J697" s="1" t="s">
        <v>51</v>
      </c>
      <c r="K697" s="1" t="s">
        <v>598</v>
      </c>
      <c r="L697" s="2" t="s">
        <v>79</v>
      </c>
      <c r="M697" s="1" t="s">
        <v>20</v>
      </c>
    </row>
    <row r="698" ht="15.75" customHeight="1">
      <c r="A698" s="2" t="s">
        <v>827</v>
      </c>
      <c r="B698" s="1" t="s">
        <v>14</v>
      </c>
      <c r="C698" s="1" t="s">
        <v>27</v>
      </c>
      <c r="D698" s="3">
        <v>70000.0</v>
      </c>
      <c r="E698" s="2" t="s">
        <v>57</v>
      </c>
      <c r="F698" s="1" t="s">
        <v>87</v>
      </c>
      <c r="G698" s="1" t="s">
        <v>36</v>
      </c>
      <c r="H698" s="1" t="s">
        <v>20</v>
      </c>
      <c r="I698" s="2" t="s">
        <v>21</v>
      </c>
      <c r="J698" s="1" t="s">
        <v>38</v>
      </c>
      <c r="K698" s="1" t="s">
        <v>598</v>
      </c>
      <c r="L698" s="2" t="s">
        <v>47</v>
      </c>
      <c r="M698" s="1" t="s">
        <v>20</v>
      </c>
    </row>
    <row r="699" ht="15.75" customHeight="1">
      <c r="A699" s="2" t="s">
        <v>828</v>
      </c>
      <c r="B699" s="1" t="s">
        <v>14</v>
      </c>
      <c r="C699" s="1" t="s">
        <v>15</v>
      </c>
      <c r="D699" s="3">
        <v>70000.0</v>
      </c>
      <c r="E699" s="2" t="s">
        <v>35</v>
      </c>
      <c r="F699" s="1" t="s">
        <v>87</v>
      </c>
      <c r="G699" s="1" t="s">
        <v>36</v>
      </c>
      <c r="H699" s="1" t="s">
        <v>20</v>
      </c>
      <c r="I699" s="2" t="s">
        <v>37</v>
      </c>
      <c r="J699" s="1" t="s">
        <v>22</v>
      </c>
      <c r="K699" s="1" t="s">
        <v>598</v>
      </c>
      <c r="L699" s="2" t="s">
        <v>153</v>
      </c>
      <c r="M699" s="1" t="s">
        <v>25</v>
      </c>
    </row>
    <row r="700" ht="15.75" customHeight="1">
      <c r="A700" s="2" t="s">
        <v>829</v>
      </c>
      <c r="B700" s="1" t="s">
        <v>41</v>
      </c>
      <c r="C700" s="1" t="s">
        <v>15</v>
      </c>
      <c r="D700" s="3">
        <v>40000.0</v>
      </c>
      <c r="E700" s="2" t="s">
        <v>35</v>
      </c>
      <c r="F700" s="1" t="s">
        <v>55</v>
      </c>
      <c r="G700" s="1" t="s">
        <v>36</v>
      </c>
      <c r="H700" s="1" t="s">
        <v>25</v>
      </c>
      <c r="I700" s="2" t="s">
        <v>29</v>
      </c>
      <c r="J700" s="1" t="s">
        <v>38</v>
      </c>
      <c r="K700" s="1" t="s">
        <v>598</v>
      </c>
      <c r="L700" s="2" t="s">
        <v>39</v>
      </c>
      <c r="M700" s="1" t="s">
        <v>20</v>
      </c>
    </row>
    <row r="701" ht="15.75" customHeight="1">
      <c r="A701" s="2" t="s">
        <v>830</v>
      </c>
      <c r="B701" s="1" t="s">
        <v>41</v>
      </c>
      <c r="C701" s="1" t="s">
        <v>27</v>
      </c>
      <c r="D701" s="3">
        <v>110000.0</v>
      </c>
      <c r="E701" s="2" t="s">
        <v>57</v>
      </c>
      <c r="F701" s="1" t="s">
        <v>18</v>
      </c>
      <c r="G701" s="1" t="s">
        <v>56</v>
      </c>
      <c r="H701" s="1" t="s">
        <v>20</v>
      </c>
      <c r="I701" s="2" t="s">
        <v>57</v>
      </c>
      <c r="J701" s="1" t="s">
        <v>43</v>
      </c>
      <c r="K701" s="1" t="s">
        <v>598</v>
      </c>
      <c r="L701" s="2" t="s">
        <v>24</v>
      </c>
      <c r="M701" s="1" t="s">
        <v>20</v>
      </c>
    </row>
    <row r="702" ht="15.75" customHeight="1">
      <c r="A702" s="2" t="s">
        <v>831</v>
      </c>
      <c r="B702" s="1" t="s">
        <v>41</v>
      </c>
      <c r="C702" s="1" t="s">
        <v>15</v>
      </c>
      <c r="D702" s="3">
        <v>70000.0</v>
      </c>
      <c r="E702" s="2" t="s">
        <v>29</v>
      </c>
      <c r="F702" s="1" t="s">
        <v>87</v>
      </c>
      <c r="G702" s="1" t="s">
        <v>56</v>
      </c>
      <c r="H702" s="1" t="s">
        <v>25</v>
      </c>
      <c r="I702" s="2" t="s">
        <v>37</v>
      </c>
      <c r="J702" s="1" t="s">
        <v>51</v>
      </c>
      <c r="K702" s="1" t="s">
        <v>598</v>
      </c>
      <c r="L702" s="2" t="s">
        <v>201</v>
      </c>
      <c r="M702" s="1" t="s">
        <v>25</v>
      </c>
    </row>
    <row r="703" ht="15.75" customHeight="1">
      <c r="A703" s="2" t="s">
        <v>832</v>
      </c>
      <c r="B703" s="1" t="s">
        <v>41</v>
      </c>
      <c r="C703" s="1" t="s">
        <v>15</v>
      </c>
      <c r="D703" s="3">
        <v>80000.0</v>
      </c>
      <c r="E703" s="2" t="s">
        <v>37</v>
      </c>
      <c r="F703" s="1" t="s">
        <v>62</v>
      </c>
      <c r="G703" s="1" t="s">
        <v>19</v>
      </c>
      <c r="H703" s="1" t="s">
        <v>20</v>
      </c>
      <c r="I703" s="2" t="s">
        <v>37</v>
      </c>
      <c r="J703" s="1" t="s">
        <v>43</v>
      </c>
      <c r="K703" s="1" t="s">
        <v>598</v>
      </c>
      <c r="L703" s="2" t="s">
        <v>195</v>
      </c>
      <c r="M703" s="1" t="s">
        <v>25</v>
      </c>
    </row>
    <row r="704" ht="15.75" customHeight="1">
      <c r="A704" s="2" t="s">
        <v>833</v>
      </c>
      <c r="B704" s="1" t="s">
        <v>14</v>
      </c>
      <c r="C704" s="1" t="s">
        <v>27</v>
      </c>
      <c r="D704" s="3">
        <v>30000.0</v>
      </c>
      <c r="E704" s="2" t="s">
        <v>37</v>
      </c>
      <c r="F704" s="1" t="s">
        <v>55</v>
      </c>
      <c r="G704" s="1" t="s">
        <v>19</v>
      </c>
      <c r="H704" s="1" t="s">
        <v>20</v>
      </c>
      <c r="I704" s="2" t="s">
        <v>37</v>
      </c>
      <c r="J704" s="1" t="s">
        <v>51</v>
      </c>
      <c r="K704" s="1" t="s">
        <v>598</v>
      </c>
      <c r="L704" s="2" t="s">
        <v>195</v>
      </c>
      <c r="M704" s="1" t="s">
        <v>25</v>
      </c>
    </row>
    <row r="705" ht="15.75" customHeight="1">
      <c r="A705" s="2" t="s">
        <v>834</v>
      </c>
      <c r="B705" s="1" t="s">
        <v>14</v>
      </c>
      <c r="C705" s="1" t="s">
        <v>27</v>
      </c>
      <c r="D705" s="3">
        <v>130000.0</v>
      </c>
      <c r="E705" s="2" t="s">
        <v>37</v>
      </c>
      <c r="F705" s="1" t="s">
        <v>87</v>
      </c>
      <c r="G705" s="1" t="s">
        <v>56</v>
      </c>
      <c r="H705" s="1" t="s">
        <v>20</v>
      </c>
      <c r="I705" s="2" t="s">
        <v>29</v>
      </c>
      <c r="J705" s="1" t="s">
        <v>22</v>
      </c>
      <c r="K705" s="1" t="s">
        <v>598</v>
      </c>
      <c r="L705" s="2" t="s">
        <v>24</v>
      </c>
      <c r="M705" s="1" t="s">
        <v>20</v>
      </c>
    </row>
    <row r="706" ht="15.75" customHeight="1">
      <c r="A706" s="2" t="s">
        <v>835</v>
      </c>
      <c r="B706" s="1" t="s">
        <v>14</v>
      </c>
      <c r="C706" s="1" t="s">
        <v>27</v>
      </c>
      <c r="D706" s="3">
        <v>20000.0</v>
      </c>
      <c r="E706" s="2" t="s">
        <v>37</v>
      </c>
      <c r="F706" s="1" t="s">
        <v>55</v>
      </c>
      <c r="G706" s="1" t="s">
        <v>50</v>
      </c>
      <c r="H706" s="1" t="s">
        <v>25</v>
      </c>
      <c r="I706" s="2" t="s">
        <v>37</v>
      </c>
      <c r="J706" s="1" t="s">
        <v>22</v>
      </c>
      <c r="K706" s="1" t="s">
        <v>598</v>
      </c>
      <c r="L706" s="2" t="s">
        <v>201</v>
      </c>
      <c r="M706" s="1" t="s">
        <v>25</v>
      </c>
    </row>
    <row r="707" ht="15.75" customHeight="1">
      <c r="A707" s="2" t="s">
        <v>836</v>
      </c>
      <c r="B707" s="1" t="s">
        <v>14</v>
      </c>
      <c r="C707" s="1" t="s">
        <v>27</v>
      </c>
      <c r="D707" s="3">
        <v>70000.0</v>
      </c>
      <c r="E707" s="2" t="s">
        <v>17</v>
      </c>
      <c r="F707" s="1" t="s">
        <v>87</v>
      </c>
      <c r="G707" s="1" t="s">
        <v>36</v>
      </c>
      <c r="H707" s="1" t="s">
        <v>20</v>
      </c>
      <c r="I707" s="2" t="s">
        <v>17</v>
      </c>
      <c r="J707" s="1" t="s">
        <v>22</v>
      </c>
      <c r="K707" s="1" t="s">
        <v>598</v>
      </c>
      <c r="L707" s="2" t="s">
        <v>130</v>
      </c>
      <c r="M707" s="1" t="s">
        <v>20</v>
      </c>
    </row>
    <row r="708" ht="15.75" customHeight="1">
      <c r="A708" s="2" t="s">
        <v>837</v>
      </c>
      <c r="B708" s="1" t="s">
        <v>14</v>
      </c>
      <c r="C708" s="1" t="s">
        <v>27</v>
      </c>
      <c r="D708" s="3">
        <v>40000.0</v>
      </c>
      <c r="E708" s="2" t="s">
        <v>21</v>
      </c>
      <c r="F708" s="1" t="s">
        <v>55</v>
      </c>
      <c r="G708" s="1" t="s">
        <v>19</v>
      </c>
      <c r="H708" s="1" t="s">
        <v>20</v>
      </c>
      <c r="I708" s="2" t="s">
        <v>37</v>
      </c>
      <c r="J708" s="1" t="s">
        <v>43</v>
      </c>
      <c r="K708" s="1" t="s">
        <v>598</v>
      </c>
      <c r="L708" s="2" t="s">
        <v>245</v>
      </c>
      <c r="M708" s="1" t="s">
        <v>25</v>
      </c>
    </row>
    <row r="709" ht="15.75" customHeight="1">
      <c r="A709" s="2" t="s">
        <v>838</v>
      </c>
      <c r="B709" s="1" t="s">
        <v>14</v>
      </c>
      <c r="C709" s="1" t="s">
        <v>15</v>
      </c>
      <c r="D709" s="3">
        <v>60000.0</v>
      </c>
      <c r="E709" s="2" t="s">
        <v>29</v>
      </c>
      <c r="F709" s="1" t="s">
        <v>18</v>
      </c>
      <c r="G709" s="1" t="s">
        <v>36</v>
      </c>
      <c r="H709" s="1" t="s">
        <v>20</v>
      </c>
      <c r="I709" s="2" t="s">
        <v>17</v>
      </c>
      <c r="J709" s="1" t="s">
        <v>22</v>
      </c>
      <c r="K709" s="1" t="s">
        <v>598</v>
      </c>
      <c r="L709" s="2" t="s">
        <v>125</v>
      </c>
      <c r="M709" s="1" t="s">
        <v>20</v>
      </c>
    </row>
    <row r="710" ht="15.75" customHeight="1">
      <c r="A710" s="2" t="s">
        <v>839</v>
      </c>
      <c r="B710" s="1" t="s">
        <v>41</v>
      </c>
      <c r="C710" s="1" t="s">
        <v>15</v>
      </c>
      <c r="D710" s="3">
        <v>60000.0</v>
      </c>
      <c r="E710" s="2" t="s">
        <v>57</v>
      </c>
      <c r="F710" s="1" t="s">
        <v>18</v>
      </c>
      <c r="G710" s="1" t="s">
        <v>19</v>
      </c>
      <c r="H710" s="1" t="s">
        <v>20</v>
      </c>
      <c r="I710" s="2" t="s">
        <v>37</v>
      </c>
      <c r="J710" s="1" t="s">
        <v>38</v>
      </c>
      <c r="K710" s="1" t="s">
        <v>598</v>
      </c>
      <c r="L710" s="2" t="s">
        <v>45</v>
      </c>
      <c r="M710" s="1" t="s">
        <v>20</v>
      </c>
    </row>
    <row r="711" ht="15.75" customHeight="1">
      <c r="A711" s="2" t="s">
        <v>840</v>
      </c>
      <c r="B711" s="1" t="s">
        <v>14</v>
      </c>
      <c r="C711" s="1" t="s">
        <v>27</v>
      </c>
      <c r="D711" s="3">
        <v>60000.0</v>
      </c>
      <c r="E711" s="2" t="s">
        <v>37</v>
      </c>
      <c r="F711" s="1" t="s">
        <v>55</v>
      </c>
      <c r="G711" s="1" t="s">
        <v>36</v>
      </c>
      <c r="H711" s="1" t="s">
        <v>25</v>
      </c>
      <c r="I711" s="2" t="s">
        <v>37</v>
      </c>
      <c r="J711" s="1" t="s">
        <v>51</v>
      </c>
      <c r="K711" s="1" t="s">
        <v>598</v>
      </c>
      <c r="L711" s="2" t="s">
        <v>195</v>
      </c>
      <c r="M711" s="1" t="s">
        <v>20</v>
      </c>
    </row>
    <row r="712" ht="15.75" customHeight="1">
      <c r="A712" s="2" t="s">
        <v>841</v>
      </c>
      <c r="B712" s="1" t="s">
        <v>41</v>
      </c>
      <c r="C712" s="1" t="s">
        <v>15</v>
      </c>
      <c r="D712" s="3">
        <v>60000.0</v>
      </c>
      <c r="E712" s="2" t="s">
        <v>21</v>
      </c>
      <c r="F712" s="1" t="s">
        <v>87</v>
      </c>
      <c r="G712" s="1" t="s">
        <v>36</v>
      </c>
      <c r="H712" s="1" t="s">
        <v>20</v>
      </c>
      <c r="I712" s="2" t="s">
        <v>17</v>
      </c>
      <c r="J712" s="1" t="s">
        <v>38</v>
      </c>
      <c r="K712" s="1" t="s">
        <v>598</v>
      </c>
      <c r="L712" s="2" t="s">
        <v>79</v>
      </c>
      <c r="M712" s="1" t="s">
        <v>20</v>
      </c>
    </row>
    <row r="713" ht="15.75" customHeight="1">
      <c r="A713" s="2" t="s">
        <v>842</v>
      </c>
      <c r="B713" s="1" t="s">
        <v>41</v>
      </c>
      <c r="C713" s="1" t="s">
        <v>27</v>
      </c>
      <c r="D713" s="3">
        <v>130000.0</v>
      </c>
      <c r="E713" s="2" t="s">
        <v>17</v>
      </c>
      <c r="F713" s="1" t="s">
        <v>18</v>
      </c>
      <c r="G713" s="1" t="s">
        <v>56</v>
      </c>
      <c r="H713" s="1" t="s">
        <v>25</v>
      </c>
      <c r="I713" s="2" t="s">
        <v>57</v>
      </c>
      <c r="J713" s="1" t="s">
        <v>22</v>
      </c>
      <c r="K713" s="1" t="s">
        <v>598</v>
      </c>
      <c r="L713" s="2" t="s">
        <v>102</v>
      </c>
      <c r="M713" s="1" t="s">
        <v>25</v>
      </c>
    </row>
    <row r="714" ht="15.75" customHeight="1">
      <c r="A714" s="2" t="s">
        <v>843</v>
      </c>
      <c r="B714" s="1" t="s">
        <v>41</v>
      </c>
      <c r="C714" s="1" t="s">
        <v>15</v>
      </c>
      <c r="D714" s="3">
        <v>130000.0</v>
      </c>
      <c r="E714" s="2" t="s">
        <v>17</v>
      </c>
      <c r="F714" s="1" t="s">
        <v>18</v>
      </c>
      <c r="G714" s="1" t="s">
        <v>56</v>
      </c>
      <c r="H714" s="1" t="s">
        <v>25</v>
      </c>
      <c r="I714" s="2" t="s">
        <v>29</v>
      </c>
      <c r="J714" s="1" t="s">
        <v>22</v>
      </c>
      <c r="K714" s="1" t="s">
        <v>598</v>
      </c>
      <c r="L714" s="2" t="s">
        <v>77</v>
      </c>
      <c r="M714" s="1" t="s">
        <v>20</v>
      </c>
    </row>
    <row r="715" ht="15.75" customHeight="1">
      <c r="A715" s="2" t="s">
        <v>844</v>
      </c>
      <c r="B715" s="1" t="s">
        <v>41</v>
      </c>
      <c r="C715" s="1" t="s">
        <v>15</v>
      </c>
      <c r="D715" s="3">
        <v>30000.0</v>
      </c>
      <c r="E715" s="2" t="s">
        <v>21</v>
      </c>
      <c r="F715" s="1" t="s">
        <v>30</v>
      </c>
      <c r="G715" s="1" t="s">
        <v>19</v>
      </c>
      <c r="H715" s="1" t="s">
        <v>20</v>
      </c>
      <c r="I715" s="2" t="s">
        <v>17</v>
      </c>
      <c r="J715" s="1" t="s">
        <v>43</v>
      </c>
      <c r="K715" s="1" t="s">
        <v>598</v>
      </c>
      <c r="L715" s="2" t="s">
        <v>107</v>
      </c>
      <c r="M715" s="1" t="s">
        <v>25</v>
      </c>
    </row>
    <row r="716" ht="15.75" customHeight="1">
      <c r="A716" s="2" t="s">
        <v>845</v>
      </c>
      <c r="B716" s="1" t="s">
        <v>14</v>
      </c>
      <c r="C716" s="1" t="s">
        <v>27</v>
      </c>
      <c r="D716" s="3">
        <v>40000.0</v>
      </c>
      <c r="E716" s="2" t="s">
        <v>21</v>
      </c>
      <c r="F716" s="1" t="s">
        <v>55</v>
      </c>
      <c r="G716" s="1" t="s">
        <v>19</v>
      </c>
      <c r="H716" s="1" t="s">
        <v>20</v>
      </c>
      <c r="I716" s="2" t="s">
        <v>17</v>
      </c>
      <c r="J716" s="1" t="s">
        <v>43</v>
      </c>
      <c r="K716" s="1" t="s">
        <v>598</v>
      </c>
      <c r="L716" s="2" t="s">
        <v>109</v>
      </c>
      <c r="M716" s="1" t="s">
        <v>25</v>
      </c>
    </row>
    <row r="717" ht="15.75" customHeight="1">
      <c r="A717" s="2" t="s">
        <v>846</v>
      </c>
      <c r="B717" s="1" t="s">
        <v>14</v>
      </c>
      <c r="C717" s="1" t="s">
        <v>27</v>
      </c>
      <c r="D717" s="3">
        <v>70000.0</v>
      </c>
      <c r="E717" s="2" t="s">
        <v>37</v>
      </c>
      <c r="F717" s="1" t="s">
        <v>62</v>
      </c>
      <c r="G717" s="1" t="s">
        <v>19</v>
      </c>
      <c r="H717" s="1" t="s">
        <v>25</v>
      </c>
      <c r="I717" s="2" t="s">
        <v>37</v>
      </c>
      <c r="J717" s="1" t="s">
        <v>51</v>
      </c>
      <c r="K717" s="1" t="s">
        <v>598</v>
      </c>
      <c r="L717" s="2" t="s">
        <v>195</v>
      </c>
      <c r="M717" s="1" t="s">
        <v>25</v>
      </c>
    </row>
    <row r="718" ht="15.75" customHeight="1">
      <c r="A718" s="2" t="s">
        <v>847</v>
      </c>
      <c r="B718" s="1" t="s">
        <v>41</v>
      </c>
      <c r="C718" s="1" t="s">
        <v>15</v>
      </c>
      <c r="D718" s="3">
        <v>40000.0</v>
      </c>
      <c r="E718" s="2" t="s">
        <v>37</v>
      </c>
      <c r="F718" s="1" t="s">
        <v>30</v>
      </c>
      <c r="G718" s="1" t="s">
        <v>31</v>
      </c>
      <c r="H718" s="1" t="s">
        <v>25</v>
      </c>
      <c r="I718" s="2" t="s">
        <v>17</v>
      </c>
      <c r="J718" s="1" t="s">
        <v>51</v>
      </c>
      <c r="K718" s="1" t="s">
        <v>598</v>
      </c>
      <c r="L718" s="2" t="s">
        <v>83</v>
      </c>
      <c r="M718" s="1" t="s">
        <v>20</v>
      </c>
    </row>
    <row r="719" ht="15.75" customHeight="1">
      <c r="A719" s="2" t="s">
        <v>848</v>
      </c>
      <c r="B719" s="1" t="s">
        <v>14</v>
      </c>
      <c r="C719" s="1" t="s">
        <v>15</v>
      </c>
      <c r="D719" s="3">
        <v>60000.0</v>
      </c>
      <c r="E719" s="2" t="s">
        <v>37</v>
      </c>
      <c r="F719" s="1" t="s">
        <v>30</v>
      </c>
      <c r="G719" s="1" t="s">
        <v>36</v>
      </c>
      <c r="H719" s="1" t="s">
        <v>20</v>
      </c>
      <c r="I719" s="2" t="s">
        <v>17</v>
      </c>
      <c r="J719" s="1" t="s">
        <v>69</v>
      </c>
      <c r="K719" s="1" t="s">
        <v>598</v>
      </c>
      <c r="L719" s="2" t="s">
        <v>72</v>
      </c>
      <c r="M719" s="1" t="s">
        <v>25</v>
      </c>
    </row>
    <row r="720" ht="15.75" customHeight="1">
      <c r="A720" s="2" t="s">
        <v>849</v>
      </c>
      <c r="B720" s="1" t="s">
        <v>14</v>
      </c>
      <c r="C720" s="1" t="s">
        <v>27</v>
      </c>
      <c r="D720" s="3">
        <v>40000.0</v>
      </c>
      <c r="E720" s="2" t="s">
        <v>57</v>
      </c>
      <c r="F720" s="1" t="s">
        <v>30</v>
      </c>
      <c r="G720" s="1" t="s">
        <v>31</v>
      </c>
      <c r="H720" s="1" t="s">
        <v>25</v>
      </c>
      <c r="I720" s="2" t="s">
        <v>21</v>
      </c>
      <c r="J720" s="1" t="s">
        <v>22</v>
      </c>
      <c r="K720" s="1" t="s">
        <v>598</v>
      </c>
      <c r="L720" s="2" t="s">
        <v>116</v>
      </c>
      <c r="M720" s="1" t="s">
        <v>25</v>
      </c>
    </row>
    <row r="721" ht="15.75" customHeight="1">
      <c r="A721" s="2" t="s">
        <v>850</v>
      </c>
      <c r="B721" s="1" t="s">
        <v>14</v>
      </c>
      <c r="C721" s="1" t="s">
        <v>15</v>
      </c>
      <c r="D721" s="3">
        <v>40000.0</v>
      </c>
      <c r="E721" s="2" t="s">
        <v>17</v>
      </c>
      <c r="F721" s="1" t="s">
        <v>30</v>
      </c>
      <c r="G721" s="1" t="s">
        <v>31</v>
      </c>
      <c r="H721" s="1" t="s">
        <v>20</v>
      </c>
      <c r="I721" s="2" t="s">
        <v>17</v>
      </c>
      <c r="J721" s="1" t="s">
        <v>51</v>
      </c>
      <c r="K721" s="1" t="s">
        <v>598</v>
      </c>
      <c r="L721" s="2" t="s">
        <v>125</v>
      </c>
      <c r="M721" s="1" t="s">
        <v>20</v>
      </c>
    </row>
    <row r="722" ht="15.75" customHeight="1">
      <c r="A722" s="2" t="s">
        <v>851</v>
      </c>
      <c r="B722" s="1" t="s">
        <v>41</v>
      </c>
      <c r="C722" s="1" t="s">
        <v>27</v>
      </c>
      <c r="D722" s="3">
        <v>30000.0</v>
      </c>
      <c r="E722" s="2" t="s">
        <v>21</v>
      </c>
      <c r="F722" s="1" t="s">
        <v>55</v>
      </c>
      <c r="G722" s="1" t="s">
        <v>19</v>
      </c>
      <c r="H722" s="1" t="s">
        <v>20</v>
      </c>
      <c r="I722" s="2" t="s">
        <v>37</v>
      </c>
      <c r="J722" s="1" t="s">
        <v>43</v>
      </c>
      <c r="K722" s="1" t="s">
        <v>598</v>
      </c>
      <c r="L722" s="2" t="s">
        <v>116</v>
      </c>
      <c r="M722" s="1" t="s">
        <v>25</v>
      </c>
    </row>
    <row r="723" ht="15.75" customHeight="1">
      <c r="A723" s="2" t="s">
        <v>852</v>
      </c>
      <c r="B723" s="1" t="s">
        <v>14</v>
      </c>
      <c r="C723" s="1" t="s">
        <v>27</v>
      </c>
      <c r="D723" s="3">
        <v>110000.0</v>
      </c>
      <c r="E723" s="2" t="s">
        <v>17</v>
      </c>
      <c r="F723" s="1" t="s">
        <v>18</v>
      </c>
      <c r="G723" s="1" t="s">
        <v>56</v>
      </c>
      <c r="H723" s="1" t="s">
        <v>20</v>
      </c>
      <c r="I723" s="2" t="s">
        <v>29</v>
      </c>
      <c r="J723" s="1" t="s">
        <v>43</v>
      </c>
      <c r="K723" s="1" t="s">
        <v>598</v>
      </c>
      <c r="L723" s="2" t="s">
        <v>77</v>
      </c>
      <c r="M723" s="1" t="s">
        <v>25</v>
      </c>
    </row>
    <row r="724" ht="15.75" customHeight="1">
      <c r="A724" s="2" t="s">
        <v>853</v>
      </c>
      <c r="B724" s="1" t="s">
        <v>14</v>
      </c>
      <c r="C724" s="1" t="s">
        <v>15</v>
      </c>
      <c r="D724" s="3">
        <v>70000.0</v>
      </c>
      <c r="E724" s="2" t="s">
        <v>57</v>
      </c>
      <c r="F724" s="1" t="s">
        <v>30</v>
      </c>
      <c r="G724" s="1" t="s">
        <v>36</v>
      </c>
      <c r="H724" s="1" t="s">
        <v>20</v>
      </c>
      <c r="I724" s="2" t="s">
        <v>17</v>
      </c>
      <c r="J724" s="1" t="s">
        <v>69</v>
      </c>
      <c r="K724" s="1" t="s">
        <v>598</v>
      </c>
      <c r="L724" s="2" t="s">
        <v>91</v>
      </c>
      <c r="M724" s="1" t="s">
        <v>25</v>
      </c>
    </row>
    <row r="725" ht="15.75" customHeight="1">
      <c r="A725" s="2" t="s">
        <v>854</v>
      </c>
      <c r="B725" s="1" t="s">
        <v>14</v>
      </c>
      <c r="C725" s="1" t="s">
        <v>27</v>
      </c>
      <c r="D725" s="3">
        <v>60000.0</v>
      </c>
      <c r="E725" s="2" t="s">
        <v>57</v>
      </c>
      <c r="F725" s="1" t="s">
        <v>87</v>
      </c>
      <c r="G725" s="1" t="s">
        <v>19</v>
      </c>
      <c r="H725" s="1" t="s">
        <v>20</v>
      </c>
      <c r="I725" s="2" t="s">
        <v>21</v>
      </c>
      <c r="J725" s="1" t="s">
        <v>51</v>
      </c>
      <c r="K725" s="1" t="s">
        <v>598</v>
      </c>
      <c r="L725" s="2" t="s">
        <v>83</v>
      </c>
      <c r="M725" s="1" t="s">
        <v>20</v>
      </c>
    </row>
    <row r="726" ht="15.75" customHeight="1">
      <c r="A726" s="2" t="s">
        <v>855</v>
      </c>
      <c r="B726" s="1" t="s">
        <v>14</v>
      </c>
      <c r="C726" s="1" t="s">
        <v>15</v>
      </c>
      <c r="D726" s="3">
        <v>60000.0</v>
      </c>
      <c r="E726" s="2" t="s">
        <v>37</v>
      </c>
      <c r="F726" s="1" t="s">
        <v>18</v>
      </c>
      <c r="G726" s="1" t="s">
        <v>56</v>
      </c>
      <c r="H726" s="1" t="s">
        <v>20</v>
      </c>
      <c r="I726" s="2" t="s">
        <v>21</v>
      </c>
      <c r="J726" s="1" t="s">
        <v>69</v>
      </c>
      <c r="K726" s="1" t="s">
        <v>598</v>
      </c>
      <c r="L726" s="2" t="s">
        <v>91</v>
      </c>
      <c r="M726" s="1" t="s">
        <v>25</v>
      </c>
    </row>
    <row r="727" ht="15.75" customHeight="1">
      <c r="A727" s="2" t="s">
        <v>856</v>
      </c>
      <c r="B727" s="1" t="s">
        <v>41</v>
      </c>
      <c r="C727" s="1" t="s">
        <v>15</v>
      </c>
      <c r="D727" s="3">
        <v>70000.0</v>
      </c>
      <c r="E727" s="2" t="s">
        <v>17</v>
      </c>
      <c r="F727" s="1" t="s">
        <v>18</v>
      </c>
      <c r="G727" s="1" t="s">
        <v>36</v>
      </c>
      <c r="H727" s="1" t="s">
        <v>25</v>
      </c>
      <c r="I727" s="2" t="s">
        <v>17</v>
      </c>
      <c r="J727" s="1" t="s">
        <v>22</v>
      </c>
      <c r="K727" s="1" t="s">
        <v>598</v>
      </c>
      <c r="L727" s="2" t="s">
        <v>102</v>
      </c>
      <c r="M727" s="1" t="s">
        <v>25</v>
      </c>
    </row>
    <row r="728" ht="15.75" customHeight="1">
      <c r="A728" s="2" t="s">
        <v>857</v>
      </c>
      <c r="B728" s="1" t="s">
        <v>14</v>
      </c>
      <c r="C728" s="1" t="s">
        <v>27</v>
      </c>
      <c r="D728" s="3">
        <v>130000.0</v>
      </c>
      <c r="E728" s="2" t="s">
        <v>37</v>
      </c>
      <c r="F728" s="1" t="s">
        <v>87</v>
      </c>
      <c r="G728" s="1" t="s">
        <v>56</v>
      </c>
      <c r="H728" s="1" t="s">
        <v>20</v>
      </c>
      <c r="I728" s="2" t="s">
        <v>29</v>
      </c>
      <c r="J728" s="1" t="s">
        <v>38</v>
      </c>
      <c r="K728" s="1" t="s">
        <v>598</v>
      </c>
      <c r="L728" s="2" t="s">
        <v>403</v>
      </c>
      <c r="M728" s="1" t="s">
        <v>25</v>
      </c>
    </row>
    <row r="729" ht="15.75" customHeight="1">
      <c r="A729" s="2" t="s">
        <v>858</v>
      </c>
      <c r="B729" s="1" t="s">
        <v>14</v>
      </c>
      <c r="C729" s="1" t="s">
        <v>15</v>
      </c>
      <c r="D729" s="3">
        <v>70000.0</v>
      </c>
      <c r="E729" s="2" t="s">
        <v>37</v>
      </c>
      <c r="F729" s="1" t="s">
        <v>30</v>
      </c>
      <c r="G729" s="1" t="s">
        <v>36</v>
      </c>
      <c r="H729" s="1" t="s">
        <v>20</v>
      </c>
      <c r="I729" s="2" t="s">
        <v>17</v>
      </c>
      <c r="J729" s="1" t="s">
        <v>38</v>
      </c>
      <c r="K729" s="1" t="s">
        <v>598</v>
      </c>
      <c r="L729" s="2" t="s">
        <v>81</v>
      </c>
      <c r="M729" s="1" t="s">
        <v>25</v>
      </c>
    </row>
    <row r="730" ht="15.75" customHeight="1">
      <c r="A730" s="2" t="s">
        <v>859</v>
      </c>
      <c r="B730" s="1" t="s">
        <v>14</v>
      </c>
      <c r="C730" s="1" t="s">
        <v>27</v>
      </c>
      <c r="D730" s="3">
        <v>30000.0</v>
      </c>
      <c r="E730" s="2" t="s">
        <v>37</v>
      </c>
      <c r="F730" s="1" t="s">
        <v>55</v>
      </c>
      <c r="G730" s="1" t="s">
        <v>19</v>
      </c>
      <c r="H730" s="1" t="s">
        <v>20</v>
      </c>
      <c r="I730" s="2" t="s">
        <v>37</v>
      </c>
      <c r="J730" s="1" t="s">
        <v>51</v>
      </c>
      <c r="K730" s="1" t="s">
        <v>598</v>
      </c>
      <c r="L730" s="2" t="s">
        <v>52</v>
      </c>
      <c r="M730" s="1" t="s">
        <v>25</v>
      </c>
    </row>
    <row r="731" ht="15.75" customHeight="1">
      <c r="A731" s="2" t="s">
        <v>860</v>
      </c>
      <c r="B731" s="1" t="s">
        <v>14</v>
      </c>
      <c r="C731" s="1" t="s">
        <v>27</v>
      </c>
      <c r="D731" s="3">
        <v>60000.0</v>
      </c>
      <c r="E731" s="2" t="s">
        <v>17</v>
      </c>
      <c r="F731" s="1" t="s">
        <v>87</v>
      </c>
      <c r="G731" s="1" t="s">
        <v>36</v>
      </c>
      <c r="H731" s="1" t="s">
        <v>20</v>
      </c>
      <c r="I731" s="2" t="s">
        <v>21</v>
      </c>
      <c r="J731" s="1" t="s">
        <v>38</v>
      </c>
      <c r="K731" s="1" t="s">
        <v>598</v>
      </c>
      <c r="L731" s="2" t="s">
        <v>47</v>
      </c>
      <c r="M731" s="1" t="s">
        <v>25</v>
      </c>
    </row>
    <row r="732" ht="15.75" customHeight="1">
      <c r="A732" s="2" t="s">
        <v>861</v>
      </c>
      <c r="B732" s="1" t="s">
        <v>14</v>
      </c>
      <c r="C732" s="1" t="s">
        <v>27</v>
      </c>
      <c r="D732" s="3">
        <v>60000.0</v>
      </c>
      <c r="E732" s="2" t="s">
        <v>21</v>
      </c>
      <c r="F732" s="1" t="s">
        <v>30</v>
      </c>
      <c r="G732" s="1" t="s">
        <v>36</v>
      </c>
      <c r="H732" s="1" t="s">
        <v>20</v>
      </c>
      <c r="I732" s="2" t="s">
        <v>37</v>
      </c>
      <c r="J732" s="1" t="s">
        <v>43</v>
      </c>
      <c r="K732" s="1" t="s">
        <v>598</v>
      </c>
      <c r="L732" s="2" t="s">
        <v>104</v>
      </c>
      <c r="M732" s="1" t="s">
        <v>25</v>
      </c>
    </row>
    <row r="733" ht="15.75" customHeight="1">
      <c r="A733" s="2" t="s">
        <v>862</v>
      </c>
      <c r="B733" s="1" t="s">
        <v>41</v>
      </c>
      <c r="C733" s="1" t="s">
        <v>15</v>
      </c>
      <c r="D733" s="3">
        <v>40000.0</v>
      </c>
      <c r="E733" s="2" t="s">
        <v>21</v>
      </c>
      <c r="F733" s="1" t="s">
        <v>30</v>
      </c>
      <c r="G733" s="1" t="s">
        <v>19</v>
      </c>
      <c r="H733" s="1" t="s">
        <v>25</v>
      </c>
      <c r="I733" s="2" t="s">
        <v>17</v>
      </c>
      <c r="J733" s="1" t="s">
        <v>51</v>
      </c>
      <c r="K733" s="1" t="s">
        <v>598</v>
      </c>
      <c r="L733" s="2" t="s">
        <v>245</v>
      </c>
      <c r="M733" s="1" t="s">
        <v>25</v>
      </c>
    </row>
    <row r="734" ht="15.75" customHeight="1">
      <c r="A734" s="2" t="s">
        <v>863</v>
      </c>
      <c r="B734" s="1" t="s">
        <v>14</v>
      </c>
      <c r="C734" s="1" t="s">
        <v>15</v>
      </c>
      <c r="D734" s="3">
        <v>40000.0</v>
      </c>
      <c r="E734" s="2" t="s">
        <v>57</v>
      </c>
      <c r="F734" s="1" t="s">
        <v>55</v>
      </c>
      <c r="G734" s="1" t="s">
        <v>36</v>
      </c>
      <c r="H734" s="1" t="s">
        <v>20</v>
      </c>
      <c r="I734" s="2" t="s">
        <v>37</v>
      </c>
      <c r="J734" s="1" t="s">
        <v>43</v>
      </c>
      <c r="K734" s="1" t="s">
        <v>598</v>
      </c>
      <c r="L734" s="2" t="s">
        <v>81</v>
      </c>
      <c r="M734" s="1" t="s">
        <v>20</v>
      </c>
    </row>
    <row r="735" ht="15.75" customHeight="1">
      <c r="A735" s="2" t="s">
        <v>864</v>
      </c>
      <c r="B735" s="1" t="s">
        <v>14</v>
      </c>
      <c r="C735" s="1" t="s">
        <v>27</v>
      </c>
      <c r="D735" s="3">
        <v>60000.0</v>
      </c>
      <c r="E735" s="2" t="s">
        <v>29</v>
      </c>
      <c r="F735" s="1" t="s">
        <v>55</v>
      </c>
      <c r="G735" s="1" t="s">
        <v>36</v>
      </c>
      <c r="H735" s="1" t="s">
        <v>25</v>
      </c>
      <c r="I735" s="2" t="s">
        <v>37</v>
      </c>
      <c r="J735" s="1" t="s">
        <v>38</v>
      </c>
      <c r="K735" s="1" t="s">
        <v>598</v>
      </c>
      <c r="L735" s="2" t="s">
        <v>201</v>
      </c>
      <c r="M735" s="1" t="s">
        <v>25</v>
      </c>
    </row>
    <row r="736" ht="15.75" customHeight="1">
      <c r="A736" s="2" t="s">
        <v>865</v>
      </c>
      <c r="B736" s="1" t="s">
        <v>14</v>
      </c>
      <c r="C736" s="1" t="s">
        <v>27</v>
      </c>
      <c r="D736" s="3">
        <v>40000.0</v>
      </c>
      <c r="E736" s="2" t="s">
        <v>17</v>
      </c>
      <c r="F736" s="1" t="s">
        <v>18</v>
      </c>
      <c r="G736" s="1" t="s">
        <v>19</v>
      </c>
      <c r="H736" s="1" t="s">
        <v>25</v>
      </c>
      <c r="I736" s="2" t="s">
        <v>17</v>
      </c>
      <c r="J736" s="1" t="s">
        <v>22</v>
      </c>
      <c r="K736" s="1" t="s">
        <v>598</v>
      </c>
      <c r="L736" s="2" t="s">
        <v>47</v>
      </c>
      <c r="M736" s="1" t="s">
        <v>20</v>
      </c>
    </row>
    <row r="737" ht="15.75" customHeight="1">
      <c r="A737" s="2" t="s">
        <v>866</v>
      </c>
      <c r="B737" s="1" t="s">
        <v>41</v>
      </c>
      <c r="C737" s="1" t="s">
        <v>27</v>
      </c>
      <c r="D737" s="3">
        <v>30000.0</v>
      </c>
      <c r="E737" s="2" t="s">
        <v>17</v>
      </c>
      <c r="F737" s="1" t="s">
        <v>55</v>
      </c>
      <c r="G737" s="1" t="s">
        <v>31</v>
      </c>
      <c r="H737" s="1" t="s">
        <v>20</v>
      </c>
      <c r="I737" s="2" t="s">
        <v>37</v>
      </c>
      <c r="J737" s="1" t="s">
        <v>51</v>
      </c>
      <c r="K737" s="1" t="s">
        <v>598</v>
      </c>
      <c r="L737" s="2" t="s">
        <v>178</v>
      </c>
      <c r="M737" s="1" t="s">
        <v>20</v>
      </c>
    </row>
    <row r="738" ht="15.75" customHeight="1">
      <c r="A738" s="2" t="s">
        <v>867</v>
      </c>
      <c r="B738" s="1" t="s">
        <v>41</v>
      </c>
      <c r="C738" s="1" t="s">
        <v>15</v>
      </c>
      <c r="D738" s="3">
        <v>80000.0</v>
      </c>
      <c r="E738" s="2" t="s">
        <v>35</v>
      </c>
      <c r="F738" s="1" t="s">
        <v>87</v>
      </c>
      <c r="G738" s="1" t="s">
        <v>19</v>
      </c>
      <c r="H738" s="1" t="s">
        <v>25</v>
      </c>
      <c r="I738" s="2" t="s">
        <v>21</v>
      </c>
      <c r="J738" s="1" t="s">
        <v>22</v>
      </c>
      <c r="K738" s="1" t="s">
        <v>598</v>
      </c>
      <c r="L738" s="2" t="s">
        <v>83</v>
      </c>
      <c r="M738" s="1" t="s">
        <v>25</v>
      </c>
    </row>
    <row r="739" ht="15.75" customHeight="1">
      <c r="A739" s="2" t="s">
        <v>868</v>
      </c>
      <c r="B739" s="1" t="s">
        <v>41</v>
      </c>
      <c r="C739" s="1" t="s">
        <v>15</v>
      </c>
      <c r="D739" s="3">
        <v>60000.0</v>
      </c>
      <c r="E739" s="2" t="s">
        <v>29</v>
      </c>
      <c r="F739" s="1" t="s">
        <v>87</v>
      </c>
      <c r="G739" s="1" t="s">
        <v>36</v>
      </c>
      <c r="H739" s="1" t="s">
        <v>20</v>
      </c>
      <c r="I739" s="2" t="s">
        <v>21</v>
      </c>
      <c r="J739" s="1" t="s">
        <v>38</v>
      </c>
      <c r="K739" s="1" t="s">
        <v>598</v>
      </c>
      <c r="L739" s="2" t="s">
        <v>32</v>
      </c>
      <c r="M739" s="1" t="s">
        <v>20</v>
      </c>
    </row>
    <row r="740" ht="15.75" customHeight="1">
      <c r="A740" s="2" t="s">
        <v>869</v>
      </c>
      <c r="B740" s="1" t="s">
        <v>41</v>
      </c>
      <c r="C740" s="1" t="s">
        <v>27</v>
      </c>
      <c r="D740" s="3">
        <v>20000.0</v>
      </c>
      <c r="E740" s="2" t="s">
        <v>29</v>
      </c>
      <c r="F740" s="1" t="s">
        <v>62</v>
      </c>
      <c r="G740" s="1" t="s">
        <v>31</v>
      </c>
      <c r="H740" s="1" t="s">
        <v>25</v>
      </c>
      <c r="I740" s="2" t="s">
        <v>37</v>
      </c>
      <c r="J740" s="1" t="s">
        <v>22</v>
      </c>
      <c r="K740" s="1" t="s">
        <v>598</v>
      </c>
      <c r="L740" s="2" t="s">
        <v>52</v>
      </c>
      <c r="M740" s="1" t="s">
        <v>25</v>
      </c>
    </row>
    <row r="741" ht="15.75" customHeight="1">
      <c r="A741" s="2" t="s">
        <v>870</v>
      </c>
      <c r="B741" s="1" t="s">
        <v>14</v>
      </c>
      <c r="C741" s="1" t="s">
        <v>15</v>
      </c>
      <c r="D741" s="3">
        <v>60000.0</v>
      </c>
      <c r="E741" s="2" t="s">
        <v>35</v>
      </c>
      <c r="F741" s="1" t="s">
        <v>18</v>
      </c>
      <c r="G741" s="1" t="s">
        <v>56</v>
      </c>
      <c r="H741" s="1" t="s">
        <v>20</v>
      </c>
      <c r="I741" s="2" t="s">
        <v>29</v>
      </c>
      <c r="J741" s="1" t="s">
        <v>69</v>
      </c>
      <c r="K741" s="1" t="s">
        <v>598</v>
      </c>
      <c r="L741" s="2" t="s">
        <v>81</v>
      </c>
      <c r="M741" s="1" t="s">
        <v>25</v>
      </c>
    </row>
    <row r="742" ht="15.75" customHeight="1">
      <c r="A742" s="2" t="s">
        <v>871</v>
      </c>
      <c r="B742" s="1" t="s">
        <v>41</v>
      </c>
      <c r="C742" s="1" t="s">
        <v>27</v>
      </c>
      <c r="D742" s="3">
        <v>50000.0</v>
      </c>
      <c r="E742" s="2" t="s">
        <v>37</v>
      </c>
      <c r="F742" s="1" t="s">
        <v>18</v>
      </c>
      <c r="G742" s="1" t="s">
        <v>19</v>
      </c>
      <c r="H742" s="1" t="s">
        <v>20</v>
      </c>
      <c r="I742" s="2" t="s">
        <v>21</v>
      </c>
      <c r="J742" s="1" t="s">
        <v>38</v>
      </c>
      <c r="K742" s="1" t="s">
        <v>598</v>
      </c>
      <c r="L742" s="2" t="s">
        <v>153</v>
      </c>
      <c r="M742" s="1" t="s">
        <v>20</v>
      </c>
    </row>
    <row r="743" ht="15.75" customHeight="1">
      <c r="A743" s="2" t="s">
        <v>872</v>
      </c>
      <c r="B743" s="1" t="s">
        <v>14</v>
      </c>
      <c r="C743" s="1" t="s">
        <v>27</v>
      </c>
      <c r="D743" s="3">
        <v>50000.0</v>
      </c>
      <c r="E743" s="2" t="s">
        <v>17</v>
      </c>
      <c r="F743" s="1" t="s">
        <v>87</v>
      </c>
      <c r="G743" s="1" t="s">
        <v>19</v>
      </c>
      <c r="H743" s="1" t="s">
        <v>20</v>
      </c>
      <c r="I743" s="2" t="s">
        <v>21</v>
      </c>
      <c r="J743" s="1" t="s">
        <v>22</v>
      </c>
      <c r="K743" s="1" t="s">
        <v>598</v>
      </c>
      <c r="L743" s="2" t="s">
        <v>58</v>
      </c>
      <c r="M743" s="1" t="s">
        <v>20</v>
      </c>
    </row>
    <row r="744" ht="15.75" customHeight="1">
      <c r="A744" s="2" t="s">
        <v>873</v>
      </c>
      <c r="B744" s="1" t="s">
        <v>14</v>
      </c>
      <c r="C744" s="1" t="s">
        <v>15</v>
      </c>
      <c r="D744" s="3">
        <v>60000.0</v>
      </c>
      <c r="E744" s="2" t="s">
        <v>21</v>
      </c>
      <c r="F744" s="1" t="s">
        <v>30</v>
      </c>
      <c r="G744" s="1" t="s">
        <v>19</v>
      </c>
      <c r="H744" s="1" t="s">
        <v>25</v>
      </c>
      <c r="I744" s="2" t="s">
        <v>17</v>
      </c>
      <c r="J744" s="1" t="s">
        <v>51</v>
      </c>
      <c r="K744" s="1" t="s">
        <v>598</v>
      </c>
      <c r="L744" s="2" t="s">
        <v>245</v>
      </c>
      <c r="M744" s="1" t="s">
        <v>25</v>
      </c>
    </row>
    <row r="745" ht="15.75" customHeight="1">
      <c r="A745" s="2" t="s">
        <v>874</v>
      </c>
      <c r="B745" s="1" t="s">
        <v>41</v>
      </c>
      <c r="C745" s="1" t="s">
        <v>15</v>
      </c>
      <c r="D745" s="3">
        <v>70000.0</v>
      </c>
      <c r="E745" s="2" t="s">
        <v>21</v>
      </c>
      <c r="F745" s="1" t="s">
        <v>30</v>
      </c>
      <c r="G745" s="1" t="s">
        <v>19</v>
      </c>
      <c r="H745" s="1" t="s">
        <v>20</v>
      </c>
      <c r="I745" s="2" t="s">
        <v>37</v>
      </c>
      <c r="J745" s="1" t="s">
        <v>43</v>
      </c>
      <c r="K745" s="1" t="s">
        <v>598</v>
      </c>
      <c r="L745" s="2" t="s">
        <v>93</v>
      </c>
      <c r="M745" s="1" t="s">
        <v>20</v>
      </c>
    </row>
    <row r="746" ht="15.75" customHeight="1">
      <c r="A746" s="2" t="s">
        <v>875</v>
      </c>
      <c r="B746" s="1" t="s">
        <v>14</v>
      </c>
      <c r="C746" s="1" t="s">
        <v>27</v>
      </c>
      <c r="D746" s="3">
        <v>50000.0</v>
      </c>
      <c r="E746" s="2" t="s">
        <v>57</v>
      </c>
      <c r="F746" s="1" t="s">
        <v>18</v>
      </c>
      <c r="G746" s="1" t="s">
        <v>19</v>
      </c>
      <c r="H746" s="1" t="s">
        <v>20</v>
      </c>
      <c r="I746" s="2" t="s">
        <v>29</v>
      </c>
      <c r="J746" s="1" t="s">
        <v>69</v>
      </c>
      <c r="K746" s="1" t="s">
        <v>598</v>
      </c>
      <c r="L746" s="2" t="s">
        <v>24</v>
      </c>
      <c r="M746" s="1" t="s">
        <v>25</v>
      </c>
    </row>
    <row r="747" ht="15.75" customHeight="1">
      <c r="A747" s="2" t="s">
        <v>876</v>
      </c>
      <c r="B747" s="1" t="s">
        <v>14</v>
      </c>
      <c r="C747" s="1" t="s">
        <v>15</v>
      </c>
      <c r="D747" s="3">
        <v>60000.0</v>
      </c>
      <c r="E747" s="2" t="s">
        <v>37</v>
      </c>
      <c r="F747" s="1" t="s">
        <v>30</v>
      </c>
      <c r="G747" s="1" t="s">
        <v>36</v>
      </c>
      <c r="H747" s="1" t="s">
        <v>20</v>
      </c>
      <c r="I747" s="2" t="s">
        <v>37</v>
      </c>
      <c r="J747" s="1" t="s">
        <v>38</v>
      </c>
      <c r="K747" s="1" t="s">
        <v>598</v>
      </c>
      <c r="L747" s="2" t="s">
        <v>330</v>
      </c>
      <c r="M747" s="1" t="s">
        <v>20</v>
      </c>
    </row>
    <row r="748" ht="15.75" customHeight="1">
      <c r="A748" s="2" t="s">
        <v>877</v>
      </c>
      <c r="B748" s="1" t="s">
        <v>14</v>
      </c>
      <c r="C748" s="1" t="s">
        <v>15</v>
      </c>
      <c r="D748" s="3">
        <v>120000.0</v>
      </c>
      <c r="E748" s="2" t="s">
        <v>17</v>
      </c>
      <c r="F748" s="1" t="s">
        <v>55</v>
      </c>
      <c r="G748" s="1" t="s">
        <v>36</v>
      </c>
      <c r="H748" s="1" t="s">
        <v>25</v>
      </c>
      <c r="I748" s="2" t="s">
        <v>57</v>
      </c>
      <c r="J748" s="1" t="s">
        <v>38</v>
      </c>
      <c r="K748" s="1" t="s">
        <v>598</v>
      </c>
      <c r="L748" s="2" t="s">
        <v>77</v>
      </c>
      <c r="M748" s="1" t="s">
        <v>25</v>
      </c>
    </row>
    <row r="749" ht="15.75" customHeight="1">
      <c r="A749" s="2" t="s">
        <v>878</v>
      </c>
      <c r="B749" s="1" t="s">
        <v>14</v>
      </c>
      <c r="C749" s="1" t="s">
        <v>15</v>
      </c>
      <c r="D749" s="3">
        <v>100000.0</v>
      </c>
      <c r="E749" s="2" t="s">
        <v>57</v>
      </c>
      <c r="F749" s="1" t="s">
        <v>18</v>
      </c>
      <c r="G749" s="1" t="s">
        <v>56</v>
      </c>
      <c r="H749" s="1" t="s">
        <v>20</v>
      </c>
      <c r="I749" s="2" t="s">
        <v>57</v>
      </c>
      <c r="J749" s="1" t="s">
        <v>22</v>
      </c>
      <c r="K749" s="1" t="s">
        <v>598</v>
      </c>
      <c r="L749" s="2" t="s">
        <v>100</v>
      </c>
      <c r="M749" s="1" t="s">
        <v>25</v>
      </c>
    </row>
    <row r="750" ht="15.75" customHeight="1">
      <c r="A750" s="2" t="s">
        <v>880</v>
      </c>
      <c r="B750" s="1" t="s">
        <v>14</v>
      </c>
      <c r="C750" s="1" t="s">
        <v>27</v>
      </c>
      <c r="D750" s="3">
        <v>80000.0</v>
      </c>
      <c r="E750" s="2" t="s">
        <v>17</v>
      </c>
      <c r="F750" s="1" t="s">
        <v>30</v>
      </c>
      <c r="G750" s="1" t="s">
        <v>19</v>
      </c>
      <c r="H750" s="1" t="s">
        <v>25</v>
      </c>
      <c r="I750" s="2" t="s">
        <v>17</v>
      </c>
      <c r="J750" s="1" t="s">
        <v>22</v>
      </c>
      <c r="K750" s="1" t="s">
        <v>598</v>
      </c>
      <c r="L750" s="2" t="s">
        <v>83</v>
      </c>
      <c r="M750" s="1" t="s">
        <v>20</v>
      </c>
    </row>
    <row r="751" ht="15.75" customHeight="1">
      <c r="A751" s="2" t="s">
        <v>881</v>
      </c>
      <c r="B751" s="1" t="s">
        <v>41</v>
      </c>
      <c r="C751" s="1" t="s">
        <v>27</v>
      </c>
      <c r="D751" s="3">
        <v>60000.0</v>
      </c>
      <c r="E751" s="2" t="s">
        <v>57</v>
      </c>
      <c r="F751" s="1" t="s">
        <v>87</v>
      </c>
      <c r="G751" s="1" t="s">
        <v>19</v>
      </c>
      <c r="H751" s="1" t="s">
        <v>20</v>
      </c>
      <c r="I751" s="2" t="s">
        <v>21</v>
      </c>
      <c r="J751" s="1" t="s">
        <v>51</v>
      </c>
      <c r="K751" s="1" t="s">
        <v>598</v>
      </c>
      <c r="L751" s="2" t="s">
        <v>83</v>
      </c>
      <c r="M751" s="1" t="s">
        <v>20</v>
      </c>
    </row>
    <row r="752" ht="15.75" customHeight="1">
      <c r="A752" s="2" t="s">
        <v>882</v>
      </c>
      <c r="B752" s="1" t="s">
        <v>14</v>
      </c>
      <c r="C752" s="1" t="s">
        <v>15</v>
      </c>
      <c r="D752" s="3">
        <v>60000.0</v>
      </c>
      <c r="E752" s="2" t="s">
        <v>17</v>
      </c>
      <c r="F752" s="1" t="s">
        <v>87</v>
      </c>
      <c r="G752" s="1" t="s">
        <v>19</v>
      </c>
      <c r="H752" s="1" t="s">
        <v>20</v>
      </c>
      <c r="I752" s="2" t="s">
        <v>21</v>
      </c>
      <c r="J752" s="1" t="s">
        <v>22</v>
      </c>
      <c r="K752" s="1" t="s">
        <v>598</v>
      </c>
      <c r="L752" s="2" t="s">
        <v>93</v>
      </c>
      <c r="M752" s="1" t="s">
        <v>25</v>
      </c>
    </row>
    <row r="753" ht="15.75" customHeight="1">
      <c r="A753" s="2" t="s">
        <v>883</v>
      </c>
      <c r="B753" s="1" t="s">
        <v>14</v>
      </c>
      <c r="C753" s="1" t="s">
        <v>15</v>
      </c>
      <c r="D753" s="3">
        <v>80000.0</v>
      </c>
      <c r="E753" s="2" t="s">
        <v>29</v>
      </c>
      <c r="F753" s="1" t="s">
        <v>87</v>
      </c>
      <c r="G753" s="1" t="s">
        <v>36</v>
      </c>
      <c r="H753" s="1" t="s">
        <v>20</v>
      </c>
      <c r="I753" s="2" t="s">
        <v>21</v>
      </c>
      <c r="J753" s="1" t="s">
        <v>22</v>
      </c>
      <c r="K753" s="1" t="s">
        <v>598</v>
      </c>
      <c r="L753" s="2" t="s">
        <v>47</v>
      </c>
      <c r="M753" s="1" t="s">
        <v>20</v>
      </c>
    </row>
    <row r="754" ht="15.75" customHeight="1">
      <c r="A754" s="2" t="s">
        <v>884</v>
      </c>
      <c r="B754" s="1" t="s">
        <v>14</v>
      </c>
      <c r="C754" s="1" t="s">
        <v>27</v>
      </c>
      <c r="D754" s="3">
        <v>70000.0</v>
      </c>
      <c r="E754" s="2" t="s">
        <v>37</v>
      </c>
      <c r="F754" s="1" t="s">
        <v>62</v>
      </c>
      <c r="G754" s="1" t="s">
        <v>19</v>
      </c>
      <c r="H754" s="1" t="s">
        <v>20</v>
      </c>
      <c r="I754" s="2" t="s">
        <v>37</v>
      </c>
      <c r="J754" s="1" t="s">
        <v>69</v>
      </c>
      <c r="K754" s="1" t="s">
        <v>598</v>
      </c>
      <c r="L754" s="2" t="s">
        <v>66</v>
      </c>
      <c r="M754" s="1" t="s">
        <v>25</v>
      </c>
    </row>
    <row r="755" ht="15.75" customHeight="1">
      <c r="A755" s="2" t="s">
        <v>885</v>
      </c>
      <c r="B755" s="1" t="s">
        <v>41</v>
      </c>
      <c r="C755" s="1" t="s">
        <v>27</v>
      </c>
      <c r="D755" s="3">
        <v>70000.0</v>
      </c>
      <c r="E755" s="2" t="s">
        <v>37</v>
      </c>
      <c r="F755" s="1" t="s">
        <v>18</v>
      </c>
      <c r="G755" s="1" t="s">
        <v>56</v>
      </c>
      <c r="H755" s="1" t="s">
        <v>25</v>
      </c>
      <c r="I755" s="2" t="s">
        <v>17</v>
      </c>
      <c r="J755" s="1" t="s">
        <v>38</v>
      </c>
      <c r="K755" s="1" t="s">
        <v>598</v>
      </c>
      <c r="L755" s="2" t="s">
        <v>81</v>
      </c>
      <c r="M755" s="1" t="s">
        <v>20</v>
      </c>
    </row>
    <row r="756" ht="15.75" customHeight="1">
      <c r="A756" s="2" t="s">
        <v>886</v>
      </c>
      <c r="B756" s="1" t="s">
        <v>41</v>
      </c>
      <c r="C756" s="1" t="s">
        <v>27</v>
      </c>
      <c r="D756" s="3">
        <v>40000.0</v>
      </c>
      <c r="E756" s="2" t="s">
        <v>21</v>
      </c>
      <c r="F756" s="1" t="s">
        <v>55</v>
      </c>
      <c r="G756" s="1" t="s">
        <v>19</v>
      </c>
      <c r="H756" s="1" t="s">
        <v>20</v>
      </c>
      <c r="I756" s="2" t="s">
        <v>37</v>
      </c>
      <c r="J756" s="1" t="s">
        <v>43</v>
      </c>
      <c r="K756" s="1" t="s">
        <v>598</v>
      </c>
      <c r="L756" s="2" t="s">
        <v>245</v>
      </c>
      <c r="M756" s="1" t="s">
        <v>25</v>
      </c>
    </row>
    <row r="757" ht="15.75" customHeight="1">
      <c r="A757" s="2" t="s">
        <v>887</v>
      </c>
      <c r="B757" s="1" t="s">
        <v>14</v>
      </c>
      <c r="C757" s="1" t="s">
        <v>27</v>
      </c>
      <c r="D757" s="3">
        <v>90000.0</v>
      </c>
      <c r="E757" s="2" t="s">
        <v>35</v>
      </c>
      <c r="F757" s="1" t="s">
        <v>30</v>
      </c>
      <c r="G757" s="1" t="s">
        <v>36</v>
      </c>
      <c r="H757" s="1" t="s">
        <v>20</v>
      </c>
      <c r="I757" s="2" t="s">
        <v>29</v>
      </c>
      <c r="J757" s="1" t="s">
        <v>22</v>
      </c>
      <c r="K757" s="1" t="s">
        <v>598</v>
      </c>
      <c r="L757" s="2" t="s">
        <v>45</v>
      </c>
      <c r="M757" s="1" t="s">
        <v>25</v>
      </c>
    </row>
    <row r="758" ht="15.75" customHeight="1">
      <c r="A758" s="2" t="s">
        <v>888</v>
      </c>
      <c r="B758" s="1" t="s">
        <v>14</v>
      </c>
      <c r="C758" s="1" t="s">
        <v>27</v>
      </c>
      <c r="D758" s="3">
        <v>80000.0</v>
      </c>
      <c r="E758" s="2" t="s">
        <v>29</v>
      </c>
      <c r="F758" s="1" t="s">
        <v>30</v>
      </c>
      <c r="G758" s="1" t="s">
        <v>36</v>
      </c>
      <c r="H758" s="1" t="s">
        <v>25</v>
      </c>
      <c r="I758" s="2" t="s">
        <v>37</v>
      </c>
      <c r="J758" s="1" t="s">
        <v>38</v>
      </c>
      <c r="K758" s="1" t="s">
        <v>598</v>
      </c>
      <c r="L758" s="2" t="s">
        <v>52</v>
      </c>
      <c r="M758" s="1" t="s">
        <v>20</v>
      </c>
    </row>
    <row r="759" ht="15.75" customHeight="1">
      <c r="A759" s="2" t="s">
        <v>889</v>
      </c>
      <c r="B759" s="1" t="s">
        <v>14</v>
      </c>
      <c r="C759" s="1" t="s">
        <v>15</v>
      </c>
      <c r="D759" s="3">
        <v>60000.0</v>
      </c>
      <c r="E759" s="2" t="s">
        <v>37</v>
      </c>
      <c r="F759" s="1" t="s">
        <v>30</v>
      </c>
      <c r="G759" s="1" t="s">
        <v>36</v>
      </c>
      <c r="H759" s="1" t="s">
        <v>20</v>
      </c>
      <c r="I759" s="2" t="s">
        <v>17</v>
      </c>
      <c r="J759" s="1" t="s">
        <v>69</v>
      </c>
      <c r="K759" s="1" t="s">
        <v>598</v>
      </c>
      <c r="L759" s="2" t="s">
        <v>72</v>
      </c>
      <c r="M759" s="1" t="s">
        <v>25</v>
      </c>
    </row>
    <row r="760" ht="15.75" customHeight="1">
      <c r="A760" s="2" t="s">
        <v>890</v>
      </c>
      <c r="B760" s="1" t="s">
        <v>14</v>
      </c>
      <c r="C760" s="1" t="s">
        <v>27</v>
      </c>
      <c r="D760" s="3">
        <v>80000.0</v>
      </c>
      <c r="E760" s="2" t="s">
        <v>57</v>
      </c>
      <c r="F760" s="1" t="s">
        <v>18</v>
      </c>
      <c r="G760" s="1" t="s">
        <v>56</v>
      </c>
      <c r="H760" s="1" t="s">
        <v>20</v>
      </c>
      <c r="I760" s="2" t="s">
        <v>21</v>
      </c>
      <c r="J760" s="1" t="s">
        <v>22</v>
      </c>
      <c r="K760" s="1" t="s">
        <v>598</v>
      </c>
      <c r="L760" s="2" t="s">
        <v>32</v>
      </c>
      <c r="M760" s="1" t="s">
        <v>25</v>
      </c>
    </row>
    <row r="761" ht="15.75" customHeight="1">
      <c r="A761" s="2" t="s">
        <v>891</v>
      </c>
      <c r="B761" s="1" t="s">
        <v>41</v>
      </c>
      <c r="C761" s="1" t="s">
        <v>27</v>
      </c>
      <c r="D761" s="3">
        <v>70000.0</v>
      </c>
      <c r="E761" s="2" t="s">
        <v>57</v>
      </c>
      <c r="F761" s="1" t="s">
        <v>18</v>
      </c>
      <c r="G761" s="1" t="s">
        <v>36</v>
      </c>
      <c r="H761" s="1" t="s">
        <v>20</v>
      </c>
      <c r="I761" s="2" t="s">
        <v>37</v>
      </c>
      <c r="J761" s="1" t="s">
        <v>38</v>
      </c>
      <c r="K761" s="1" t="s">
        <v>598</v>
      </c>
      <c r="L761" s="2" t="s">
        <v>32</v>
      </c>
      <c r="M761" s="1" t="s">
        <v>20</v>
      </c>
    </row>
    <row r="762" ht="15.75" customHeight="1">
      <c r="A762" s="2" t="s">
        <v>892</v>
      </c>
      <c r="B762" s="1" t="s">
        <v>14</v>
      </c>
      <c r="C762" s="1" t="s">
        <v>27</v>
      </c>
      <c r="D762" s="3">
        <v>60000.0</v>
      </c>
      <c r="E762" s="2" t="s">
        <v>57</v>
      </c>
      <c r="F762" s="1" t="s">
        <v>18</v>
      </c>
      <c r="G762" s="1" t="s">
        <v>19</v>
      </c>
      <c r="H762" s="1" t="s">
        <v>20</v>
      </c>
      <c r="I762" s="2" t="s">
        <v>29</v>
      </c>
      <c r="J762" s="1" t="s">
        <v>43</v>
      </c>
      <c r="K762" s="1" t="s">
        <v>598</v>
      </c>
      <c r="L762" s="2" t="s">
        <v>24</v>
      </c>
      <c r="M762" s="1" t="s">
        <v>25</v>
      </c>
    </row>
    <row r="763" ht="15.75" customHeight="1">
      <c r="A763" s="2" t="s">
        <v>893</v>
      </c>
      <c r="B763" s="1" t="s">
        <v>41</v>
      </c>
      <c r="C763" s="1" t="s">
        <v>15</v>
      </c>
      <c r="D763" s="3">
        <v>10000.0</v>
      </c>
      <c r="E763" s="2" t="s">
        <v>37</v>
      </c>
      <c r="F763" s="1" t="s">
        <v>55</v>
      </c>
      <c r="G763" s="1" t="s">
        <v>50</v>
      </c>
      <c r="H763" s="1" t="s">
        <v>20</v>
      </c>
      <c r="I763" s="2" t="s">
        <v>37</v>
      </c>
      <c r="J763" s="1" t="s">
        <v>51</v>
      </c>
      <c r="K763" s="1" t="s">
        <v>598</v>
      </c>
      <c r="L763" s="2" t="s">
        <v>201</v>
      </c>
      <c r="M763" s="1" t="s">
        <v>20</v>
      </c>
    </row>
    <row r="764" ht="15.75" customHeight="1">
      <c r="A764" s="2" t="s">
        <v>894</v>
      </c>
      <c r="B764" s="1" t="s">
        <v>41</v>
      </c>
      <c r="C764" s="1" t="s">
        <v>15</v>
      </c>
      <c r="D764" s="3">
        <v>40000.0</v>
      </c>
      <c r="E764" s="2" t="s">
        <v>21</v>
      </c>
      <c r="F764" s="1" t="s">
        <v>55</v>
      </c>
      <c r="G764" s="1" t="s">
        <v>19</v>
      </c>
      <c r="H764" s="1" t="s">
        <v>25</v>
      </c>
      <c r="I764" s="2" t="s">
        <v>37</v>
      </c>
      <c r="J764" s="1" t="s">
        <v>22</v>
      </c>
      <c r="K764" s="1" t="s">
        <v>598</v>
      </c>
      <c r="L764" s="2" t="s">
        <v>118</v>
      </c>
      <c r="M764" s="1" t="s">
        <v>20</v>
      </c>
    </row>
    <row r="765" ht="15.75" customHeight="1">
      <c r="A765" s="2" t="s">
        <v>895</v>
      </c>
      <c r="B765" s="1" t="s">
        <v>14</v>
      </c>
      <c r="C765" s="1" t="s">
        <v>15</v>
      </c>
      <c r="D765" s="3">
        <v>50000.0</v>
      </c>
      <c r="E765" s="2" t="s">
        <v>17</v>
      </c>
      <c r="F765" s="1" t="s">
        <v>18</v>
      </c>
      <c r="G765" s="1" t="s">
        <v>19</v>
      </c>
      <c r="H765" s="1" t="s">
        <v>20</v>
      </c>
      <c r="I765" s="2" t="s">
        <v>17</v>
      </c>
      <c r="J765" s="1" t="s">
        <v>22</v>
      </c>
      <c r="K765" s="1" t="s">
        <v>598</v>
      </c>
      <c r="L765" s="2" t="s">
        <v>74</v>
      </c>
      <c r="M765" s="1" t="s">
        <v>25</v>
      </c>
    </row>
    <row r="766" ht="15.75" customHeight="1">
      <c r="A766" s="2" t="s">
        <v>896</v>
      </c>
      <c r="B766" s="1" t="s">
        <v>41</v>
      </c>
      <c r="C766" s="1" t="s">
        <v>15</v>
      </c>
      <c r="D766" s="3">
        <v>70000.0</v>
      </c>
      <c r="E766" s="2" t="s">
        <v>37</v>
      </c>
      <c r="F766" s="1" t="s">
        <v>18</v>
      </c>
      <c r="G766" s="1" t="s">
        <v>56</v>
      </c>
      <c r="H766" s="1" t="s">
        <v>25</v>
      </c>
      <c r="I766" s="2" t="s">
        <v>17</v>
      </c>
      <c r="J766" s="1" t="s">
        <v>38</v>
      </c>
      <c r="K766" s="1" t="s">
        <v>598</v>
      </c>
      <c r="L766" s="2" t="s">
        <v>81</v>
      </c>
      <c r="M766" s="1" t="s">
        <v>20</v>
      </c>
    </row>
    <row r="767" ht="15.75" customHeight="1">
      <c r="A767" s="2" t="s">
        <v>897</v>
      </c>
      <c r="B767" s="1" t="s">
        <v>41</v>
      </c>
      <c r="C767" s="1" t="s">
        <v>15</v>
      </c>
      <c r="D767" s="3">
        <v>20000.0</v>
      </c>
      <c r="E767" s="2" t="s">
        <v>37</v>
      </c>
      <c r="F767" s="1" t="s">
        <v>62</v>
      </c>
      <c r="G767" s="1" t="s">
        <v>31</v>
      </c>
      <c r="H767" s="1" t="s">
        <v>20</v>
      </c>
      <c r="I767" s="2" t="s">
        <v>37</v>
      </c>
      <c r="J767" s="1" t="s">
        <v>51</v>
      </c>
      <c r="K767" s="1" t="s">
        <v>598</v>
      </c>
      <c r="L767" s="2" t="s">
        <v>195</v>
      </c>
      <c r="M767" s="1" t="s">
        <v>25</v>
      </c>
    </row>
    <row r="768" ht="15.75" customHeight="1">
      <c r="A768" s="2" t="s">
        <v>898</v>
      </c>
      <c r="B768" s="1" t="s">
        <v>14</v>
      </c>
      <c r="C768" s="1" t="s">
        <v>27</v>
      </c>
      <c r="D768" s="3">
        <v>60000.0</v>
      </c>
      <c r="E768" s="2" t="s">
        <v>37</v>
      </c>
      <c r="F768" s="1" t="s">
        <v>55</v>
      </c>
      <c r="G768" s="1" t="s">
        <v>36</v>
      </c>
      <c r="H768" s="1" t="s">
        <v>25</v>
      </c>
      <c r="I768" s="2" t="s">
        <v>37</v>
      </c>
      <c r="J768" s="1" t="s">
        <v>51</v>
      </c>
      <c r="K768" s="1" t="s">
        <v>598</v>
      </c>
      <c r="L768" s="2" t="s">
        <v>125</v>
      </c>
      <c r="M768" s="1" t="s">
        <v>20</v>
      </c>
    </row>
    <row r="769" ht="15.75" customHeight="1">
      <c r="A769" s="2" t="s">
        <v>899</v>
      </c>
      <c r="B769" s="1" t="s">
        <v>41</v>
      </c>
      <c r="C769" s="1" t="s">
        <v>15</v>
      </c>
      <c r="D769" s="3">
        <v>80000.0</v>
      </c>
      <c r="E769" s="2" t="s">
        <v>37</v>
      </c>
      <c r="F769" s="1" t="s">
        <v>62</v>
      </c>
      <c r="G769" s="1" t="s">
        <v>19</v>
      </c>
      <c r="H769" s="1" t="s">
        <v>25</v>
      </c>
      <c r="I769" s="2" t="s">
        <v>37</v>
      </c>
      <c r="J769" s="1" t="s">
        <v>51</v>
      </c>
      <c r="K769" s="1" t="s">
        <v>598</v>
      </c>
      <c r="L769" s="2" t="s">
        <v>52</v>
      </c>
      <c r="M769" s="1" t="s">
        <v>25</v>
      </c>
    </row>
    <row r="770" ht="15.75" customHeight="1">
      <c r="A770" s="2" t="s">
        <v>900</v>
      </c>
      <c r="B770" s="1" t="s">
        <v>14</v>
      </c>
      <c r="C770" s="1" t="s">
        <v>27</v>
      </c>
      <c r="D770" s="3">
        <v>40000.0</v>
      </c>
      <c r="E770" s="2" t="s">
        <v>21</v>
      </c>
      <c r="F770" s="1" t="s">
        <v>55</v>
      </c>
      <c r="G770" s="1" t="s">
        <v>19</v>
      </c>
      <c r="H770" s="1" t="s">
        <v>20</v>
      </c>
      <c r="I770" s="2" t="s">
        <v>37</v>
      </c>
      <c r="J770" s="1" t="s">
        <v>43</v>
      </c>
      <c r="K770" s="1" t="s">
        <v>598</v>
      </c>
      <c r="L770" s="2" t="s">
        <v>118</v>
      </c>
      <c r="M770" s="1" t="s">
        <v>20</v>
      </c>
    </row>
    <row r="771" ht="15.75" customHeight="1">
      <c r="A771" s="2" t="s">
        <v>901</v>
      </c>
      <c r="B771" s="1" t="s">
        <v>41</v>
      </c>
      <c r="C771" s="1" t="s">
        <v>27</v>
      </c>
      <c r="D771" s="3">
        <v>30000.0</v>
      </c>
      <c r="E771" s="2" t="s">
        <v>17</v>
      </c>
      <c r="F771" s="1" t="s">
        <v>55</v>
      </c>
      <c r="G771" s="1" t="s">
        <v>31</v>
      </c>
      <c r="H771" s="1" t="s">
        <v>25</v>
      </c>
      <c r="I771" s="2" t="s">
        <v>17</v>
      </c>
      <c r="J771" s="1" t="s">
        <v>43</v>
      </c>
      <c r="K771" s="1" t="s">
        <v>598</v>
      </c>
      <c r="L771" s="2" t="s">
        <v>132</v>
      </c>
      <c r="M771" s="1" t="s">
        <v>25</v>
      </c>
    </row>
    <row r="772" ht="15.75" customHeight="1">
      <c r="A772" s="2" t="s">
        <v>902</v>
      </c>
      <c r="B772" s="1" t="s">
        <v>14</v>
      </c>
      <c r="C772" s="1" t="s">
        <v>27</v>
      </c>
      <c r="D772" s="3">
        <v>30000.0</v>
      </c>
      <c r="E772" s="2" t="s">
        <v>17</v>
      </c>
      <c r="F772" s="1" t="s">
        <v>55</v>
      </c>
      <c r="G772" s="1" t="s">
        <v>31</v>
      </c>
      <c r="H772" s="1" t="s">
        <v>20</v>
      </c>
      <c r="I772" s="2" t="s">
        <v>17</v>
      </c>
      <c r="J772" s="1" t="s">
        <v>38</v>
      </c>
      <c r="K772" s="1" t="s">
        <v>598</v>
      </c>
      <c r="L772" s="2" t="s">
        <v>132</v>
      </c>
      <c r="M772" s="1" t="s">
        <v>20</v>
      </c>
    </row>
    <row r="773" ht="15.75" customHeight="1">
      <c r="A773" s="2" t="s">
        <v>903</v>
      </c>
      <c r="B773" s="1" t="s">
        <v>14</v>
      </c>
      <c r="C773" s="1" t="s">
        <v>27</v>
      </c>
      <c r="D773" s="3">
        <v>50000.0</v>
      </c>
      <c r="E773" s="2" t="s">
        <v>37</v>
      </c>
      <c r="F773" s="1" t="s">
        <v>87</v>
      </c>
      <c r="G773" s="1" t="s">
        <v>56</v>
      </c>
      <c r="H773" s="1" t="s">
        <v>20</v>
      </c>
      <c r="I773" s="2" t="s">
        <v>37</v>
      </c>
      <c r="J773" s="1" t="s">
        <v>43</v>
      </c>
      <c r="K773" s="1" t="s">
        <v>598</v>
      </c>
      <c r="L773" s="2" t="s">
        <v>403</v>
      </c>
      <c r="M773" s="1" t="s">
        <v>25</v>
      </c>
    </row>
    <row r="774" ht="15.75" customHeight="1">
      <c r="A774" s="2" t="s">
        <v>904</v>
      </c>
      <c r="B774" s="1" t="s">
        <v>41</v>
      </c>
      <c r="C774" s="1" t="s">
        <v>27</v>
      </c>
      <c r="D774" s="3">
        <v>60000.0</v>
      </c>
      <c r="E774" s="2" t="s">
        <v>37</v>
      </c>
      <c r="F774" s="1" t="s">
        <v>55</v>
      </c>
      <c r="G774" s="1" t="s">
        <v>36</v>
      </c>
      <c r="H774" s="1" t="s">
        <v>20</v>
      </c>
      <c r="I774" s="2" t="s">
        <v>37</v>
      </c>
      <c r="J774" s="1" t="s">
        <v>43</v>
      </c>
      <c r="K774" s="1" t="s">
        <v>598</v>
      </c>
      <c r="L774" s="2" t="s">
        <v>178</v>
      </c>
      <c r="M774" s="1" t="s">
        <v>25</v>
      </c>
    </row>
    <row r="775" ht="15.75" customHeight="1">
      <c r="A775" s="2" t="s">
        <v>905</v>
      </c>
      <c r="B775" s="1" t="s">
        <v>14</v>
      </c>
      <c r="C775" s="1" t="s">
        <v>27</v>
      </c>
      <c r="D775" s="3">
        <v>70000.0</v>
      </c>
      <c r="E775" s="2" t="s">
        <v>35</v>
      </c>
      <c r="F775" s="1" t="s">
        <v>30</v>
      </c>
      <c r="G775" s="1" t="s">
        <v>36</v>
      </c>
      <c r="H775" s="1" t="s">
        <v>20</v>
      </c>
      <c r="I775" s="2" t="s">
        <v>37</v>
      </c>
      <c r="J775" s="1" t="s">
        <v>51</v>
      </c>
      <c r="K775" s="1" t="s">
        <v>598</v>
      </c>
      <c r="L775" s="2" t="s">
        <v>330</v>
      </c>
      <c r="M775" s="1" t="s">
        <v>20</v>
      </c>
    </row>
    <row r="776" ht="15.75" customHeight="1">
      <c r="A776" s="2" t="s">
        <v>906</v>
      </c>
      <c r="B776" s="1" t="s">
        <v>41</v>
      </c>
      <c r="C776" s="1" t="s">
        <v>27</v>
      </c>
      <c r="D776" s="3">
        <v>60000.0</v>
      </c>
      <c r="E776" s="2" t="s">
        <v>21</v>
      </c>
      <c r="F776" s="1" t="s">
        <v>30</v>
      </c>
      <c r="G776" s="1" t="s">
        <v>19</v>
      </c>
      <c r="H776" s="1" t="s">
        <v>20</v>
      </c>
      <c r="I776" s="2" t="s">
        <v>17</v>
      </c>
      <c r="J776" s="1" t="s">
        <v>43</v>
      </c>
      <c r="K776" s="1" t="s">
        <v>598</v>
      </c>
      <c r="L776" s="2" t="s">
        <v>245</v>
      </c>
      <c r="M776" s="1" t="s">
        <v>20</v>
      </c>
    </row>
    <row r="777" ht="15.75" customHeight="1">
      <c r="A777" s="2" t="s">
        <v>907</v>
      </c>
      <c r="B777" s="1" t="s">
        <v>41</v>
      </c>
      <c r="C777" s="1" t="s">
        <v>15</v>
      </c>
      <c r="D777" s="3">
        <v>30000.0</v>
      </c>
      <c r="E777" s="2" t="s">
        <v>21</v>
      </c>
      <c r="F777" s="1" t="s">
        <v>55</v>
      </c>
      <c r="G777" s="1" t="s">
        <v>19</v>
      </c>
      <c r="H777" s="1" t="s">
        <v>25</v>
      </c>
      <c r="I777" s="2" t="s">
        <v>37</v>
      </c>
      <c r="J777" s="1" t="s">
        <v>22</v>
      </c>
      <c r="K777" s="1" t="s">
        <v>598</v>
      </c>
      <c r="L777" s="2" t="s">
        <v>261</v>
      </c>
      <c r="M777" s="1" t="s">
        <v>20</v>
      </c>
    </row>
    <row r="778" ht="15.75" customHeight="1">
      <c r="A778" s="2" t="s">
        <v>908</v>
      </c>
      <c r="B778" s="1" t="s">
        <v>41</v>
      </c>
      <c r="C778" s="1" t="s">
        <v>15</v>
      </c>
      <c r="D778" s="3">
        <v>50000.0</v>
      </c>
      <c r="E778" s="2" t="s">
        <v>17</v>
      </c>
      <c r="F778" s="1" t="s">
        <v>87</v>
      </c>
      <c r="G778" s="1" t="s">
        <v>19</v>
      </c>
      <c r="H778" s="1" t="s">
        <v>20</v>
      </c>
      <c r="I778" s="2" t="s">
        <v>21</v>
      </c>
      <c r="J778" s="1" t="s">
        <v>51</v>
      </c>
      <c r="K778" s="1" t="s">
        <v>598</v>
      </c>
      <c r="L778" s="2" t="s">
        <v>58</v>
      </c>
      <c r="M778" s="1" t="s">
        <v>20</v>
      </c>
    </row>
    <row r="779" ht="15.75" customHeight="1">
      <c r="A779" s="2" t="s">
        <v>909</v>
      </c>
      <c r="B779" s="1" t="s">
        <v>41</v>
      </c>
      <c r="C779" s="1" t="s">
        <v>27</v>
      </c>
      <c r="D779" s="3">
        <v>60000.0</v>
      </c>
      <c r="E779" s="2" t="s">
        <v>57</v>
      </c>
      <c r="F779" s="1" t="s">
        <v>18</v>
      </c>
      <c r="G779" s="1" t="s">
        <v>36</v>
      </c>
      <c r="H779" s="1" t="s">
        <v>20</v>
      </c>
      <c r="I779" s="2" t="s">
        <v>37</v>
      </c>
      <c r="J779" s="1" t="s">
        <v>38</v>
      </c>
      <c r="K779" s="1" t="s">
        <v>598</v>
      </c>
      <c r="L779" s="2" t="s">
        <v>32</v>
      </c>
      <c r="M779" s="1" t="s">
        <v>20</v>
      </c>
    </row>
    <row r="780" ht="15.75" customHeight="1">
      <c r="A780" s="2" t="s">
        <v>910</v>
      </c>
      <c r="B780" s="1" t="s">
        <v>14</v>
      </c>
      <c r="C780" s="1" t="s">
        <v>27</v>
      </c>
      <c r="D780" s="3">
        <v>70000.0</v>
      </c>
      <c r="E780" s="2" t="s">
        <v>57</v>
      </c>
      <c r="F780" s="1" t="s">
        <v>87</v>
      </c>
      <c r="G780" s="1" t="s">
        <v>56</v>
      </c>
      <c r="H780" s="1" t="s">
        <v>20</v>
      </c>
      <c r="I780" s="2" t="s">
        <v>37</v>
      </c>
      <c r="J780" s="1" t="s">
        <v>43</v>
      </c>
      <c r="K780" s="1" t="s">
        <v>598</v>
      </c>
      <c r="L780" s="2" t="s">
        <v>662</v>
      </c>
      <c r="M780" s="1" t="s">
        <v>25</v>
      </c>
    </row>
    <row r="781" ht="15.75" customHeight="1">
      <c r="A781" s="2" t="s">
        <v>911</v>
      </c>
      <c r="B781" s="1" t="s">
        <v>14</v>
      </c>
      <c r="C781" s="1" t="s">
        <v>27</v>
      </c>
      <c r="D781" s="3">
        <v>40000.0</v>
      </c>
      <c r="E781" s="2" t="s">
        <v>21</v>
      </c>
      <c r="F781" s="1" t="s">
        <v>30</v>
      </c>
      <c r="G781" s="1" t="s">
        <v>19</v>
      </c>
      <c r="H781" s="1" t="s">
        <v>20</v>
      </c>
      <c r="I781" s="2" t="s">
        <v>17</v>
      </c>
      <c r="J781" s="1" t="s">
        <v>43</v>
      </c>
      <c r="K781" s="1" t="s">
        <v>598</v>
      </c>
      <c r="L781" s="2" t="s">
        <v>245</v>
      </c>
      <c r="M781" s="1" t="s">
        <v>25</v>
      </c>
    </row>
    <row r="782" ht="15.75" customHeight="1">
      <c r="A782" s="2" t="s">
        <v>912</v>
      </c>
      <c r="B782" s="1" t="s">
        <v>14</v>
      </c>
      <c r="C782" s="1" t="s">
        <v>27</v>
      </c>
      <c r="D782" s="3">
        <v>40000.0</v>
      </c>
      <c r="E782" s="2" t="s">
        <v>21</v>
      </c>
      <c r="F782" s="1" t="s">
        <v>55</v>
      </c>
      <c r="G782" s="1" t="s">
        <v>19</v>
      </c>
      <c r="H782" s="1" t="s">
        <v>20</v>
      </c>
      <c r="I782" s="2" t="s">
        <v>37</v>
      </c>
      <c r="J782" s="1" t="s">
        <v>43</v>
      </c>
      <c r="K782" s="1" t="s">
        <v>598</v>
      </c>
      <c r="L782" s="2" t="s">
        <v>118</v>
      </c>
      <c r="M782" s="1" t="s">
        <v>20</v>
      </c>
    </row>
    <row r="783" ht="15.75" customHeight="1">
      <c r="A783" s="2" t="s">
        <v>913</v>
      </c>
      <c r="B783" s="1" t="s">
        <v>14</v>
      </c>
      <c r="C783" s="1" t="s">
        <v>27</v>
      </c>
      <c r="D783" s="3">
        <v>40000.0</v>
      </c>
      <c r="E783" s="2" t="s">
        <v>21</v>
      </c>
      <c r="F783" s="1" t="s">
        <v>55</v>
      </c>
      <c r="G783" s="1" t="s">
        <v>19</v>
      </c>
      <c r="H783" s="1" t="s">
        <v>25</v>
      </c>
      <c r="I783" s="2" t="s">
        <v>37</v>
      </c>
      <c r="J783" s="1" t="s">
        <v>22</v>
      </c>
      <c r="K783" s="1" t="s">
        <v>598</v>
      </c>
      <c r="L783" s="2" t="s">
        <v>245</v>
      </c>
      <c r="M783" s="1" t="s">
        <v>20</v>
      </c>
    </row>
    <row r="784" ht="15.75" customHeight="1">
      <c r="A784" s="2" t="s">
        <v>914</v>
      </c>
      <c r="B784" s="1" t="s">
        <v>41</v>
      </c>
      <c r="C784" s="1" t="s">
        <v>15</v>
      </c>
      <c r="D784" s="3">
        <v>40000.0</v>
      </c>
      <c r="E784" s="5">
        <v>0.0</v>
      </c>
      <c r="F784" s="1" t="s">
        <v>55</v>
      </c>
      <c r="G784" s="1" t="s">
        <v>19</v>
      </c>
      <c r="H784" s="1" t="s">
        <v>20</v>
      </c>
      <c r="I784" s="2" t="s">
        <v>37</v>
      </c>
      <c r="J784" s="1" t="s">
        <v>43</v>
      </c>
      <c r="K784" s="1" t="s">
        <v>598</v>
      </c>
      <c r="L784" s="2" t="s">
        <v>109</v>
      </c>
      <c r="M784" s="1" t="s">
        <v>25</v>
      </c>
    </row>
    <row r="785" ht="15.75" customHeight="1">
      <c r="A785" s="2" t="s">
        <v>915</v>
      </c>
      <c r="B785" s="1" t="s">
        <v>14</v>
      </c>
      <c r="C785" s="1" t="s">
        <v>15</v>
      </c>
      <c r="D785" s="3">
        <v>10000.0</v>
      </c>
      <c r="E785" s="2" t="s">
        <v>37</v>
      </c>
      <c r="F785" s="1" t="s">
        <v>55</v>
      </c>
      <c r="G785" s="1" t="s">
        <v>50</v>
      </c>
      <c r="H785" s="1" t="s">
        <v>20</v>
      </c>
      <c r="I785" s="2" t="s">
        <v>37</v>
      </c>
      <c r="J785" s="1" t="s">
        <v>51</v>
      </c>
      <c r="K785" s="1" t="s">
        <v>598</v>
      </c>
      <c r="L785" s="2" t="s">
        <v>201</v>
      </c>
      <c r="M785" s="1" t="s">
        <v>25</v>
      </c>
    </row>
    <row r="786" ht="15.75" customHeight="1">
      <c r="A786" s="2" t="s">
        <v>916</v>
      </c>
      <c r="B786" s="1" t="s">
        <v>41</v>
      </c>
      <c r="C786" s="1" t="s">
        <v>15</v>
      </c>
      <c r="D786" s="3">
        <v>60000.0</v>
      </c>
      <c r="E786" s="2" t="s">
        <v>21</v>
      </c>
      <c r="F786" s="1" t="s">
        <v>30</v>
      </c>
      <c r="G786" s="1" t="s">
        <v>36</v>
      </c>
      <c r="H786" s="1" t="s">
        <v>25</v>
      </c>
      <c r="I786" s="2" t="s">
        <v>37</v>
      </c>
      <c r="J786" s="1" t="s">
        <v>51</v>
      </c>
      <c r="K786" s="1" t="s">
        <v>598</v>
      </c>
      <c r="L786" s="2" t="s">
        <v>104</v>
      </c>
      <c r="M786" s="1" t="s">
        <v>20</v>
      </c>
    </row>
    <row r="787" ht="15.75" customHeight="1">
      <c r="A787" s="2" t="s">
        <v>917</v>
      </c>
      <c r="B787" s="1" t="s">
        <v>41</v>
      </c>
      <c r="C787" s="1" t="s">
        <v>27</v>
      </c>
      <c r="D787" s="3">
        <v>30000.0</v>
      </c>
      <c r="E787" s="2" t="s">
        <v>37</v>
      </c>
      <c r="F787" s="1" t="s">
        <v>55</v>
      </c>
      <c r="G787" s="1" t="s">
        <v>19</v>
      </c>
      <c r="H787" s="1" t="s">
        <v>20</v>
      </c>
      <c r="I787" s="2" t="s">
        <v>37</v>
      </c>
      <c r="J787" s="1" t="s">
        <v>51</v>
      </c>
      <c r="K787" s="1" t="s">
        <v>598</v>
      </c>
      <c r="L787" s="2" t="s">
        <v>52</v>
      </c>
      <c r="M787" s="1" t="s">
        <v>20</v>
      </c>
    </row>
    <row r="788" ht="15.75" customHeight="1">
      <c r="A788" s="2" t="s">
        <v>918</v>
      </c>
      <c r="B788" s="1" t="s">
        <v>14</v>
      </c>
      <c r="C788" s="1" t="s">
        <v>15</v>
      </c>
      <c r="D788" s="3">
        <v>40000.0</v>
      </c>
      <c r="E788" s="2" t="s">
        <v>57</v>
      </c>
      <c r="F788" s="1" t="s">
        <v>55</v>
      </c>
      <c r="G788" s="1" t="s">
        <v>36</v>
      </c>
      <c r="H788" s="1" t="s">
        <v>20</v>
      </c>
      <c r="I788" s="2" t="s">
        <v>37</v>
      </c>
      <c r="J788" s="1" t="s">
        <v>43</v>
      </c>
      <c r="K788" s="1" t="s">
        <v>598</v>
      </c>
      <c r="L788" s="2" t="s">
        <v>403</v>
      </c>
      <c r="M788" s="1" t="s">
        <v>25</v>
      </c>
    </row>
    <row r="789" ht="15.75" customHeight="1">
      <c r="A789" s="2" t="s">
        <v>919</v>
      </c>
      <c r="B789" s="1" t="s">
        <v>41</v>
      </c>
      <c r="C789" s="1" t="s">
        <v>15</v>
      </c>
      <c r="D789" s="3">
        <v>70000.0</v>
      </c>
      <c r="E789" s="2" t="s">
        <v>29</v>
      </c>
      <c r="F789" s="1" t="s">
        <v>87</v>
      </c>
      <c r="G789" s="1" t="s">
        <v>56</v>
      </c>
      <c r="H789" s="1" t="s">
        <v>20</v>
      </c>
      <c r="I789" s="2" t="s">
        <v>37</v>
      </c>
      <c r="J789" s="1" t="s">
        <v>43</v>
      </c>
      <c r="K789" s="1" t="s">
        <v>598</v>
      </c>
      <c r="L789" s="2" t="s">
        <v>132</v>
      </c>
      <c r="M789" s="1" t="s">
        <v>20</v>
      </c>
    </row>
    <row r="790" ht="15.75" customHeight="1">
      <c r="A790" s="2" t="s">
        <v>920</v>
      </c>
      <c r="B790" s="1" t="s">
        <v>14</v>
      </c>
      <c r="C790" s="1" t="s">
        <v>27</v>
      </c>
      <c r="D790" s="3">
        <v>60000.0</v>
      </c>
      <c r="E790" s="2" t="s">
        <v>21</v>
      </c>
      <c r="F790" s="1" t="s">
        <v>30</v>
      </c>
      <c r="G790" s="1" t="s">
        <v>19</v>
      </c>
      <c r="H790" s="1" t="s">
        <v>25</v>
      </c>
      <c r="I790" s="2" t="s">
        <v>37</v>
      </c>
      <c r="J790" s="1" t="s">
        <v>51</v>
      </c>
      <c r="K790" s="1" t="s">
        <v>598</v>
      </c>
      <c r="L790" s="2" t="s">
        <v>109</v>
      </c>
      <c r="M790" s="1" t="s">
        <v>25</v>
      </c>
    </row>
    <row r="791" ht="15.75" customHeight="1">
      <c r="A791" s="2" t="s">
        <v>921</v>
      </c>
      <c r="B791" s="1" t="s">
        <v>41</v>
      </c>
      <c r="C791" s="1" t="s">
        <v>15</v>
      </c>
      <c r="D791" s="3">
        <v>70000.0</v>
      </c>
      <c r="E791" s="2" t="s">
        <v>57</v>
      </c>
      <c r="F791" s="1" t="s">
        <v>18</v>
      </c>
      <c r="G791" s="1" t="s">
        <v>56</v>
      </c>
      <c r="H791" s="1" t="s">
        <v>20</v>
      </c>
      <c r="I791" s="2" t="s">
        <v>37</v>
      </c>
      <c r="J791" s="1" t="s">
        <v>69</v>
      </c>
      <c r="K791" s="1" t="s">
        <v>598</v>
      </c>
      <c r="L791" s="2" t="s">
        <v>145</v>
      </c>
      <c r="M791" s="1" t="s">
        <v>25</v>
      </c>
    </row>
    <row r="792" ht="15.75" customHeight="1">
      <c r="A792" s="2" t="s">
        <v>922</v>
      </c>
      <c r="B792" s="1" t="s">
        <v>14</v>
      </c>
      <c r="C792" s="1" t="s">
        <v>15</v>
      </c>
      <c r="D792" s="3">
        <v>70000.0</v>
      </c>
      <c r="E792" s="2" t="s">
        <v>37</v>
      </c>
      <c r="F792" s="1" t="s">
        <v>55</v>
      </c>
      <c r="G792" s="1" t="s">
        <v>36</v>
      </c>
      <c r="H792" s="1" t="s">
        <v>20</v>
      </c>
      <c r="I792" s="2" t="s">
        <v>37</v>
      </c>
      <c r="J792" s="1" t="s">
        <v>69</v>
      </c>
      <c r="K792" s="1" t="s">
        <v>598</v>
      </c>
      <c r="L792" s="2" t="s">
        <v>201</v>
      </c>
      <c r="M792" s="1" t="s">
        <v>25</v>
      </c>
    </row>
    <row r="793" ht="15.75" customHeight="1">
      <c r="A793" s="2" t="s">
        <v>923</v>
      </c>
      <c r="B793" s="1" t="s">
        <v>41</v>
      </c>
      <c r="C793" s="1" t="s">
        <v>15</v>
      </c>
      <c r="D793" s="3">
        <v>70000.0</v>
      </c>
      <c r="E793" s="2" t="s">
        <v>57</v>
      </c>
      <c r="F793" s="1" t="s">
        <v>18</v>
      </c>
      <c r="G793" s="1" t="s">
        <v>56</v>
      </c>
      <c r="H793" s="1" t="s">
        <v>20</v>
      </c>
      <c r="I793" s="2" t="s">
        <v>37</v>
      </c>
      <c r="J793" s="1" t="s">
        <v>51</v>
      </c>
      <c r="K793" s="1" t="s">
        <v>598</v>
      </c>
      <c r="L793" s="2" t="s">
        <v>112</v>
      </c>
      <c r="M793" s="1" t="s">
        <v>20</v>
      </c>
    </row>
    <row r="794" ht="15.75" customHeight="1">
      <c r="A794" s="2" t="s">
        <v>924</v>
      </c>
      <c r="B794" s="1" t="s">
        <v>14</v>
      </c>
      <c r="C794" s="1" t="s">
        <v>27</v>
      </c>
      <c r="D794" s="3">
        <v>40000.0</v>
      </c>
      <c r="E794" s="2" t="s">
        <v>21</v>
      </c>
      <c r="F794" s="1" t="s">
        <v>30</v>
      </c>
      <c r="G794" s="1" t="s">
        <v>19</v>
      </c>
      <c r="H794" s="1" t="s">
        <v>25</v>
      </c>
      <c r="I794" s="2" t="s">
        <v>37</v>
      </c>
      <c r="J794" s="1" t="s">
        <v>51</v>
      </c>
      <c r="K794" s="1" t="s">
        <v>598</v>
      </c>
      <c r="L794" s="2" t="s">
        <v>116</v>
      </c>
      <c r="M794" s="1" t="s">
        <v>25</v>
      </c>
    </row>
    <row r="795" ht="15.75" customHeight="1">
      <c r="A795" s="2" t="s">
        <v>925</v>
      </c>
      <c r="B795" s="1" t="s">
        <v>14</v>
      </c>
      <c r="C795" s="1" t="s">
        <v>15</v>
      </c>
      <c r="D795" s="3">
        <v>60000.0</v>
      </c>
      <c r="E795" s="2" t="s">
        <v>29</v>
      </c>
      <c r="F795" s="1" t="s">
        <v>87</v>
      </c>
      <c r="G795" s="1" t="s">
        <v>36</v>
      </c>
      <c r="H795" s="1" t="s">
        <v>20</v>
      </c>
      <c r="I795" s="2" t="s">
        <v>21</v>
      </c>
      <c r="J795" s="1" t="s">
        <v>38</v>
      </c>
      <c r="K795" s="1" t="s">
        <v>598</v>
      </c>
      <c r="L795" s="2" t="s">
        <v>32</v>
      </c>
      <c r="M795" s="1" t="s">
        <v>20</v>
      </c>
    </row>
    <row r="796" ht="15.75" customHeight="1">
      <c r="A796" s="2" t="s">
        <v>926</v>
      </c>
      <c r="B796" s="1" t="s">
        <v>14</v>
      </c>
      <c r="C796" s="1" t="s">
        <v>15</v>
      </c>
      <c r="D796" s="3">
        <v>60000.0</v>
      </c>
      <c r="E796" s="2" t="s">
        <v>29</v>
      </c>
      <c r="F796" s="1" t="s">
        <v>87</v>
      </c>
      <c r="G796" s="1" t="s">
        <v>36</v>
      </c>
      <c r="H796" s="1" t="s">
        <v>20</v>
      </c>
      <c r="I796" s="2" t="s">
        <v>21</v>
      </c>
      <c r="J796" s="1" t="s">
        <v>38</v>
      </c>
      <c r="K796" s="1" t="s">
        <v>598</v>
      </c>
      <c r="L796" s="2" t="s">
        <v>24</v>
      </c>
      <c r="M796" s="1" t="s">
        <v>20</v>
      </c>
    </row>
    <row r="797" ht="15.75" customHeight="1">
      <c r="A797" s="2" t="s">
        <v>927</v>
      </c>
      <c r="B797" s="1" t="s">
        <v>14</v>
      </c>
      <c r="C797" s="1" t="s">
        <v>27</v>
      </c>
      <c r="D797" s="3">
        <v>40000.0</v>
      </c>
      <c r="E797" s="2" t="s">
        <v>21</v>
      </c>
      <c r="F797" s="1" t="s">
        <v>30</v>
      </c>
      <c r="G797" s="1" t="s">
        <v>19</v>
      </c>
      <c r="H797" s="1" t="s">
        <v>20</v>
      </c>
      <c r="I797" s="2" t="s">
        <v>17</v>
      </c>
      <c r="J797" s="1" t="s">
        <v>43</v>
      </c>
      <c r="K797" s="1" t="s">
        <v>598</v>
      </c>
      <c r="L797" s="2" t="s">
        <v>116</v>
      </c>
      <c r="M797" s="1" t="s">
        <v>25</v>
      </c>
    </row>
    <row r="798" ht="15.75" customHeight="1">
      <c r="A798" s="2" t="s">
        <v>928</v>
      </c>
      <c r="B798" s="1" t="s">
        <v>41</v>
      </c>
      <c r="C798" s="1" t="s">
        <v>15</v>
      </c>
      <c r="D798" s="3">
        <v>40000.0</v>
      </c>
      <c r="E798" s="2" t="s">
        <v>21</v>
      </c>
      <c r="F798" s="1" t="s">
        <v>55</v>
      </c>
      <c r="G798" s="1" t="s">
        <v>19</v>
      </c>
      <c r="H798" s="1" t="s">
        <v>20</v>
      </c>
      <c r="I798" s="2" t="s">
        <v>37</v>
      </c>
      <c r="J798" s="1" t="s">
        <v>43</v>
      </c>
      <c r="K798" s="1" t="s">
        <v>598</v>
      </c>
      <c r="L798" s="2" t="s">
        <v>116</v>
      </c>
      <c r="M798" s="1" t="s">
        <v>25</v>
      </c>
    </row>
    <row r="799" ht="15.75" customHeight="1">
      <c r="A799" s="2" t="s">
        <v>929</v>
      </c>
      <c r="B799" s="1" t="s">
        <v>41</v>
      </c>
      <c r="C799" s="1" t="s">
        <v>27</v>
      </c>
      <c r="D799" s="3">
        <v>110000.0</v>
      </c>
      <c r="E799" s="2" t="s">
        <v>17</v>
      </c>
      <c r="F799" s="1" t="s">
        <v>18</v>
      </c>
      <c r="G799" s="1" t="s">
        <v>56</v>
      </c>
      <c r="H799" s="1" t="s">
        <v>20</v>
      </c>
      <c r="I799" s="2" t="s">
        <v>17</v>
      </c>
      <c r="J799" s="1" t="s">
        <v>43</v>
      </c>
      <c r="K799" s="1" t="s">
        <v>598</v>
      </c>
      <c r="L799" s="2" t="s">
        <v>32</v>
      </c>
      <c r="M799" s="1" t="s">
        <v>25</v>
      </c>
    </row>
    <row r="800" ht="15.75" customHeight="1">
      <c r="A800" s="2" t="s">
        <v>930</v>
      </c>
      <c r="B800" s="1" t="s">
        <v>14</v>
      </c>
      <c r="C800" s="1" t="s">
        <v>27</v>
      </c>
      <c r="D800" s="3">
        <v>60000.0</v>
      </c>
      <c r="E800" s="2" t="s">
        <v>21</v>
      </c>
      <c r="F800" s="1" t="s">
        <v>30</v>
      </c>
      <c r="G800" s="1" t="s">
        <v>19</v>
      </c>
      <c r="H800" s="1" t="s">
        <v>20</v>
      </c>
      <c r="I800" s="2" t="s">
        <v>37</v>
      </c>
      <c r="J800" s="1" t="s">
        <v>43</v>
      </c>
      <c r="K800" s="1" t="s">
        <v>598</v>
      </c>
      <c r="L800" s="2" t="s">
        <v>58</v>
      </c>
      <c r="M800" s="1" t="s">
        <v>20</v>
      </c>
    </row>
    <row r="801" ht="15.75" customHeight="1">
      <c r="A801" s="2" t="s">
        <v>931</v>
      </c>
      <c r="B801" s="1" t="s">
        <v>14</v>
      </c>
      <c r="C801" s="1" t="s">
        <v>27</v>
      </c>
      <c r="D801" s="3">
        <v>30000.0</v>
      </c>
      <c r="E801" s="2" t="s">
        <v>21</v>
      </c>
      <c r="F801" s="1" t="s">
        <v>55</v>
      </c>
      <c r="G801" s="1" t="s">
        <v>19</v>
      </c>
      <c r="H801" s="1" t="s">
        <v>20</v>
      </c>
      <c r="I801" s="2" t="s">
        <v>37</v>
      </c>
      <c r="J801" s="1" t="s">
        <v>43</v>
      </c>
      <c r="K801" s="1" t="s">
        <v>598</v>
      </c>
      <c r="L801" s="2" t="s">
        <v>104</v>
      </c>
      <c r="M801" s="1" t="s">
        <v>25</v>
      </c>
    </row>
    <row r="802" ht="15.75" customHeight="1">
      <c r="A802" s="2" t="s">
        <v>932</v>
      </c>
      <c r="B802" s="1" t="s">
        <v>41</v>
      </c>
      <c r="C802" s="1" t="s">
        <v>15</v>
      </c>
      <c r="D802" s="3">
        <v>70000.0</v>
      </c>
      <c r="E802" s="2" t="s">
        <v>57</v>
      </c>
      <c r="F802" s="1" t="s">
        <v>55</v>
      </c>
      <c r="G802" s="1" t="s">
        <v>36</v>
      </c>
      <c r="H802" s="1" t="s">
        <v>20</v>
      </c>
      <c r="I802" s="2" t="s">
        <v>21</v>
      </c>
      <c r="J802" s="1" t="s">
        <v>43</v>
      </c>
      <c r="K802" s="1" t="s">
        <v>598</v>
      </c>
      <c r="L802" s="2" t="s">
        <v>52</v>
      </c>
      <c r="M802" s="1" t="s">
        <v>20</v>
      </c>
    </row>
    <row r="803" ht="15.75" customHeight="1">
      <c r="A803" s="2" t="s">
        <v>933</v>
      </c>
      <c r="B803" s="1" t="s">
        <v>41</v>
      </c>
      <c r="C803" s="1" t="s">
        <v>27</v>
      </c>
      <c r="D803" s="3">
        <v>110000.0</v>
      </c>
      <c r="E803" s="2" t="s">
        <v>37</v>
      </c>
      <c r="F803" s="1" t="s">
        <v>18</v>
      </c>
      <c r="G803" s="1" t="s">
        <v>56</v>
      </c>
      <c r="H803" s="1" t="s">
        <v>25</v>
      </c>
      <c r="I803" s="2" t="s">
        <v>29</v>
      </c>
      <c r="J803" s="1" t="s">
        <v>22</v>
      </c>
      <c r="K803" s="1" t="s">
        <v>598</v>
      </c>
      <c r="L803" s="2" t="s">
        <v>153</v>
      </c>
      <c r="M803" s="1" t="s">
        <v>20</v>
      </c>
    </row>
    <row r="804" ht="15.75" customHeight="1">
      <c r="A804" s="2" t="s">
        <v>934</v>
      </c>
      <c r="B804" s="1" t="s">
        <v>14</v>
      </c>
      <c r="C804" s="1" t="s">
        <v>27</v>
      </c>
      <c r="D804" s="3">
        <v>70000.0</v>
      </c>
      <c r="E804" s="2" t="s">
        <v>29</v>
      </c>
      <c r="F804" s="1" t="s">
        <v>55</v>
      </c>
      <c r="G804" s="1" t="s">
        <v>36</v>
      </c>
      <c r="H804" s="1" t="s">
        <v>25</v>
      </c>
      <c r="I804" s="2" t="s">
        <v>17</v>
      </c>
      <c r="J804" s="1" t="s">
        <v>51</v>
      </c>
      <c r="K804" s="1" t="s">
        <v>598</v>
      </c>
      <c r="L804" s="2" t="s">
        <v>132</v>
      </c>
      <c r="M804" s="1" t="s">
        <v>20</v>
      </c>
    </row>
    <row r="805" ht="15.75" customHeight="1">
      <c r="A805" s="2" t="s">
        <v>935</v>
      </c>
      <c r="B805" s="1" t="s">
        <v>14</v>
      </c>
      <c r="C805" s="1" t="s">
        <v>27</v>
      </c>
      <c r="D805" s="3">
        <v>70000.0</v>
      </c>
      <c r="E805" s="2" t="s">
        <v>57</v>
      </c>
      <c r="F805" s="1" t="s">
        <v>87</v>
      </c>
      <c r="G805" s="1" t="s">
        <v>36</v>
      </c>
      <c r="H805" s="1" t="s">
        <v>20</v>
      </c>
      <c r="I805" s="2" t="s">
        <v>21</v>
      </c>
      <c r="J805" s="1" t="s">
        <v>38</v>
      </c>
      <c r="K805" s="1" t="s">
        <v>598</v>
      </c>
      <c r="L805" s="2" t="s">
        <v>47</v>
      </c>
      <c r="M805" s="1" t="s">
        <v>20</v>
      </c>
    </row>
    <row r="806" ht="15.75" customHeight="1">
      <c r="A806" s="2" t="s">
        <v>936</v>
      </c>
      <c r="B806" s="1" t="s">
        <v>41</v>
      </c>
      <c r="C806" s="1" t="s">
        <v>15</v>
      </c>
      <c r="D806" s="3">
        <v>80000.0</v>
      </c>
      <c r="E806" s="2" t="s">
        <v>29</v>
      </c>
      <c r="F806" s="1" t="s">
        <v>18</v>
      </c>
      <c r="G806" s="1" t="s">
        <v>19</v>
      </c>
      <c r="H806" s="1" t="s">
        <v>20</v>
      </c>
      <c r="I806" s="2" t="s">
        <v>37</v>
      </c>
      <c r="J806" s="1" t="s">
        <v>38</v>
      </c>
      <c r="K806" s="1" t="s">
        <v>598</v>
      </c>
      <c r="L806" s="2" t="s">
        <v>45</v>
      </c>
      <c r="M806" s="1" t="s">
        <v>20</v>
      </c>
    </row>
    <row r="807" ht="15.75" customHeight="1">
      <c r="A807" s="2" t="s">
        <v>937</v>
      </c>
      <c r="B807" s="1" t="s">
        <v>41</v>
      </c>
      <c r="C807" s="1" t="s">
        <v>15</v>
      </c>
      <c r="D807" s="3">
        <v>40000.0</v>
      </c>
      <c r="E807" s="2" t="s">
        <v>21</v>
      </c>
      <c r="F807" s="1" t="s">
        <v>62</v>
      </c>
      <c r="G807" s="1" t="s">
        <v>31</v>
      </c>
      <c r="H807" s="1" t="s">
        <v>20</v>
      </c>
      <c r="I807" s="2" t="s">
        <v>37</v>
      </c>
      <c r="J807" s="1" t="s">
        <v>43</v>
      </c>
      <c r="K807" s="1" t="s">
        <v>598</v>
      </c>
      <c r="L807" s="2" t="s">
        <v>107</v>
      </c>
      <c r="M807" s="1" t="s">
        <v>25</v>
      </c>
    </row>
    <row r="808" ht="15.75" customHeight="1">
      <c r="A808" s="2" t="s">
        <v>938</v>
      </c>
      <c r="B808" s="1" t="s">
        <v>41</v>
      </c>
      <c r="C808" s="1" t="s">
        <v>27</v>
      </c>
      <c r="D808" s="3">
        <v>170000.0</v>
      </c>
      <c r="E808" s="2" t="s">
        <v>17</v>
      </c>
      <c r="F808" s="1" t="s">
        <v>87</v>
      </c>
      <c r="G808" s="1" t="s">
        <v>56</v>
      </c>
      <c r="H808" s="1" t="s">
        <v>25</v>
      </c>
      <c r="I808" s="2" t="s">
        <v>57</v>
      </c>
      <c r="J808" s="1" t="s">
        <v>22</v>
      </c>
      <c r="K808" s="1" t="s">
        <v>598</v>
      </c>
      <c r="L808" s="2" t="s">
        <v>128</v>
      </c>
      <c r="M808" s="1" t="s">
        <v>25</v>
      </c>
    </row>
    <row r="809" ht="15.75" customHeight="1">
      <c r="A809" s="2" t="s">
        <v>939</v>
      </c>
      <c r="B809" s="1" t="s">
        <v>14</v>
      </c>
      <c r="C809" s="1" t="s">
        <v>27</v>
      </c>
      <c r="D809" s="3">
        <v>60000.0</v>
      </c>
      <c r="E809" s="2" t="s">
        <v>37</v>
      </c>
      <c r="F809" s="1" t="s">
        <v>55</v>
      </c>
      <c r="G809" s="1" t="s">
        <v>36</v>
      </c>
      <c r="H809" s="1" t="s">
        <v>25</v>
      </c>
      <c r="I809" s="2" t="s">
        <v>37</v>
      </c>
      <c r="J809" s="1" t="s">
        <v>43</v>
      </c>
      <c r="K809" s="1" t="s">
        <v>598</v>
      </c>
      <c r="L809" s="2" t="s">
        <v>178</v>
      </c>
      <c r="M809" s="1" t="s">
        <v>25</v>
      </c>
    </row>
    <row r="810" ht="15.75" customHeight="1">
      <c r="A810" s="2" t="s">
        <v>940</v>
      </c>
      <c r="B810" s="1" t="s">
        <v>14</v>
      </c>
      <c r="C810" s="1" t="s">
        <v>15</v>
      </c>
      <c r="D810" s="3">
        <v>70000.0</v>
      </c>
      <c r="E810" s="2" t="s">
        <v>57</v>
      </c>
      <c r="F810" s="1" t="s">
        <v>18</v>
      </c>
      <c r="G810" s="1" t="s">
        <v>36</v>
      </c>
      <c r="H810" s="1" t="s">
        <v>20</v>
      </c>
      <c r="I810" s="2" t="s">
        <v>37</v>
      </c>
      <c r="J810" s="1" t="s">
        <v>22</v>
      </c>
      <c r="K810" s="1" t="s">
        <v>598</v>
      </c>
      <c r="L810" s="2" t="s">
        <v>32</v>
      </c>
      <c r="M810" s="1" t="s">
        <v>20</v>
      </c>
    </row>
    <row r="811" ht="15.75" customHeight="1">
      <c r="A811" s="2" t="s">
        <v>941</v>
      </c>
      <c r="B811" s="1" t="s">
        <v>14</v>
      </c>
      <c r="C811" s="1" t="s">
        <v>15</v>
      </c>
      <c r="D811" s="3">
        <v>60000.0</v>
      </c>
      <c r="E811" s="2" t="s">
        <v>21</v>
      </c>
      <c r="F811" s="1" t="s">
        <v>87</v>
      </c>
      <c r="G811" s="1" t="s">
        <v>36</v>
      </c>
      <c r="H811" s="1" t="s">
        <v>20</v>
      </c>
      <c r="I811" s="2" t="s">
        <v>21</v>
      </c>
      <c r="J811" s="1" t="s">
        <v>22</v>
      </c>
      <c r="K811" s="1" t="s">
        <v>598</v>
      </c>
      <c r="L811" s="2" t="s">
        <v>135</v>
      </c>
      <c r="M811" s="1" t="s">
        <v>25</v>
      </c>
    </row>
    <row r="812" ht="15.75" customHeight="1">
      <c r="A812" s="2" t="s">
        <v>942</v>
      </c>
      <c r="B812" s="1" t="s">
        <v>41</v>
      </c>
      <c r="C812" s="1" t="s">
        <v>15</v>
      </c>
      <c r="D812" s="3">
        <v>70000.0</v>
      </c>
      <c r="E812" s="2" t="s">
        <v>21</v>
      </c>
      <c r="F812" s="1" t="s">
        <v>18</v>
      </c>
      <c r="G812" s="1" t="s">
        <v>36</v>
      </c>
      <c r="H812" s="1" t="s">
        <v>25</v>
      </c>
      <c r="I812" s="2" t="s">
        <v>17</v>
      </c>
      <c r="J812" s="1" t="s">
        <v>22</v>
      </c>
      <c r="K812" s="1" t="s">
        <v>598</v>
      </c>
      <c r="L812" s="2" t="s">
        <v>153</v>
      </c>
      <c r="M812" s="1" t="s">
        <v>20</v>
      </c>
    </row>
    <row r="813" ht="15.75" customHeight="1">
      <c r="A813" s="2" t="s">
        <v>943</v>
      </c>
      <c r="B813" s="1" t="s">
        <v>41</v>
      </c>
      <c r="C813" s="1" t="s">
        <v>15</v>
      </c>
      <c r="D813" s="3">
        <v>70000.0</v>
      </c>
      <c r="E813" s="2" t="s">
        <v>37</v>
      </c>
      <c r="F813" s="1" t="s">
        <v>62</v>
      </c>
      <c r="G813" s="1" t="s">
        <v>19</v>
      </c>
      <c r="H813" s="1" t="s">
        <v>25</v>
      </c>
      <c r="I813" s="2" t="s">
        <v>37</v>
      </c>
      <c r="J813" s="1" t="s">
        <v>38</v>
      </c>
      <c r="K813" s="1" t="s">
        <v>598</v>
      </c>
      <c r="L813" s="2" t="s">
        <v>66</v>
      </c>
      <c r="M813" s="1" t="s">
        <v>20</v>
      </c>
    </row>
    <row r="814" ht="15.75" customHeight="1">
      <c r="A814" s="2" t="s">
        <v>944</v>
      </c>
      <c r="B814" s="1" t="s">
        <v>41</v>
      </c>
      <c r="C814" s="1" t="s">
        <v>15</v>
      </c>
      <c r="D814" s="3">
        <v>60000.0</v>
      </c>
      <c r="E814" s="2" t="s">
        <v>29</v>
      </c>
      <c r="F814" s="1" t="s">
        <v>18</v>
      </c>
      <c r="G814" s="1" t="s">
        <v>19</v>
      </c>
      <c r="H814" s="1" t="s">
        <v>20</v>
      </c>
      <c r="I814" s="2" t="s">
        <v>21</v>
      </c>
      <c r="J814" s="1" t="s">
        <v>38</v>
      </c>
      <c r="K814" s="1" t="s">
        <v>598</v>
      </c>
      <c r="L814" s="2" t="s">
        <v>100</v>
      </c>
      <c r="M814" s="1" t="s">
        <v>20</v>
      </c>
    </row>
    <row r="815" ht="15.75" customHeight="1">
      <c r="A815" s="2" t="s">
        <v>945</v>
      </c>
      <c r="B815" s="1" t="s">
        <v>14</v>
      </c>
      <c r="C815" s="1" t="s">
        <v>15</v>
      </c>
      <c r="D815" s="3">
        <v>40000.0</v>
      </c>
      <c r="E815" s="2" t="s">
        <v>21</v>
      </c>
      <c r="F815" s="1" t="s">
        <v>30</v>
      </c>
      <c r="G815" s="1" t="s">
        <v>19</v>
      </c>
      <c r="H815" s="1" t="s">
        <v>20</v>
      </c>
      <c r="I815" s="2" t="s">
        <v>37</v>
      </c>
      <c r="J815" s="1" t="s">
        <v>43</v>
      </c>
      <c r="K815" s="1" t="s">
        <v>598</v>
      </c>
      <c r="L815" s="2" t="s">
        <v>118</v>
      </c>
      <c r="M815" s="1" t="s">
        <v>25</v>
      </c>
    </row>
    <row r="816" ht="15.75" customHeight="1">
      <c r="A816" s="2" t="s">
        <v>946</v>
      </c>
      <c r="B816" s="1" t="s">
        <v>14</v>
      </c>
      <c r="C816" s="1" t="s">
        <v>27</v>
      </c>
      <c r="D816" s="3">
        <v>60000.0</v>
      </c>
      <c r="E816" s="2" t="s">
        <v>17</v>
      </c>
      <c r="F816" s="1" t="s">
        <v>87</v>
      </c>
      <c r="G816" s="1" t="s">
        <v>19</v>
      </c>
      <c r="H816" s="1" t="s">
        <v>20</v>
      </c>
      <c r="I816" s="2" t="s">
        <v>21</v>
      </c>
      <c r="J816" s="1" t="s">
        <v>22</v>
      </c>
      <c r="K816" s="1" t="s">
        <v>598</v>
      </c>
      <c r="L816" s="2" t="s">
        <v>58</v>
      </c>
      <c r="M816" s="1" t="s">
        <v>25</v>
      </c>
    </row>
    <row r="817" ht="15.75" customHeight="1">
      <c r="A817" s="2" t="s">
        <v>947</v>
      </c>
      <c r="B817" s="1" t="s">
        <v>41</v>
      </c>
      <c r="C817" s="1" t="s">
        <v>15</v>
      </c>
      <c r="D817" s="3">
        <v>80000.0</v>
      </c>
      <c r="E817" s="2" t="s">
        <v>29</v>
      </c>
      <c r="F817" s="1" t="s">
        <v>18</v>
      </c>
      <c r="G817" s="1" t="s">
        <v>19</v>
      </c>
      <c r="H817" s="1" t="s">
        <v>20</v>
      </c>
      <c r="I817" s="2" t="s">
        <v>37</v>
      </c>
      <c r="J817" s="1" t="s">
        <v>38</v>
      </c>
      <c r="K817" s="1" t="s">
        <v>598</v>
      </c>
      <c r="L817" s="2" t="s">
        <v>45</v>
      </c>
      <c r="M817" s="1" t="s">
        <v>20</v>
      </c>
    </row>
    <row r="818" ht="15.75" customHeight="1">
      <c r="A818" s="2" t="s">
        <v>948</v>
      </c>
      <c r="B818" s="1" t="s">
        <v>41</v>
      </c>
      <c r="C818" s="1" t="s">
        <v>15</v>
      </c>
      <c r="D818" s="3">
        <v>80000.0</v>
      </c>
      <c r="E818" s="2" t="s">
        <v>29</v>
      </c>
      <c r="F818" s="1" t="s">
        <v>87</v>
      </c>
      <c r="G818" s="1" t="s">
        <v>36</v>
      </c>
      <c r="H818" s="1" t="s">
        <v>20</v>
      </c>
      <c r="I818" s="2" t="s">
        <v>21</v>
      </c>
      <c r="J818" s="1" t="s">
        <v>22</v>
      </c>
      <c r="K818" s="1" t="s">
        <v>598</v>
      </c>
      <c r="L818" s="2" t="s">
        <v>153</v>
      </c>
      <c r="M818" s="1" t="s">
        <v>20</v>
      </c>
    </row>
    <row r="819" ht="15.75" customHeight="1">
      <c r="A819" s="2" t="s">
        <v>949</v>
      </c>
      <c r="B819" s="1" t="s">
        <v>14</v>
      </c>
      <c r="C819" s="1" t="s">
        <v>27</v>
      </c>
      <c r="D819" s="3">
        <v>70000.0</v>
      </c>
      <c r="E819" s="2" t="s">
        <v>57</v>
      </c>
      <c r="F819" s="1" t="s">
        <v>30</v>
      </c>
      <c r="G819" s="1" t="s">
        <v>36</v>
      </c>
      <c r="H819" s="1" t="s">
        <v>20</v>
      </c>
      <c r="I819" s="2" t="s">
        <v>37</v>
      </c>
      <c r="J819" s="1" t="s">
        <v>69</v>
      </c>
      <c r="K819" s="1" t="s">
        <v>598</v>
      </c>
      <c r="L819" s="2" t="s">
        <v>201</v>
      </c>
      <c r="M819" s="1" t="s">
        <v>25</v>
      </c>
    </row>
    <row r="820" ht="15.75" customHeight="1">
      <c r="A820" s="2" t="s">
        <v>950</v>
      </c>
      <c r="B820" s="1" t="s">
        <v>14</v>
      </c>
      <c r="C820" s="1" t="s">
        <v>27</v>
      </c>
      <c r="D820" s="3">
        <v>120000.0</v>
      </c>
      <c r="E820" s="2" t="s">
        <v>37</v>
      </c>
      <c r="F820" s="1" t="s">
        <v>87</v>
      </c>
      <c r="G820" s="1" t="s">
        <v>56</v>
      </c>
      <c r="H820" s="1" t="s">
        <v>20</v>
      </c>
      <c r="I820" s="2" t="s">
        <v>29</v>
      </c>
      <c r="J820" s="1" t="s">
        <v>43</v>
      </c>
      <c r="K820" s="1" t="s">
        <v>598</v>
      </c>
      <c r="L820" s="2" t="s">
        <v>421</v>
      </c>
      <c r="M820" s="1" t="s">
        <v>25</v>
      </c>
    </row>
    <row r="821" ht="15.75" customHeight="1">
      <c r="A821" s="2" t="s">
        <v>951</v>
      </c>
      <c r="B821" s="1" t="s">
        <v>14</v>
      </c>
      <c r="C821" s="1" t="s">
        <v>15</v>
      </c>
      <c r="D821" s="3">
        <v>60000.0</v>
      </c>
      <c r="E821" s="2" t="s">
        <v>17</v>
      </c>
      <c r="F821" s="1" t="s">
        <v>30</v>
      </c>
      <c r="G821" s="1" t="s">
        <v>19</v>
      </c>
      <c r="H821" s="1" t="s">
        <v>20</v>
      </c>
      <c r="I821" s="2" t="s">
        <v>17</v>
      </c>
      <c r="J821" s="1" t="s">
        <v>38</v>
      </c>
      <c r="K821" s="1" t="s">
        <v>598</v>
      </c>
      <c r="L821" s="2" t="s">
        <v>77</v>
      </c>
      <c r="M821" s="1" t="s">
        <v>20</v>
      </c>
    </row>
    <row r="822" ht="15.75" customHeight="1">
      <c r="A822" s="2" t="s">
        <v>952</v>
      </c>
      <c r="B822" s="1" t="s">
        <v>41</v>
      </c>
      <c r="C822" s="1" t="s">
        <v>27</v>
      </c>
      <c r="D822" s="3">
        <v>80000.0</v>
      </c>
      <c r="E822" s="2" t="s">
        <v>37</v>
      </c>
      <c r="F822" s="1" t="s">
        <v>62</v>
      </c>
      <c r="G822" s="1" t="s">
        <v>19</v>
      </c>
      <c r="H822" s="1" t="s">
        <v>25</v>
      </c>
      <c r="I822" s="2" t="s">
        <v>37</v>
      </c>
      <c r="J822" s="1" t="s">
        <v>51</v>
      </c>
      <c r="K822" s="1" t="s">
        <v>598</v>
      </c>
      <c r="L822" s="2" t="s">
        <v>132</v>
      </c>
      <c r="M822" s="1" t="s">
        <v>25</v>
      </c>
    </row>
    <row r="823" ht="15.75" customHeight="1">
      <c r="A823" s="2" t="s">
        <v>953</v>
      </c>
      <c r="B823" s="1" t="s">
        <v>14</v>
      </c>
      <c r="C823" s="1" t="s">
        <v>15</v>
      </c>
      <c r="D823" s="3">
        <v>40000.0</v>
      </c>
      <c r="E823" s="2" t="s">
        <v>35</v>
      </c>
      <c r="F823" s="1" t="s">
        <v>55</v>
      </c>
      <c r="G823" s="1" t="s">
        <v>36</v>
      </c>
      <c r="H823" s="1" t="s">
        <v>20</v>
      </c>
      <c r="I823" s="2" t="s">
        <v>37</v>
      </c>
      <c r="J823" s="1" t="s">
        <v>69</v>
      </c>
      <c r="K823" s="1" t="s">
        <v>598</v>
      </c>
      <c r="L823" s="2" t="s">
        <v>39</v>
      </c>
      <c r="M823" s="1" t="s">
        <v>25</v>
      </c>
    </row>
    <row r="824" ht="15.75" customHeight="1">
      <c r="A824" s="2" t="s">
        <v>954</v>
      </c>
      <c r="B824" s="1" t="s">
        <v>41</v>
      </c>
      <c r="C824" s="1" t="s">
        <v>15</v>
      </c>
      <c r="D824" s="3">
        <v>20000.0</v>
      </c>
      <c r="E824" s="2" t="s">
        <v>29</v>
      </c>
      <c r="F824" s="1" t="s">
        <v>62</v>
      </c>
      <c r="G824" s="1" t="s">
        <v>31</v>
      </c>
      <c r="H824" s="1" t="s">
        <v>20</v>
      </c>
      <c r="I824" s="2" t="s">
        <v>37</v>
      </c>
      <c r="J824" s="1" t="s">
        <v>51</v>
      </c>
      <c r="K824" s="1" t="s">
        <v>598</v>
      </c>
      <c r="L824" s="2" t="s">
        <v>52</v>
      </c>
      <c r="M824" s="1" t="s">
        <v>25</v>
      </c>
    </row>
    <row r="825" ht="15.75" customHeight="1">
      <c r="A825" s="2" t="s">
        <v>955</v>
      </c>
      <c r="B825" s="1" t="s">
        <v>14</v>
      </c>
      <c r="C825" s="1" t="s">
        <v>15</v>
      </c>
      <c r="D825" s="3">
        <v>70000.0</v>
      </c>
      <c r="E825" s="2" t="s">
        <v>57</v>
      </c>
      <c r="F825" s="1" t="s">
        <v>30</v>
      </c>
      <c r="G825" s="1" t="s">
        <v>36</v>
      </c>
      <c r="H825" s="1" t="s">
        <v>25</v>
      </c>
      <c r="I825" s="2" t="s">
        <v>17</v>
      </c>
      <c r="J825" s="1" t="s">
        <v>51</v>
      </c>
      <c r="K825" s="1" t="s">
        <v>598</v>
      </c>
      <c r="L825" s="2" t="s">
        <v>91</v>
      </c>
      <c r="M825" s="1" t="s">
        <v>25</v>
      </c>
    </row>
    <row r="826" ht="15.75" customHeight="1">
      <c r="A826" s="2" t="s">
        <v>956</v>
      </c>
      <c r="B826" s="1" t="s">
        <v>41</v>
      </c>
      <c r="C826" s="1" t="s">
        <v>15</v>
      </c>
      <c r="D826" s="3">
        <v>40000.0</v>
      </c>
      <c r="E826" s="2" t="s">
        <v>21</v>
      </c>
      <c r="F826" s="1" t="s">
        <v>62</v>
      </c>
      <c r="G826" s="1" t="s">
        <v>31</v>
      </c>
      <c r="H826" s="1" t="s">
        <v>20</v>
      </c>
      <c r="I826" s="2" t="s">
        <v>37</v>
      </c>
      <c r="J826" s="1" t="s">
        <v>43</v>
      </c>
      <c r="K826" s="1" t="s">
        <v>598</v>
      </c>
      <c r="L826" s="2" t="s">
        <v>97</v>
      </c>
      <c r="M826" s="1" t="s">
        <v>25</v>
      </c>
    </row>
    <row r="827" ht="15.75" customHeight="1">
      <c r="A827" s="2" t="s">
        <v>957</v>
      </c>
      <c r="B827" s="1" t="s">
        <v>41</v>
      </c>
      <c r="C827" s="1" t="s">
        <v>27</v>
      </c>
      <c r="D827" s="3">
        <v>130000.0</v>
      </c>
      <c r="E827" s="2" t="s">
        <v>21</v>
      </c>
      <c r="F827" s="1" t="s">
        <v>87</v>
      </c>
      <c r="G827" s="1" t="s">
        <v>56</v>
      </c>
      <c r="H827" s="1" t="s">
        <v>25</v>
      </c>
      <c r="I827" s="2" t="s">
        <v>37</v>
      </c>
      <c r="J827" s="1" t="s">
        <v>22</v>
      </c>
      <c r="K827" s="1" t="s">
        <v>598</v>
      </c>
      <c r="L827" s="2" t="s">
        <v>79</v>
      </c>
      <c r="M827" s="1" t="s">
        <v>20</v>
      </c>
    </row>
    <row r="828" ht="15.75" customHeight="1">
      <c r="A828" s="2" t="s">
        <v>958</v>
      </c>
      <c r="B828" s="1" t="s">
        <v>14</v>
      </c>
      <c r="C828" s="1" t="s">
        <v>15</v>
      </c>
      <c r="D828" s="3">
        <v>40000.0</v>
      </c>
      <c r="E828" s="2" t="s">
        <v>35</v>
      </c>
      <c r="F828" s="1" t="s">
        <v>55</v>
      </c>
      <c r="G828" s="1" t="s">
        <v>36</v>
      </c>
      <c r="H828" s="1" t="s">
        <v>25</v>
      </c>
      <c r="I828" s="2" t="s">
        <v>37</v>
      </c>
      <c r="J828" s="1" t="s">
        <v>38</v>
      </c>
      <c r="K828" s="1" t="s">
        <v>598</v>
      </c>
      <c r="L828" s="2" t="s">
        <v>39</v>
      </c>
      <c r="M828" s="1" t="s">
        <v>25</v>
      </c>
    </row>
    <row r="829" ht="15.75" customHeight="1">
      <c r="A829" s="2" t="s">
        <v>959</v>
      </c>
      <c r="B829" s="1" t="s">
        <v>41</v>
      </c>
      <c r="C829" s="1" t="s">
        <v>15</v>
      </c>
      <c r="D829" s="3">
        <v>130000.0</v>
      </c>
      <c r="E829" s="2" t="s">
        <v>37</v>
      </c>
      <c r="F829" s="1" t="s">
        <v>18</v>
      </c>
      <c r="G829" s="1" t="s">
        <v>56</v>
      </c>
      <c r="H829" s="1" t="s">
        <v>25</v>
      </c>
      <c r="I829" s="2" t="s">
        <v>57</v>
      </c>
      <c r="J829" s="1" t="s">
        <v>22</v>
      </c>
      <c r="K829" s="1" t="s">
        <v>598</v>
      </c>
      <c r="L829" s="2" t="s">
        <v>297</v>
      </c>
      <c r="M829" s="1" t="s">
        <v>25</v>
      </c>
    </row>
    <row r="830" ht="15.75" customHeight="1">
      <c r="A830" s="2" t="s">
        <v>960</v>
      </c>
      <c r="B830" s="1" t="s">
        <v>14</v>
      </c>
      <c r="C830" s="1" t="s">
        <v>27</v>
      </c>
      <c r="D830" s="3">
        <v>60000.0</v>
      </c>
      <c r="E830" s="2" t="s">
        <v>21</v>
      </c>
      <c r="F830" s="1" t="s">
        <v>30</v>
      </c>
      <c r="G830" s="1" t="s">
        <v>19</v>
      </c>
      <c r="H830" s="1" t="s">
        <v>20</v>
      </c>
      <c r="I830" s="2" t="s">
        <v>17</v>
      </c>
      <c r="J830" s="1" t="s">
        <v>43</v>
      </c>
      <c r="K830" s="1" t="s">
        <v>598</v>
      </c>
      <c r="L830" s="2" t="s">
        <v>104</v>
      </c>
      <c r="M830" s="1" t="s">
        <v>20</v>
      </c>
    </row>
    <row r="831" ht="15.75" customHeight="1">
      <c r="A831" s="2" t="s">
        <v>961</v>
      </c>
      <c r="B831" s="1" t="s">
        <v>41</v>
      </c>
      <c r="C831" s="1" t="s">
        <v>27</v>
      </c>
      <c r="D831" s="3">
        <v>50000.0</v>
      </c>
      <c r="E831" s="2" t="s">
        <v>37</v>
      </c>
      <c r="F831" s="1" t="s">
        <v>18</v>
      </c>
      <c r="G831" s="1" t="s">
        <v>19</v>
      </c>
      <c r="H831" s="1" t="s">
        <v>25</v>
      </c>
      <c r="I831" s="2" t="s">
        <v>17</v>
      </c>
      <c r="J831" s="1" t="s">
        <v>22</v>
      </c>
      <c r="K831" s="1" t="s">
        <v>598</v>
      </c>
      <c r="L831" s="2" t="s">
        <v>135</v>
      </c>
      <c r="M831" s="1" t="s">
        <v>20</v>
      </c>
    </row>
    <row r="832" ht="15.75" customHeight="1">
      <c r="A832" s="2" t="s">
        <v>962</v>
      </c>
      <c r="B832" s="1" t="s">
        <v>41</v>
      </c>
      <c r="C832" s="1" t="s">
        <v>27</v>
      </c>
      <c r="D832" s="3">
        <v>60000.0</v>
      </c>
      <c r="E832" s="2" t="s">
        <v>17</v>
      </c>
      <c r="F832" s="1" t="s">
        <v>87</v>
      </c>
      <c r="G832" s="1" t="s">
        <v>36</v>
      </c>
      <c r="H832" s="1" t="s">
        <v>20</v>
      </c>
      <c r="I832" s="2" t="s">
        <v>21</v>
      </c>
      <c r="J832" s="1" t="s">
        <v>38</v>
      </c>
      <c r="K832" s="1" t="s">
        <v>598</v>
      </c>
      <c r="L832" s="2" t="s">
        <v>74</v>
      </c>
      <c r="M832" s="1" t="s">
        <v>20</v>
      </c>
    </row>
    <row r="833" ht="15.75" customHeight="1">
      <c r="A833" s="2" t="s">
        <v>963</v>
      </c>
      <c r="B833" s="1" t="s">
        <v>14</v>
      </c>
      <c r="C833" s="1" t="s">
        <v>15</v>
      </c>
      <c r="D833" s="3">
        <v>60000.0</v>
      </c>
      <c r="E833" s="2" t="s">
        <v>21</v>
      </c>
      <c r="F833" s="1" t="s">
        <v>30</v>
      </c>
      <c r="G833" s="1" t="s">
        <v>36</v>
      </c>
      <c r="H833" s="1" t="s">
        <v>20</v>
      </c>
      <c r="I833" s="2" t="s">
        <v>37</v>
      </c>
      <c r="J833" s="1" t="s">
        <v>43</v>
      </c>
      <c r="K833" s="1" t="s">
        <v>598</v>
      </c>
      <c r="L833" s="2" t="s">
        <v>104</v>
      </c>
      <c r="M833" s="1" t="s">
        <v>25</v>
      </c>
    </row>
    <row r="834" ht="15.75" customHeight="1">
      <c r="A834" s="2" t="s">
        <v>964</v>
      </c>
      <c r="B834" s="1" t="s">
        <v>41</v>
      </c>
      <c r="C834" s="1" t="s">
        <v>15</v>
      </c>
      <c r="D834" s="3">
        <v>30000.0</v>
      </c>
      <c r="E834" s="2" t="s">
        <v>21</v>
      </c>
      <c r="F834" s="1" t="s">
        <v>30</v>
      </c>
      <c r="G834" s="1" t="s">
        <v>19</v>
      </c>
      <c r="H834" s="1" t="s">
        <v>25</v>
      </c>
      <c r="I834" s="2" t="s">
        <v>17</v>
      </c>
      <c r="J834" s="1" t="s">
        <v>51</v>
      </c>
      <c r="K834" s="1" t="s">
        <v>598</v>
      </c>
      <c r="L834" s="2" t="s">
        <v>109</v>
      </c>
      <c r="M834" s="1" t="s">
        <v>25</v>
      </c>
    </row>
    <row r="835" ht="15.75" customHeight="1">
      <c r="A835" s="2" t="s">
        <v>965</v>
      </c>
      <c r="B835" s="1" t="s">
        <v>41</v>
      </c>
      <c r="C835" s="1" t="s">
        <v>27</v>
      </c>
      <c r="D835" s="3">
        <v>40000.0</v>
      </c>
      <c r="E835" s="2" t="s">
        <v>21</v>
      </c>
      <c r="F835" s="1" t="s">
        <v>30</v>
      </c>
      <c r="G835" s="1" t="s">
        <v>19</v>
      </c>
      <c r="H835" s="1" t="s">
        <v>20</v>
      </c>
      <c r="I835" s="2" t="s">
        <v>17</v>
      </c>
      <c r="J835" s="1" t="s">
        <v>43</v>
      </c>
      <c r="K835" s="1" t="s">
        <v>598</v>
      </c>
      <c r="L835" s="2" t="s">
        <v>245</v>
      </c>
      <c r="M835" s="1" t="s">
        <v>25</v>
      </c>
    </row>
    <row r="836" ht="15.75" customHeight="1">
      <c r="A836" s="2" t="s">
        <v>966</v>
      </c>
      <c r="B836" s="1" t="s">
        <v>14</v>
      </c>
      <c r="C836" s="1" t="s">
        <v>15</v>
      </c>
      <c r="D836" s="3">
        <v>60000.0</v>
      </c>
      <c r="E836" s="2" t="s">
        <v>17</v>
      </c>
      <c r="F836" s="1" t="s">
        <v>18</v>
      </c>
      <c r="G836" s="1" t="s">
        <v>36</v>
      </c>
      <c r="H836" s="1" t="s">
        <v>20</v>
      </c>
      <c r="I836" s="2" t="s">
        <v>17</v>
      </c>
      <c r="J836" s="1" t="s">
        <v>22</v>
      </c>
      <c r="K836" s="1" t="s">
        <v>598</v>
      </c>
      <c r="L836" s="2" t="s">
        <v>83</v>
      </c>
      <c r="M836" s="1" t="s">
        <v>20</v>
      </c>
    </row>
    <row r="837" ht="15.75" customHeight="1">
      <c r="A837" s="2" t="s">
        <v>967</v>
      </c>
      <c r="B837" s="1" t="s">
        <v>14</v>
      </c>
      <c r="C837" s="1" t="s">
        <v>27</v>
      </c>
      <c r="D837" s="3">
        <v>40000.0</v>
      </c>
      <c r="E837" s="2" t="s">
        <v>21</v>
      </c>
      <c r="F837" s="1" t="s">
        <v>18</v>
      </c>
      <c r="G837" s="1" t="s">
        <v>36</v>
      </c>
      <c r="H837" s="1" t="s">
        <v>25</v>
      </c>
      <c r="I837" s="2" t="s">
        <v>17</v>
      </c>
      <c r="J837" s="1" t="s">
        <v>22</v>
      </c>
      <c r="K837" s="1" t="s">
        <v>598</v>
      </c>
      <c r="L837" s="2" t="s">
        <v>24</v>
      </c>
      <c r="M837" s="1" t="s">
        <v>25</v>
      </c>
    </row>
    <row r="838" ht="15.75" customHeight="1">
      <c r="A838" s="2" t="s">
        <v>968</v>
      </c>
      <c r="B838" s="1" t="s">
        <v>14</v>
      </c>
      <c r="C838" s="1" t="s">
        <v>27</v>
      </c>
      <c r="D838" s="3">
        <v>30000.0</v>
      </c>
      <c r="E838" s="2" t="s">
        <v>37</v>
      </c>
      <c r="F838" s="1" t="s">
        <v>55</v>
      </c>
      <c r="G838" s="1" t="s">
        <v>19</v>
      </c>
      <c r="H838" s="1" t="s">
        <v>20</v>
      </c>
      <c r="I838" s="2" t="s">
        <v>37</v>
      </c>
      <c r="J838" s="1" t="s">
        <v>51</v>
      </c>
      <c r="K838" s="1" t="s">
        <v>598</v>
      </c>
      <c r="L838" s="2" t="s">
        <v>195</v>
      </c>
      <c r="M838" s="1" t="s">
        <v>25</v>
      </c>
    </row>
    <row r="839" ht="15.75" customHeight="1">
      <c r="A839" s="2" t="s">
        <v>969</v>
      </c>
      <c r="B839" s="1" t="s">
        <v>41</v>
      </c>
      <c r="C839" s="1" t="s">
        <v>27</v>
      </c>
      <c r="D839" s="3">
        <v>30000.0</v>
      </c>
      <c r="E839" s="2" t="s">
        <v>21</v>
      </c>
      <c r="F839" s="1" t="s">
        <v>30</v>
      </c>
      <c r="G839" s="1" t="s">
        <v>19</v>
      </c>
      <c r="H839" s="1" t="s">
        <v>20</v>
      </c>
      <c r="I839" s="2" t="s">
        <v>17</v>
      </c>
      <c r="J839" s="1" t="s">
        <v>43</v>
      </c>
      <c r="K839" s="1" t="s">
        <v>598</v>
      </c>
      <c r="L839" s="2" t="s">
        <v>104</v>
      </c>
      <c r="M839" s="1" t="s">
        <v>25</v>
      </c>
    </row>
    <row r="840" ht="15.75" customHeight="1">
      <c r="A840" s="2" t="s">
        <v>970</v>
      </c>
      <c r="B840" s="1" t="s">
        <v>14</v>
      </c>
      <c r="C840" s="1" t="s">
        <v>15</v>
      </c>
      <c r="D840" s="3">
        <v>20000.0</v>
      </c>
      <c r="E840" s="2" t="s">
        <v>37</v>
      </c>
      <c r="F840" s="1" t="s">
        <v>55</v>
      </c>
      <c r="G840" s="1" t="s">
        <v>50</v>
      </c>
      <c r="H840" s="1" t="s">
        <v>25</v>
      </c>
      <c r="I840" s="2" t="s">
        <v>37</v>
      </c>
      <c r="J840" s="1" t="s">
        <v>51</v>
      </c>
      <c r="K840" s="1" t="s">
        <v>598</v>
      </c>
      <c r="L840" s="2" t="s">
        <v>201</v>
      </c>
      <c r="M840" s="1" t="s">
        <v>20</v>
      </c>
    </row>
    <row r="841" ht="15.75" customHeight="1">
      <c r="A841" s="2" t="s">
        <v>971</v>
      </c>
      <c r="B841" s="1" t="s">
        <v>14</v>
      </c>
      <c r="C841" s="1" t="s">
        <v>27</v>
      </c>
      <c r="D841" s="3">
        <v>50000.0</v>
      </c>
      <c r="E841" s="2" t="s">
        <v>21</v>
      </c>
      <c r="F841" s="1" t="s">
        <v>87</v>
      </c>
      <c r="G841" s="1" t="s">
        <v>19</v>
      </c>
      <c r="H841" s="1" t="s">
        <v>20</v>
      </c>
      <c r="I841" s="2" t="s">
        <v>21</v>
      </c>
      <c r="J841" s="1" t="s">
        <v>51</v>
      </c>
      <c r="K841" s="1" t="s">
        <v>598</v>
      </c>
      <c r="L841" s="2" t="s">
        <v>104</v>
      </c>
      <c r="M841" s="1" t="s">
        <v>20</v>
      </c>
    </row>
    <row r="842" ht="15.75" customHeight="1">
      <c r="A842" s="2" t="s">
        <v>972</v>
      </c>
      <c r="B842" s="1" t="s">
        <v>41</v>
      </c>
      <c r="C842" s="1" t="s">
        <v>27</v>
      </c>
      <c r="D842" s="3">
        <v>80000.0</v>
      </c>
      <c r="E842" s="2" t="s">
        <v>21</v>
      </c>
      <c r="F842" s="1" t="s">
        <v>18</v>
      </c>
      <c r="G842" s="1" t="s">
        <v>56</v>
      </c>
      <c r="H842" s="1" t="s">
        <v>25</v>
      </c>
      <c r="I842" s="2" t="s">
        <v>17</v>
      </c>
      <c r="J842" s="1" t="s">
        <v>22</v>
      </c>
      <c r="K842" s="1" t="s">
        <v>598</v>
      </c>
      <c r="L842" s="2" t="s">
        <v>79</v>
      </c>
      <c r="M842" s="1" t="s">
        <v>20</v>
      </c>
    </row>
    <row r="843" ht="15.75" customHeight="1">
      <c r="A843" s="2" t="s">
        <v>973</v>
      </c>
      <c r="B843" s="1" t="s">
        <v>41</v>
      </c>
      <c r="C843" s="1" t="s">
        <v>27</v>
      </c>
      <c r="D843" s="3">
        <v>40000.0</v>
      </c>
      <c r="E843" s="2" t="s">
        <v>21</v>
      </c>
      <c r="F843" s="1" t="s">
        <v>55</v>
      </c>
      <c r="G843" s="1" t="s">
        <v>19</v>
      </c>
      <c r="H843" s="1" t="s">
        <v>20</v>
      </c>
      <c r="I843" s="2" t="s">
        <v>37</v>
      </c>
      <c r="J843" s="1" t="s">
        <v>43</v>
      </c>
      <c r="K843" s="1" t="s">
        <v>598</v>
      </c>
      <c r="L843" s="2" t="s">
        <v>109</v>
      </c>
      <c r="M843" s="1" t="s">
        <v>25</v>
      </c>
    </row>
    <row r="844" ht="15.75" customHeight="1">
      <c r="A844" s="2" t="s">
        <v>974</v>
      </c>
      <c r="B844" s="1" t="s">
        <v>41</v>
      </c>
      <c r="C844" s="1" t="s">
        <v>15</v>
      </c>
      <c r="D844" s="3">
        <v>80000.0</v>
      </c>
      <c r="E844" s="2" t="s">
        <v>21</v>
      </c>
      <c r="F844" s="1" t="s">
        <v>18</v>
      </c>
      <c r="G844" s="1" t="s">
        <v>56</v>
      </c>
      <c r="H844" s="1" t="s">
        <v>25</v>
      </c>
      <c r="I844" s="2" t="s">
        <v>17</v>
      </c>
      <c r="J844" s="1" t="s">
        <v>22</v>
      </c>
      <c r="K844" s="1" t="s">
        <v>598</v>
      </c>
      <c r="L844" s="2" t="s">
        <v>79</v>
      </c>
      <c r="M844" s="1" t="s">
        <v>20</v>
      </c>
    </row>
    <row r="845" ht="15.75" customHeight="1">
      <c r="A845" s="2" t="s">
        <v>975</v>
      </c>
      <c r="B845" s="1" t="s">
        <v>14</v>
      </c>
      <c r="C845" s="1" t="s">
        <v>27</v>
      </c>
      <c r="D845" s="3">
        <v>60000.0</v>
      </c>
      <c r="E845" s="2" t="s">
        <v>37</v>
      </c>
      <c r="F845" s="1" t="s">
        <v>55</v>
      </c>
      <c r="G845" s="1" t="s">
        <v>36</v>
      </c>
      <c r="H845" s="1" t="s">
        <v>20</v>
      </c>
      <c r="I845" s="2" t="s">
        <v>37</v>
      </c>
      <c r="J845" s="1" t="s">
        <v>69</v>
      </c>
      <c r="K845" s="1" t="s">
        <v>598</v>
      </c>
      <c r="L845" s="2" t="s">
        <v>72</v>
      </c>
      <c r="M845" s="1" t="s">
        <v>25</v>
      </c>
    </row>
    <row r="846" ht="15.75" customHeight="1">
      <c r="A846" s="2" t="s">
        <v>976</v>
      </c>
      <c r="B846" s="1" t="s">
        <v>14</v>
      </c>
      <c r="C846" s="1" t="s">
        <v>1111</v>
      </c>
      <c r="D846" s="3">
        <v>70000.0</v>
      </c>
      <c r="E846" s="2" t="s">
        <v>29</v>
      </c>
      <c r="F846" s="1" t="s">
        <v>30</v>
      </c>
      <c r="G846" s="1" t="s">
        <v>36</v>
      </c>
      <c r="H846" s="1" t="s">
        <v>20</v>
      </c>
      <c r="I846" s="2" t="s">
        <v>17</v>
      </c>
      <c r="J846" s="1" t="s">
        <v>43</v>
      </c>
      <c r="K846" s="1" t="s">
        <v>598</v>
      </c>
      <c r="L846" s="2" t="s">
        <v>195</v>
      </c>
      <c r="M846" s="1" t="s">
        <v>25</v>
      </c>
    </row>
    <row r="847" ht="15.75" customHeight="1">
      <c r="A847" s="2" t="s">
        <v>977</v>
      </c>
      <c r="B847" s="1" t="s">
        <v>41</v>
      </c>
      <c r="C847" s="1" t="s">
        <v>27</v>
      </c>
      <c r="D847" s="3">
        <v>30000.0</v>
      </c>
      <c r="E847" s="2" t="s">
        <v>35</v>
      </c>
      <c r="F847" s="1" t="s">
        <v>62</v>
      </c>
      <c r="G847" s="1" t="s">
        <v>19</v>
      </c>
      <c r="H847" s="1" t="s">
        <v>20</v>
      </c>
      <c r="I847" s="2" t="s">
        <v>29</v>
      </c>
      <c r="J847" s="1" t="s">
        <v>69</v>
      </c>
      <c r="K847" s="1" t="s">
        <v>598</v>
      </c>
      <c r="L847" s="2" t="s">
        <v>39</v>
      </c>
      <c r="M847" s="1" t="s">
        <v>20</v>
      </c>
    </row>
    <row r="848" ht="15.75" customHeight="1">
      <c r="A848" s="2" t="s">
        <v>978</v>
      </c>
      <c r="B848" s="1" t="s">
        <v>41</v>
      </c>
      <c r="C848" s="1" t="s">
        <v>15</v>
      </c>
      <c r="D848" s="3">
        <v>110000.0</v>
      </c>
      <c r="E848" s="2" t="s">
        <v>29</v>
      </c>
      <c r="F848" s="1" t="s">
        <v>18</v>
      </c>
      <c r="G848" s="1" t="s">
        <v>56</v>
      </c>
      <c r="H848" s="1" t="s">
        <v>25</v>
      </c>
      <c r="I848" s="2" t="s">
        <v>57</v>
      </c>
      <c r="J848" s="1" t="s">
        <v>51</v>
      </c>
      <c r="K848" s="1" t="s">
        <v>598</v>
      </c>
      <c r="L848" s="2" t="s">
        <v>24</v>
      </c>
      <c r="M848" s="1" t="s">
        <v>25</v>
      </c>
    </row>
    <row r="849" ht="15.75" customHeight="1">
      <c r="A849" s="2" t="s">
        <v>979</v>
      </c>
      <c r="B849" s="1" t="s">
        <v>14</v>
      </c>
      <c r="C849" s="1" t="s">
        <v>27</v>
      </c>
      <c r="D849" s="3">
        <v>60000.0</v>
      </c>
      <c r="E849" s="2" t="s">
        <v>17</v>
      </c>
      <c r="F849" s="1" t="s">
        <v>30</v>
      </c>
      <c r="G849" s="1" t="s">
        <v>19</v>
      </c>
      <c r="H849" s="1" t="s">
        <v>20</v>
      </c>
      <c r="I849" s="2" t="s">
        <v>17</v>
      </c>
      <c r="J849" s="1" t="s">
        <v>22</v>
      </c>
      <c r="K849" s="1" t="s">
        <v>598</v>
      </c>
      <c r="L849" s="2" t="s">
        <v>130</v>
      </c>
      <c r="M849" s="1" t="s">
        <v>25</v>
      </c>
    </row>
    <row r="850" ht="15.75" customHeight="1">
      <c r="A850" s="2" t="s">
        <v>980</v>
      </c>
      <c r="B850" s="1" t="s">
        <v>14</v>
      </c>
      <c r="C850" s="1" t="s">
        <v>27</v>
      </c>
      <c r="D850" s="3">
        <v>60000.0</v>
      </c>
      <c r="E850" s="2" t="s">
        <v>37</v>
      </c>
      <c r="F850" s="1" t="s">
        <v>55</v>
      </c>
      <c r="G850" s="1" t="s">
        <v>36</v>
      </c>
      <c r="H850" s="1" t="s">
        <v>20</v>
      </c>
      <c r="I850" s="2" t="s">
        <v>37</v>
      </c>
      <c r="J850" s="1" t="s">
        <v>69</v>
      </c>
      <c r="K850" s="1" t="s">
        <v>598</v>
      </c>
      <c r="L850" s="2" t="s">
        <v>72</v>
      </c>
      <c r="M850" s="1" t="s">
        <v>25</v>
      </c>
    </row>
    <row r="851" ht="15.75" customHeight="1">
      <c r="A851" s="2" t="s">
        <v>981</v>
      </c>
      <c r="B851" s="1" t="s">
        <v>41</v>
      </c>
      <c r="C851" s="1" t="s">
        <v>15</v>
      </c>
      <c r="D851" s="3">
        <v>70000.0</v>
      </c>
      <c r="E851" s="2" t="s">
        <v>29</v>
      </c>
      <c r="F851" s="1" t="s">
        <v>87</v>
      </c>
      <c r="G851" s="1" t="s">
        <v>56</v>
      </c>
      <c r="H851" s="1" t="s">
        <v>20</v>
      </c>
      <c r="I851" s="2" t="s">
        <v>37</v>
      </c>
      <c r="J851" s="1" t="s">
        <v>43</v>
      </c>
      <c r="K851" s="1" t="s">
        <v>598</v>
      </c>
      <c r="L851" s="2" t="s">
        <v>201</v>
      </c>
      <c r="M851" s="1" t="s">
        <v>20</v>
      </c>
    </row>
    <row r="852" ht="15.75" customHeight="1">
      <c r="A852" s="2" t="s">
        <v>982</v>
      </c>
      <c r="B852" s="1" t="s">
        <v>14</v>
      </c>
      <c r="C852" s="1" t="s">
        <v>27</v>
      </c>
      <c r="D852" s="3">
        <v>50000.0</v>
      </c>
      <c r="E852" s="2" t="s">
        <v>29</v>
      </c>
      <c r="F852" s="1" t="s">
        <v>18</v>
      </c>
      <c r="G852" s="1" t="s">
        <v>19</v>
      </c>
      <c r="H852" s="1" t="s">
        <v>20</v>
      </c>
      <c r="I852" s="2" t="s">
        <v>37</v>
      </c>
      <c r="J852" s="1" t="s">
        <v>38</v>
      </c>
      <c r="K852" s="1" t="s">
        <v>598</v>
      </c>
      <c r="L852" s="2" t="s">
        <v>100</v>
      </c>
      <c r="M852" s="1" t="s">
        <v>25</v>
      </c>
    </row>
    <row r="853" ht="15.75" customHeight="1">
      <c r="A853" s="2" t="s">
        <v>983</v>
      </c>
      <c r="B853" s="1" t="s">
        <v>14</v>
      </c>
      <c r="C853" s="1" t="s">
        <v>15</v>
      </c>
      <c r="D853" s="3">
        <v>30000.0</v>
      </c>
      <c r="E853" s="2" t="s">
        <v>17</v>
      </c>
      <c r="F853" s="1" t="s">
        <v>18</v>
      </c>
      <c r="G853" s="1" t="s">
        <v>19</v>
      </c>
      <c r="H853" s="1" t="s">
        <v>20</v>
      </c>
      <c r="I853" s="2" t="s">
        <v>17</v>
      </c>
      <c r="J853" s="1" t="s">
        <v>43</v>
      </c>
      <c r="K853" s="1" t="s">
        <v>598</v>
      </c>
      <c r="L853" s="2" t="s">
        <v>201</v>
      </c>
      <c r="M853" s="1" t="s">
        <v>20</v>
      </c>
    </row>
    <row r="854" ht="15.75" customHeight="1">
      <c r="A854" s="2" t="s">
        <v>984</v>
      </c>
      <c r="B854" s="1" t="s">
        <v>41</v>
      </c>
      <c r="C854" s="1" t="s">
        <v>15</v>
      </c>
      <c r="D854" s="3">
        <v>70000.0</v>
      </c>
      <c r="E854" s="2" t="s">
        <v>37</v>
      </c>
      <c r="F854" s="1" t="s">
        <v>18</v>
      </c>
      <c r="G854" s="1" t="s">
        <v>19</v>
      </c>
      <c r="H854" s="1" t="s">
        <v>20</v>
      </c>
      <c r="I854" s="2" t="s">
        <v>21</v>
      </c>
      <c r="J854" s="1" t="s">
        <v>38</v>
      </c>
      <c r="K854" s="1" t="s">
        <v>598</v>
      </c>
      <c r="L854" s="2" t="s">
        <v>79</v>
      </c>
      <c r="M854" s="1" t="s">
        <v>20</v>
      </c>
    </row>
    <row r="855" ht="15.75" customHeight="1">
      <c r="A855" s="2" t="s">
        <v>985</v>
      </c>
      <c r="B855" s="1" t="s">
        <v>41</v>
      </c>
      <c r="C855" s="1" t="s">
        <v>27</v>
      </c>
      <c r="D855" s="3">
        <v>30000.0</v>
      </c>
      <c r="E855" s="2" t="s">
        <v>21</v>
      </c>
      <c r="F855" s="1" t="s">
        <v>62</v>
      </c>
      <c r="G855" s="1" t="s">
        <v>31</v>
      </c>
      <c r="H855" s="1" t="s">
        <v>25</v>
      </c>
      <c r="I855" s="2" t="s">
        <v>37</v>
      </c>
      <c r="J855" s="1" t="s">
        <v>22</v>
      </c>
      <c r="K855" s="1" t="s">
        <v>598</v>
      </c>
      <c r="L855" s="2" t="s">
        <v>107</v>
      </c>
      <c r="M855" s="1" t="s">
        <v>25</v>
      </c>
    </row>
    <row r="856" ht="15.75" customHeight="1">
      <c r="A856" s="2" t="s">
        <v>986</v>
      </c>
      <c r="B856" s="1" t="s">
        <v>14</v>
      </c>
      <c r="C856" s="1" t="s">
        <v>27</v>
      </c>
      <c r="D856" s="3">
        <v>70000.0</v>
      </c>
      <c r="E856" s="2" t="s">
        <v>35</v>
      </c>
      <c r="F856" s="1" t="s">
        <v>18</v>
      </c>
      <c r="G856" s="1" t="s">
        <v>56</v>
      </c>
      <c r="H856" s="1" t="s">
        <v>20</v>
      </c>
      <c r="I856" s="2" t="s">
        <v>37</v>
      </c>
      <c r="J856" s="1" t="s">
        <v>38</v>
      </c>
      <c r="K856" s="1" t="s">
        <v>598</v>
      </c>
      <c r="L856" s="2" t="s">
        <v>145</v>
      </c>
      <c r="M856" s="1" t="s">
        <v>25</v>
      </c>
    </row>
    <row r="857" ht="15.75" customHeight="1">
      <c r="A857" s="2" t="s">
        <v>987</v>
      </c>
      <c r="B857" s="1" t="s">
        <v>14</v>
      </c>
      <c r="C857" s="1" t="s">
        <v>27</v>
      </c>
      <c r="D857" s="3">
        <v>50000.0</v>
      </c>
      <c r="E857" s="2" t="s">
        <v>37</v>
      </c>
      <c r="F857" s="1" t="s">
        <v>87</v>
      </c>
      <c r="G857" s="1" t="s">
        <v>56</v>
      </c>
      <c r="H857" s="1" t="s">
        <v>20</v>
      </c>
      <c r="I857" s="2" t="s">
        <v>37</v>
      </c>
      <c r="J857" s="1" t="s">
        <v>43</v>
      </c>
      <c r="K857" s="1" t="s">
        <v>598</v>
      </c>
      <c r="L857" s="2" t="s">
        <v>988</v>
      </c>
      <c r="M857" s="1" t="s">
        <v>25</v>
      </c>
    </row>
    <row r="858" ht="15.75" customHeight="1">
      <c r="A858" s="2" t="s">
        <v>989</v>
      </c>
      <c r="B858" s="1" t="s">
        <v>14</v>
      </c>
      <c r="C858" s="1" t="s">
        <v>27</v>
      </c>
      <c r="D858" s="3">
        <v>90000.0</v>
      </c>
      <c r="E858" s="2" t="s">
        <v>57</v>
      </c>
      <c r="F858" s="1" t="s">
        <v>55</v>
      </c>
      <c r="G858" s="1" t="s">
        <v>36</v>
      </c>
      <c r="H858" s="1" t="s">
        <v>20</v>
      </c>
      <c r="I858" s="2" t="s">
        <v>37</v>
      </c>
      <c r="J858" s="1" t="s">
        <v>51</v>
      </c>
      <c r="K858" s="1" t="s">
        <v>598</v>
      </c>
      <c r="L858" s="2" t="s">
        <v>77</v>
      </c>
      <c r="M858" s="1" t="s">
        <v>25</v>
      </c>
    </row>
    <row r="859" ht="15.75" customHeight="1">
      <c r="A859" s="2" t="s">
        <v>990</v>
      </c>
      <c r="B859" s="1" t="s">
        <v>14</v>
      </c>
      <c r="C859" s="1" t="s">
        <v>27</v>
      </c>
      <c r="D859" s="3">
        <v>80000.0</v>
      </c>
      <c r="E859" s="2" t="s">
        <v>37</v>
      </c>
      <c r="F859" s="1" t="s">
        <v>87</v>
      </c>
      <c r="G859" s="1" t="s">
        <v>36</v>
      </c>
      <c r="H859" s="1" t="s">
        <v>20</v>
      </c>
      <c r="I859" s="2" t="s">
        <v>21</v>
      </c>
      <c r="J859" s="1" t="s">
        <v>22</v>
      </c>
      <c r="K859" s="1" t="s">
        <v>598</v>
      </c>
      <c r="L859" s="2" t="s">
        <v>153</v>
      </c>
      <c r="M859" s="1" t="s">
        <v>20</v>
      </c>
    </row>
    <row r="860" ht="15.75" customHeight="1">
      <c r="A860" s="2" t="s">
        <v>991</v>
      </c>
      <c r="B860" s="1" t="s">
        <v>14</v>
      </c>
      <c r="C860" s="1" t="s">
        <v>15</v>
      </c>
      <c r="D860" s="3">
        <v>80000.0</v>
      </c>
      <c r="E860" s="2" t="s">
        <v>57</v>
      </c>
      <c r="F860" s="1" t="s">
        <v>87</v>
      </c>
      <c r="G860" s="1" t="s">
        <v>56</v>
      </c>
      <c r="H860" s="1" t="s">
        <v>20</v>
      </c>
      <c r="I860" s="2" t="s">
        <v>37</v>
      </c>
      <c r="J860" s="1" t="s">
        <v>22</v>
      </c>
      <c r="K860" s="1" t="s">
        <v>598</v>
      </c>
      <c r="L860" s="2" t="s">
        <v>992</v>
      </c>
      <c r="M860" s="1" t="s">
        <v>20</v>
      </c>
    </row>
    <row r="861" ht="15.75" customHeight="1">
      <c r="A861" s="2" t="s">
        <v>993</v>
      </c>
      <c r="B861" s="1" t="s">
        <v>14</v>
      </c>
      <c r="C861" s="1" t="s">
        <v>27</v>
      </c>
      <c r="D861" s="3">
        <v>30000.0</v>
      </c>
      <c r="E861" s="2" t="s">
        <v>21</v>
      </c>
      <c r="F861" s="1" t="s">
        <v>87</v>
      </c>
      <c r="G861" s="1" t="s">
        <v>19</v>
      </c>
      <c r="H861" s="1" t="s">
        <v>20</v>
      </c>
      <c r="I861" s="2" t="s">
        <v>21</v>
      </c>
      <c r="J861" s="1" t="s">
        <v>22</v>
      </c>
      <c r="K861" s="1" t="s">
        <v>598</v>
      </c>
      <c r="L861" s="2" t="s">
        <v>104</v>
      </c>
      <c r="M861" s="1" t="s">
        <v>25</v>
      </c>
    </row>
    <row r="862" ht="15.75" customHeight="1">
      <c r="A862" s="2" t="s">
        <v>994</v>
      </c>
      <c r="B862" s="1" t="s">
        <v>14</v>
      </c>
      <c r="C862" s="1" t="s">
        <v>15</v>
      </c>
      <c r="D862" s="3">
        <v>60000.0</v>
      </c>
      <c r="E862" s="2" t="s">
        <v>17</v>
      </c>
      <c r="F862" s="1" t="s">
        <v>18</v>
      </c>
      <c r="G862" s="1" t="s">
        <v>36</v>
      </c>
      <c r="H862" s="1" t="s">
        <v>20</v>
      </c>
      <c r="I862" s="2" t="s">
        <v>17</v>
      </c>
      <c r="J862" s="1" t="s">
        <v>38</v>
      </c>
      <c r="K862" s="1" t="s">
        <v>598</v>
      </c>
      <c r="L862" s="2" t="s">
        <v>125</v>
      </c>
      <c r="M862" s="1" t="s">
        <v>20</v>
      </c>
    </row>
    <row r="863" ht="15.75" customHeight="1">
      <c r="A863" s="2" t="s">
        <v>995</v>
      </c>
      <c r="B863" s="1" t="s">
        <v>14</v>
      </c>
      <c r="C863" s="1" t="s">
        <v>27</v>
      </c>
      <c r="D863" s="3">
        <v>80000.0</v>
      </c>
      <c r="E863" s="2" t="s">
        <v>57</v>
      </c>
      <c r="F863" s="1" t="s">
        <v>87</v>
      </c>
      <c r="G863" s="1" t="s">
        <v>56</v>
      </c>
      <c r="H863" s="1" t="s">
        <v>20</v>
      </c>
      <c r="I863" s="2" t="s">
        <v>37</v>
      </c>
      <c r="J863" s="1" t="s">
        <v>43</v>
      </c>
      <c r="K863" s="1" t="s">
        <v>598</v>
      </c>
      <c r="L863" s="2" t="s">
        <v>155</v>
      </c>
      <c r="M863" s="1" t="s">
        <v>25</v>
      </c>
    </row>
    <row r="864" ht="15.75" customHeight="1">
      <c r="A864" s="2" t="s">
        <v>996</v>
      </c>
      <c r="B864" s="1" t="s">
        <v>14</v>
      </c>
      <c r="C864" s="1" t="s">
        <v>15</v>
      </c>
      <c r="D864" s="3">
        <v>20000.0</v>
      </c>
      <c r="E864" s="2" t="s">
        <v>37</v>
      </c>
      <c r="F864" s="1" t="s">
        <v>62</v>
      </c>
      <c r="G864" s="1" t="s">
        <v>31</v>
      </c>
      <c r="H864" s="1" t="s">
        <v>20</v>
      </c>
      <c r="I864" s="2" t="s">
        <v>37</v>
      </c>
      <c r="J864" s="1" t="s">
        <v>22</v>
      </c>
      <c r="K864" s="1" t="s">
        <v>598</v>
      </c>
      <c r="L864" s="2" t="s">
        <v>195</v>
      </c>
      <c r="M864" s="1" t="s">
        <v>25</v>
      </c>
    </row>
    <row r="865" ht="15.75" customHeight="1">
      <c r="A865" s="2" t="s">
        <v>997</v>
      </c>
      <c r="B865" s="1" t="s">
        <v>14</v>
      </c>
      <c r="C865" s="1" t="s">
        <v>27</v>
      </c>
      <c r="D865" s="3">
        <v>70000.0</v>
      </c>
      <c r="E865" s="2" t="s">
        <v>29</v>
      </c>
      <c r="F865" s="1" t="s">
        <v>87</v>
      </c>
      <c r="G865" s="1" t="s">
        <v>36</v>
      </c>
      <c r="H865" s="1" t="s">
        <v>20</v>
      </c>
      <c r="I865" s="2" t="s">
        <v>21</v>
      </c>
      <c r="J865" s="1" t="s">
        <v>38</v>
      </c>
      <c r="K865" s="1" t="s">
        <v>598</v>
      </c>
      <c r="L865" s="2" t="s">
        <v>93</v>
      </c>
      <c r="M865" s="1" t="s">
        <v>25</v>
      </c>
    </row>
    <row r="866" ht="15.75" customHeight="1">
      <c r="A866" s="2" t="s">
        <v>998</v>
      </c>
      <c r="B866" s="1" t="s">
        <v>14</v>
      </c>
      <c r="C866" s="1" t="s">
        <v>27</v>
      </c>
      <c r="D866" s="3">
        <v>50000.0</v>
      </c>
      <c r="E866" s="2" t="s">
        <v>21</v>
      </c>
      <c r="F866" s="1" t="s">
        <v>87</v>
      </c>
      <c r="G866" s="1" t="s">
        <v>19</v>
      </c>
      <c r="H866" s="1" t="s">
        <v>20</v>
      </c>
      <c r="I866" s="2" t="s">
        <v>21</v>
      </c>
      <c r="J866" s="1" t="s">
        <v>22</v>
      </c>
      <c r="K866" s="1" t="s">
        <v>598</v>
      </c>
      <c r="L866" s="2" t="s">
        <v>104</v>
      </c>
      <c r="M866" s="1" t="s">
        <v>25</v>
      </c>
    </row>
    <row r="867" ht="15.75" customHeight="1">
      <c r="A867" s="2" t="s">
        <v>999</v>
      </c>
      <c r="B867" s="1" t="s">
        <v>41</v>
      </c>
      <c r="C867" s="1" t="s">
        <v>15</v>
      </c>
      <c r="D867" s="3">
        <v>60000.0</v>
      </c>
      <c r="E867" s="2" t="s">
        <v>57</v>
      </c>
      <c r="F867" s="1" t="s">
        <v>18</v>
      </c>
      <c r="G867" s="1" t="s">
        <v>19</v>
      </c>
      <c r="H867" s="1" t="s">
        <v>25</v>
      </c>
      <c r="I867" s="2" t="s">
        <v>37</v>
      </c>
      <c r="J867" s="1" t="s">
        <v>22</v>
      </c>
      <c r="K867" s="1" t="s">
        <v>598</v>
      </c>
      <c r="L867" s="2" t="s">
        <v>24</v>
      </c>
      <c r="M867" s="1" t="s">
        <v>25</v>
      </c>
    </row>
    <row r="868" ht="15.75" customHeight="1">
      <c r="A868" s="2" t="s">
        <v>1000</v>
      </c>
      <c r="B868" s="1" t="s">
        <v>14</v>
      </c>
      <c r="C868" s="1" t="s">
        <v>15</v>
      </c>
      <c r="D868" s="3">
        <v>70000.0</v>
      </c>
      <c r="E868" s="2" t="s">
        <v>17</v>
      </c>
      <c r="F868" s="1" t="s">
        <v>87</v>
      </c>
      <c r="G868" s="1" t="s">
        <v>19</v>
      </c>
      <c r="H868" s="1" t="s">
        <v>20</v>
      </c>
      <c r="I868" s="2" t="s">
        <v>21</v>
      </c>
      <c r="J868" s="1" t="s">
        <v>22</v>
      </c>
      <c r="K868" s="1" t="s">
        <v>598</v>
      </c>
      <c r="L868" s="2" t="s">
        <v>74</v>
      </c>
      <c r="M868" s="1" t="s">
        <v>20</v>
      </c>
    </row>
    <row r="869" ht="15.75" customHeight="1">
      <c r="A869" s="2" t="s">
        <v>1001</v>
      </c>
      <c r="B869" s="1" t="s">
        <v>14</v>
      </c>
      <c r="C869" s="1" t="s">
        <v>15</v>
      </c>
      <c r="D869" s="3">
        <v>40000.0</v>
      </c>
      <c r="E869" s="2" t="s">
        <v>37</v>
      </c>
      <c r="F869" s="1" t="s">
        <v>30</v>
      </c>
      <c r="G869" s="1" t="s">
        <v>31</v>
      </c>
      <c r="H869" s="1" t="s">
        <v>20</v>
      </c>
      <c r="I869" s="2" t="s">
        <v>17</v>
      </c>
      <c r="J869" s="1" t="s">
        <v>22</v>
      </c>
      <c r="K869" s="1" t="s">
        <v>598</v>
      </c>
      <c r="L869" s="2" t="s">
        <v>125</v>
      </c>
      <c r="M869" s="1" t="s">
        <v>25</v>
      </c>
    </row>
    <row r="870" ht="15.75" customHeight="1">
      <c r="A870" s="2" t="s">
        <v>1002</v>
      </c>
      <c r="B870" s="1" t="s">
        <v>41</v>
      </c>
      <c r="C870" s="1" t="s">
        <v>27</v>
      </c>
      <c r="D870" s="3">
        <v>100000.0</v>
      </c>
      <c r="E870" s="2" t="s">
        <v>17</v>
      </c>
      <c r="F870" s="1" t="s">
        <v>87</v>
      </c>
      <c r="G870" s="1" t="s">
        <v>56</v>
      </c>
      <c r="H870" s="1" t="s">
        <v>20</v>
      </c>
      <c r="I870" s="2" t="s">
        <v>29</v>
      </c>
      <c r="J870" s="1" t="s">
        <v>38</v>
      </c>
      <c r="K870" s="1" t="s">
        <v>598</v>
      </c>
      <c r="L870" s="2" t="s">
        <v>662</v>
      </c>
      <c r="M870" s="1" t="s">
        <v>20</v>
      </c>
    </row>
    <row r="871" ht="15.75" customHeight="1">
      <c r="A871" s="2" t="s">
        <v>1003</v>
      </c>
      <c r="B871" s="1" t="s">
        <v>41</v>
      </c>
      <c r="C871" s="1" t="s">
        <v>15</v>
      </c>
      <c r="D871" s="3">
        <v>70000.0</v>
      </c>
      <c r="E871" s="2" t="s">
        <v>57</v>
      </c>
      <c r="F871" s="1" t="s">
        <v>18</v>
      </c>
      <c r="G871" s="1" t="s">
        <v>19</v>
      </c>
      <c r="H871" s="1" t="s">
        <v>20</v>
      </c>
      <c r="I871" s="2" t="s">
        <v>37</v>
      </c>
      <c r="J871" s="1" t="s">
        <v>38</v>
      </c>
      <c r="K871" s="1" t="s">
        <v>598</v>
      </c>
      <c r="L871" s="2" t="s">
        <v>32</v>
      </c>
      <c r="M871" s="1" t="s">
        <v>20</v>
      </c>
    </row>
    <row r="872" ht="15.75" customHeight="1">
      <c r="A872" s="2" t="s">
        <v>1004</v>
      </c>
      <c r="B872" s="1" t="s">
        <v>14</v>
      </c>
      <c r="C872" s="1" t="s">
        <v>27</v>
      </c>
      <c r="D872" s="3">
        <v>60000.0</v>
      </c>
      <c r="E872" s="2" t="s">
        <v>17</v>
      </c>
      <c r="F872" s="1" t="s">
        <v>87</v>
      </c>
      <c r="G872" s="1" t="s">
        <v>36</v>
      </c>
      <c r="H872" s="1" t="s">
        <v>20</v>
      </c>
      <c r="I872" s="2" t="s">
        <v>21</v>
      </c>
      <c r="J872" s="1" t="s">
        <v>22</v>
      </c>
      <c r="K872" s="1" t="s">
        <v>598</v>
      </c>
      <c r="L872" s="2" t="s">
        <v>74</v>
      </c>
      <c r="M872" s="1" t="s">
        <v>25</v>
      </c>
    </row>
    <row r="873" ht="15.75" customHeight="1">
      <c r="A873" s="2" t="s">
        <v>1005</v>
      </c>
      <c r="B873" s="1" t="s">
        <v>14</v>
      </c>
      <c r="C873" s="1" t="s">
        <v>27</v>
      </c>
      <c r="D873" s="3">
        <v>70000.0</v>
      </c>
      <c r="E873" s="2" t="s">
        <v>29</v>
      </c>
      <c r="F873" s="1" t="s">
        <v>87</v>
      </c>
      <c r="G873" s="1" t="s">
        <v>36</v>
      </c>
      <c r="H873" s="1" t="s">
        <v>20</v>
      </c>
      <c r="I873" s="2" t="s">
        <v>21</v>
      </c>
      <c r="J873" s="1" t="s">
        <v>22</v>
      </c>
      <c r="K873" s="1" t="s">
        <v>598</v>
      </c>
      <c r="L873" s="2" t="s">
        <v>74</v>
      </c>
      <c r="M873" s="1" t="s">
        <v>20</v>
      </c>
    </row>
    <row r="874" ht="15.75" customHeight="1">
      <c r="A874" s="2" t="s">
        <v>1006</v>
      </c>
      <c r="B874" s="1" t="s">
        <v>14</v>
      </c>
      <c r="C874" s="1" t="s">
        <v>15</v>
      </c>
      <c r="D874" s="3">
        <v>50000.0</v>
      </c>
      <c r="E874" s="2" t="s">
        <v>57</v>
      </c>
      <c r="F874" s="1" t="s">
        <v>18</v>
      </c>
      <c r="G874" s="1" t="s">
        <v>56</v>
      </c>
      <c r="H874" s="1" t="s">
        <v>20</v>
      </c>
      <c r="I874" s="2" t="s">
        <v>37</v>
      </c>
      <c r="J874" s="1" t="s">
        <v>51</v>
      </c>
      <c r="K874" s="1" t="s">
        <v>598</v>
      </c>
      <c r="L874" s="2" t="s">
        <v>421</v>
      </c>
      <c r="M874" s="1" t="s">
        <v>20</v>
      </c>
    </row>
    <row r="875" ht="15.75" customHeight="1">
      <c r="A875" s="2" t="s">
        <v>1007</v>
      </c>
      <c r="B875" s="1" t="s">
        <v>14</v>
      </c>
      <c r="C875" s="1" t="s">
        <v>15</v>
      </c>
      <c r="D875" s="3">
        <v>50000.0</v>
      </c>
      <c r="E875" s="2" t="s">
        <v>17</v>
      </c>
      <c r="F875" s="1" t="s">
        <v>18</v>
      </c>
      <c r="G875" s="1" t="s">
        <v>19</v>
      </c>
      <c r="H875" s="1" t="s">
        <v>20</v>
      </c>
      <c r="I875" s="2" t="s">
        <v>21</v>
      </c>
      <c r="J875" s="1" t="s">
        <v>22</v>
      </c>
      <c r="K875" s="1" t="s">
        <v>598</v>
      </c>
      <c r="L875" s="2" t="s">
        <v>93</v>
      </c>
      <c r="M875" s="1" t="s">
        <v>20</v>
      </c>
    </row>
    <row r="876" ht="15.75" customHeight="1">
      <c r="A876" s="2" t="s">
        <v>1008</v>
      </c>
      <c r="B876" s="1" t="s">
        <v>14</v>
      </c>
      <c r="C876" s="1" t="s">
        <v>27</v>
      </c>
      <c r="D876" s="3">
        <v>30000.0</v>
      </c>
      <c r="E876" s="2" t="s">
        <v>21</v>
      </c>
      <c r="F876" s="1" t="s">
        <v>62</v>
      </c>
      <c r="G876" s="1" t="s">
        <v>31</v>
      </c>
      <c r="H876" s="1" t="s">
        <v>25</v>
      </c>
      <c r="I876" s="2" t="s">
        <v>37</v>
      </c>
      <c r="J876" s="1" t="s">
        <v>22</v>
      </c>
      <c r="K876" s="1" t="s">
        <v>598</v>
      </c>
      <c r="L876" s="2" t="s">
        <v>118</v>
      </c>
      <c r="M876" s="1" t="s">
        <v>25</v>
      </c>
    </row>
    <row r="877" ht="15.75" customHeight="1">
      <c r="A877" s="2" t="s">
        <v>1009</v>
      </c>
      <c r="B877" s="1" t="s">
        <v>41</v>
      </c>
      <c r="C877" s="1" t="s">
        <v>27</v>
      </c>
      <c r="D877" s="3">
        <v>70000.0</v>
      </c>
      <c r="E877" s="2" t="s">
        <v>35</v>
      </c>
      <c r="F877" s="1" t="s">
        <v>18</v>
      </c>
      <c r="G877" s="1" t="s">
        <v>56</v>
      </c>
      <c r="H877" s="1" t="s">
        <v>20</v>
      </c>
      <c r="I877" s="2" t="s">
        <v>29</v>
      </c>
      <c r="J877" s="1" t="s">
        <v>69</v>
      </c>
      <c r="K877" s="1" t="s">
        <v>598</v>
      </c>
      <c r="L877" s="2" t="s">
        <v>39</v>
      </c>
      <c r="M877" s="1" t="s">
        <v>20</v>
      </c>
    </row>
    <row r="878" ht="15.75" customHeight="1">
      <c r="A878" s="2" t="s">
        <v>1010</v>
      </c>
      <c r="B878" s="1" t="s">
        <v>14</v>
      </c>
      <c r="C878" s="1" t="s">
        <v>15</v>
      </c>
      <c r="D878" s="3">
        <v>70000.0</v>
      </c>
      <c r="E878" s="2" t="s">
        <v>35</v>
      </c>
      <c r="F878" s="1" t="s">
        <v>87</v>
      </c>
      <c r="G878" s="1" t="s">
        <v>36</v>
      </c>
      <c r="H878" s="1" t="s">
        <v>20</v>
      </c>
      <c r="I878" s="2" t="s">
        <v>29</v>
      </c>
      <c r="J878" s="1" t="s">
        <v>69</v>
      </c>
      <c r="K878" s="1" t="s">
        <v>598</v>
      </c>
      <c r="L878" s="2" t="s">
        <v>130</v>
      </c>
      <c r="M878" s="1" t="s">
        <v>25</v>
      </c>
    </row>
    <row r="879" ht="15.75" customHeight="1">
      <c r="A879" s="2" t="s">
        <v>1011</v>
      </c>
      <c r="B879" s="1" t="s">
        <v>14</v>
      </c>
      <c r="C879" s="1" t="s">
        <v>27</v>
      </c>
      <c r="D879" s="3">
        <v>40000.0</v>
      </c>
      <c r="E879" s="2" t="s">
        <v>57</v>
      </c>
      <c r="F879" s="1" t="s">
        <v>55</v>
      </c>
      <c r="G879" s="1" t="s">
        <v>19</v>
      </c>
      <c r="H879" s="1" t="s">
        <v>20</v>
      </c>
      <c r="I879" s="2" t="s">
        <v>37</v>
      </c>
      <c r="J879" s="1" t="s">
        <v>22</v>
      </c>
      <c r="K879" s="1" t="s">
        <v>598</v>
      </c>
      <c r="L879" s="2" t="s">
        <v>102</v>
      </c>
      <c r="M879" s="1" t="s">
        <v>20</v>
      </c>
    </row>
    <row r="880" ht="15.75" customHeight="1">
      <c r="A880" s="2" t="s">
        <v>1012</v>
      </c>
      <c r="B880" s="1" t="s">
        <v>41</v>
      </c>
      <c r="C880" s="1" t="s">
        <v>15</v>
      </c>
      <c r="D880" s="3">
        <v>60000.0</v>
      </c>
      <c r="E880" s="2" t="s">
        <v>57</v>
      </c>
      <c r="F880" s="1" t="s">
        <v>18</v>
      </c>
      <c r="G880" s="1" t="s">
        <v>19</v>
      </c>
      <c r="H880" s="1" t="s">
        <v>20</v>
      </c>
      <c r="I880" s="2" t="s">
        <v>37</v>
      </c>
      <c r="J880" s="1" t="s">
        <v>38</v>
      </c>
      <c r="K880" s="1" t="s">
        <v>598</v>
      </c>
      <c r="L880" s="2" t="s">
        <v>24</v>
      </c>
      <c r="M880" s="1" t="s">
        <v>20</v>
      </c>
    </row>
    <row r="881" ht="15.75" customHeight="1">
      <c r="A881" s="2" t="s">
        <v>1013</v>
      </c>
      <c r="B881" s="1" t="s">
        <v>41</v>
      </c>
      <c r="C881" s="1" t="s">
        <v>27</v>
      </c>
      <c r="D881" s="3">
        <v>80000.0</v>
      </c>
      <c r="E881" s="2" t="s">
        <v>29</v>
      </c>
      <c r="F881" s="1" t="s">
        <v>18</v>
      </c>
      <c r="G881" s="1" t="s">
        <v>19</v>
      </c>
      <c r="H881" s="1" t="s">
        <v>20</v>
      </c>
      <c r="I881" s="2" t="s">
        <v>21</v>
      </c>
      <c r="J881" s="1" t="s">
        <v>38</v>
      </c>
      <c r="K881" s="1" t="s">
        <v>598</v>
      </c>
      <c r="L881" s="2" t="s">
        <v>100</v>
      </c>
      <c r="M881" s="1" t="s">
        <v>25</v>
      </c>
    </row>
    <row r="882" ht="15.75" customHeight="1">
      <c r="A882" s="2" t="s">
        <v>1014</v>
      </c>
      <c r="B882" s="1" t="s">
        <v>41</v>
      </c>
      <c r="C882" s="1" t="s">
        <v>27</v>
      </c>
      <c r="D882" s="3">
        <v>90000.0</v>
      </c>
      <c r="E882" s="2" t="s">
        <v>57</v>
      </c>
      <c r="F882" s="1" t="s">
        <v>87</v>
      </c>
      <c r="G882" s="1" t="s">
        <v>56</v>
      </c>
      <c r="H882" s="1" t="s">
        <v>20</v>
      </c>
      <c r="I882" s="2" t="s">
        <v>17</v>
      </c>
      <c r="J882" s="1" t="s">
        <v>43</v>
      </c>
      <c r="K882" s="1" t="s">
        <v>598</v>
      </c>
      <c r="L882" s="2" t="s">
        <v>662</v>
      </c>
      <c r="M882" s="1" t="s">
        <v>25</v>
      </c>
    </row>
    <row r="883" ht="15.75" customHeight="1">
      <c r="A883" s="2" t="s">
        <v>1015</v>
      </c>
      <c r="B883" s="1" t="s">
        <v>41</v>
      </c>
      <c r="C883" s="1" t="s">
        <v>15</v>
      </c>
      <c r="D883" s="3">
        <v>60000.0</v>
      </c>
      <c r="E883" s="2" t="s">
        <v>37</v>
      </c>
      <c r="F883" s="1" t="s">
        <v>18</v>
      </c>
      <c r="G883" s="1" t="s">
        <v>19</v>
      </c>
      <c r="H883" s="1" t="s">
        <v>25</v>
      </c>
      <c r="I883" s="2" t="s">
        <v>21</v>
      </c>
      <c r="J883" s="1" t="s">
        <v>22</v>
      </c>
      <c r="K883" s="1" t="s">
        <v>598</v>
      </c>
      <c r="L883" s="2" t="s">
        <v>47</v>
      </c>
      <c r="M883" s="1" t="s">
        <v>20</v>
      </c>
    </row>
    <row r="884" ht="15.75" customHeight="1">
      <c r="A884" s="2" t="s">
        <v>1016</v>
      </c>
      <c r="B884" s="1" t="s">
        <v>41</v>
      </c>
      <c r="C884" s="1" t="s">
        <v>27</v>
      </c>
      <c r="D884" s="3">
        <v>90000.0</v>
      </c>
      <c r="E884" s="2" t="s">
        <v>57</v>
      </c>
      <c r="F884" s="1" t="s">
        <v>18</v>
      </c>
      <c r="G884" s="1" t="s">
        <v>56</v>
      </c>
      <c r="H884" s="1" t="s">
        <v>20</v>
      </c>
      <c r="I884" s="2" t="s">
        <v>17</v>
      </c>
      <c r="J884" s="1" t="s">
        <v>51</v>
      </c>
      <c r="K884" s="1" t="s">
        <v>598</v>
      </c>
      <c r="L884" s="2" t="s">
        <v>79</v>
      </c>
      <c r="M884" s="1" t="s">
        <v>20</v>
      </c>
    </row>
    <row r="885" ht="15.75" customHeight="1">
      <c r="A885" s="2" t="s">
        <v>1017</v>
      </c>
      <c r="B885" s="1" t="s">
        <v>14</v>
      </c>
      <c r="C885" s="1" t="s">
        <v>27</v>
      </c>
      <c r="D885" s="3">
        <v>60000.0</v>
      </c>
      <c r="E885" s="2" t="s">
        <v>17</v>
      </c>
      <c r="F885" s="1" t="s">
        <v>87</v>
      </c>
      <c r="G885" s="1" t="s">
        <v>36</v>
      </c>
      <c r="H885" s="1" t="s">
        <v>20</v>
      </c>
      <c r="I885" s="2" t="s">
        <v>21</v>
      </c>
      <c r="J885" s="1" t="s">
        <v>38</v>
      </c>
      <c r="K885" s="1" t="s">
        <v>598</v>
      </c>
      <c r="L885" s="2" t="s">
        <v>93</v>
      </c>
      <c r="M885" s="1" t="s">
        <v>20</v>
      </c>
    </row>
    <row r="886" ht="15.75" customHeight="1">
      <c r="A886" s="2" t="s">
        <v>1018</v>
      </c>
      <c r="B886" s="1" t="s">
        <v>14</v>
      </c>
      <c r="C886" s="1" t="s">
        <v>27</v>
      </c>
      <c r="D886" s="3">
        <v>50000.0</v>
      </c>
      <c r="E886" s="2" t="s">
        <v>57</v>
      </c>
      <c r="F886" s="1" t="s">
        <v>18</v>
      </c>
      <c r="G886" s="1" t="s">
        <v>56</v>
      </c>
      <c r="H886" s="1" t="s">
        <v>20</v>
      </c>
      <c r="I886" s="2" t="s">
        <v>37</v>
      </c>
      <c r="J886" s="1" t="s">
        <v>69</v>
      </c>
      <c r="K886" s="1" t="s">
        <v>598</v>
      </c>
      <c r="L886" s="2" t="s">
        <v>95</v>
      </c>
      <c r="M886" s="1" t="s">
        <v>25</v>
      </c>
    </row>
    <row r="887" ht="15.75" customHeight="1">
      <c r="A887" s="2" t="s">
        <v>1019</v>
      </c>
      <c r="B887" s="1" t="s">
        <v>41</v>
      </c>
      <c r="C887" s="1" t="s">
        <v>1111</v>
      </c>
      <c r="D887" s="3">
        <v>50000.0</v>
      </c>
      <c r="E887" s="2" t="s">
        <v>29</v>
      </c>
      <c r="F887" s="1" t="s">
        <v>18</v>
      </c>
      <c r="G887" s="1" t="s">
        <v>19</v>
      </c>
      <c r="H887" s="1" t="s">
        <v>20</v>
      </c>
      <c r="I887" s="2" t="s">
        <v>37</v>
      </c>
      <c r="J887" s="1" t="s">
        <v>38</v>
      </c>
      <c r="K887" s="1" t="s">
        <v>598</v>
      </c>
      <c r="L887" s="2" t="s">
        <v>45</v>
      </c>
      <c r="M887" s="1" t="s">
        <v>20</v>
      </c>
    </row>
    <row r="888" ht="15.75" customHeight="1">
      <c r="A888" s="2" t="s">
        <v>1020</v>
      </c>
      <c r="B888" s="1" t="s">
        <v>14</v>
      </c>
      <c r="C888" s="1" t="s">
        <v>27</v>
      </c>
      <c r="D888" s="3">
        <v>60000.0</v>
      </c>
      <c r="E888" s="2" t="s">
        <v>21</v>
      </c>
      <c r="F888" s="1" t="s">
        <v>87</v>
      </c>
      <c r="G888" s="1" t="s">
        <v>19</v>
      </c>
      <c r="H888" s="1" t="s">
        <v>20</v>
      </c>
      <c r="I888" s="2" t="s">
        <v>21</v>
      </c>
      <c r="J888" s="1" t="s">
        <v>51</v>
      </c>
      <c r="K888" s="1" t="s">
        <v>598</v>
      </c>
      <c r="L888" s="2" t="s">
        <v>135</v>
      </c>
      <c r="M888" s="1" t="s">
        <v>20</v>
      </c>
    </row>
    <row r="889" ht="15.75" customHeight="1">
      <c r="A889" s="2" t="s">
        <v>1021</v>
      </c>
      <c r="B889" s="1" t="s">
        <v>14</v>
      </c>
      <c r="C889" s="1" t="s">
        <v>27</v>
      </c>
      <c r="D889" s="3">
        <v>40000.0</v>
      </c>
      <c r="E889" s="2" t="s">
        <v>57</v>
      </c>
      <c r="F889" s="1" t="s">
        <v>55</v>
      </c>
      <c r="G889" s="1" t="s">
        <v>19</v>
      </c>
      <c r="H889" s="1" t="s">
        <v>20</v>
      </c>
      <c r="I889" s="2" t="s">
        <v>37</v>
      </c>
      <c r="J889" s="1" t="s">
        <v>38</v>
      </c>
      <c r="K889" s="1" t="s">
        <v>598</v>
      </c>
      <c r="L889" s="2" t="s">
        <v>130</v>
      </c>
      <c r="M889" s="1" t="s">
        <v>25</v>
      </c>
    </row>
    <row r="890" ht="15.75" customHeight="1">
      <c r="A890" s="2" t="s">
        <v>1022</v>
      </c>
      <c r="B890" s="1" t="s">
        <v>14</v>
      </c>
      <c r="C890" s="1" t="s">
        <v>15</v>
      </c>
      <c r="D890" s="3">
        <v>80000.0</v>
      </c>
      <c r="E890" s="2" t="s">
        <v>35</v>
      </c>
      <c r="F890" s="1" t="s">
        <v>18</v>
      </c>
      <c r="G890" s="1" t="s">
        <v>56</v>
      </c>
      <c r="H890" s="1" t="s">
        <v>20</v>
      </c>
      <c r="I890" s="2" t="s">
        <v>37</v>
      </c>
      <c r="J890" s="1" t="s">
        <v>43</v>
      </c>
      <c r="K890" s="1" t="s">
        <v>598</v>
      </c>
      <c r="L890" s="2" t="s">
        <v>421</v>
      </c>
      <c r="M890" s="1" t="s">
        <v>25</v>
      </c>
    </row>
    <row r="891" ht="15.75" customHeight="1">
      <c r="A891" s="2" t="s">
        <v>1023</v>
      </c>
      <c r="B891" s="1" t="s">
        <v>14</v>
      </c>
      <c r="C891" s="1" t="s">
        <v>15</v>
      </c>
      <c r="D891" s="3">
        <v>40000.0</v>
      </c>
      <c r="E891" s="2" t="s">
        <v>29</v>
      </c>
      <c r="F891" s="1" t="s">
        <v>30</v>
      </c>
      <c r="G891" s="1" t="s">
        <v>31</v>
      </c>
      <c r="H891" s="1" t="s">
        <v>20</v>
      </c>
      <c r="I891" s="2" t="s">
        <v>17</v>
      </c>
      <c r="J891" s="1" t="s">
        <v>51</v>
      </c>
      <c r="K891" s="1" t="s">
        <v>598</v>
      </c>
      <c r="L891" s="2" t="s">
        <v>104</v>
      </c>
      <c r="M891" s="1" t="s">
        <v>25</v>
      </c>
    </row>
    <row r="892" ht="15.75" customHeight="1">
      <c r="A892" s="2" t="s">
        <v>1024</v>
      </c>
      <c r="B892" s="1" t="s">
        <v>41</v>
      </c>
      <c r="C892" s="1" t="s">
        <v>27</v>
      </c>
      <c r="D892" s="3">
        <v>60000.0</v>
      </c>
      <c r="E892" s="2" t="s">
        <v>37</v>
      </c>
      <c r="F892" s="1" t="s">
        <v>18</v>
      </c>
      <c r="G892" s="1" t="s">
        <v>19</v>
      </c>
      <c r="H892" s="1" t="s">
        <v>20</v>
      </c>
      <c r="I892" s="2" t="s">
        <v>21</v>
      </c>
      <c r="J892" s="1" t="s">
        <v>38</v>
      </c>
      <c r="K892" s="1" t="s">
        <v>598</v>
      </c>
      <c r="L892" s="2" t="s">
        <v>47</v>
      </c>
      <c r="M892" s="1" t="s">
        <v>20</v>
      </c>
    </row>
    <row r="893" ht="15.75" customHeight="1">
      <c r="A893" s="2" t="s">
        <v>1025</v>
      </c>
      <c r="B893" s="1" t="s">
        <v>41</v>
      </c>
      <c r="C893" s="1" t="s">
        <v>27</v>
      </c>
      <c r="D893" s="3">
        <v>80000.0</v>
      </c>
      <c r="E893" s="2" t="s">
        <v>35</v>
      </c>
      <c r="F893" s="1" t="s">
        <v>87</v>
      </c>
      <c r="G893" s="1" t="s">
        <v>19</v>
      </c>
      <c r="H893" s="1" t="s">
        <v>25</v>
      </c>
      <c r="I893" s="2" t="s">
        <v>21</v>
      </c>
      <c r="J893" s="1" t="s">
        <v>22</v>
      </c>
      <c r="K893" s="1" t="s">
        <v>598</v>
      </c>
      <c r="L893" s="2" t="s">
        <v>83</v>
      </c>
      <c r="M893" s="1" t="s">
        <v>25</v>
      </c>
    </row>
    <row r="894" ht="15.75" customHeight="1">
      <c r="A894" s="2" t="s">
        <v>1026</v>
      </c>
      <c r="B894" s="1" t="s">
        <v>14</v>
      </c>
      <c r="C894" s="1" t="s">
        <v>27</v>
      </c>
      <c r="D894" s="3">
        <v>60000.0</v>
      </c>
      <c r="E894" s="2" t="s">
        <v>29</v>
      </c>
      <c r="F894" s="1" t="s">
        <v>87</v>
      </c>
      <c r="G894" s="1" t="s">
        <v>56</v>
      </c>
      <c r="H894" s="1" t="s">
        <v>20</v>
      </c>
      <c r="I894" s="2" t="s">
        <v>37</v>
      </c>
      <c r="J894" s="1" t="s">
        <v>69</v>
      </c>
      <c r="K894" s="1" t="s">
        <v>598</v>
      </c>
      <c r="L894" s="2" t="s">
        <v>421</v>
      </c>
      <c r="M894" s="1" t="s">
        <v>25</v>
      </c>
    </row>
    <row r="895" ht="15.75" customHeight="1">
      <c r="A895" s="2" t="s">
        <v>1027</v>
      </c>
      <c r="B895" s="1" t="s">
        <v>41</v>
      </c>
      <c r="C895" s="1" t="s">
        <v>27</v>
      </c>
      <c r="D895" s="3">
        <v>70000.0</v>
      </c>
      <c r="E895" s="2" t="s">
        <v>29</v>
      </c>
      <c r="F895" s="1" t="s">
        <v>87</v>
      </c>
      <c r="G895" s="1" t="s">
        <v>36</v>
      </c>
      <c r="H895" s="1" t="s">
        <v>25</v>
      </c>
      <c r="I895" s="2" t="s">
        <v>21</v>
      </c>
      <c r="J895" s="1" t="s">
        <v>22</v>
      </c>
      <c r="K895" s="1" t="s">
        <v>598</v>
      </c>
      <c r="L895" s="2" t="s">
        <v>74</v>
      </c>
      <c r="M895" s="1" t="s">
        <v>20</v>
      </c>
    </row>
    <row r="896" ht="15.75" customHeight="1">
      <c r="A896" s="2" t="s">
        <v>1028</v>
      </c>
      <c r="B896" s="1" t="s">
        <v>41</v>
      </c>
      <c r="C896" s="1" t="s">
        <v>27</v>
      </c>
      <c r="D896" s="3">
        <v>110000.0</v>
      </c>
      <c r="E896" s="2" t="s">
        <v>29</v>
      </c>
      <c r="F896" s="1" t="s">
        <v>18</v>
      </c>
      <c r="G896" s="1" t="s">
        <v>56</v>
      </c>
      <c r="H896" s="1" t="s">
        <v>20</v>
      </c>
      <c r="I896" s="2" t="s">
        <v>57</v>
      </c>
      <c r="J896" s="1" t="s">
        <v>38</v>
      </c>
      <c r="K896" s="1" t="s">
        <v>598</v>
      </c>
      <c r="L896" s="2" t="s">
        <v>100</v>
      </c>
      <c r="M896" s="1" t="s">
        <v>20</v>
      </c>
    </row>
    <row r="897" ht="15.75" customHeight="1">
      <c r="A897" s="2" t="s">
        <v>1029</v>
      </c>
      <c r="B897" s="1" t="s">
        <v>14</v>
      </c>
      <c r="C897" s="1" t="s">
        <v>15</v>
      </c>
      <c r="D897" s="3">
        <v>70000.0</v>
      </c>
      <c r="E897" s="2" t="s">
        <v>21</v>
      </c>
      <c r="F897" s="1" t="s">
        <v>30</v>
      </c>
      <c r="G897" s="1" t="s">
        <v>19</v>
      </c>
      <c r="H897" s="1" t="s">
        <v>20</v>
      </c>
      <c r="I897" s="2" t="s">
        <v>37</v>
      </c>
      <c r="J897" s="1" t="s">
        <v>43</v>
      </c>
      <c r="K897" s="1" t="s">
        <v>598</v>
      </c>
      <c r="L897" s="2" t="s">
        <v>93</v>
      </c>
      <c r="M897" s="1" t="s">
        <v>20</v>
      </c>
    </row>
    <row r="898" ht="15.75" customHeight="1">
      <c r="A898" s="2" t="s">
        <v>1030</v>
      </c>
      <c r="B898" s="1" t="s">
        <v>14</v>
      </c>
      <c r="C898" s="1" t="s">
        <v>15</v>
      </c>
      <c r="D898" s="3">
        <v>40000.0</v>
      </c>
      <c r="E898" s="2" t="s">
        <v>57</v>
      </c>
      <c r="F898" s="1" t="s">
        <v>55</v>
      </c>
      <c r="G898" s="1" t="s">
        <v>36</v>
      </c>
      <c r="H898" s="1" t="s">
        <v>20</v>
      </c>
      <c r="I898" s="2" t="s">
        <v>37</v>
      </c>
      <c r="J898" s="1" t="s">
        <v>69</v>
      </c>
      <c r="K898" s="1" t="s">
        <v>598</v>
      </c>
      <c r="L898" s="2" t="s">
        <v>145</v>
      </c>
      <c r="M898" s="1" t="s">
        <v>25</v>
      </c>
    </row>
    <row r="899" ht="15.75" customHeight="1">
      <c r="A899" s="2" t="s">
        <v>1031</v>
      </c>
      <c r="B899" s="1" t="s">
        <v>14</v>
      </c>
      <c r="C899" s="1" t="s">
        <v>27</v>
      </c>
      <c r="D899" s="3">
        <v>30000.0</v>
      </c>
      <c r="E899" s="2" t="s">
        <v>37</v>
      </c>
      <c r="F899" s="1" t="s">
        <v>55</v>
      </c>
      <c r="G899" s="1" t="s">
        <v>19</v>
      </c>
      <c r="H899" s="1" t="s">
        <v>20</v>
      </c>
      <c r="I899" s="2" t="s">
        <v>37</v>
      </c>
      <c r="J899" s="1" t="s">
        <v>51</v>
      </c>
      <c r="K899" s="1" t="s">
        <v>598</v>
      </c>
      <c r="L899" s="2" t="s">
        <v>178</v>
      </c>
      <c r="M899" s="1" t="s">
        <v>25</v>
      </c>
    </row>
    <row r="900" ht="15.75" customHeight="1">
      <c r="A900" s="2" t="s">
        <v>1032</v>
      </c>
      <c r="B900" s="1" t="s">
        <v>41</v>
      </c>
      <c r="C900" s="1" t="s">
        <v>15</v>
      </c>
      <c r="D900" s="3">
        <v>70000.0</v>
      </c>
      <c r="E900" s="2" t="s">
        <v>29</v>
      </c>
      <c r="F900" s="1" t="s">
        <v>30</v>
      </c>
      <c r="G900" s="1" t="s">
        <v>36</v>
      </c>
      <c r="H900" s="1" t="s">
        <v>20</v>
      </c>
      <c r="I900" s="2" t="s">
        <v>17</v>
      </c>
      <c r="J900" s="1" t="s">
        <v>43</v>
      </c>
      <c r="K900" s="1" t="s">
        <v>598</v>
      </c>
      <c r="L900" s="2" t="s">
        <v>195</v>
      </c>
      <c r="M900" s="1" t="s">
        <v>20</v>
      </c>
    </row>
    <row r="901" ht="15.75" customHeight="1">
      <c r="A901" s="2" t="s">
        <v>1033</v>
      </c>
      <c r="B901" s="1" t="s">
        <v>14</v>
      </c>
      <c r="C901" s="1" t="s">
        <v>15</v>
      </c>
      <c r="D901" s="3">
        <v>40000.0</v>
      </c>
      <c r="E901" s="2" t="s">
        <v>29</v>
      </c>
      <c r="F901" s="1" t="s">
        <v>30</v>
      </c>
      <c r="G901" s="1" t="s">
        <v>36</v>
      </c>
      <c r="H901" s="1" t="s">
        <v>25</v>
      </c>
      <c r="I901" s="2" t="s">
        <v>37</v>
      </c>
      <c r="J901" s="1" t="s">
        <v>51</v>
      </c>
      <c r="K901" s="1" t="s">
        <v>598</v>
      </c>
      <c r="L901" s="2" t="s">
        <v>66</v>
      </c>
      <c r="M901" s="1" t="s">
        <v>20</v>
      </c>
    </row>
    <row r="902" ht="15.75" customHeight="1">
      <c r="A902" s="2" t="s">
        <v>1034</v>
      </c>
      <c r="B902" s="1" t="s">
        <v>41</v>
      </c>
      <c r="C902" s="1" t="s">
        <v>27</v>
      </c>
      <c r="D902" s="3">
        <v>70000.0</v>
      </c>
      <c r="E902" s="2" t="s">
        <v>29</v>
      </c>
      <c r="F902" s="1" t="s">
        <v>87</v>
      </c>
      <c r="G902" s="1" t="s">
        <v>56</v>
      </c>
      <c r="H902" s="1" t="s">
        <v>25</v>
      </c>
      <c r="I902" s="2" t="s">
        <v>37</v>
      </c>
      <c r="J902" s="1" t="s">
        <v>51</v>
      </c>
      <c r="K902" s="1" t="s">
        <v>598</v>
      </c>
      <c r="L902" s="2" t="s">
        <v>201</v>
      </c>
      <c r="M902" s="1" t="s">
        <v>20</v>
      </c>
    </row>
    <row r="903" ht="15.75" customHeight="1">
      <c r="A903" s="2" t="s">
        <v>1035</v>
      </c>
      <c r="B903" s="1" t="s">
        <v>41</v>
      </c>
      <c r="C903" s="1" t="s">
        <v>27</v>
      </c>
      <c r="D903" s="3">
        <v>90000.0</v>
      </c>
      <c r="E903" s="2" t="s">
        <v>37</v>
      </c>
      <c r="F903" s="1" t="s">
        <v>30</v>
      </c>
      <c r="G903" s="1" t="s">
        <v>36</v>
      </c>
      <c r="H903" s="1" t="s">
        <v>20</v>
      </c>
      <c r="I903" s="2" t="s">
        <v>17</v>
      </c>
      <c r="J903" s="1" t="s">
        <v>38</v>
      </c>
      <c r="K903" s="1" t="s">
        <v>598</v>
      </c>
      <c r="L903" s="2" t="s">
        <v>125</v>
      </c>
      <c r="M903" s="1" t="s">
        <v>20</v>
      </c>
    </row>
    <row r="904" ht="15.75" customHeight="1">
      <c r="A904" s="2" t="s">
        <v>1036</v>
      </c>
      <c r="B904" s="1" t="s">
        <v>41</v>
      </c>
      <c r="C904" s="1" t="s">
        <v>15</v>
      </c>
      <c r="D904" s="3">
        <v>50000.0</v>
      </c>
      <c r="E904" s="2" t="s">
        <v>21</v>
      </c>
      <c r="F904" s="1" t="s">
        <v>87</v>
      </c>
      <c r="G904" s="1" t="s">
        <v>19</v>
      </c>
      <c r="H904" s="1" t="s">
        <v>20</v>
      </c>
      <c r="I904" s="2" t="s">
        <v>21</v>
      </c>
      <c r="J904" s="1" t="s">
        <v>51</v>
      </c>
      <c r="K904" s="1" t="s">
        <v>598</v>
      </c>
      <c r="L904" s="2" t="s">
        <v>58</v>
      </c>
      <c r="M904" s="1" t="s">
        <v>20</v>
      </c>
    </row>
    <row r="905" ht="15.75" customHeight="1">
      <c r="A905" s="2" t="s">
        <v>1037</v>
      </c>
      <c r="B905" s="1" t="s">
        <v>41</v>
      </c>
      <c r="C905" s="1" t="s">
        <v>15</v>
      </c>
      <c r="D905" s="3">
        <v>40000.0</v>
      </c>
      <c r="E905" s="2" t="s">
        <v>37</v>
      </c>
      <c r="F905" s="1" t="s">
        <v>55</v>
      </c>
      <c r="G905" s="1" t="s">
        <v>36</v>
      </c>
      <c r="H905" s="1" t="s">
        <v>20</v>
      </c>
      <c r="I905" s="2" t="s">
        <v>37</v>
      </c>
      <c r="J905" s="1" t="s">
        <v>69</v>
      </c>
      <c r="K905" s="1" t="s">
        <v>598</v>
      </c>
      <c r="L905" s="2" t="s">
        <v>330</v>
      </c>
      <c r="M905" s="1" t="s">
        <v>25</v>
      </c>
    </row>
    <row r="906" ht="15.75" customHeight="1">
      <c r="A906" s="2" t="s">
        <v>1038</v>
      </c>
      <c r="B906" s="1" t="s">
        <v>14</v>
      </c>
      <c r="C906" s="1" t="s">
        <v>15</v>
      </c>
      <c r="D906" s="3">
        <v>70000.0</v>
      </c>
      <c r="E906" s="2" t="s">
        <v>21</v>
      </c>
      <c r="F906" s="1" t="s">
        <v>87</v>
      </c>
      <c r="G906" s="1" t="s">
        <v>36</v>
      </c>
      <c r="H906" s="1" t="s">
        <v>20</v>
      </c>
      <c r="I906" s="2" t="s">
        <v>21</v>
      </c>
      <c r="J906" s="1" t="s">
        <v>38</v>
      </c>
      <c r="K906" s="1" t="s">
        <v>598</v>
      </c>
      <c r="L906" s="2" t="s">
        <v>135</v>
      </c>
      <c r="M906" s="1" t="s">
        <v>25</v>
      </c>
    </row>
    <row r="907" ht="15.75" customHeight="1">
      <c r="A907" s="2" t="s">
        <v>1039</v>
      </c>
      <c r="B907" s="1" t="s">
        <v>14</v>
      </c>
      <c r="C907" s="1" t="s">
        <v>27</v>
      </c>
      <c r="D907" s="3">
        <v>60000.0</v>
      </c>
      <c r="E907" s="2" t="s">
        <v>37</v>
      </c>
      <c r="F907" s="1" t="s">
        <v>55</v>
      </c>
      <c r="G907" s="1" t="s">
        <v>36</v>
      </c>
      <c r="H907" s="1" t="s">
        <v>20</v>
      </c>
      <c r="I907" s="2" t="s">
        <v>37</v>
      </c>
      <c r="J907" s="1" t="s">
        <v>43</v>
      </c>
      <c r="K907" s="1" t="s">
        <v>598</v>
      </c>
      <c r="L907" s="2" t="s">
        <v>125</v>
      </c>
      <c r="M907" s="1" t="s">
        <v>25</v>
      </c>
    </row>
    <row r="908" ht="15.75" customHeight="1">
      <c r="A908" s="2" t="s">
        <v>1040</v>
      </c>
      <c r="B908" s="1" t="s">
        <v>14</v>
      </c>
      <c r="C908" s="1" t="s">
        <v>27</v>
      </c>
      <c r="D908" s="3">
        <v>60000.0</v>
      </c>
      <c r="E908" s="2" t="s">
        <v>37</v>
      </c>
      <c r="F908" s="1" t="s">
        <v>55</v>
      </c>
      <c r="G908" s="1" t="s">
        <v>36</v>
      </c>
      <c r="H908" s="1" t="s">
        <v>20</v>
      </c>
      <c r="I908" s="2" t="s">
        <v>37</v>
      </c>
      <c r="J908" s="1" t="s">
        <v>43</v>
      </c>
      <c r="K908" s="1" t="s">
        <v>598</v>
      </c>
      <c r="L908" s="2" t="s">
        <v>52</v>
      </c>
      <c r="M908" s="1" t="s">
        <v>25</v>
      </c>
    </row>
    <row r="909" ht="15.75" customHeight="1">
      <c r="A909" s="2" t="s">
        <v>1041</v>
      </c>
      <c r="B909" s="1" t="s">
        <v>14</v>
      </c>
      <c r="C909" s="1" t="s">
        <v>27</v>
      </c>
      <c r="D909" s="3">
        <v>70000.0</v>
      </c>
      <c r="E909" s="2" t="s">
        <v>35</v>
      </c>
      <c r="F909" s="1" t="s">
        <v>87</v>
      </c>
      <c r="G909" s="1" t="s">
        <v>36</v>
      </c>
      <c r="H909" s="1" t="s">
        <v>25</v>
      </c>
      <c r="I909" s="2" t="s">
        <v>29</v>
      </c>
      <c r="J909" s="1" t="s">
        <v>69</v>
      </c>
      <c r="K909" s="1" t="s">
        <v>598</v>
      </c>
      <c r="L909" s="2" t="s">
        <v>83</v>
      </c>
      <c r="M909" s="1" t="s">
        <v>25</v>
      </c>
    </row>
    <row r="910" ht="15.75" customHeight="1">
      <c r="A910" s="2" t="s">
        <v>1042</v>
      </c>
      <c r="B910" s="1" t="s">
        <v>14</v>
      </c>
      <c r="C910" s="1" t="s">
        <v>15</v>
      </c>
      <c r="D910" s="3">
        <v>40000.0</v>
      </c>
      <c r="E910" s="2" t="s">
        <v>17</v>
      </c>
      <c r="F910" s="1" t="s">
        <v>30</v>
      </c>
      <c r="G910" s="1" t="s">
        <v>31</v>
      </c>
      <c r="H910" s="1" t="s">
        <v>20</v>
      </c>
      <c r="I910" s="2" t="s">
        <v>17</v>
      </c>
      <c r="J910" s="1" t="s">
        <v>51</v>
      </c>
      <c r="K910" s="1" t="s">
        <v>598</v>
      </c>
      <c r="L910" s="2" t="s">
        <v>195</v>
      </c>
      <c r="M910" s="1" t="s">
        <v>20</v>
      </c>
    </row>
    <row r="911" ht="15.75" customHeight="1">
      <c r="A911" s="2" t="s">
        <v>1043</v>
      </c>
      <c r="B911" s="1" t="s">
        <v>41</v>
      </c>
      <c r="C911" s="1" t="s">
        <v>15</v>
      </c>
      <c r="D911" s="3">
        <v>40000.0</v>
      </c>
      <c r="E911" s="2" t="s">
        <v>21</v>
      </c>
      <c r="F911" s="1" t="s">
        <v>55</v>
      </c>
      <c r="G911" s="1" t="s">
        <v>19</v>
      </c>
      <c r="H911" s="1" t="s">
        <v>25</v>
      </c>
      <c r="I911" s="2" t="s">
        <v>37</v>
      </c>
      <c r="J911" s="1" t="s">
        <v>22</v>
      </c>
      <c r="K911" s="1" t="s">
        <v>598</v>
      </c>
      <c r="L911" s="2" t="s">
        <v>245</v>
      </c>
      <c r="M911" s="1" t="s">
        <v>20</v>
      </c>
    </row>
    <row r="912" ht="15.75" customHeight="1">
      <c r="A912" s="2" t="s">
        <v>1045</v>
      </c>
      <c r="B912" s="1" t="s">
        <v>14</v>
      </c>
      <c r="C912" s="1" t="s">
        <v>27</v>
      </c>
      <c r="D912" s="3">
        <v>60000.0</v>
      </c>
      <c r="E912" s="2" t="s">
        <v>37</v>
      </c>
      <c r="F912" s="1" t="s">
        <v>18</v>
      </c>
      <c r="G912" s="1" t="s">
        <v>56</v>
      </c>
      <c r="H912" s="1" t="s">
        <v>20</v>
      </c>
      <c r="I912" s="2" t="s">
        <v>21</v>
      </c>
      <c r="J912" s="1" t="s">
        <v>38</v>
      </c>
      <c r="K912" s="1" t="s">
        <v>598</v>
      </c>
      <c r="L912" s="2" t="s">
        <v>81</v>
      </c>
      <c r="M912" s="1" t="s">
        <v>25</v>
      </c>
    </row>
    <row r="913" ht="15.75" customHeight="1">
      <c r="A913" s="2" t="s">
        <v>1046</v>
      </c>
      <c r="B913" s="1" t="s">
        <v>14</v>
      </c>
      <c r="C913" s="1" t="s">
        <v>15</v>
      </c>
      <c r="D913" s="3">
        <v>60000.0</v>
      </c>
      <c r="E913" s="2" t="s">
        <v>17</v>
      </c>
      <c r="F913" s="1" t="s">
        <v>30</v>
      </c>
      <c r="G913" s="1" t="s">
        <v>19</v>
      </c>
      <c r="H913" s="1" t="s">
        <v>20</v>
      </c>
      <c r="I913" s="2" t="s">
        <v>17</v>
      </c>
      <c r="J913" s="1" t="s">
        <v>22</v>
      </c>
      <c r="K913" s="1" t="s">
        <v>598</v>
      </c>
      <c r="L913" s="2" t="s">
        <v>77</v>
      </c>
      <c r="M913" s="1" t="s">
        <v>20</v>
      </c>
    </row>
    <row r="914" ht="15.75" customHeight="1">
      <c r="A914" s="2" t="s">
        <v>1047</v>
      </c>
      <c r="B914" s="1" t="s">
        <v>14</v>
      </c>
      <c r="C914" s="1" t="s">
        <v>15</v>
      </c>
      <c r="D914" s="3">
        <v>60000.0</v>
      </c>
      <c r="E914" s="2" t="s">
        <v>57</v>
      </c>
      <c r="F914" s="1" t="s">
        <v>18</v>
      </c>
      <c r="G914" s="1" t="s">
        <v>56</v>
      </c>
      <c r="H914" s="1" t="s">
        <v>20</v>
      </c>
      <c r="I914" s="2" t="s">
        <v>37</v>
      </c>
      <c r="J914" s="1" t="s">
        <v>38</v>
      </c>
      <c r="K914" s="1" t="s">
        <v>598</v>
      </c>
      <c r="L914" s="2" t="s">
        <v>39</v>
      </c>
      <c r="M914" s="1" t="s">
        <v>25</v>
      </c>
    </row>
    <row r="915" ht="15.75" customHeight="1">
      <c r="A915" s="2" t="s">
        <v>1048</v>
      </c>
      <c r="B915" s="1" t="s">
        <v>14</v>
      </c>
      <c r="C915" s="1" t="s">
        <v>27</v>
      </c>
      <c r="D915" s="3">
        <v>70000.0</v>
      </c>
      <c r="E915" s="2" t="s">
        <v>57</v>
      </c>
      <c r="F915" s="1" t="s">
        <v>87</v>
      </c>
      <c r="G915" s="1" t="s">
        <v>36</v>
      </c>
      <c r="H915" s="1" t="s">
        <v>20</v>
      </c>
      <c r="I915" s="2" t="s">
        <v>21</v>
      </c>
      <c r="J915" s="1" t="s">
        <v>22</v>
      </c>
      <c r="K915" s="1" t="s">
        <v>598</v>
      </c>
      <c r="L915" s="2" t="s">
        <v>47</v>
      </c>
      <c r="M915" s="1" t="s">
        <v>20</v>
      </c>
    </row>
    <row r="916" ht="15.75" customHeight="1">
      <c r="A916" s="2" t="s">
        <v>1049</v>
      </c>
      <c r="B916" s="1" t="s">
        <v>14</v>
      </c>
      <c r="C916" s="1" t="s">
        <v>15</v>
      </c>
      <c r="D916" s="3">
        <v>40000.0</v>
      </c>
      <c r="E916" s="2" t="s">
        <v>21</v>
      </c>
      <c r="F916" s="1" t="s">
        <v>55</v>
      </c>
      <c r="G916" s="1" t="s">
        <v>19</v>
      </c>
      <c r="H916" s="1" t="s">
        <v>20</v>
      </c>
      <c r="I916" s="2" t="s">
        <v>37</v>
      </c>
      <c r="J916" s="1" t="s">
        <v>43</v>
      </c>
      <c r="K916" s="1" t="s">
        <v>598</v>
      </c>
      <c r="L916" s="2" t="s">
        <v>245</v>
      </c>
      <c r="M916" s="1" t="s">
        <v>25</v>
      </c>
    </row>
    <row r="917" ht="15.75" customHeight="1">
      <c r="A917" s="2" t="s">
        <v>1050</v>
      </c>
      <c r="B917" s="1" t="s">
        <v>41</v>
      </c>
      <c r="C917" s="1" t="s">
        <v>27</v>
      </c>
      <c r="D917" s="3">
        <v>80000.0</v>
      </c>
      <c r="E917" s="2" t="s">
        <v>37</v>
      </c>
      <c r="F917" s="1" t="s">
        <v>62</v>
      </c>
      <c r="G917" s="1" t="s">
        <v>19</v>
      </c>
      <c r="H917" s="1" t="s">
        <v>25</v>
      </c>
      <c r="I917" s="2" t="s">
        <v>37</v>
      </c>
      <c r="J917" s="1" t="s">
        <v>51</v>
      </c>
      <c r="K917" s="1" t="s">
        <v>598</v>
      </c>
      <c r="L917" s="2" t="s">
        <v>52</v>
      </c>
      <c r="M917" s="1" t="s">
        <v>25</v>
      </c>
    </row>
    <row r="918" ht="15.75" customHeight="1">
      <c r="A918" s="2" t="s">
        <v>1051</v>
      </c>
      <c r="B918" s="1" t="s">
        <v>41</v>
      </c>
      <c r="C918" s="1" t="s">
        <v>15</v>
      </c>
      <c r="D918" s="3">
        <v>60000.0</v>
      </c>
      <c r="E918" s="2" t="s">
        <v>17</v>
      </c>
      <c r="F918" s="1" t="s">
        <v>87</v>
      </c>
      <c r="G918" s="1" t="s">
        <v>19</v>
      </c>
      <c r="H918" s="1" t="s">
        <v>20</v>
      </c>
      <c r="I918" s="2" t="s">
        <v>21</v>
      </c>
      <c r="J918" s="1" t="s">
        <v>51</v>
      </c>
      <c r="K918" s="1" t="s">
        <v>598</v>
      </c>
      <c r="L918" s="2" t="s">
        <v>74</v>
      </c>
      <c r="M918" s="1" t="s">
        <v>25</v>
      </c>
    </row>
    <row r="919" ht="15.75" customHeight="1">
      <c r="A919" s="2" t="s">
        <v>1052</v>
      </c>
      <c r="B919" s="1" t="s">
        <v>14</v>
      </c>
      <c r="C919" s="1" t="s">
        <v>15</v>
      </c>
      <c r="D919" s="3">
        <v>60000.0</v>
      </c>
      <c r="E919" s="2" t="s">
        <v>17</v>
      </c>
      <c r="F919" s="1" t="s">
        <v>87</v>
      </c>
      <c r="G919" s="1" t="s">
        <v>19</v>
      </c>
      <c r="H919" s="1" t="s">
        <v>20</v>
      </c>
      <c r="I919" s="2" t="s">
        <v>21</v>
      </c>
      <c r="J919" s="1" t="s">
        <v>38</v>
      </c>
      <c r="K919" s="1" t="s">
        <v>598</v>
      </c>
      <c r="L919" s="2" t="s">
        <v>93</v>
      </c>
      <c r="M919" s="1" t="s">
        <v>20</v>
      </c>
    </row>
    <row r="920" ht="15.75" customHeight="1">
      <c r="A920" s="2" t="s">
        <v>1053</v>
      </c>
      <c r="B920" s="1" t="s">
        <v>14</v>
      </c>
      <c r="C920" s="1" t="s">
        <v>15</v>
      </c>
      <c r="D920" s="3">
        <v>40000.0</v>
      </c>
      <c r="E920" s="2" t="s">
        <v>29</v>
      </c>
      <c r="F920" s="1" t="s">
        <v>30</v>
      </c>
      <c r="G920" s="1" t="s">
        <v>36</v>
      </c>
      <c r="H920" s="1" t="s">
        <v>20</v>
      </c>
      <c r="I920" s="2" t="s">
        <v>37</v>
      </c>
      <c r="J920" s="1" t="s">
        <v>43</v>
      </c>
      <c r="K920" s="1" t="s">
        <v>598</v>
      </c>
      <c r="L920" s="2" t="s">
        <v>66</v>
      </c>
      <c r="M920" s="1" t="s">
        <v>25</v>
      </c>
    </row>
    <row r="921" ht="15.75" customHeight="1">
      <c r="A921" s="2" t="s">
        <v>1054</v>
      </c>
      <c r="B921" s="1" t="s">
        <v>14</v>
      </c>
      <c r="C921" s="1" t="s">
        <v>15</v>
      </c>
      <c r="D921" s="3">
        <v>60000.0</v>
      </c>
      <c r="E921" s="2" t="s">
        <v>57</v>
      </c>
      <c r="F921" s="1" t="s">
        <v>18</v>
      </c>
      <c r="G921" s="1" t="s">
        <v>19</v>
      </c>
      <c r="H921" s="1" t="s">
        <v>1111</v>
      </c>
      <c r="I921" s="2" t="s">
        <v>37</v>
      </c>
      <c r="J921" s="1" t="s">
        <v>22</v>
      </c>
      <c r="K921" s="1" t="s">
        <v>598</v>
      </c>
      <c r="L921" s="2" t="s">
        <v>24</v>
      </c>
      <c r="M921" s="1" t="s">
        <v>25</v>
      </c>
    </row>
    <row r="922" ht="15.75" customHeight="1">
      <c r="A922" s="2" t="s">
        <v>1055</v>
      </c>
      <c r="B922" s="1" t="s">
        <v>14</v>
      </c>
      <c r="C922" s="1" t="s">
        <v>15</v>
      </c>
      <c r="D922" s="3">
        <v>50000.0</v>
      </c>
      <c r="E922" s="2" t="s">
        <v>17</v>
      </c>
      <c r="F922" s="1" t="s">
        <v>18</v>
      </c>
      <c r="G922" s="1" t="s">
        <v>19</v>
      </c>
      <c r="H922" s="1" t="s">
        <v>20</v>
      </c>
      <c r="I922" s="2" t="s">
        <v>21</v>
      </c>
      <c r="J922" s="1" t="s">
        <v>38</v>
      </c>
      <c r="K922" s="1" t="s">
        <v>598</v>
      </c>
      <c r="L922" s="2" t="s">
        <v>93</v>
      </c>
      <c r="M922" s="1" t="s">
        <v>20</v>
      </c>
    </row>
    <row r="923" ht="15.75" customHeight="1">
      <c r="A923" s="2" t="s">
        <v>1056</v>
      </c>
      <c r="B923" s="1" t="s">
        <v>41</v>
      </c>
      <c r="C923" s="1" t="s">
        <v>27</v>
      </c>
      <c r="D923" s="3">
        <v>50000.0</v>
      </c>
      <c r="E923" s="2" t="s">
        <v>37</v>
      </c>
      <c r="F923" s="1" t="s">
        <v>18</v>
      </c>
      <c r="G923" s="1" t="s">
        <v>19</v>
      </c>
      <c r="H923" s="1" t="s">
        <v>25</v>
      </c>
      <c r="I923" s="2" t="s">
        <v>17</v>
      </c>
      <c r="J923" s="1" t="s">
        <v>22</v>
      </c>
      <c r="K923" s="1" t="s">
        <v>598</v>
      </c>
      <c r="L923" s="2" t="s">
        <v>79</v>
      </c>
      <c r="M923" s="1" t="s">
        <v>20</v>
      </c>
    </row>
    <row r="924" ht="15.75" customHeight="1">
      <c r="A924" s="2" t="s">
        <v>1057</v>
      </c>
      <c r="B924" s="1" t="s">
        <v>14</v>
      </c>
      <c r="C924" s="1" t="s">
        <v>15</v>
      </c>
      <c r="D924" s="3">
        <v>90000.0</v>
      </c>
      <c r="E924" s="2" t="s">
        <v>35</v>
      </c>
      <c r="F924" s="1" t="s">
        <v>18</v>
      </c>
      <c r="G924" s="1" t="s">
        <v>56</v>
      </c>
      <c r="H924" s="1" t="s">
        <v>20</v>
      </c>
      <c r="I924" s="2" t="s">
        <v>37</v>
      </c>
      <c r="J924" s="1" t="s">
        <v>51</v>
      </c>
      <c r="K924" s="1" t="s">
        <v>598</v>
      </c>
      <c r="L924" s="2" t="s">
        <v>95</v>
      </c>
      <c r="M924" s="1" t="s">
        <v>20</v>
      </c>
    </row>
    <row r="925" ht="15.75" customHeight="1">
      <c r="A925" s="2" t="s">
        <v>1058</v>
      </c>
      <c r="B925" s="1" t="s">
        <v>41</v>
      </c>
      <c r="C925" s="1" t="s">
        <v>15</v>
      </c>
      <c r="D925" s="3">
        <v>90000.0</v>
      </c>
      <c r="E925" s="2" t="s">
        <v>57</v>
      </c>
      <c r="F925" s="1" t="s">
        <v>55</v>
      </c>
      <c r="G925" s="1" t="s">
        <v>36</v>
      </c>
      <c r="H925" s="1" t="s">
        <v>25</v>
      </c>
      <c r="I925" s="2" t="s">
        <v>29</v>
      </c>
      <c r="J925" s="1" t="s">
        <v>51</v>
      </c>
      <c r="K925" s="1" t="s">
        <v>598</v>
      </c>
      <c r="L925" s="2" t="s">
        <v>77</v>
      </c>
      <c r="M925" s="1" t="s">
        <v>20</v>
      </c>
    </row>
    <row r="926" ht="15.75" customHeight="1">
      <c r="A926" s="2" t="s">
        <v>1059</v>
      </c>
      <c r="B926" s="1" t="s">
        <v>41</v>
      </c>
      <c r="C926" s="1" t="s">
        <v>15</v>
      </c>
      <c r="D926" s="3">
        <v>60000.0</v>
      </c>
      <c r="E926" s="2" t="s">
        <v>21</v>
      </c>
      <c r="F926" s="1" t="s">
        <v>87</v>
      </c>
      <c r="G926" s="1" t="s">
        <v>19</v>
      </c>
      <c r="H926" s="1" t="s">
        <v>25</v>
      </c>
      <c r="I926" s="2" t="s">
        <v>21</v>
      </c>
      <c r="J926" s="1" t="s">
        <v>22</v>
      </c>
      <c r="K926" s="1" t="s">
        <v>598</v>
      </c>
      <c r="L926" s="2" t="s">
        <v>100</v>
      </c>
      <c r="M926" s="1" t="s">
        <v>25</v>
      </c>
    </row>
    <row r="927" ht="15.75" customHeight="1">
      <c r="A927" s="2" t="s">
        <v>1060</v>
      </c>
      <c r="B927" s="1" t="s">
        <v>14</v>
      </c>
      <c r="C927" s="1" t="s">
        <v>27</v>
      </c>
      <c r="D927" s="3">
        <v>70000.0</v>
      </c>
      <c r="E927" s="2" t="s">
        <v>37</v>
      </c>
      <c r="F927" s="1" t="s">
        <v>62</v>
      </c>
      <c r="G927" s="1" t="s">
        <v>19</v>
      </c>
      <c r="H927" s="1" t="s">
        <v>20</v>
      </c>
      <c r="I927" s="2" t="s">
        <v>37</v>
      </c>
      <c r="J927" s="1" t="s">
        <v>69</v>
      </c>
      <c r="K927" s="1" t="s">
        <v>598</v>
      </c>
      <c r="L927" s="2" t="s">
        <v>201</v>
      </c>
      <c r="M927" s="1" t="s">
        <v>25</v>
      </c>
    </row>
    <row r="928" ht="15.75" customHeight="1">
      <c r="A928" s="2" t="s">
        <v>1061</v>
      </c>
      <c r="B928" s="1" t="s">
        <v>41</v>
      </c>
      <c r="C928" s="1" t="s">
        <v>15</v>
      </c>
      <c r="D928" s="3">
        <v>70000.0</v>
      </c>
      <c r="E928" s="2" t="s">
        <v>17</v>
      </c>
      <c r="F928" s="1" t="s">
        <v>87</v>
      </c>
      <c r="G928" s="1" t="s">
        <v>36</v>
      </c>
      <c r="H928" s="1" t="s">
        <v>20</v>
      </c>
      <c r="I928" s="2" t="s">
        <v>21</v>
      </c>
      <c r="J928" s="1" t="s">
        <v>38</v>
      </c>
      <c r="K928" s="1" t="s">
        <v>598</v>
      </c>
      <c r="L928" s="2" t="s">
        <v>93</v>
      </c>
      <c r="M928" s="1" t="s">
        <v>25</v>
      </c>
    </row>
    <row r="929" ht="15.75" customHeight="1">
      <c r="A929" s="2" t="s">
        <v>1062</v>
      </c>
      <c r="B929" s="1" t="s">
        <v>14</v>
      </c>
      <c r="C929" s="1" t="s">
        <v>1111</v>
      </c>
      <c r="D929" s="3">
        <v>70000.0</v>
      </c>
      <c r="E929" s="2" t="s">
        <v>21</v>
      </c>
      <c r="F929" s="1" t="s">
        <v>18</v>
      </c>
      <c r="G929" s="1" t="s">
        <v>36</v>
      </c>
      <c r="H929" s="1" t="s">
        <v>25</v>
      </c>
      <c r="I929" s="2" t="s">
        <v>17</v>
      </c>
      <c r="J929" s="1" t="s">
        <v>22</v>
      </c>
      <c r="K929" s="1" t="s">
        <v>598</v>
      </c>
      <c r="L929" s="2" t="s">
        <v>79</v>
      </c>
      <c r="M929" s="1" t="s">
        <v>25</v>
      </c>
    </row>
    <row r="930" ht="15.75" customHeight="1">
      <c r="A930" s="2" t="s">
        <v>1063</v>
      </c>
      <c r="B930" s="1" t="s">
        <v>14</v>
      </c>
      <c r="C930" s="1" t="s">
        <v>15</v>
      </c>
      <c r="D930" s="3">
        <v>70000.0</v>
      </c>
      <c r="E930" s="2" t="s">
        <v>57</v>
      </c>
      <c r="F930" s="1" t="s">
        <v>18</v>
      </c>
      <c r="G930" s="1" t="s">
        <v>56</v>
      </c>
      <c r="H930" s="1" t="s">
        <v>25</v>
      </c>
      <c r="I930" s="2" t="s">
        <v>17</v>
      </c>
      <c r="J930" s="1" t="s">
        <v>51</v>
      </c>
      <c r="K930" s="1" t="s">
        <v>598</v>
      </c>
      <c r="L930" s="2" t="s">
        <v>81</v>
      </c>
      <c r="M930" s="1" t="s">
        <v>25</v>
      </c>
    </row>
    <row r="931" ht="15.75" customHeight="1">
      <c r="A931" s="2" t="s">
        <v>1064</v>
      </c>
      <c r="B931" s="1" t="s">
        <v>41</v>
      </c>
      <c r="C931" s="1" t="s">
        <v>15</v>
      </c>
      <c r="D931" s="3">
        <v>40000.0</v>
      </c>
      <c r="E931" s="2" t="s">
        <v>29</v>
      </c>
      <c r="F931" s="1" t="s">
        <v>30</v>
      </c>
      <c r="G931" s="1" t="s">
        <v>31</v>
      </c>
      <c r="H931" s="1" t="s">
        <v>20</v>
      </c>
      <c r="I931" s="2" t="s">
        <v>17</v>
      </c>
      <c r="J931" s="1" t="s">
        <v>51</v>
      </c>
      <c r="K931" s="1" t="s">
        <v>598</v>
      </c>
      <c r="L931" s="2" t="s">
        <v>116</v>
      </c>
      <c r="M931" s="1" t="s">
        <v>20</v>
      </c>
    </row>
    <row r="932" ht="15.75" customHeight="1">
      <c r="A932" s="2" t="s">
        <v>1065</v>
      </c>
      <c r="B932" s="1" t="s">
        <v>14</v>
      </c>
      <c r="C932" s="1" t="s">
        <v>27</v>
      </c>
      <c r="D932" s="3">
        <v>60000.0</v>
      </c>
      <c r="E932" s="2" t="s">
        <v>17</v>
      </c>
      <c r="F932" s="1" t="s">
        <v>18</v>
      </c>
      <c r="G932" s="1" t="s">
        <v>36</v>
      </c>
      <c r="H932" s="1" t="s">
        <v>20</v>
      </c>
      <c r="I932" s="2" t="s">
        <v>17</v>
      </c>
      <c r="J932" s="1" t="s">
        <v>22</v>
      </c>
      <c r="K932" s="1" t="s">
        <v>598</v>
      </c>
      <c r="L932" s="2" t="s">
        <v>125</v>
      </c>
      <c r="M932" s="1" t="s">
        <v>20</v>
      </c>
    </row>
    <row r="933" ht="15.75" customHeight="1">
      <c r="A933" s="2" t="s">
        <v>1066</v>
      </c>
      <c r="B933" s="1" t="s">
        <v>14</v>
      </c>
      <c r="C933" s="1" t="s">
        <v>15</v>
      </c>
      <c r="D933" s="3">
        <v>40000.0</v>
      </c>
      <c r="E933" s="2" t="s">
        <v>57</v>
      </c>
      <c r="F933" s="1" t="s">
        <v>55</v>
      </c>
      <c r="G933" s="1" t="s">
        <v>19</v>
      </c>
      <c r="H933" s="1" t="s">
        <v>20</v>
      </c>
      <c r="I933" s="2" t="s">
        <v>37</v>
      </c>
      <c r="J933" s="1" t="s">
        <v>38</v>
      </c>
      <c r="K933" s="1" t="s">
        <v>598</v>
      </c>
      <c r="L933" s="2" t="s">
        <v>32</v>
      </c>
      <c r="M933" s="1" t="s">
        <v>25</v>
      </c>
    </row>
    <row r="934" ht="15.75" customHeight="1">
      <c r="A934" s="2" t="s">
        <v>1067</v>
      </c>
      <c r="B934" s="1" t="s">
        <v>14</v>
      </c>
      <c r="C934" s="1" t="s">
        <v>15</v>
      </c>
      <c r="D934" s="3">
        <v>70000.0</v>
      </c>
      <c r="E934" s="2" t="s">
        <v>57</v>
      </c>
      <c r="F934" s="1" t="s">
        <v>87</v>
      </c>
      <c r="G934" s="1" t="s">
        <v>36</v>
      </c>
      <c r="H934" s="1" t="s">
        <v>20</v>
      </c>
      <c r="I934" s="2" t="s">
        <v>21</v>
      </c>
      <c r="J934" s="1" t="s">
        <v>38</v>
      </c>
      <c r="K934" s="1" t="s">
        <v>598</v>
      </c>
      <c r="L934" s="2" t="s">
        <v>74</v>
      </c>
      <c r="M934" s="1" t="s">
        <v>20</v>
      </c>
    </row>
    <row r="935" ht="15.75" customHeight="1">
      <c r="A935" s="2" t="s">
        <v>1068</v>
      </c>
      <c r="B935" s="1" t="s">
        <v>14</v>
      </c>
      <c r="C935" s="1" t="s">
        <v>15</v>
      </c>
      <c r="D935" s="3">
        <v>60000.0</v>
      </c>
      <c r="E935" s="2" t="s">
        <v>21</v>
      </c>
      <c r="F935" s="1" t="s">
        <v>30</v>
      </c>
      <c r="G935" s="1" t="s">
        <v>36</v>
      </c>
      <c r="H935" s="1" t="s">
        <v>20</v>
      </c>
      <c r="I935" s="2" t="s">
        <v>37</v>
      </c>
      <c r="J935" s="1" t="s">
        <v>43</v>
      </c>
      <c r="K935" s="1" t="s">
        <v>598</v>
      </c>
      <c r="L935" s="2" t="s">
        <v>116</v>
      </c>
      <c r="M935" s="1" t="s">
        <v>25</v>
      </c>
    </row>
    <row r="936" ht="15.75" customHeight="1">
      <c r="A936" s="2" t="s">
        <v>1069</v>
      </c>
      <c r="B936" s="1" t="s">
        <v>14</v>
      </c>
      <c r="C936" s="1" t="s">
        <v>27</v>
      </c>
      <c r="D936" s="3">
        <v>90000.0</v>
      </c>
      <c r="E936" s="2" t="s">
        <v>35</v>
      </c>
      <c r="F936" s="1" t="s">
        <v>87</v>
      </c>
      <c r="G936" s="1" t="s">
        <v>36</v>
      </c>
      <c r="H936" s="1" t="s">
        <v>20</v>
      </c>
      <c r="I936" s="2" t="s">
        <v>21</v>
      </c>
      <c r="J936" s="1" t="s">
        <v>22</v>
      </c>
      <c r="K936" s="1" t="s">
        <v>598</v>
      </c>
      <c r="L936" s="2" t="s">
        <v>83</v>
      </c>
      <c r="M936" s="1" t="s">
        <v>20</v>
      </c>
    </row>
    <row r="937" ht="15.75" customHeight="1">
      <c r="A937" s="2" t="s">
        <v>1070</v>
      </c>
      <c r="B937" s="1" t="s">
        <v>14</v>
      </c>
      <c r="C937" s="1" t="s">
        <v>27</v>
      </c>
      <c r="D937" s="3">
        <v>60000.0</v>
      </c>
      <c r="E937" s="2" t="s">
        <v>17</v>
      </c>
      <c r="F937" s="1" t="s">
        <v>30</v>
      </c>
      <c r="G937" s="1" t="s">
        <v>19</v>
      </c>
      <c r="H937" s="1" t="s">
        <v>20</v>
      </c>
      <c r="I937" s="2" t="s">
        <v>17</v>
      </c>
      <c r="J937" s="1" t="s">
        <v>38</v>
      </c>
      <c r="K937" s="1" t="s">
        <v>598</v>
      </c>
      <c r="L937" s="2" t="s">
        <v>77</v>
      </c>
      <c r="M937" s="1" t="s">
        <v>20</v>
      </c>
    </row>
    <row r="938" ht="15.75" customHeight="1">
      <c r="A938" s="2" t="s">
        <v>1071</v>
      </c>
      <c r="B938" s="1" t="s">
        <v>41</v>
      </c>
      <c r="C938" s="1" t="s">
        <v>27</v>
      </c>
      <c r="D938" s="3">
        <v>100000.0</v>
      </c>
      <c r="E938" s="5">
        <v>0.0</v>
      </c>
      <c r="F938" s="1" t="s">
        <v>30</v>
      </c>
      <c r="G938" s="1" t="s">
        <v>36</v>
      </c>
      <c r="H938" s="1" t="s">
        <v>25</v>
      </c>
      <c r="I938" s="2" t="s">
        <v>57</v>
      </c>
      <c r="J938" s="1" t="s">
        <v>51</v>
      </c>
      <c r="K938" s="1" t="s">
        <v>598</v>
      </c>
      <c r="L938" s="2" t="s">
        <v>77</v>
      </c>
      <c r="M938" s="1" t="s">
        <v>25</v>
      </c>
    </row>
    <row r="939" ht="15.75" customHeight="1">
      <c r="A939" s="2" t="s">
        <v>1072</v>
      </c>
      <c r="B939" s="1" t="s">
        <v>14</v>
      </c>
      <c r="C939" s="1" t="s">
        <v>15</v>
      </c>
      <c r="D939" s="3">
        <v>120000.0</v>
      </c>
      <c r="E939" s="2" t="s">
        <v>37</v>
      </c>
      <c r="F939" s="1" t="s">
        <v>18</v>
      </c>
      <c r="G939" s="1" t="s">
        <v>56</v>
      </c>
      <c r="H939" s="1" t="s">
        <v>20</v>
      </c>
      <c r="I939" s="2" t="s">
        <v>29</v>
      </c>
      <c r="J939" s="1" t="s">
        <v>43</v>
      </c>
      <c r="K939" s="1" t="s">
        <v>598</v>
      </c>
      <c r="L939" s="2" t="s">
        <v>112</v>
      </c>
      <c r="M939" s="1" t="s">
        <v>25</v>
      </c>
    </row>
    <row r="940" ht="15.75" customHeight="1">
      <c r="A940" s="2" t="s">
        <v>1073</v>
      </c>
      <c r="B940" s="1" t="s">
        <v>14</v>
      </c>
      <c r="C940" s="1" t="s">
        <v>27</v>
      </c>
      <c r="D940" s="3">
        <v>60000.0</v>
      </c>
      <c r="E940" s="2" t="s">
        <v>37</v>
      </c>
      <c r="F940" s="1" t="s">
        <v>30</v>
      </c>
      <c r="G940" s="1" t="s">
        <v>36</v>
      </c>
      <c r="H940" s="1" t="s">
        <v>20</v>
      </c>
      <c r="I940" s="2" t="s">
        <v>37</v>
      </c>
      <c r="J940" s="1" t="s">
        <v>69</v>
      </c>
      <c r="K940" s="1" t="s">
        <v>598</v>
      </c>
      <c r="L940" s="2" t="s">
        <v>72</v>
      </c>
      <c r="M940" s="1" t="s">
        <v>25</v>
      </c>
    </row>
    <row r="941" ht="15.75" customHeight="1">
      <c r="A941" s="2" t="s">
        <v>1074</v>
      </c>
      <c r="B941" s="1" t="s">
        <v>14</v>
      </c>
      <c r="C941" s="1" t="s">
        <v>15</v>
      </c>
      <c r="D941" s="3">
        <v>90000.0</v>
      </c>
      <c r="E941" s="2" t="s">
        <v>35</v>
      </c>
      <c r="F941" s="1" t="s">
        <v>18</v>
      </c>
      <c r="G941" s="1" t="s">
        <v>56</v>
      </c>
      <c r="H941" s="1" t="s">
        <v>20</v>
      </c>
      <c r="I941" s="2" t="s">
        <v>37</v>
      </c>
      <c r="J941" s="1" t="s">
        <v>51</v>
      </c>
      <c r="K941" s="1" t="s">
        <v>598</v>
      </c>
      <c r="L941" s="2" t="s">
        <v>128</v>
      </c>
      <c r="M941" s="1" t="s">
        <v>20</v>
      </c>
    </row>
    <row r="942" ht="15.75" customHeight="1">
      <c r="A942" s="2" t="s">
        <v>1075</v>
      </c>
      <c r="B942" s="1" t="s">
        <v>41</v>
      </c>
      <c r="C942" s="1" t="s">
        <v>27</v>
      </c>
      <c r="D942" s="3">
        <v>70000.0</v>
      </c>
      <c r="E942" s="2" t="s">
        <v>57</v>
      </c>
      <c r="F942" s="1" t="s">
        <v>30</v>
      </c>
      <c r="G942" s="1" t="s">
        <v>36</v>
      </c>
      <c r="H942" s="1" t="s">
        <v>20</v>
      </c>
      <c r="I942" s="2" t="s">
        <v>17</v>
      </c>
      <c r="J942" s="1" t="s">
        <v>69</v>
      </c>
      <c r="K942" s="1" t="s">
        <v>598</v>
      </c>
      <c r="L942" s="2" t="s">
        <v>91</v>
      </c>
      <c r="M942" s="1" t="s">
        <v>25</v>
      </c>
    </row>
    <row r="943" ht="15.75" customHeight="1">
      <c r="A943" s="2" t="s">
        <v>1076</v>
      </c>
      <c r="B943" s="1" t="s">
        <v>41</v>
      </c>
      <c r="C943" s="1" t="s">
        <v>15</v>
      </c>
      <c r="D943" s="3">
        <v>50000.0</v>
      </c>
      <c r="E943" s="2" t="s">
        <v>29</v>
      </c>
      <c r="F943" s="1" t="s">
        <v>18</v>
      </c>
      <c r="G943" s="1" t="s">
        <v>19</v>
      </c>
      <c r="H943" s="1" t="s">
        <v>25</v>
      </c>
      <c r="I943" s="2" t="s">
        <v>17</v>
      </c>
      <c r="J943" s="1" t="s">
        <v>22</v>
      </c>
      <c r="K943" s="1" t="s">
        <v>598</v>
      </c>
      <c r="L943" s="2" t="s">
        <v>100</v>
      </c>
      <c r="M943" s="1" t="s">
        <v>25</v>
      </c>
    </row>
    <row r="944" ht="15.75" customHeight="1">
      <c r="A944" s="2" t="s">
        <v>1077</v>
      </c>
      <c r="B944" s="1" t="s">
        <v>14</v>
      </c>
      <c r="C944" s="1" t="s">
        <v>15</v>
      </c>
      <c r="D944" s="3">
        <v>50000.0</v>
      </c>
      <c r="E944" s="2" t="s">
        <v>21</v>
      </c>
      <c r="F944" s="1" t="s">
        <v>87</v>
      </c>
      <c r="G944" s="1" t="s">
        <v>19</v>
      </c>
      <c r="H944" s="1" t="s">
        <v>20</v>
      </c>
      <c r="I944" s="2" t="s">
        <v>21</v>
      </c>
      <c r="J944" s="1" t="s">
        <v>51</v>
      </c>
      <c r="K944" s="1" t="s">
        <v>598</v>
      </c>
      <c r="L944" s="2" t="s">
        <v>58</v>
      </c>
      <c r="M944" s="1" t="s">
        <v>20</v>
      </c>
    </row>
    <row r="945" ht="15.75" customHeight="1">
      <c r="A945" s="2" t="s">
        <v>1078</v>
      </c>
      <c r="B945" s="1" t="s">
        <v>14</v>
      </c>
      <c r="C945" s="1" t="s">
        <v>27</v>
      </c>
      <c r="D945" s="3">
        <v>80000.0</v>
      </c>
      <c r="E945" s="2" t="s">
        <v>29</v>
      </c>
      <c r="F945" s="1" t="s">
        <v>18</v>
      </c>
      <c r="G945" s="1" t="s">
        <v>56</v>
      </c>
      <c r="H945" s="1" t="s">
        <v>20</v>
      </c>
      <c r="I945" s="2" t="s">
        <v>17</v>
      </c>
      <c r="J945" s="1" t="s">
        <v>51</v>
      </c>
      <c r="K945" s="1" t="s">
        <v>598</v>
      </c>
      <c r="L945" s="2" t="s">
        <v>91</v>
      </c>
      <c r="M945" s="1" t="s">
        <v>25</v>
      </c>
    </row>
    <row r="946" ht="15.75" customHeight="1">
      <c r="A946" s="2" t="s">
        <v>1079</v>
      </c>
      <c r="B946" s="1" t="s">
        <v>41</v>
      </c>
      <c r="C946" s="1" t="s">
        <v>27</v>
      </c>
      <c r="D946" s="3">
        <v>30000.0</v>
      </c>
      <c r="E946" s="2" t="s">
        <v>21</v>
      </c>
      <c r="F946" s="1" t="s">
        <v>62</v>
      </c>
      <c r="G946" s="1" t="s">
        <v>31</v>
      </c>
      <c r="H946" s="1" t="s">
        <v>25</v>
      </c>
      <c r="I946" s="2" t="s">
        <v>37</v>
      </c>
      <c r="J946" s="1" t="s">
        <v>43</v>
      </c>
      <c r="K946" s="1" t="s">
        <v>598</v>
      </c>
      <c r="L946" s="2" t="s">
        <v>245</v>
      </c>
      <c r="M946" s="1" t="s">
        <v>25</v>
      </c>
    </row>
    <row r="947" ht="15.75" customHeight="1">
      <c r="A947" s="2" t="s">
        <v>1080</v>
      </c>
      <c r="B947" s="1" t="s">
        <v>14</v>
      </c>
      <c r="C947" s="1" t="s">
        <v>27</v>
      </c>
      <c r="D947" s="3">
        <v>60000.0</v>
      </c>
      <c r="E947" s="2" t="s">
        <v>21</v>
      </c>
      <c r="F947" s="1" t="s">
        <v>87</v>
      </c>
      <c r="G947" s="1" t="s">
        <v>36</v>
      </c>
      <c r="H947" s="1" t="s">
        <v>25</v>
      </c>
      <c r="I947" s="2" t="s">
        <v>21</v>
      </c>
      <c r="J947" s="1" t="s">
        <v>22</v>
      </c>
      <c r="K947" s="1" t="s">
        <v>598</v>
      </c>
      <c r="L947" s="2" t="s">
        <v>135</v>
      </c>
      <c r="M947" s="1" t="s">
        <v>25</v>
      </c>
    </row>
    <row r="948" ht="15.75" customHeight="1">
      <c r="A948" s="2" t="s">
        <v>1081</v>
      </c>
      <c r="B948" s="1" t="s">
        <v>14</v>
      </c>
      <c r="C948" s="1" t="s">
        <v>15</v>
      </c>
      <c r="D948" s="3">
        <v>60000.0</v>
      </c>
      <c r="E948" s="2" t="s">
        <v>21</v>
      </c>
      <c r="F948" s="1" t="s">
        <v>30</v>
      </c>
      <c r="G948" s="1" t="s">
        <v>19</v>
      </c>
      <c r="H948" s="1" t="s">
        <v>20</v>
      </c>
      <c r="I948" s="2" t="s">
        <v>37</v>
      </c>
      <c r="J948" s="1" t="s">
        <v>43</v>
      </c>
      <c r="K948" s="1" t="s">
        <v>598</v>
      </c>
      <c r="L948" s="2" t="s">
        <v>109</v>
      </c>
      <c r="M948" s="1" t="s">
        <v>25</v>
      </c>
    </row>
    <row r="949" ht="15.75" customHeight="1">
      <c r="A949" s="2" t="s">
        <v>1082</v>
      </c>
      <c r="B949" s="1" t="s">
        <v>41</v>
      </c>
      <c r="C949" s="1" t="s">
        <v>15</v>
      </c>
      <c r="D949" s="3">
        <v>60000.0</v>
      </c>
      <c r="E949" s="2" t="s">
        <v>37</v>
      </c>
      <c r="F949" s="1" t="s">
        <v>62</v>
      </c>
      <c r="G949" s="1" t="s">
        <v>19</v>
      </c>
      <c r="H949" s="1" t="s">
        <v>25</v>
      </c>
      <c r="I949" s="2" t="s">
        <v>37</v>
      </c>
      <c r="J949" s="1" t="s">
        <v>51</v>
      </c>
      <c r="K949" s="1" t="s">
        <v>598</v>
      </c>
      <c r="L949" s="2" t="s">
        <v>178</v>
      </c>
      <c r="M949" s="1" t="s">
        <v>25</v>
      </c>
    </row>
    <row r="950" ht="15.75" customHeight="1">
      <c r="A950" s="2" t="s">
        <v>1083</v>
      </c>
      <c r="B950" s="1" t="s">
        <v>14</v>
      </c>
      <c r="C950" s="1" t="s">
        <v>15</v>
      </c>
      <c r="D950" s="3">
        <v>30000.0</v>
      </c>
      <c r="E950" s="2" t="s">
        <v>17</v>
      </c>
      <c r="F950" s="1" t="s">
        <v>55</v>
      </c>
      <c r="G950" s="1" t="s">
        <v>31</v>
      </c>
      <c r="H950" s="1" t="s">
        <v>20</v>
      </c>
      <c r="I950" s="2" t="s">
        <v>17</v>
      </c>
      <c r="J950" s="1" t="s">
        <v>43</v>
      </c>
      <c r="K950" s="1" t="s">
        <v>598</v>
      </c>
      <c r="L950" s="2" t="s">
        <v>132</v>
      </c>
      <c r="M950" s="1" t="s">
        <v>25</v>
      </c>
    </row>
    <row r="951" ht="15.75" customHeight="1">
      <c r="A951" s="2" t="s">
        <v>1084</v>
      </c>
      <c r="B951" s="1" t="s">
        <v>14</v>
      </c>
      <c r="C951" s="1" t="s">
        <v>1111</v>
      </c>
      <c r="D951" s="3">
        <v>60000.0</v>
      </c>
      <c r="E951" s="2" t="s">
        <v>17</v>
      </c>
      <c r="F951" s="1" t="s">
        <v>30</v>
      </c>
      <c r="G951" s="1" t="s">
        <v>19</v>
      </c>
      <c r="H951" s="1" t="s">
        <v>25</v>
      </c>
      <c r="I951" s="2" t="s">
        <v>17</v>
      </c>
      <c r="J951" s="1" t="s">
        <v>22</v>
      </c>
      <c r="K951" s="1" t="s">
        <v>598</v>
      </c>
      <c r="L951" s="2" t="s">
        <v>83</v>
      </c>
      <c r="M951" s="1" t="s">
        <v>25</v>
      </c>
    </row>
    <row r="952" ht="15.75" customHeight="1">
      <c r="A952" s="2" t="s">
        <v>1085</v>
      </c>
      <c r="B952" s="1" t="s">
        <v>14</v>
      </c>
      <c r="C952" s="1" t="s">
        <v>27</v>
      </c>
      <c r="D952" s="3">
        <v>70000.0</v>
      </c>
      <c r="E952" s="2" t="s">
        <v>29</v>
      </c>
      <c r="F952" s="1" t="s">
        <v>87</v>
      </c>
      <c r="G952" s="1" t="s">
        <v>56</v>
      </c>
      <c r="H952" s="1" t="s">
        <v>20</v>
      </c>
      <c r="I952" s="2" t="s">
        <v>37</v>
      </c>
      <c r="J952" s="1" t="s">
        <v>43</v>
      </c>
      <c r="K952" s="1" t="s">
        <v>598</v>
      </c>
      <c r="L952" s="2" t="s">
        <v>201</v>
      </c>
      <c r="M952" s="1" t="s">
        <v>20</v>
      </c>
    </row>
    <row r="953" ht="15.75" customHeight="1">
      <c r="A953" s="2" t="s">
        <v>1086</v>
      </c>
      <c r="B953" s="1" t="s">
        <v>14</v>
      </c>
      <c r="C953" s="1" t="s">
        <v>27</v>
      </c>
      <c r="D953" s="3">
        <v>70000.0</v>
      </c>
      <c r="E953" s="2" t="s">
        <v>29</v>
      </c>
      <c r="F953" s="1" t="s">
        <v>87</v>
      </c>
      <c r="G953" s="1" t="s">
        <v>36</v>
      </c>
      <c r="H953" s="1" t="s">
        <v>20</v>
      </c>
      <c r="I953" s="2" t="s">
        <v>21</v>
      </c>
      <c r="J953" s="1" t="s">
        <v>22</v>
      </c>
      <c r="K953" s="1" t="s">
        <v>598</v>
      </c>
      <c r="L953" s="2" t="s">
        <v>74</v>
      </c>
      <c r="M953" s="1" t="s">
        <v>20</v>
      </c>
    </row>
    <row r="954" ht="15.75" customHeight="1">
      <c r="A954" s="2" t="s">
        <v>1087</v>
      </c>
      <c r="B954" s="1" t="s">
        <v>14</v>
      </c>
      <c r="C954" s="1" t="s">
        <v>15</v>
      </c>
      <c r="D954" s="3">
        <v>60000.0</v>
      </c>
      <c r="E954" s="2" t="s">
        <v>29</v>
      </c>
      <c r="F954" s="1" t="s">
        <v>18</v>
      </c>
      <c r="G954" s="1" t="s">
        <v>56</v>
      </c>
      <c r="H954" s="1" t="s">
        <v>20</v>
      </c>
      <c r="I954" s="2" t="s">
        <v>37</v>
      </c>
      <c r="J954" s="1" t="s">
        <v>69</v>
      </c>
      <c r="K954" s="1" t="s">
        <v>598</v>
      </c>
      <c r="L954" s="2" t="s">
        <v>128</v>
      </c>
      <c r="M954" s="1" t="s">
        <v>25</v>
      </c>
    </row>
    <row r="955" ht="15.75" customHeight="1">
      <c r="A955" s="2" t="s">
        <v>1088</v>
      </c>
      <c r="B955" s="1" t="s">
        <v>41</v>
      </c>
      <c r="C955" s="1" t="s">
        <v>15</v>
      </c>
      <c r="D955" s="3">
        <v>80000.0</v>
      </c>
      <c r="E955" s="2" t="s">
        <v>57</v>
      </c>
      <c r="F955" s="1" t="s">
        <v>87</v>
      </c>
      <c r="G955" s="1" t="s">
        <v>56</v>
      </c>
      <c r="H955" s="1" t="s">
        <v>20</v>
      </c>
      <c r="I955" s="2" t="s">
        <v>37</v>
      </c>
      <c r="J955" s="1" t="s">
        <v>43</v>
      </c>
      <c r="K955" s="1" t="s">
        <v>598</v>
      </c>
      <c r="L955" s="2" t="s">
        <v>122</v>
      </c>
      <c r="M955" s="1" t="s">
        <v>25</v>
      </c>
    </row>
    <row r="956" ht="15.75" customHeight="1">
      <c r="A956" s="2" t="s">
        <v>1089</v>
      </c>
      <c r="B956" s="1" t="s">
        <v>14</v>
      </c>
      <c r="C956" s="1" t="s">
        <v>27</v>
      </c>
      <c r="D956" s="3">
        <v>80000.0</v>
      </c>
      <c r="E956" s="2" t="s">
        <v>35</v>
      </c>
      <c r="F956" s="1" t="s">
        <v>30</v>
      </c>
      <c r="G956" s="1" t="s">
        <v>36</v>
      </c>
      <c r="H956" s="1" t="s">
        <v>20</v>
      </c>
      <c r="I956" s="2" t="s">
        <v>29</v>
      </c>
      <c r="J956" s="1" t="s">
        <v>43</v>
      </c>
      <c r="K956" s="1" t="s">
        <v>598</v>
      </c>
      <c r="L956" s="2" t="s">
        <v>77</v>
      </c>
      <c r="M956" s="1" t="s">
        <v>25</v>
      </c>
    </row>
    <row r="957" ht="15.75" customHeight="1">
      <c r="A957" s="2" t="s">
        <v>1090</v>
      </c>
      <c r="B957" s="1" t="s">
        <v>41</v>
      </c>
      <c r="C957" s="1" t="s">
        <v>27</v>
      </c>
      <c r="D957" s="3">
        <v>40000.0</v>
      </c>
      <c r="E957" s="2" t="s">
        <v>21</v>
      </c>
      <c r="F957" s="1" t="s">
        <v>55</v>
      </c>
      <c r="G957" s="1" t="s">
        <v>19</v>
      </c>
      <c r="H957" s="1" t="s">
        <v>20</v>
      </c>
      <c r="I957" s="2" t="s">
        <v>17</v>
      </c>
      <c r="J957" s="1" t="s">
        <v>43</v>
      </c>
      <c r="K957" s="1" t="s">
        <v>598</v>
      </c>
      <c r="L957" s="2" t="s">
        <v>109</v>
      </c>
      <c r="M957" s="1" t="s">
        <v>25</v>
      </c>
    </row>
    <row r="958" ht="15.75" customHeight="1">
      <c r="A958" s="2" t="s">
        <v>1091</v>
      </c>
      <c r="B958" s="1" t="s">
        <v>41</v>
      </c>
      <c r="C958" s="1" t="s">
        <v>15</v>
      </c>
      <c r="D958" s="3">
        <v>80000.0</v>
      </c>
      <c r="E958" s="2" t="s">
        <v>29</v>
      </c>
      <c r="F958" s="1" t="s">
        <v>18</v>
      </c>
      <c r="G958" s="1" t="s">
        <v>19</v>
      </c>
      <c r="H958" s="1" t="s">
        <v>20</v>
      </c>
      <c r="I958" s="2" t="s">
        <v>29</v>
      </c>
      <c r="J958" s="1" t="s">
        <v>69</v>
      </c>
      <c r="K958" s="1" t="s">
        <v>598</v>
      </c>
      <c r="L958" s="2" t="s">
        <v>100</v>
      </c>
      <c r="M958" s="1" t="s">
        <v>20</v>
      </c>
    </row>
    <row r="959" ht="15.75" customHeight="1">
      <c r="A959" s="2" t="s">
        <v>1092</v>
      </c>
      <c r="B959" s="1" t="s">
        <v>14</v>
      </c>
      <c r="C959" s="1" t="s">
        <v>27</v>
      </c>
      <c r="D959" s="3">
        <v>110000.0</v>
      </c>
      <c r="E959" s="2" t="s">
        <v>35</v>
      </c>
      <c r="F959" s="1" t="s">
        <v>30</v>
      </c>
      <c r="G959" s="1" t="s">
        <v>36</v>
      </c>
      <c r="H959" s="1" t="s">
        <v>20</v>
      </c>
      <c r="I959" s="2" t="s">
        <v>57</v>
      </c>
      <c r="J959" s="1" t="s">
        <v>38</v>
      </c>
      <c r="K959" s="1" t="s">
        <v>598</v>
      </c>
      <c r="L959" s="2" t="s">
        <v>130</v>
      </c>
      <c r="M959" s="1" t="s">
        <v>25</v>
      </c>
    </row>
    <row r="960" ht="15.75" customHeight="1">
      <c r="A960" s="2" t="s">
        <v>1093</v>
      </c>
      <c r="B960" s="1" t="s">
        <v>41</v>
      </c>
      <c r="C960" s="1" t="s">
        <v>27</v>
      </c>
      <c r="D960" s="3">
        <v>40000.0</v>
      </c>
      <c r="E960" s="2" t="s">
        <v>37</v>
      </c>
      <c r="F960" s="1" t="s">
        <v>30</v>
      </c>
      <c r="G960" s="1" t="s">
        <v>31</v>
      </c>
      <c r="H960" s="1" t="s">
        <v>25</v>
      </c>
      <c r="I960" s="2" t="s">
        <v>17</v>
      </c>
      <c r="J960" s="1" t="s">
        <v>51</v>
      </c>
      <c r="K960" s="1" t="s">
        <v>598</v>
      </c>
      <c r="L960" s="2" t="s">
        <v>83</v>
      </c>
      <c r="M960" s="1" t="s">
        <v>20</v>
      </c>
    </row>
    <row r="961" ht="15.75" customHeight="1">
      <c r="A961" s="2" t="s">
        <v>1094</v>
      </c>
      <c r="B961" s="1" t="s">
        <v>14</v>
      </c>
      <c r="C961" s="1" t="s">
        <v>27</v>
      </c>
      <c r="D961" s="3">
        <v>130000.0</v>
      </c>
      <c r="E961" s="2" t="s">
        <v>37</v>
      </c>
      <c r="F961" s="1" t="s">
        <v>87</v>
      </c>
      <c r="G961" s="1" t="s">
        <v>56</v>
      </c>
      <c r="H961" s="1" t="s">
        <v>20</v>
      </c>
      <c r="I961" s="2" t="s">
        <v>37</v>
      </c>
      <c r="J961" s="1" t="s">
        <v>22</v>
      </c>
      <c r="K961" s="1" t="s">
        <v>598</v>
      </c>
      <c r="L961" s="2" t="s">
        <v>45</v>
      </c>
      <c r="M961" s="1" t="s">
        <v>25</v>
      </c>
    </row>
    <row r="962" ht="15.75" customHeight="1">
      <c r="A962" s="2" t="s">
        <v>1095</v>
      </c>
      <c r="B962" s="1" t="s">
        <v>14</v>
      </c>
      <c r="C962" s="1" t="s">
        <v>27</v>
      </c>
      <c r="D962" s="3">
        <v>60000.0</v>
      </c>
      <c r="E962" s="2" t="s">
        <v>37</v>
      </c>
      <c r="F962" s="1" t="s">
        <v>55</v>
      </c>
      <c r="G962" s="1" t="s">
        <v>36</v>
      </c>
      <c r="H962" s="1" t="s">
        <v>25</v>
      </c>
      <c r="I962" s="2" t="s">
        <v>37</v>
      </c>
      <c r="J962" s="1" t="s">
        <v>51</v>
      </c>
      <c r="K962" s="1" t="s">
        <v>598</v>
      </c>
      <c r="L962" s="2" t="s">
        <v>125</v>
      </c>
      <c r="M962" s="1" t="s">
        <v>20</v>
      </c>
    </row>
    <row r="963" ht="15.75" customHeight="1">
      <c r="A963" s="2" t="s">
        <v>1096</v>
      </c>
      <c r="B963" s="1" t="s">
        <v>41</v>
      </c>
      <c r="C963" s="1" t="s">
        <v>15</v>
      </c>
      <c r="D963" s="3">
        <v>50000.0</v>
      </c>
      <c r="E963" s="2" t="s">
        <v>57</v>
      </c>
      <c r="F963" s="1" t="s">
        <v>18</v>
      </c>
      <c r="G963" s="1" t="s">
        <v>19</v>
      </c>
      <c r="H963" s="1" t="s">
        <v>20</v>
      </c>
      <c r="I963" s="2" t="s">
        <v>37</v>
      </c>
      <c r="J963" s="1" t="s">
        <v>22</v>
      </c>
      <c r="K963" s="1" t="s">
        <v>598</v>
      </c>
      <c r="L963" s="2" t="s">
        <v>24</v>
      </c>
      <c r="M963" s="1" t="s">
        <v>25</v>
      </c>
    </row>
    <row r="964" ht="15.75" customHeight="1">
      <c r="A964" s="2" t="s">
        <v>1098</v>
      </c>
      <c r="B964" s="1" t="s">
        <v>41</v>
      </c>
      <c r="C964" s="1" t="s">
        <v>15</v>
      </c>
      <c r="D964" s="3">
        <v>60000.0</v>
      </c>
      <c r="E964" s="2" t="s">
        <v>29</v>
      </c>
      <c r="F964" s="1" t="s">
        <v>87</v>
      </c>
      <c r="G964" s="1" t="s">
        <v>56</v>
      </c>
      <c r="H964" s="1" t="s">
        <v>20</v>
      </c>
      <c r="I964" s="2" t="s">
        <v>37</v>
      </c>
      <c r="J964" s="1" t="s">
        <v>69</v>
      </c>
      <c r="K964" s="1" t="s">
        <v>598</v>
      </c>
      <c r="L964" s="2" t="s">
        <v>128</v>
      </c>
      <c r="M964" s="1" t="s">
        <v>25</v>
      </c>
    </row>
    <row r="965" ht="15.75" customHeight="1">
      <c r="A965" s="2" t="s">
        <v>1099</v>
      </c>
      <c r="B965" s="1" t="s">
        <v>14</v>
      </c>
      <c r="C965" s="1" t="s">
        <v>27</v>
      </c>
      <c r="D965" s="3">
        <v>70000.0</v>
      </c>
      <c r="E965" s="2" t="s">
        <v>35</v>
      </c>
      <c r="F965" s="1" t="s">
        <v>18</v>
      </c>
      <c r="G965" s="1" t="s">
        <v>56</v>
      </c>
      <c r="H965" s="1" t="s">
        <v>20</v>
      </c>
      <c r="I965" s="2" t="s">
        <v>37</v>
      </c>
      <c r="J965" s="1" t="s">
        <v>69</v>
      </c>
      <c r="K965" s="1" t="s">
        <v>598</v>
      </c>
      <c r="L965" s="2" t="s">
        <v>95</v>
      </c>
      <c r="M965" s="1" t="s">
        <v>25</v>
      </c>
    </row>
    <row r="966" ht="15.75" customHeight="1">
      <c r="A966" s="2" t="s">
        <v>1100</v>
      </c>
      <c r="B966" s="1" t="s">
        <v>14</v>
      </c>
      <c r="C966" s="1" t="s">
        <v>27</v>
      </c>
      <c r="D966" s="3">
        <v>60000.0</v>
      </c>
      <c r="E966" s="2" t="s">
        <v>57</v>
      </c>
      <c r="F966" s="1" t="s">
        <v>18</v>
      </c>
      <c r="G966" s="1" t="s">
        <v>19</v>
      </c>
      <c r="H966" s="1" t="s">
        <v>25</v>
      </c>
      <c r="I966" s="2" t="s">
        <v>29</v>
      </c>
      <c r="J966" s="1" t="s">
        <v>69</v>
      </c>
      <c r="K966" s="1" t="s">
        <v>598</v>
      </c>
      <c r="L966" s="2" t="s">
        <v>24</v>
      </c>
      <c r="M966" s="1" t="s">
        <v>25</v>
      </c>
    </row>
    <row r="967" ht="15.75" customHeight="1">
      <c r="A967" s="2" t="s">
        <v>1101</v>
      </c>
      <c r="B967" s="1" t="s">
        <v>41</v>
      </c>
      <c r="C967" s="1" t="s">
        <v>15</v>
      </c>
      <c r="D967" s="3">
        <v>30000.0</v>
      </c>
      <c r="E967" s="2" t="s">
        <v>21</v>
      </c>
      <c r="F967" s="1" t="s">
        <v>55</v>
      </c>
      <c r="G967" s="1" t="s">
        <v>19</v>
      </c>
      <c r="H967" s="1" t="s">
        <v>25</v>
      </c>
      <c r="I967" s="2" t="s">
        <v>37</v>
      </c>
      <c r="J967" s="1" t="s">
        <v>43</v>
      </c>
      <c r="K967" s="1" t="s">
        <v>598</v>
      </c>
      <c r="L967" s="2" t="s">
        <v>107</v>
      </c>
      <c r="M967" s="1" t="s">
        <v>25</v>
      </c>
    </row>
    <row r="968" ht="15.75" customHeight="1">
      <c r="A968" s="2" t="s">
        <v>1102</v>
      </c>
      <c r="B968" s="1" t="s">
        <v>41</v>
      </c>
      <c r="C968" s="1" t="s">
        <v>15</v>
      </c>
      <c r="D968" s="3">
        <v>60000.0</v>
      </c>
      <c r="E968" s="2" t="s">
        <v>17</v>
      </c>
      <c r="F968" s="1" t="s">
        <v>87</v>
      </c>
      <c r="G968" s="1" t="s">
        <v>36</v>
      </c>
      <c r="H968" s="1" t="s">
        <v>20</v>
      </c>
      <c r="I968" s="2" t="s">
        <v>21</v>
      </c>
      <c r="J968" s="1" t="s">
        <v>38</v>
      </c>
      <c r="K968" s="1" t="s">
        <v>598</v>
      </c>
      <c r="L968" s="2" t="s">
        <v>47</v>
      </c>
      <c r="M968" s="1" t="s">
        <v>20</v>
      </c>
    </row>
    <row r="969" ht="15.75" customHeight="1">
      <c r="A969" s="2" t="s">
        <v>1103</v>
      </c>
      <c r="B969" s="1" t="s">
        <v>14</v>
      </c>
      <c r="C969" s="1" t="s">
        <v>27</v>
      </c>
      <c r="D969" s="3">
        <v>90000.0</v>
      </c>
      <c r="E969" s="2" t="s">
        <v>37</v>
      </c>
      <c r="F969" s="1" t="s">
        <v>30</v>
      </c>
      <c r="G969" s="1" t="s">
        <v>36</v>
      </c>
      <c r="H969" s="1" t="s">
        <v>25</v>
      </c>
      <c r="I969" s="2" t="s">
        <v>21</v>
      </c>
      <c r="J969" s="1" t="s">
        <v>43</v>
      </c>
      <c r="K969" s="1" t="s">
        <v>598</v>
      </c>
      <c r="L969" s="2" t="s">
        <v>195</v>
      </c>
      <c r="M969" s="1" t="s">
        <v>20</v>
      </c>
    </row>
    <row r="970" ht="15.75" customHeight="1">
      <c r="A970" s="2" t="s">
        <v>1104</v>
      </c>
      <c r="B970" s="1" t="s">
        <v>41</v>
      </c>
      <c r="C970" s="1" t="s">
        <v>27</v>
      </c>
      <c r="D970" s="3">
        <v>150000.0</v>
      </c>
      <c r="E970" s="2" t="s">
        <v>17</v>
      </c>
      <c r="F970" s="1" t="s">
        <v>30</v>
      </c>
      <c r="G970" s="1" t="s">
        <v>36</v>
      </c>
      <c r="H970" s="1" t="s">
        <v>25</v>
      </c>
      <c r="I970" s="2" t="s">
        <v>29</v>
      </c>
      <c r="J970" s="1" t="s">
        <v>22</v>
      </c>
      <c r="K970" s="1" t="s">
        <v>598</v>
      </c>
      <c r="L970" s="2" t="s">
        <v>102</v>
      </c>
      <c r="M970" s="1" t="s">
        <v>20</v>
      </c>
    </row>
    <row r="971" ht="15.75" customHeight="1">
      <c r="A971" s="2" t="s">
        <v>1105</v>
      </c>
      <c r="B971" s="1" t="s">
        <v>14</v>
      </c>
      <c r="C971" s="1" t="s">
        <v>27</v>
      </c>
      <c r="D971" s="3">
        <v>80000.0</v>
      </c>
      <c r="E971" s="2" t="s">
        <v>35</v>
      </c>
      <c r="F971" s="1" t="s">
        <v>30</v>
      </c>
      <c r="G971" s="1" t="s">
        <v>36</v>
      </c>
      <c r="H971" s="1" t="s">
        <v>20</v>
      </c>
      <c r="I971" s="2" t="s">
        <v>29</v>
      </c>
      <c r="J971" s="1" t="s">
        <v>51</v>
      </c>
      <c r="K971" s="1" t="s">
        <v>598</v>
      </c>
      <c r="L971" s="2" t="s">
        <v>130</v>
      </c>
      <c r="M971" s="1" t="s">
        <v>25</v>
      </c>
    </row>
    <row r="972" ht="15.75" customHeight="1">
      <c r="A972" s="2" t="s">
        <v>1106</v>
      </c>
      <c r="B972" s="1" t="s">
        <v>14</v>
      </c>
      <c r="C972" s="1" t="s">
        <v>27</v>
      </c>
      <c r="D972" s="3">
        <v>60000.0</v>
      </c>
      <c r="E972" s="2" t="s">
        <v>37</v>
      </c>
      <c r="F972" s="1" t="s">
        <v>55</v>
      </c>
      <c r="G972" s="1" t="s">
        <v>36</v>
      </c>
      <c r="H972" s="1" t="s">
        <v>20</v>
      </c>
      <c r="I972" s="2" t="s">
        <v>37</v>
      </c>
      <c r="J972" s="1" t="s">
        <v>38</v>
      </c>
      <c r="K972" s="1" t="s">
        <v>598</v>
      </c>
      <c r="L972" s="2" t="s">
        <v>66</v>
      </c>
      <c r="M972" s="1" t="s">
        <v>20</v>
      </c>
    </row>
    <row r="973" ht="15.75" customHeight="1">
      <c r="A973" s="2" t="s">
        <v>1107</v>
      </c>
      <c r="B973" s="1" t="s">
        <v>41</v>
      </c>
      <c r="C973" s="1" t="s">
        <v>27</v>
      </c>
      <c r="D973" s="3">
        <v>70000.0</v>
      </c>
      <c r="E973" s="2" t="s">
        <v>57</v>
      </c>
      <c r="F973" s="1" t="s">
        <v>87</v>
      </c>
      <c r="G973" s="1" t="s">
        <v>36</v>
      </c>
      <c r="H973" s="1" t="s">
        <v>20</v>
      </c>
      <c r="I973" s="2" t="s">
        <v>21</v>
      </c>
      <c r="J973" s="1" t="s">
        <v>38</v>
      </c>
      <c r="K973" s="1" t="s">
        <v>598</v>
      </c>
      <c r="L973" s="2" t="s">
        <v>74</v>
      </c>
      <c r="M973" s="1" t="s">
        <v>20</v>
      </c>
    </row>
    <row r="974" ht="15.75" customHeight="1">
      <c r="A974" s="2" t="s">
        <v>1108</v>
      </c>
      <c r="B974" s="1" t="s">
        <v>14</v>
      </c>
      <c r="C974" s="1" t="s">
        <v>1111</v>
      </c>
      <c r="D974" s="3">
        <v>60000.0</v>
      </c>
      <c r="E974" s="2" t="s">
        <v>37</v>
      </c>
      <c r="F974" s="1" t="s">
        <v>18</v>
      </c>
      <c r="G974" s="1" t="s">
        <v>19</v>
      </c>
      <c r="H974" s="1" t="s">
        <v>20</v>
      </c>
      <c r="I974" s="2" t="s">
        <v>21</v>
      </c>
      <c r="J974" s="1" t="s">
        <v>22</v>
      </c>
      <c r="K974" s="1" t="s">
        <v>598</v>
      </c>
      <c r="L974" s="2" t="s">
        <v>79</v>
      </c>
      <c r="M974" s="1" t="s">
        <v>20</v>
      </c>
    </row>
    <row r="975" ht="15.75" customHeight="1">
      <c r="A975" s="2" t="s">
        <v>1109</v>
      </c>
      <c r="B975" s="1" t="s">
        <v>41</v>
      </c>
      <c r="C975" s="1" t="s">
        <v>27</v>
      </c>
      <c r="D975" s="3">
        <v>100000.0</v>
      </c>
      <c r="E975" s="2" t="s">
        <v>29</v>
      </c>
      <c r="F975" s="1" t="s">
        <v>18</v>
      </c>
      <c r="G975" s="1" t="s">
        <v>56</v>
      </c>
      <c r="H975" s="1" t="s">
        <v>25</v>
      </c>
      <c r="I975" s="2" t="s">
        <v>29</v>
      </c>
      <c r="J975" s="1" t="s">
        <v>51</v>
      </c>
      <c r="K975" s="1" t="s">
        <v>598</v>
      </c>
      <c r="L975" s="2" t="s">
        <v>79</v>
      </c>
      <c r="M975" s="1" t="s">
        <v>25</v>
      </c>
    </row>
    <row r="976" ht="15.75" customHeight="1">
      <c r="A976" s="2" t="s">
        <v>1110</v>
      </c>
      <c r="B976" s="1" t="s">
        <v>41</v>
      </c>
      <c r="C976" s="1" t="s">
        <v>27</v>
      </c>
      <c r="D976" s="3">
        <v>60000.0</v>
      </c>
      <c r="E976" s="2" t="s">
        <v>29</v>
      </c>
      <c r="F976" s="1" t="s">
        <v>55</v>
      </c>
      <c r="G976" s="1" t="s">
        <v>36</v>
      </c>
      <c r="H976" s="1" t="s">
        <v>20</v>
      </c>
      <c r="I976" s="2" t="s">
        <v>37</v>
      </c>
      <c r="J976" s="1" t="s">
        <v>69</v>
      </c>
      <c r="K976" s="1" t="s">
        <v>598</v>
      </c>
      <c r="L976" s="2" t="s">
        <v>201</v>
      </c>
      <c r="M976" s="1" t="s">
        <v>20</v>
      </c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8.13"/>
    <col customWidth="1" min="3" max="5" width="12.63"/>
    <col customWidth="1" min="6" max="6" width="15.25"/>
    <col customWidth="1" min="7" max="7" width="17.75"/>
  </cols>
  <sheetData>
    <row r="1" ht="15.75" customHeight="1">
      <c r="A1" s="1" t="str">
        <f>IFERROR(__xludf.DUMMYFUNCTION("QUERY(Import!B:M, ""SELECT B, COUNT(M) WHERE B IS NOT NULL GROUP BY B"", 1)
"),"Marital Status")</f>
        <v>Marital Status</v>
      </c>
      <c r="B1" s="1" t="str">
        <f>IFERROR(__xludf.DUMMYFUNCTION("""COMPUTED_VALUE"""),"count Purchased Bike")</f>
        <v>count Purchased Bike</v>
      </c>
      <c r="F1" s="1" t="str">
        <f>IFERROR(__xludf.DUMMYFUNCTION("QUERY(Import!C:M, ""SELECT C, COUNT(M) WHERE C IS NOT NULL GROUP BY C"", 1)
"),"Gender")</f>
        <v>Gender</v>
      </c>
      <c r="G1" s="1" t="str">
        <f>IFERROR(__xludf.DUMMYFUNCTION("""COMPUTED_VALUE"""),"count Purchased Bike")</f>
        <v>count Purchased Bike</v>
      </c>
    </row>
    <row r="2" ht="15.75" customHeight="1">
      <c r="A2" s="1" t="str">
        <f>IFERROR(__xludf.DUMMYFUNCTION("""COMPUTED_VALUE"""),"Married")</f>
        <v>Married</v>
      </c>
      <c r="B2" s="1">
        <f>IFERROR(__xludf.DUMMYFUNCTION("""COMPUTED_VALUE"""),525.0)</f>
        <v>525</v>
      </c>
      <c r="F2" s="1" t="str">
        <f>IFERROR(__xludf.DUMMYFUNCTION("""COMPUTED_VALUE"""),"Female")</f>
        <v>Female</v>
      </c>
      <c r="G2" s="1">
        <f>IFERROR(__xludf.DUMMYFUNCTION("""COMPUTED_VALUE"""),480.0)</f>
        <v>480</v>
      </c>
    </row>
    <row r="3" ht="15.75" customHeight="1">
      <c r="A3" s="1" t="str">
        <f>IFERROR(__xludf.DUMMYFUNCTION("""COMPUTED_VALUE"""),"Single")</f>
        <v>Single</v>
      </c>
      <c r="B3" s="1">
        <f>IFERROR(__xludf.DUMMYFUNCTION("""COMPUTED_VALUE"""),445.0)</f>
        <v>445</v>
      </c>
      <c r="F3" s="1" t="str">
        <f>IFERROR(__xludf.DUMMYFUNCTION("""COMPUTED_VALUE"""),"Male")</f>
        <v>Male</v>
      </c>
      <c r="G3" s="1">
        <f>IFERROR(__xludf.DUMMYFUNCTION("""COMPUTED_VALUE"""),485.0)</f>
        <v>485</v>
      </c>
    </row>
    <row r="4" ht="15.75" customHeight="1">
      <c r="A4" s="1" t="str">
        <f>IFERROR(__xludf.DUMMYFUNCTION("""COMPUTED_VALUE"""),"Unknown")</f>
        <v>Unknown</v>
      </c>
      <c r="B4" s="1">
        <f>IFERROR(__xludf.DUMMYFUNCTION("""COMPUTED_VALUE"""),5.0)</f>
        <v>5</v>
      </c>
      <c r="F4" s="1" t="str">
        <f>IFERROR(__xludf.DUMMYFUNCTION("""COMPUTED_VALUE"""),"Unknown")</f>
        <v>Unknown</v>
      </c>
      <c r="G4" s="1">
        <f>IFERROR(__xludf.DUMMYFUNCTION("""COMPUTED_VALUE"""),10.0)</f>
        <v>10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s="1" t="str">
        <f t="array" ref="A21">IFERROR(CHOOSE(MATCH(Import!D2,{0,20000,40000,60000,80000,100000}),"0-20k","20k-40k","40k-60k","60k-80k","80k-100k","100k and above"),"")</f>
        <v>40k-60k</v>
      </c>
    </row>
    <row r="22" ht="15.75" customHeight="1">
      <c r="A22" s="1" t="str">
        <f t="array" ref="A22">IFERROR(CHOOSE(MATCH(Import!A2,{0,20000,40000,60000,80000,100000},1),"0-20k","20k-40k","40k-60k","60k-80k","80k-100k","100k and above"),"")</f>
        <v/>
      </c>
    </row>
    <row r="23" ht="15.75" customHeight="1">
      <c r="A23" s="1" t="str">
        <f t="array" ref="A23">IFERROR(VLOOKUP(Import!A2, {0,"0-20k"; 20000,"20k-40k"; 40000,"40k-60k"; 60000,"60k-80k"; 80000,"80k-100k"; 100000,"100k and above"}, 2, TRUE), "")</f>
        <v/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A30" s="1" t="s">
        <v>3</v>
      </c>
      <c r="B30" s="1" t="s">
        <v>1112</v>
      </c>
    </row>
    <row r="31" ht="15.75" customHeight="1">
      <c r="A31" s="5" t="s">
        <v>1113</v>
      </c>
      <c r="B31" s="5">
        <v>0.0</v>
      </c>
    </row>
    <row r="32" ht="15.75" customHeight="1">
      <c r="A32" s="5" t="s">
        <v>1114</v>
      </c>
      <c r="B32" s="5">
        <v>731.0</v>
      </c>
    </row>
    <row r="33" ht="15.75" customHeight="1">
      <c r="A33" s="5" t="s">
        <v>1115</v>
      </c>
      <c r="B33" s="6">
        <v>448.0</v>
      </c>
    </row>
    <row r="34" ht="15.75" customHeight="1">
      <c r="A34" s="5" t="s">
        <v>1116</v>
      </c>
      <c r="B34" s="5">
        <v>249.0</v>
      </c>
    </row>
    <row r="35" ht="15.75" customHeight="1">
      <c r="A35" s="5" t="s">
        <v>1117</v>
      </c>
      <c r="B35" s="5">
        <v>38.0</v>
      </c>
    </row>
    <row r="36" ht="15.75" customHeight="1">
      <c r="A36" s="5" t="s">
        <v>1118</v>
      </c>
      <c r="B36" s="5">
        <v>0.0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B43" s="1" t="s">
        <v>1119</v>
      </c>
    </row>
    <row r="44" ht="15.75" customHeight="1">
      <c r="A44" s="1" t="s">
        <v>261</v>
      </c>
      <c r="B44" s="1">
        <v>5.0</v>
      </c>
    </row>
    <row r="45" ht="15.75" customHeight="1">
      <c r="A45" s="1" t="s">
        <v>107</v>
      </c>
      <c r="B45" s="1">
        <v>16.0</v>
      </c>
    </row>
    <row r="46" ht="15.75" customHeight="1">
      <c r="A46" s="1" t="s">
        <v>245</v>
      </c>
      <c r="B46" s="1">
        <v>23.0</v>
      </c>
    </row>
    <row r="47" ht="15.75" customHeight="1">
      <c r="A47" s="1" t="s">
        <v>118</v>
      </c>
      <c r="B47" s="1">
        <v>21.0</v>
      </c>
    </row>
    <row r="48" ht="15.75" customHeight="1">
      <c r="A48" s="1" t="s">
        <v>97</v>
      </c>
      <c r="B48" s="1">
        <v>15.0</v>
      </c>
    </row>
    <row r="49" ht="15.75" customHeight="1">
      <c r="A49" s="1" t="s">
        <v>116</v>
      </c>
      <c r="B49" s="1">
        <v>26.0</v>
      </c>
    </row>
    <row r="50" ht="15.75" customHeight="1">
      <c r="A50" s="1" t="s">
        <v>109</v>
      </c>
      <c r="B50" s="1">
        <v>25.0</v>
      </c>
    </row>
    <row r="51" ht="15.75" customHeight="1">
      <c r="A51" s="1" t="s">
        <v>104</v>
      </c>
      <c r="B51" s="1">
        <v>33.0</v>
      </c>
    </row>
    <row r="52" ht="15.75" customHeight="1">
      <c r="A52" s="1" t="s">
        <v>58</v>
      </c>
      <c r="B52" s="1">
        <v>20.0</v>
      </c>
    </row>
    <row r="53" ht="15.75" customHeight="1">
      <c r="A53" s="1" t="s">
        <v>93</v>
      </c>
      <c r="B53" s="1">
        <v>31.0</v>
      </c>
    </row>
    <row r="54" ht="15.75" customHeight="1">
      <c r="A54" s="1" t="s">
        <v>74</v>
      </c>
      <c r="B54" s="1">
        <v>35.0</v>
      </c>
    </row>
    <row r="55" ht="15.75" customHeight="1">
      <c r="A55" s="1" t="s">
        <v>47</v>
      </c>
      <c r="B55" s="1">
        <v>35.0</v>
      </c>
    </row>
    <row r="56" ht="15.75" customHeight="1">
      <c r="A56" s="1" t="s">
        <v>153</v>
      </c>
      <c r="B56" s="1">
        <v>31.0</v>
      </c>
    </row>
    <row r="57" ht="15.75" customHeight="1">
      <c r="A57" s="1" t="s">
        <v>79</v>
      </c>
      <c r="B57" s="1">
        <v>37.0</v>
      </c>
    </row>
    <row r="58" ht="15.75" customHeight="1">
      <c r="A58" s="1" t="s">
        <v>135</v>
      </c>
      <c r="B58" s="1">
        <v>22.0</v>
      </c>
    </row>
    <row r="59" ht="15.75" customHeight="1">
      <c r="A59" s="1" t="s">
        <v>100</v>
      </c>
      <c r="B59" s="1">
        <v>40.0</v>
      </c>
    </row>
    <row r="60" ht="15.75" customHeight="1">
      <c r="A60" s="1" t="s">
        <v>45</v>
      </c>
      <c r="B60" s="1">
        <v>28.0</v>
      </c>
    </row>
    <row r="61" ht="15.75" customHeight="1">
      <c r="A61" s="1" t="s">
        <v>24</v>
      </c>
      <c r="B61" s="1">
        <v>34.0</v>
      </c>
    </row>
    <row r="62" ht="15.75" customHeight="1">
      <c r="A62" s="1" t="s">
        <v>32</v>
      </c>
      <c r="B62" s="1">
        <v>36.0</v>
      </c>
    </row>
    <row r="63" ht="15.75" customHeight="1">
      <c r="A63" s="1" t="s">
        <v>102</v>
      </c>
      <c r="B63" s="1">
        <v>27.0</v>
      </c>
    </row>
    <row r="64" ht="15.75" customHeight="1">
      <c r="A64" s="1" t="s">
        <v>77</v>
      </c>
      <c r="B64" s="1">
        <v>31.0</v>
      </c>
    </row>
    <row r="65" ht="15.75" customHeight="1">
      <c r="A65" s="1" t="s">
        <v>130</v>
      </c>
      <c r="B65" s="1">
        <v>25.0</v>
      </c>
    </row>
    <row r="66" ht="15.75" customHeight="1">
      <c r="A66" s="1" t="s">
        <v>83</v>
      </c>
      <c r="B66" s="1">
        <v>38.0</v>
      </c>
    </row>
    <row r="67" ht="15.75" customHeight="1">
      <c r="A67" s="1" t="s">
        <v>125</v>
      </c>
      <c r="B67" s="1">
        <v>27.0</v>
      </c>
    </row>
    <row r="68" ht="15.75" customHeight="1">
      <c r="A68" s="1" t="s">
        <v>195</v>
      </c>
      <c r="B68" s="1">
        <v>23.0</v>
      </c>
    </row>
    <row r="69" ht="15.75" customHeight="1">
      <c r="A69" s="1" t="s">
        <v>52</v>
      </c>
      <c r="B69" s="1">
        <v>23.0</v>
      </c>
    </row>
    <row r="70" ht="15.75" customHeight="1">
      <c r="A70" s="1" t="s">
        <v>178</v>
      </c>
      <c r="B70" s="1">
        <v>22.0</v>
      </c>
    </row>
    <row r="71" ht="15.75" customHeight="1">
      <c r="A71" s="1" t="s">
        <v>132</v>
      </c>
      <c r="B71" s="1">
        <v>25.0</v>
      </c>
    </row>
    <row r="72" ht="15.75" customHeight="1">
      <c r="A72" s="1" t="s">
        <v>201</v>
      </c>
      <c r="B72" s="1">
        <v>24.0</v>
      </c>
    </row>
    <row r="73" ht="15.75" customHeight="1">
      <c r="A73" s="1" t="s">
        <v>66</v>
      </c>
      <c r="B73" s="1">
        <v>16.0</v>
      </c>
    </row>
    <row r="74" ht="15.75" customHeight="1">
      <c r="A74" s="1" t="s">
        <v>72</v>
      </c>
      <c r="B74" s="1">
        <v>16.0</v>
      </c>
    </row>
    <row r="75" ht="15.75" customHeight="1">
      <c r="A75" s="1" t="s">
        <v>91</v>
      </c>
      <c r="B75" s="1">
        <v>16.0</v>
      </c>
    </row>
    <row r="76" ht="15.75" customHeight="1">
      <c r="A76" s="1" t="s">
        <v>330</v>
      </c>
      <c r="B76" s="1">
        <v>8.0</v>
      </c>
    </row>
    <row r="77" ht="15.75" customHeight="1">
      <c r="A77" s="1" t="s">
        <v>63</v>
      </c>
      <c r="B77" s="1">
        <v>12.0</v>
      </c>
    </row>
    <row r="78" ht="15.75" customHeight="1">
      <c r="A78" s="1" t="s">
        <v>81</v>
      </c>
      <c r="B78" s="1">
        <v>20.0</v>
      </c>
    </row>
    <row r="79" ht="15.75" customHeight="1">
      <c r="A79" s="1" t="s">
        <v>39</v>
      </c>
      <c r="B79" s="1">
        <v>14.0</v>
      </c>
    </row>
    <row r="80" ht="15.75" customHeight="1">
      <c r="A80" s="1" t="s">
        <v>145</v>
      </c>
      <c r="B80" s="1">
        <v>9.0</v>
      </c>
    </row>
    <row r="81" ht="15.75" customHeight="1">
      <c r="A81" s="1" t="s">
        <v>112</v>
      </c>
      <c r="B81" s="1">
        <v>13.0</v>
      </c>
      <c r="G81" s="1" t="s">
        <v>3</v>
      </c>
      <c r="H81" s="1" t="s">
        <v>1121</v>
      </c>
    </row>
    <row r="82" ht="15.75" customHeight="1">
      <c r="A82" s="1" t="s">
        <v>95</v>
      </c>
      <c r="B82" s="1">
        <v>9.0</v>
      </c>
      <c r="G82" s="1" t="s">
        <v>1122</v>
      </c>
      <c r="H82" s="1">
        <v>276.0</v>
      </c>
    </row>
    <row r="83" ht="15.75" customHeight="1">
      <c r="A83" s="1" t="s">
        <v>421</v>
      </c>
      <c r="B83" s="1">
        <v>10.0</v>
      </c>
      <c r="G83" s="1" t="s">
        <v>1123</v>
      </c>
      <c r="H83" s="1">
        <v>349.0</v>
      </c>
    </row>
    <row r="84" ht="15.75" customHeight="1">
      <c r="A84" s="1" t="s">
        <v>122</v>
      </c>
      <c r="B84" s="1">
        <v>9.0</v>
      </c>
      <c r="G84" s="1" t="s">
        <v>1124</v>
      </c>
      <c r="H84" s="1">
        <v>248.0</v>
      </c>
    </row>
    <row r="85" ht="15.75" customHeight="1">
      <c r="A85" s="1" t="s">
        <v>128</v>
      </c>
      <c r="B85" s="1">
        <v>13.0</v>
      </c>
      <c r="G85" s="1" t="s">
        <v>1125</v>
      </c>
      <c r="H85" s="1">
        <v>62.0</v>
      </c>
    </row>
    <row r="86" ht="15.75" customHeight="1">
      <c r="A86" s="1" t="s">
        <v>297</v>
      </c>
      <c r="B86" s="1">
        <v>10.0</v>
      </c>
      <c r="G86" s="1" t="s">
        <v>1126</v>
      </c>
      <c r="H86" s="1">
        <v>35.0</v>
      </c>
    </row>
    <row r="87" ht="15.75" customHeight="1">
      <c r="A87" s="1" t="s">
        <v>155</v>
      </c>
      <c r="B87" s="1">
        <v>3.0</v>
      </c>
      <c r="G87" s="1" t="s">
        <v>1127</v>
      </c>
      <c r="H87" s="1">
        <v>5.0</v>
      </c>
    </row>
    <row r="88" ht="15.75" customHeight="1">
      <c r="A88" s="1" t="s">
        <v>403</v>
      </c>
      <c r="B88" s="1">
        <v>8.0</v>
      </c>
    </row>
    <row r="89" ht="15.75" customHeight="1">
      <c r="A89" s="1" t="s">
        <v>337</v>
      </c>
      <c r="B89" s="1">
        <v>4.0</v>
      </c>
    </row>
    <row r="90" ht="15.75" customHeight="1">
      <c r="A90" s="1" t="s">
        <v>988</v>
      </c>
      <c r="B90" s="1">
        <v>1.0</v>
      </c>
    </row>
    <row r="91" ht="15.75" customHeight="1">
      <c r="A91" s="1" t="s">
        <v>992</v>
      </c>
      <c r="B91" s="1">
        <v>1.0</v>
      </c>
    </row>
    <row r="92" ht="15.75" customHeight="1">
      <c r="A92" s="1" t="s">
        <v>662</v>
      </c>
      <c r="B92" s="1">
        <v>4.0</v>
      </c>
    </row>
    <row r="93" ht="15.75" customHeight="1">
      <c r="A93" s="1" t="s">
        <v>747</v>
      </c>
      <c r="B93" s="1">
        <v>1.0</v>
      </c>
    </row>
    <row r="94" ht="15.75" customHeight="1">
      <c r="A94" s="1" t="s">
        <v>353</v>
      </c>
      <c r="B94" s="1">
        <v>2.0</v>
      </c>
    </row>
    <row r="95" ht="15.75" customHeight="1">
      <c r="A95" s="1" t="s">
        <v>508</v>
      </c>
      <c r="B95" s="1">
        <v>1.0</v>
      </c>
    </row>
    <row r="96" ht="15.75" customHeight="1">
      <c r="A96" s="1" t="s">
        <v>481</v>
      </c>
      <c r="B96" s="1">
        <v>1.0</v>
      </c>
    </row>
    <row r="97" ht="15.75" customHeight="1"/>
    <row r="98" ht="15.75" customHeight="1"/>
    <row r="99" ht="15.75" customHeight="1"/>
    <row r="100" ht="15.75" customHeight="1">
      <c r="A100" s="1" t="str">
        <f>IFERROR(__xludf.DUMMYFUNCTION("QUERY(Import!K:M, ""SELECT K, COUNT(M) WHERE K is not null GROUP BY K"")"),"")</f>
        <v/>
      </c>
      <c r="B100" s="1" t="str">
        <f>IFERROR(__xludf.DUMMYFUNCTION("""COMPUTED_VALUE"""),"count ")</f>
        <v>count </v>
      </c>
    </row>
    <row r="101" ht="15.75" customHeight="1">
      <c r="A101" s="1" t="str">
        <f>IFERROR(__xludf.DUMMYFUNCTION("""COMPUTED_VALUE"""),"Europe")</f>
        <v>Europe</v>
      </c>
      <c r="B101" s="1">
        <f>IFERROR(__xludf.DUMMYFUNCTION("""COMPUTED_VALUE"""),289.0)</f>
        <v>289</v>
      </c>
    </row>
    <row r="102" ht="15.75" customHeight="1">
      <c r="A102" s="1" t="str">
        <f>IFERROR(__xludf.DUMMYFUNCTION("""COMPUTED_VALUE"""),"North America")</f>
        <v>North America</v>
      </c>
      <c r="B102" s="1">
        <f>IFERROR(__xludf.DUMMYFUNCTION("""COMPUTED_VALUE"""),497.0)</f>
        <v>497</v>
      </c>
    </row>
    <row r="103" ht="15.75" customHeight="1">
      <c r="A103" s="1" t="str">
        <f>IFERROR(__xludf.DUMMYFUNCTION("""COMPUTED_VALUE"""),"Pacific")</f>
        <v>Pacific</v>
      </c>
      <c r="B103" s="1">
        <f>IFERROR(__xludf.DUMMYFUNCTION("""COMPUTED_VALUE"""),189.0)</f>
        <v>189</v>
      </c>
    </row>
    <row r="104" ht="15.75" customHeight="1">
      <c r="A104" s="1" t="str">
        <f>IFERROR(__xludf.DUMMYFUNCTION("""COMPUTED_VALUE"""),"Region")</f>
        <v>Region</v>
      </c>
      <c r="B104" s="1">
        <f>IFERROR(__xludf.DUMMYFUNCTION("""COMPUTED_VALUE"""),1.0)</f>
        <v>1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>
      <c r="H114" s="1">
        <f>IF(ISERROR(AVERAGE(A115:A1093)), "", AVERAGE(A115:A1093))</f>
        <v>56235.89744</v>
      </c>
    </row>
    <row r="115" ht="15.75" customHeight="1">
      <c r="A115" s="1" t="str">
        <f>IFERROR(__xludf.DUMMYFUNCTION("QUERY(Import!D:L, ""SELECT D, L WHERE D IS NOT NULL AND L IS NOT NULL"", 1)"),"Income")</f>
        <v>Income</v>
      </c>
      <c r="B115" s="1" t="str">
        <f>IFERROR(__xludf.DUMMYFUNCTION("""COMPUTED_VALUE"""),"Age")</f>
        <v>Age</v>
      </c>
    </row>
    <row r="116" ht="15.75" customHeight="1">
      <c r="A116" s="3">
        <f>IFERROR(__xludf.DUMMYFUNCTION("""COMPUTED_VALUE"""),40000.0)</f>
        <v>40000</v>
      </c>
      <c r="B116" s="1" t="str">
        <f>IFERROR(__xludf.DUMMYFUNCTION("""COMPUTED_VALUE"""),"42")</f>
        <v>42</v>
      </c>
    </row>
    <row r="117" ht="15.75" customHeight="1">
      <c r="A117" s="3">
        <f>IFERROR(__xludf.DUMMYFUNCTION("""COMPUTED_VALUE"""),30000.0)</f>
        <v>30000</v>
      </c>
      <c r="B117" s="1" t="str">
        <f>IFERROR(__xludf.DUMMYFUNCTION("""COMPUTED_VALUE"""),"43")</f>
        <v>43</v>
      </c>
    </row>
    <row r="118" ht="15.75" customHeight="1">
      <c r="A118" s="3">
        <f>IFERROR(__xludf.DUMMYFUNCTION("""COMPUTED_VALUE"""),80000.0)</f>
        <v>80000</v>
      </c>
      <c r="B118" s="1" t="str">
        <f>IFERROR(__xludf.DUMMYFUNCTION("""COMPUTED_VALUE"""),"60")</f>
        <v>60</v>
      </c>
    </row>
    <row r="119" ht="15.75" customHeight="1">
      <c r="A119" s="3">
        <f>IFERROR(__xludf.DUMMYFUNCTION("""COMPUTED_VALUE"""),70000.0)</f>
        <v>70000</v>
      </c>
      <c r="B119" s="1" t="str">
        <f>IFERROR(__xludf.DUMMYFUNCTION("""COMPUTED_VALUE"""),"41")</f>
        <v>41</v>
      </c>
    </row>
    <row r="120" ht="15.75" customHeight="1">
      <c r="A120" s="3">
        <f>IFERROR(__xludf.DUMMYFUNCTION("""COMPUTED_VALUE"""),30000.0)</f>
        <v>30000</v>
      </c>
      <c r="B120" s="1" t="str">
        <f>IFERROR(__xludf.DUMMYFUNCTION("""COMPUTED_VALUE"""),"36")</f>
        <v>36</v>
      </c>
    </row>
    <row r="121" ht="15.75" customHeight="1">
      <c r="A121" s="3">
        <f>IFERROR(__xludf.DUMMYFUNCTION("""COMPUTED_VALUE"""),10000.0)</f>
        <v>10000</v>
      </c>
      <c r="B121" s="1" t="str">
        <f>IFERROR(__xludf.DUMMYFUNCTION("""COMPUTED_VALUE"""),"50")</f>
        <v>50</v>
      </c>
    </row>
    <row r="122" ht="15.75" customHeight="1">
      <c r="A122" s="3">
        <f>IFERROR(__xludf.DUMMYFUNCTION("""COMPUTED_VALUE"""),160000.0)</f>
        <v>160000</v>
      </c>
      <c r="B122" s="1" t="str">
        <f>IFERROR(__xludf.DUMMYFUNCTION("""COMPUTED_VALUE"""),"33")</f>
        <v>33</v>
      </c>
    </row>
    <row r="123" ht="15.75" customHeight="1">
      <c r="A123" s="3">
        <f>IFERROR(__xludf.DUMMYFUNCTION("""COMPUTED_VALUE"""),40000.0)</f>
        <v>40000</v>
      </c>
      <c r="B123" s="1" t="str">
        <f>IFERROR(__xludf.DUMMYFUNCTION("""COMPUTED_VALUE"""),"43")</f>
        <v>43</v>
      </c>
    </row>
    <row r="124" ht="15.75" customHeight="1">
      <c r="A124" s="3">
        <f>IFERROR(__xludf.DUMMYFUNCTION("""COMPUTED_VALUE"""),20000.0)</f>
        <v>20000</v>
      </c>
      <c r="B124" s="1" t="str">
        <f>IFERROR(__xludf.DUMMYFUNCTION("""COMPUTED_VALUE"""),"58")</f>
        <v>58</v>
      </c>
    </row>
    <row r="125" ht="15.75" customHeight="1">
      <c r="A125" s="3">
        <f>IFERROR(__xludf.DUMMYFUNCTION("""COMPUTED_VALUE"""),30000.0)</f>
        <v>30000</v>
      </c>
      <c r="B125" s="1" t="str">
        <f>IFERROR(__xludf.DUMMYFUNCTION("""COMPUTED_VALUE"""),"54")</f>
        <v>54</v>
      </c>
    </row>
    <row r="126" ht="15.75" customHeight="1">
      <c r="A126" s="3">
        <f>IFERROR(__xludf.DUMMYFUNCTION("""COMPUTED_VALUE"""),90000.0)</f>
        <v>90000</v>
      </c>
      <c r="B126" s="1" t="str">
        <f>IFERROR(__xludf.DUMMYFUNCTION("""COMPUTED_VALUE"""),"36")</f>
        <v>36</v>
      </c>
    </row>
    <row r="127" ht="15.75" customHeight="1">
      <c r="A127" s="3">
        <f>IFERROR(__xludf.DUMMYFUNCTION("""COMPUTED_VALUE"""),40000.0)</f>
        <v>40000</v>
      </c>
      <c r="B127" s="1" t="str">
        <f>IFERROR(__xludf.DUMMYFUNCTION("""COMPUTED_VALUE"""),"35")</f>
        <v>35</v>
      </c>
    </row>
    <row r="128" ht="15.75" customHeight="1">
      <c r="A128" s="3">
        <f>IFERROR(__xludf.DUMMYFUNCTION("""COMPUTED_VALUE"""),60000.0)</f>
        <v>60000</v>
      </c>
      <c r="B128" s="1" t="str">
        <f>IFERROR(__xludf.DUMMYFUNCTION("""COMPUTED_VALUE"""),"45")</f>
        <v>45</v>
      </c>
    </row>
    <row r="129" ht="15.75" customHeight="1">
      <c r="A129" s="3">
        <f>IFERROR(__xludf.DUMMYFUNCTION("""COMPUTED_VALUE"""),10000.0)</f>
        <v>10000</v>
      </c>
      <c r="B129" s="1" t="str">
        <f>IFERROR(__xludf.DUMMYFUNCTION("""COMPUTED_VALUE"""),"38")</f>
        <v>38</v>
      </c>
    </row>
    <row r="130" ht="15.75" customHeight="1">
      <c r="A130" s="3">
        <f>IFERROR(__xludf.DUMMYFUNCTION("""COMPUTED_VALUE"""),30000.0)</f>
        <v>30000</v>
      </c>
      <c r="B130" s="1" t="str">
        <f>IFERROR(__xludf.DUMMYFUNCTION("""COMPUTED_VALUE"""),"59")</f>
        <v>59</v>
      </c>
    </row>
    <row r="131" ht="15.75" customHeight="1">
      <c r="A131" s="3">
        <f>IFERROR(__xludf.DUMMYFUNCTION("""COMPUTED_VALUE"""),30000.0)</f>
        <v>30000</v>
      </c>
      <c r="B131" s="1" t="str">
        <f>IFERROR(__xludf.DUMMYFUNCTION("""COMPUTED_VALUE"""),"47")</f>
        <v>47</v>
      </c>
    </row>
    <row r="132" ht="15.75" customHeight="1">
      <c r="A132" s="3">
        <f>IFERROR(__xludf.DUMMYFUNCTION("""COMPUTED_VALUE"""),40000.0)</f>
        <v>40000</v>
      </c>
      <c r="B132" s="1" t="str">
        <f>IFERROR(__xludf.DUMMYFUNCTION("""COMPUTED_VALUE"""),"35")</f>
        <v>35</v>
      </c>
    </row>
    <row r="133" ht="15.75" customHeight="1">
      <c r="A133" s="3">
        <f>IFERROR(__xludf.DUMMYFUNCTION("""COMPUTED_VALUE"""),20000.0)</f>
        <v>20000</v>
      </c>
      <c r="B133" s="1" t="str">
        <f>IFERROR(__xludf.DUMMYFUNCTION("""COMPUTED_VALUE"""),"55")</f>
        <v>55</v>
      </c>
    </row>
    <row r="134" ht="15.75" customHeight="1">
      <c r="A134" s="3">
        <f>IFERROR(__xludf.DUMMYFUNCTION("""COMPUTED_VALUE"""),40000.0)</f>
        <v>40000</v>
      </c>
      <c r="B134" s="1" t="str">
        <f>IFERROR(__xludf.DUMMYFUNCTION("""COMPUTED_VALUE"""),"36")</f>
        <v>36</v>
      </c>
    </row>
    <row r="135" ht="15.75" customHeight="1">
      <c r="A135" s="3">
        <f>IFERROR(__xludf.DUMMYFUNCTION("""COMPUTED_VALUE"""),80000.0)</f>
        <v>80000</v>
      </c>
      <c r="B135" s="1" t="str">
        <f>IFERROR(__xludf.DUMMYFUNCTION("""COMPUTED_VALUE"""),"35")</f>
        <v>35</v>
      </c>
    </row>
    <row r="136" ht="15.75" customHeight="1">
      <c r="A136" s="3">
        <f>IFERROR(__xludf.DUMMYFUNCTION("""COMPUTED_VALUE"""),40000.0)</f>
        <v>40000</v>
      </c>
      <c r="B136" s="1" t="str">
        <f>IFERROR(__xludf.DUMMYFUNCTION("""COMPUTED_VALUE"""),"35")</f>
        <v>35</v>
      </c>
    </row>
    <row r="137" ht="15.75" customHeight="1">
      <c r="A137" s="3">
        <f>IFERROR(__xludf.DUMMYFUNCTION("""COMPUTED_VALUE"""),80000.0)</f>
        <v>80000</v>
      </c>
      <c r="B137" s="1" t="str">
        <f>IFERROR(__xludf.DUMMYFUNCTION("""COMPUTED_VALUE"""),"56")</f>
        <v>56</v>
      </c>
    </row>
    <row r="138" ht="15.75" customHeight="1">
      <c r="A138" s="3">
        <f>IFERROR(__xludf.DUMMYFUNCTION("""COMPUTED_VALUE"""),40000.0)</f>
        <v>40000</v>
      </c>
      <c r="B138" s="1" t="str">
        <f>IFERROR(__xludf.DUMMYFUNCTION("""COMPUTED_VALUE"""),"34")</f>
        <v>34</v>
      </c>
    </row>
    <row r="139" ht="15.75" customHeight="1">
      <c r="A139" s="3">
        <f>IFERROR(__xludf.DUMMYFUNCTION("""COMPUTED_VALUE"""),30000.0)</f>
        <v>30000</v>
      </c>
      <c r="B139" s="1" t="str">
        <f>IFERROR(__xludf.DUMMYFUNCTION("""COMPUTED_VALUE"""),"63")</f>
        <v>63</v>
      </c>
    </row>
    <row r="140" ht="15.75" customHeight="1">
      <c r="A140" s="3">
        <f>IFERROR(__xludf.DUMMYFUNCTION("""COMPUTED_VALUE"""),30000.0)</f>
        <v>30000</v>
      </c>
      <c r="B140" s="1" t="str">
        <f>IFERROR(__xludf.DUMMYFUNCTION("""COMPUTED_VALUE"""),"29")</f>
        <v>29</v>
      </c>
    </row>
    <row r="141" ht="15.75" customHeight="1">
      <c r="A141" s="3">
        <f>IFERROR(__xludf.DUMMYFUNCTION("""COMPUTED_VALUE"""),100000.0)</f>
        <v>100000</v>
      </c>
      <c r="B141" s="1" t="str">
        <f>IFERROR(__xludf.DUMMYFUNCTION("""COMPUTED_VALUE"""),"40")</f>
        <v>40</v>
      </c>
    </row>
    <row r="142" ht="15.75" customHeight="1">
      <c r="A142" s="3">
        <f>IFERROR(__xludf.DUMMYFUNCTION("""COMPUTED_VALUE"""),70000.0)</f>
        <v>70000</v>
      </c>
      <c r="B142" s="1" t="str">
        <f>IFERROR(__xludf.DUMMYFUNCTION("""COMPUTED_VALUE"""),"44")</f>
        <v>44</v>
      </c>
    </row>
    <row r="143" ht="15.75" customHeight="1">
      <c r="A143" s="3">
        <f>IFERROR(__xludf.DUMMYFUNCTION("""COMPUTED_VALUE"""),20000.0)</f>
        <v>20000</v>
      </c>
      <c r="B143" s="1" t="str">
        <f>IFERROR(__xludf.DUMMYFUNCTION("""COMPUTED_VALUE"""),"32")</f>
        <v>32</v>
      </c>
    </row>
    <row r="144" ht="15.75" customHeight="1">
      <c r="A144" s="3">
        <f>IFERROR(__xludf.DUMMYFUNCTION("""COMPUTED_VALUE"""),20000.0)</f>
        <v>20000</v>
      </c>
      <c r="B144" s="1" t="str">
        <f>IFERROR(__xludf.DUMMYFUNCTION("""COMPUTED_VALUE"""),"63")</f>
        <v>63</v>
      </c>
    </row>
    <row r="145" ht="15.75" customHeight="1">
      <c r="A145" s="3">
        <f>IFERROR(__xludf.DUMMYFUNCTION("""COMPUTED_VALUE"""),10000.0)</f>
        <v>10000</v>
      </c>
      <c r="B145" s="1" t="str">
        <f>IFERROR(__xludf.DUMMYFUNCTION("""COMPUTED_VALUE"""),"26")</f>
        <v>26</v>
      </c>
    </row>
    <row r="146" ht="15.75" customHeight="1">
      <c r="A146" s="3">
        <f>IFERROR(__xludf.DUMMYFUNCTION("""COMPUTED_VALUE"""),20000.0)</f>
        <v>20000</v>
      </c>
      <c r="B146" s="1" t="str">
        <f>IFERROR(__xludf.DUMMYFUNCTION("""COMPUTED_VALUE"""),"31")</f>
        <v>31</v>
      </c>
    </row>
    <row r="147" ht="15.75" customHeight="1">
      <c r="A147" s="3">
        <f>IFERROR(__xludf.DUMMYFUNCTION("""COMPUTED_VALUE"""),80000.0)</f>
        <v>80000</v>
      </c>
      <c r="B147" s="1" t="str">
        <f>IFERROR(__xludf.DUMMYFUNCTION("""COMPUTED_VALUE"""),"50")</f>
        <v>50</v>
      </c>
    </row>
    <row r="148" ht="15.75" customHeight="1">
      <c r="A148" s="3">
        <f>IFERROR(__xludf.DUMMYFUNCTION("""COMPUTED_VALUE"""),90000.0)</f>
        <v>90000</v>
      </c>
      <c r="B148" s="1" t="str">
        <f>IFERROR(__xludf.DUMMYFUNCTION("""COMPUTED_VALUE"""),"62")</f>
        <v>62</v>
      </c>
    </row>
    <row r="149" ht="15.75" customHeight="1">
      <c r="A149" s="3">
        <f>IFERROR(__xludf.DUMMYFUNCTION("""COMPUTED_VALUE"""),10000.0)</f>
        <v>10000</v>
      </c>
      <c r="B149" s="1" t="str">
        <f>IFERROR(__xludf.DUMMYFUNCTION("""COMPUTED_VALUE"""),"41")</f>
        <v>41</v>
      </c>
    </row>
    <row r="150" ht="15.75" customHeight="1">
      <c r="A150" s="3">
        <f>IFERROR(__xludf.DUMMYFUNCTION("""COMPUTED_VALUE"""),10000.0)</f>
        <v>10000</v>
      </c>
      <c r="B150" s="1" t="str">
        <f>IFERROR(__xludf.DUMMYFUNCTION("""COMPUTED_VALUE"""),"50")</f>
        <v>50</v>
      </c>
    </row>
    <row r="151" ht="15.75" customHeight="1">
      <c r="A151" s="3">
        <f>IFERROR(__xludf.DUMMYFUNCTION("""COMPUTED_VALUE"""),30000.0)</f>
        <v>30000</v>
      </c>
      <c r="B151" s="1" t="str">
        <f>IFERROR(__xludf.DUMMYFUNCTION("""COMPUTED_VALUE"""),"30")</f>
        <v>30</v>
      </c>
    </row>
    <row r="152" ht="15.75" customHeight="1">
      <c r="A152" s="3">
        <f>IFERROR(__xludf.DUMMYFUNCTION("""COMPUTED_VALUE"""),20000.0)</f>
        <v>20000</v>
      </c>
      <c r="B152" s="1" t="str">
        <f>IFERROR(__xludf.DUMMYFUNCTION("""COMPUTED_VALUE"""),"28")</f>
        <v>28</v>
      </c>
    </row>
    <row r="153" ht="15.75" customHeight="1">
      <c r="A153" s="3">
        <f>IFERROR(__xludf.DUMMYFUNCTION("""COMPUTED_VALUE"""),10000.0)</f>
        <v>10000</v>
      </c>
      <c r="B153" s="1" t="str">
        <f>IFERROR(__xludf.DUMMYFUNCTION("""COMPUTED_VALUE"""),"40")</f>
        <v>40</v>
      </c>
    </row>
    <row r="154" ht="15.75" customHeight="1">
      <c r="A154" s="3">
        <f>IFERROR(__xludf.DUMMYFUNCTION("""COMPUTED_VALUE"""),30000.0)</f>
        <v>30000</v>
      </c>
      <c r="B154" s="1" t="str">
        <f>IFERROR(__xludf.DUMMYFUNCTION("""COMPUTED_VALUE"""),"43")</f>
        <v>43</v>
      </c>
    </row>
    <row r="155" ht="15.75" customHeight="1">
      <c r="A155" s="3">
        <f>IFERROR(__xludf.DUMMYFUNCTION("""COMPUTED_VALUE"""),40000.0)</f>
        <v>40000</v>
      </c>
      <c r="B155" s="1" t="str">
        <f>IFERROR(__xludf.DUMMYFUNCTION("""COMPUTED_VALUE"""),"65")</f>
        <v>65</v>
      </c>
    </row>
    <row r="156" ht="15.75" customHeight="1">
      <c r="A156" s="3">
        <f>IFERROR(__xludf.DUMMYFUNCTION("""COMPUTED_VALUE"""),10000.0)</f>
        <v>10000</v>
      </c>
      <c r="B156" s="1" t="str">
        <f>IFERROR(__xludf.DUMMYFUNCTION("""COMPUTED_VALUE"""),"40")</f>
        <v>40</v>
      </c>
    </row>
    <row r="157" ht="15.75" customHeight="1">
      <c r="A157" s="3">
        <f>IFERROR(__xludf.DUMMYFUNCTION("""COMPUTED_VALUE"""),170000.0)</f>
        <v>170000</v>
      </c>
      <c r="B157" s="1" t="str">
        <f>IFERROR(__xludf.DUMMYFUNCTION("""COMPUTED_VALUE"""),"48")</f>
        <v>48</v>
      </c>
    </row>
    <row r="158" ht="15.75" customHeight="1">
      <c r="A158" s="3">
        <f>IFERROR(__xludf.DUMMYFUNCTION("""COMPUTED_VALUE"""),20000.0)</f>
        <v>20000</v>
      </c>
      <c r="B158" s="1" t="str">
        <f>IFERROR(__xludf.DUMMYFUNCTION("""COMPUTED_VALUE"""),"41")</f>
        <v>41</v>
      </c>
    </row>
    <row r="159" ht="15.75" customHeight="1">
      <c r="A159" s="3">
        <f>IFERROR(__xludf.DUMMYFUNCTION("""COMPUTED_VALUE"""),20000.0)</f>
        <v>20000</v>
      </c>
      <c r="B159" s="1" t="str">
        <f>IFERROR(__xludf.DUMMYFUNCTION("""COMPUTED_VALUE"""),"66")</f>
        <v>66</v>
      </c>
    </row>
    <row r="160" ht="15.75" customHeight="1">
      <c r="A160" s="3">
        <f>IFERROR(__xludf.DUMMYFUNCTION("""COMPUTED_VALUE"""),60000.0)</f>
        <v>60000</v>
      </c>
      <c r="B160" s="1" t="str">
        <f>IFERROR(__xludf.DUMMYFUNCTION("""COMPUTED_VALUE"""),"46")</f>
        <v>46</v>
      </c>
    </row>
    <row r="161" ht="15.75" customHeight="1">
      <c r="A161" s="3">
        <f>IFERROR(__xludf.DUMMYFUNCTION("""COMPUTED_VALUE"""),40000.0)</f>
        <v>40000</v>
      </c>
      <c r="B161" s="1" t="str">
        <f>IFERROR(__xludf.DUMMYFUNCTION("""COMPUTED_VALUE"""),"52")</f>
        <v>52</v>
      </c>
    </row>
    <row r="162" ht="15.75" customHeight="1">
      <c r="A162" s="3">
        <f>IFERROR(__xludf.DUMMYFUNCTION("""COMPUTED_VALUE"""),30000.0)</f>
        <v>30000</v>
      </c>
      <c r="B162" s="1" t="str">
        <f>IFERROR(__xludf.DUMMYFUNCTION("""COMPUTED_VALUE"""),"42")</f>
        <v>42</v>
      </c>
    </row>
    <row r="163" ht="15.75" customHeight="1">
      <c r="A163" s="3">
        <f>IFERROR(__xludf.DUMMYFUNCTION("""COMPUTED_VALUE"""),40000.0)</f>
        <v>40000</v>
      </c>
      <c r="B163" s="1" t="str">
        <f>IFERROR(__xludf.DUMMYFUNCTION("""COMPUTED_VALUE"""),"39")</f>
        <v>39</v>
      </c>
    </row>
    <row r="164" ht="15.75" customHeight="1">
      <c r="A164" s="3">
        <f>IFERROR(__xludf.DUMMYFUNCTION("""COMPUTED_VALUE"""),30000.0)</f>
        <v>30000</v>
      </c>
      <c r="B164" s="1" t="str">
        <f>IFERROR(__xludf.DUMMYFUNCTION("""COMPUTED_VALUE"""),"28")</f>
        <v>28</v>
      </c>
    </row>
    <row r="165" ht="15.75" customHeight="1">
      <c r="A165" s="3">
        <f>IFERROR(__xludf.DUMMYFUNCTION("""COMPUTED_VALUE"""),80000.0)</f>
        <v>80000</v>
      </c>
      <c r="B165" s="1" t="str">
        <f>IFERROR(__xludf.DUMMYFUNCTION("""COMPUTED_VALUE"""),"35")</f>
        <v>35</v>
      </c>
    </row>
    <row r="166" ht="15.75" customHeight="1">
      <c r="A166" s="3">
        <f>IFERROR(__xludf.DUMMYFUNCTION("""COMPUTED_VALUE"""),20000.0)</f>
        <v>20000</v>
      </c>
      <c r="B166" s="1" t="str">
        <f>IFERROR(__xludf.DUMMYFUNCTION("""COMPUTED_VALUE"""),"65")</f>
        <v>65</v>
      </c>
    </row>
    <row r="167" ht="15.75" customHeight="1">
      <c r="A167" s="3">
        <f>IFERROR(__xludf.DUMMYFUNCTION("""COMPUTED_VALUE"""),90000.0)</f>
        <v>90000</v>
      </c>
      <c r="B167" s="1" t="str">
        <f>IFERROR(__xludf.DUMMYFUNCTION("""COMPUTED_VALUE"""),"56")</f>
        <v>56</v>
      </c>
    </row>
    <row r="168" ht="15.75" customHeight="1">
      <c r="A168" s="3">
        <f>IFERROR(__xludf.DUMMYFUNCTION("""COMPUTED_VALUE"""),70000.0)</f>
        <v>70000</v>
      </c>
      <c r="B168" s="1" t="str">
        <f>IFERROR(__xludf.DUMMYFUNCTION("""COMPUTED_VALUE"""),"42")</f>
        <v>42</v>
      </c>
    </row>
    <row r="169" ht="15.75" customHeight="1">
      <c r="A169" s="3">
        <f>IFERROR(__xludf.DUMMYFUNCTION("""COMPUTED_VALUE"""),80000.0)</f>
        <v>80000</v>
      </c>
      <c r="B169" s="1" t="str">
        <f>IFERROR(__xludf.DUMMYFUNCTION("""COMPUTED_VALUE"""),"54")</f>
        <v>54</v>
      </c>
    </row>
    <row r="170" ht="15.75" customHeight="1">
      <c r="A170" s="3">
        <f>IFERROR(__xludf.DUMMYFUNCTION("""COMPUTED_VALUE"""),40000.0)</f>
        <v>40000</v>
      </c>
      <c r="B170" s="1" t="str">
        <f>IFERROR(__xludf.DUMMYFUNCTION("""COMPUTED_VALUE"""),"38")</f>
        <v>38</v>
      </c>
    </row>
    <row r="171" ht="15.75" customHeight="1">
      <c r="A171" s="3">
        <f>IFERROR(__xludf.DUMMYFUNCTION("""COMPUTED_VALUE"""),130000.0)</f>
        <v>130000</v>
      </c>
      <c r="B171" s="1" t="str">
        <f>IFERROR(__xludf.DUMMYFUNCTION("""COMPUTED_VALUE"""),"61")</f>
        <v>61</v>
      </c>
    </row>
    <row r="172" ht="15.75" customHeight="1">
      <c r="A172" s="3">
        <f>IFERROR(__xludf.DUMMYFUNCTION("""COMPUTED_VALUE"""),40000.0)</f>
        <v>40000</v>
      </c>
      <c r="B172" s="1" t="str">
        <f>IFERROR(__xludf.DUMMYFUNCTION("""COMPUTED_VALUE"""),"43")</f>
        <v>43</v>
      </c>
    </row>
    <row r="173" ht="15.75" customHeight="1">
      <c r="A173" s="3">
        <f>IFERROR(__xludf.DUMMYFUNCTION("""COMPUTED_VALUE"""),60000.0)</f>
        <v>60000</v>
      </c>
      <c r="B173" s="1" t="str">
        <f>IFERROR(__xludf.DUMMYFUNCTION("""COMPUTED_VALUE"""),"38")</f>
        <v>38</v>
      </c>
    </row>
    <row r="174" ht="15.75" customHeight="1">
      <c r="A174" s="3">
        <f>IFERROR(__xludf.DUMMYFUNCTION("""COMPUTED_VALUE"""),10000.0)</f>
        <v>10000</v>
      </c>
      <c r="B174" s="1" t="str">
        <f>IFERROR(__xludf.DUMMYFUNCTION("""COMPUTED_VALUE"""),"45")</f>
        <v>45</v>
      </c>
    </row>
    <row r="175" ht="15.75" customHeight="1">
      <c r="A175" s="3">
        <f>IFERROR(__xludf.DUMMYFUNCTION("""COMPUTED_VALUE"""),10000.0)</f>
        <v>10000</v>
      </c>
      <c r="B175" s="1" t="str">
        <f>IFERROR(__xludf.DUMMYFUNCTION("""COMPUTED_VALUE"""),"35")</f>
        <v>35</v>
      </c>
    </row>
    <row r="176" ht="15.75" customHeight="1">
      <c r="A176" s="3">
        <f>IFERROR(__xludf.DUMMYFUNCTION("""COMPUTED_VALUE"""),40000.0)</f>
        <v>40000</v>
      </c>
      <c r="B176" s="1" t="str">
        <f>IFERROR(__xludf.DUMMYFUNCTION("""COMPUTED_VALUE"""),"52")</f>
        <v>52</v>
      </c>
    </row>
    <row r="177" ht="15.75" customHeight="1">
      <c r="A177" s="3">
        <f>IFERROR(__xludf.DUMMYFUNCTION("""COMPUTED_VALUE"""),60000.0)</f>
        <v>60000</v>
      </c>
      <c r="B177" s="1" t="str">
        <f>IFERROR(__xludf.DUMMYFUNCTION("""COMPUTED_VALUE"""),"41")</f>
        <v>41</v>
      </c>
    </row>
    <row r="178" ht="15.75" customHeight="1">
      <c r="A178" s="3">
        <f>IFERROR(__xludf.DUMMYFUNCTION("""COMPUTED_VALUE"""),30000.0)</f>
        <v>30000</v>
      </c>
      <c r="B178" s="1" t="str">
        <f>IFERROR(__xludf.DUMMYFUNCTION("""COMPUTED_VALUE"""),"37")</f>
        <v>37</v>
      </c>
    </row>
    <row r="179" ht="15.75" customHeight="1">
      <c r="A179" s="3">
        <f>IFERROR(__xludf.DUMMYFUNCTION("""COMPUTED_VALUE"""),30000.0)</f>
        <v>30000</v>
      </c>
      <c r="B179" s="1" t="str">
        <f>IFERROR(__xludf.DUMMYFUNCTION("""COMPUTED_VALUE"""),"68")</f>
        <v>68</v>
      </c>
    </row>
    <row r="180" ht="15.75" customHeight="1">
      <c r="A180" s="3">
        <f>IFERROR(__xludf.DUMMYFUNCTION("""COMPUTED_VALUE"""),40000.0)</f>
        <v>40000</v>
      </c>
      <c r="B180" s="1" t="str">
        <f>IFERROR(__xludf.DUMMYFUNCTION("""COMPUTED_VALUE"""),"37")</f>
        <v>37</v>
      </c>
    </row>
    <row r="181" ht="15.75" customHeight="1">
      <c r="A181" s="3">
        <f>IFERROR(__xludf.DUMMYFUNCTION("""COMPUTED_VALUE"""),30000.0)</f>
        <v>30000</v>
      </c>
      <c r="B181" s="1" t="str">
        <f>IFERROR(__xludf.DUMMYFUNCTION("""COMPUTED_VALUE"""),"33")</f>
        <v>33</v>
      </c>
    </row>
    <row r="182" ht="15.75" customHeight="1">
      <c r="A182" s="3">
        <f>IFERROR(__xludf.DUMMYFUNCTION("""COMPUTED_VALUE"""),20000.0)</f>
        <v>20000</v>
      </c>
      <c r="B182" s="1" t="str">
        <f>IFERROR(__xludf.DUMMYFUNCTION("""COMPUTED_VALUE"""),"43")</f>
        <v>43</v>
      </c>
    </row>
    <row r="183" ht="15.75" customHeight="1">
      <c r="A183" s="3">
        <f>IFERROR(__xludf.DUMMYFUNCTION("""COMPUTED_VALUE"""),10000.0)</f>
        <v>10000</v>
      </c>
      <c r="B183" s="1" t="str">
        <f>IFERROR(__xludf.DUMMYFUNCTION("""COMPUTED_VALUE"""),"30")</f>
        <v>30</v>
      </c>
    </row>
    <row r="184" ht="15.75" customHeight="1">
      <c r="A184" s="3">
        <f>IFERROR(__xludf.DUMMYFUNCTION("""COMPUTED_VALUE"""),120000.0)</f>
        <v>120000</v>
      </c>
      <c r="B184" s="1" t="str">
        <f>IFERROR(__xludf.DUMMYFUNCTION("""COMPUTED_VALUE"""),"36")</f>
        <v>36</v>
      </c>
    </row>
    <row r="185" ht="15.75" customHeight="1">
      <c r="A185" s="3">
        <f>IFERROR(__xludf.DUMMYFUNCTION("""COMPUTED_VALUE"""),10000.0)</f>
        <v>10000</v>
      </c>
      <c r="B185" s="1" t="str">
        <f>IFERROR(__xludf.DUMMYFUNCTION("""COMPUTED_VALUE"""),"35")</f>
        <v>35</v>
      </c>
    </row>
    <row r="186" ht="15.75" customHeight="1">
      <c r="A186" s="3">
        <f>IFERROR(__xludf.DUMMYFUNCTION("""COMPUTED_VALUE"""),130000.0)</f>
        <v>130000</v>
      </c>
      <c r="B186" s="1" t="str">
        <f>IFERROR(__xludf.DUMMYFUNCTION("""COMPUTED_VALUE"""),"52")</f>
        <v>52</v>
      </c>
    </row>
    <row r="187" ht="15.75" customHeight="1">
      <c r="A187" s="3">
        <f>IFERROR(__xludf.DUMMYFUNCTION("""COMPUTED_VALUE"""),20000.0)</f>
        <v>20000</v>
      </c>
      <c r="B187" s="1" t="str">
        <f>IFERROR(__xludf.DUMMYFUNCTION("""COMPUTED_VALUE"""),"36")</f>
        <v>36</v>
      </c>
    </row>
    <row r="188" ht="15.75" customHeight="1">
      <c r="A188" s="3">
        <f>IFERROR(__xludf.DUMMYFUNCTION("""COMPUTED_VALUE"""),20000.0)</f>
        <v>20000</v>
      </c>
      <c r="B188" s="1" t="str">
        <f>IFERROR(__xludf.DUMMYFUNCTION("""COMPUTED_VALUE"""),"62")</f>
        <v>62</v>
      </c>
    </row>
    <row r="189" ht="15.75" customHeight="1">
      <c r="A189" s="3">
        <f>IFERROR(__xludf.DUMMYFUNCTION("""COMPUTED_VALUE"""),130000.0)</f>
        <v>130000</v>
      </c>
      <c r="B189" s="1" t="str">
        <f>IFERROR(__xludf.DUMMYFUNCTION("""COMPUTED_VALUE"""),"31")</f>
        <v>31</v>
      </c>
    </row>
    <row r="190" ht="15.75" customHeight="1">
      <c r="A190" s="3">
        <f>IFERROR(__xludf.DUMMYFUNCTION("""COMPUTED_VALUE"""),20000.0)</f>
        <v>20000</v>
      </c>
      <c r="B190" s="1" t="str">
        <f>IFERROR(__xludf.DUMMYFUNCTION("""COMPUTED_VALUE"""),"26")</f>
        <v>26</v>
      </c>
    </row>
    <row r="191" ht="15.75" customHeight="1">
      <c r="A191" s="3">
        <f>IFERROR(__xludf.DUMMYFUNCTION("""COMPUTED_VALUE"""),80000.0)</f>
        <v>80000</v>
      </c>
      <c r="B191" s="1" t="str">
        <f>IFERROR(__xludf.DUMMYFUNCTION("""COMPUTED_VALUE"""),"29")</f>
        <v>29</v>
      </c>
    </row>
    <row r="192" ht="15.75" customHeight="1">
      <c r="A192" s="3">
        <f>IFERROR(__xludf.DUMMYFUNCTION("""COMPUTED_VALUE"""),80000.0)</f>
        <v>80000</v>
      </c>
      <c r="B192" s="1" t="str">
        <f>IFERROR(__xludf.DUMMYFUNCTION("""COMPUTED_VALUE"""),"50")</f>
        <v>50</v>
      </c>
    </row>
    <row r="193" ht="15.75" customHeight="1">
      <c r="A193" s="3">
        <f>IFERROR(__xludf.DUMMYFUNCTION("""COMPUTED_VALUE"""),40000.0)</f>
        <v>40000</v>
      </c>
      <c r="B193" s="1" t="str">
        <f>IFERROR(__xludf.DUMMYFUNCTION("""COMPUTED_VALUE"""),"63")</f>
        <v>63</v>
      </c>
    </row>
    <row r="194" ht="15.75" customHeight="1">
      <c r="A194" s="3">
        <f>IFERROR(__xludf.DUMMYFUNCTION("""COMPUTED_VALUE"""),30000.0)</f>
        <v>30000</v>
      </c>
      <c r="B194" s="1" t="str">
        <f>IFERROR(__xludf.DUMMYFUNCTION("""COMPUTED_VALUE"""),"45")</f>
        <v>45</v>
      </c>
    </row>
    <row r="195" ht="15.75" customHeight="1">
      <c r="A195" s="3">
        <f>IFERROR(__xludf.DUMMYFUNCTION("""COMPUTED_VALUE"""),10000.0)</f>
        <v>10000</v>
      </c>
      <c r="B195" s="1" t="str">
        <f>IFERROR(__xludf.DUMMYFUNCTION("""COMPUTED_VALUE"""),"40")</f>
        <v>40</v>
      </c>
    </row>
    <row r="196" ht="15.75" customHeight="1">
      <c r="A196" s="3">
        <f>IFERROR(__xludf.DUMMYFUNCTION("""COMPUTED_VALUE"""),30000.0)</f>
        <v>30000</v>
      </c>
      <c r="B196" s="1" t="str">
        <f>IFERROR(__xludf.DUMMYFUNCTION("""COMPUTED_VALUE"""),"47")</f>
        <v>47</v>
      </c>
    </row>
    <row r="197" ht="15.75" customHeight="1">
      <c r="A197" s="3">
        <f>IFERROR(__xludf.DUMMYFUNCTION("""COMPUTED_VALUE"""),20000.0)</f>
        <v>20000</v>
      </c>
      <c r="B197" s="1" t="str">
        <f>IFERROR(__xludf.DUMMYFUNCTION("""COMPUTED_VALUE"""),"29")</f>
        <v>29</v>
      </c>
    </row>
    <row r="198" ht="15.75" customHeight="1">
      <c r="A198" s="3">
        <f>IFERROR(__xludf.DUMMYFUNCTION("""COMPUTED_VALUE"""),40000.0)</f>
        <v>40000</v>
      </c>
      <c r="B198" s="1" t="str">
        <f>IFERROR(__xludf.DUMMYFUNCTION("""COMPUTED_VALUE"""),"52")</f>
        <v>52</v>
      </c>
    </row>
    <row r="199" ht="15.75" customHeight="1">
      <c r="A199" s="3">
        <f>IFERROR(__xludf.DUMMYFUNCTION("""COMPUTED_VALUE"""),10000.0)</f>
        <v>10000</v>
      </c>
      <c r="B199" s="1" t="str">
        <f>IFERROR(__xludf.DUMMYFUNCTION("""COMPUTED_VALUE"""),"26")</f>
        <v>26</v>
      </c>
    </row>
    <row r="200" ht="15.75" customHeight="1">
      <c r="A200" s="3">
        <f>IFERROR(__xludf.DUMMYFUNCTION("""COMPUTED_VALUE"""),130000.0)</f>
        <v>130000</v>
      </c>
      <c r="B200" s="1" t="str">
        <f>IFERROR(__xludf.DUMMYFUNCTION("""COMPUTED_VALUE"""),"51")</f>
        <v>51</v>
      </c>
    </row>
    <row r="201" ht="15.75" customHeight="1">
      <c r="A201" s="3">
        <f>IFERROR(__xludf.DUMMYFUNCTION("""COMPUTED_VALUE"""),80000.0)</f>
        <v>80000</v>
      </c>
      <c r="B201" s="1" t="str">
        <f>IFERROR(__xludf.DUMMYFUNCTION("""COMPUTED_VALUE"""),"40")</f>
        <v>40</v>
      </c>
    </row>
    <row r="202" ht="15.75" customHeight="1">
      <c r="A202" s="3">
        <f>IFERROR(__xludf.DUMMYFUNCTION("""COMPUTED_VALUE"""),30000.0)</f>
        <v>30000</v>
      </c>
      <c r="B202" s="1" t="str">
        <f>IFERROR(__xludf.DUMMYFUNCTION("""COMPUTED_VALUE"""),"29")</f>
        <v>29</v>
      </c>
    </row>
    <row r="203" ht="15.75" customHeight="1">
      <c r="A203" s="3">
        <f>IFERROR(__xludf.DUMMYFUNCTION("""COMPUTED_VALUE"""),20000.0)</f>
        <v>20000</v>
      </c>
      <c r="B203" s="1" t="str">
        <f>IFERROR(__xludf.DUMMYFUNCTION("""COMPUTED_VALUE"""),"40")</f>
        <v>40</v>
      </c>
    </row>
    <row r="204" ht="15.75" customHeight="1">
      <c r="A204" s="3">
        <f>IFERROR(__xludf.DUMMYFUNCTION("""COMPUTED_VALUE"""),30000.0)</f>
        <v>30000</v>
      </c>
      <c r="B204" s="1" t="str">
        <f>IFERROR(__xludf.DUMMYFUNCTION("""COMPUTED_VALUE"""),"29")</f>
        <v>29</v>
      </c>
    </row>
    <row r="205" ht="15.75" customHeight="1">
      <c r="A205" s="3">
        <f>IFERROR(__xludf.DUMMYFUNCTION("""COMPUTED_VALUE"""),30000.0)</f>
        <v>30000</v>
      </c>
      <c r="B205" s="1" t="str">
        <f>IFERROR(__xludf.DUMMYFUNCTION("""COMPUTED_VALUE"""),"30")</f>
        <v>30</v>
      </c>
    </row>
    <row r="206" ht="15.75" customHeight="1">
      <c r="A206" s="3">
        <f>IFERROR(__xludf.DUMMYFUNCTION("""COMPUTED_VALUE"""),60000.0)</f>
        <v>60000</v>
      </c>
      <c r="B206" s="1" t="str">
        <f>IFERROR(__xludf.DUMMYFUNCTION("""COMPUTED_VALUE"""),"37")</f>
        <v>37</v>
      </c>
    </row>
    <row r="207" ht="15.75" customHeight="1">
      <c r="A207" s="3">
        <f>IFERROR(__xludf.DUMMYFUNCTION("""COMPUTED_VALUE"""),30000.0)</f>
        <v>30000</v>
      </c>
      <c r="B207" s="1" t="str">
        <f>IFERROR(__xludf.DUMMYFUNCTION("""COMPUTED_VALUE"""),"33")</f>
        <v>33</v>
      </c>
    </row>
    <row r="208" ht="15.75" customHeight="1">
      <c r="A208" s="3">
        <f>IFERROR(__xludf.DUMMYFUNCTION("""COMPUTED_VALUE"""),30000.0)</f>
        <v>30000</v>
      </c>
      <c r="B208" s="1" t="str">
        <f>IFERROR(__xludf.DUMMYFUNCTION("""COMPUTED_VALUE"""),"55")</f>
        <v>55</v>
      </c>
    </row>
    <row r="209" ht="15.75" customHeight="1">
      <c r="A209" s="3">
        <f>IFERROR(__xludf.DUMMYFUNCTION("""COMPUTED_VALUE"""),90000.0)</f>
        <v>90000</v>
      </c>
      <c r="B209" s="1" t="str">
        <f>IFERROR(__xludf.DUMMYFUNCTION("""COMPUTED_VALUE"""),"62")</f>
        <v>62</v>
      </c>
    </row>
    <row r="210" ht="15.75" customHeight="1">
      <c r="A210" s="3">
        <f>IFERROR(__xludf.DUMMYFUNCTION("""COMPUTED_VALUE"""),30000.0)</f>
        <v>30000</v>
      </c>
      <c r="B210" s="1" t="str">
        <f>IFERROR(__xludf.DUMMYFUNCTION("""COMPUTED_VALUE"""),"43")</f>
        <v>43</v>
      </c>
    </row>
    <row r="211" ht="15.75" customHeight="1">
      <c r="A211" s="3">
        <f>IFERROR(__xludf.DUMMYFUNCTION("""COMPUTED_VALUE"""),40000.0)</f>
        <v>40000</v>
      </c>
      <c r="B211" s="1" t="str">
        <f>IFERROR(__xludf.DUMMYFUNCTION("""COMPUTED_VALUE"""),"44")</f>
        <v>44</v>
      </c>
    </row>
    <row r="212" ht="15.75" customHeight="1">
      <c r="A212" s="3">
        <f>IFERROR(__xludf.DUMMYFUNCTION("""COMPUTED_VALUE"""),20000.0)</f>
        <v>20000</v>
      </c>
      <c r="B212" s="1" t="str">
        <f>IFERROR(__xludf.DUMMYFUNCTION("""COMPUTED_VALUE"""),"43")</f>
        <v>43</v>
      </c>
    </row>
    <row r="213" ht="15.75" customHeight="1">
      <c r="A213" s="3">
        <f>IFERROR(__xludf.DUMMYFUNCTION("""COMPUTED_VALUE"""),10000.0)</f>
        <v>10000</v>
      </c>
      <c r="B213" s="1" t="str">
        <f>IFERROR(__xludf.DUMMYFUNCTION("""COMPUTED_VALUE"""),"35")</f>
        <v>35</v>
      </c>
    </row>
    <row r="214" ht="15.75" customHeight="1">
      <c r="A214" s="3">
        <f>IFERROR(__xludf.DUMMYFUNCTION("""COMPUTED_VALUE"""),60000.0)</f>
        <v>60000</v>
      </c>
      <c r="B214" s="1" t="str">
        <f>IFERROR(__xludf.DUMMYFUNCTION("""COMPUTED_VALUE"""),"43")</f>
        <v>43</v>
      </c>
    </row>
    <row r="215" ht="15.75" customHeight="1">
      <c r="A215" s="3">
        <f>IFERROR(__xludf.DUMMYFUNCTION("""COMPUTED_VALUE"""),10000.0)</f>
        <v>10000</v>
      </c>
      <c r="B215" s="1" t="str">
        <f>IFERROR(__xludf.DUMMYFUNCTION("""COMPUTED_VALUE"""),"49")</f>
        <v>49</v>
      </c>
    </row>
    <row r="216" ht="15.75" customHeight="1">
      <c r="A216" s="3">
        <f>IFERROR(__xludf.DUMMYFUNCTION("""COMPUTED_VALUE"""),60000.0)</f>
        <v>60000</v>
      </c>
      <c r="B216" s="1" t="str">
        <f>IFERROR(__xludf.DUMMYFUNCTION("""COMPUTED_VALUE"""),"45")</f>
        <v>45</v>
      </c>
    </row>
    <row r="217" ht="15.75" customHeight="1">
      <c r="A217" s="3">
        <f>IFERROR(__xludf.DUMMYFUNCTION("""COMPUTED_VALUE"""),70000.0)</f>
        <v>70000</v>
      </c>
      <c r="B217" s="1" t="str">
        <f>IFERROR(__xludf.DUMMYFUNCTION("""COMPUTED_VALUE"""),"49")</f>
        <v>49</v>
      </c>
    </row>
    <row r="218" ht="15.75" customHeight="1">
      <c r="A218" s="3">
        <f>IFERROR(__xludf.DUMMYFUNCTION("""COMPUTED_VALUE"""),30000.0)</f>
        <v>30000</v>
      </c>
      <c r="B218" s="1" t="str">
        <f>IFERROR(__xludf.DUMMYFUNCTION("""COMPUTED_VALUE"""),"30")</f>
        <v>30</v>
      </c>
    </row>
    <row r="219" ht="15.75" customHeight="1">
      <c r="A219" s="3">
        <f>IFERROR(__xludf.DUMMYFUNCTION("""COMPUTED_VALUE"""),70000.0)</f>
        <v>70000</v>
      </c>
      <c r="B219" s="1" t="str">
        <f>IFERROR(__xludf.DUMMYFUNCTION("""COMPUTED_VALUE"""),"52")</f>
        <v>52</v>
      </c>
    </row>
    <row r="220" ht="15.75" customHeight="1">
      <c r="A220" s="3">
        <f>IFERROR(__xludf.DUMMYFUNCTION("""COMPUTED_VALUE"""),40000.0)</f>
        <v>40000</v>
      </c>
      <c r="B220" s="1" t="str">
        <f>IFERROR(__xludf.DUMMYFUNCTION("""COMPUTED_VALUE"""),"53")</f>
        <v>53</v>
      </c>
    </row>
    <row r="221" ht="15.75" customHeight="1">
      <c r="A221" s="3">
        <f>IFERROR(__xludf.DUMMYFUNCTION("""COMPUTED_VALUE"""),40000.0)</f>
        <v>40000</v>
      </c>
      <c r="B221" s="1" t="str">
        <f>IFERROR(__xludf.DUMMYFUNCTION("""COMPUTED_VALUE"""),"38")</f>
        <v>38</v>
      </c>
    </row>
    <row r="222" ht="15.75" customHeight="1">
      <c r="A222" s="3">
        <f>IFERROR(__xludf.DUMMYFUNCTION("""COMPUTED_VALUE"""),40000.0)</f>
        <v>40000</v>
      </c>
      <c r="B222" s="1" t="str">
        <f>IFERROR(__xludf.DUMMYFUNCTION("""COMPUTED_VALUE"""),"39")</f>
        <v>39</v>
      </c>
    </row>
    <row r="223" ht="15.75" customHeight="1">
      <c r="A223" s="3">
        <f>IFERROR(__xludf.DUMMYFUNCTION("""COMPUTED_VALUE"""),70000.0)</f>
        <v>70000</v>
      </c>
      <c r="B223" s="1" t="str">
        <f>IFERROR(__xludf.DUMMYFUNCTION("""COMPUTED_VALUE"""),"38")</f>
        <v>38</v>
      </c>
    </row>
    <row r="224" ht="15.75" customHeight="1">
      <c r="A224" s="3">
        <f>IFERROR(__xludf.DUMMYFUNCTION("""COMPUTED_VALUE"""),40000.0)</f>
        <v>40000</v>
      </c>
      <c r="B224" s="1" t="str">
        <f>IFERROR(__xludf.DUMMYFUNCTION("""COMPUTED_VALUE"""),"35")</f>
        <v>35</v>
      </c>
    </row>
    <row r="225" ht="15.75" customHeight="1">
      <c r="A225" s="3">
        <f>IFERROR(__xludf.DUMMYFUNCTION("""COMPUTED_VALUE"""),130000.0)</f>
        <v>130000</v>
      </c>
      <c r="B225" s="1" t="str">
        <f>IFERROR(__xludf.DUMMYFUNCTION("""COMPUTED_VALUE"""),"36")</f>
        <v>36</v>
      </c>
    </row>
    <row r="226" ht="15.75" customHeight="1">
      <c r="A226" s="3">
        <f>IFERROR(__xludf.DUMMYFUNCTION("""COMPUTED_VALUE"""),20000.0)</f>
        <v>20000</v>
      </c>
      <c r="B226" s="1" t="str">
        <f>IFERROR(__xludf.DUMMYFUNCTION("""COMPUTED_VALUE"""),"26")</f>
        <v>26</v>
      </c>
    </row>
    <row r="227" ht="15.75" customHeight="1">
      <c r="A227" s="3">
        <f>IFERROR(__xludf.DUMMYFUNCTION("""COMPUTED_VALUE"""),10000.0)</f>
        <v>10000</v>
      </c>
      <c r="B227" s="1" t="str">
        <f>IFERROR(__xludf.DUMMYFUNCTION("""COMPUTED_VALUE"""),"30")</f>
        <v>30</v>
      </c>
    </row>
    <row r="228" ht="15.75" customHeight="1">
      <c r="A228" s="3">
        <f>IFERROR(__xludf.DUMMYFUNCTION("""COMPUTED_VALUE"""),30000.0)</f>
        <v>30000</v>
      </c>
      <c r="B228" s="1" t="str">
        <f>IFERROR(__xludf.DUMMYFUNCTION("""COMPUTED_VALUE"""),"42")</f>
        <v>42</v>
      </c>
    </row>
    <row r="229" ht="15.75" customHeight="1">
      <c r="A229" s="3">
        <f>IFERROR(__xludf.DUMMYFUNCTION("""COMPUTED_VALUE"""),80000.0)</f>
        <v>80000</v>
      </c>
      <c r="B229" s="1" t="str">
        <f>IFERROR(__xludf.DUMMYFUNCTION("""COMPUTED_VALUE"""),"62")</f>
        <v>62</v>
      </c>
    </row>
    <row r="230" ht="15.75" customHeight="1">
      <c r="A230" s="3">
        <f>IFERROR(__xludf.DUMMYFUNCTION("""COMPUTED_VALUE"""),30000.0)</f>
        <v>30000</v>
      </c>
      <c r="B230" s="1" t="str">
        <f>IFERROR(__xludf.DUMMYFUNCTION("""COMPUTED_VALUE"""),"29")</f>
        <v>29</v>
      </c>
    </row>
    <row r="231" ht="15.75" customHeight="1">
      <c r="A231" s="3">
        <f>IFERROR(__xludf.DUMMYFUNCTION("""COMPUTED_VALUE"""),40000.0)</f>
        <v>40000</v>
      </c>
      <c r="B231" s="1" t="str">
        <f>IFERROR(__xludf.DUMMYFUNCTION("""COMPUTED_VALUE"""),"66")</f>
        <v>66</v>
      </c>
    </row>
    <row r="232" ht="15.75" customHeight="1">
      <c r="A232" s="3">
        <f>IFERROR(__xludf.DUMMYFUNCTION("""COMPUTED_VALUE"""),150000.0)</f>
        <v>150000</v>
      </c>
      <c r="B232" s="1" t="str">
        <f>IFERROR(__xludf.DUMMYFUNCTION("""COMPUTED_VALUE"""),"48")</f>
        <v>48</v>
      </c>
    </row>
    <row r="233" ht="15.75" customHeight="1">
      <c r="A233" s="3">
        <f>IFERROR(__xludf.DUMMYFUNCTION("""COMPUTED_VALUE"""),80000.0)</f>
        <v>80000</v>
      </c>
      <c r="B233" s="1" t="str">
        <f>IFERROR(__xludf.DUMMYFUNCTION("""COMPUTED_VALUE"""),"31")</f>
        <v>31</v>
      </c>
    </row>
    <row r="234" ht="15.75" customHeight="1">
      <c r="A234" s="3">
        <f>IFERROR(__xludf.DUMMYFUNCTION("""COMPUTED_VALUE"""),100000.0)</f>
        <v>100000</v>
      </c>
      <c r="B234" s="1" t="str">
        <f>IFERROR(__xludf.DUMMYFUNCTION("""COMPUTED_VALUE"""),"56")</f>
        <v>56</v>
      </c>
    </row>
    <row r="235" ht="15.75" customHeight="1">
      <c r="A235" s="3">
        <f>IFERROR(__xludf.DUMMYFUNCTION("""COMPUTED_VALUE"""),40000.0)</f>
        <v>40000</v>
      </c>
      <c r="B235" s="1" t="str">
        <f>IFERROR(__xludf.DUMMYFUNCTION("""COMPUTED_VALUE"""),"38")</f>
        <v>38</v>
      </c>
    </row>
    <row r="236" ht="15.75" customHeight="1">
      <c r="A236" s="3">
        <f>IFERROR(__xludf.DUMMYFUNCTION("""COMPUTED_VALUE"""),80000.0)</f>
        <v>80000</v>
      </c>
      <c r="B236" s="1" t="str">
        <f>IFERROR(__xludf.DUMMYFUNCTION("""COMPUTED_VALUE"""),"40")</f>
        <v>40</v>
      </c>
    </row>
    <row r="237" ht="15.75" customHeight="1">
      <c r="A237" s="3">
        <f>IFERROR(__xludf.DUMMYFUNCTION("""COMPUTED_VALUE"""),30000.0)</f>
        <v>30000</v>
      </c>
      <c r="B237" s="1" t="str">
        <f>IFERROR(__xludf.DUMMYFUNCTION("""COMPUTED_VALUE"""),"32")</f>
        <v>32</v>
      </c>
    </row>
    <row r="238" ht="15.75" customHeight="1">
      <c r="A238" s="3">
        <f>IFERROR(__xludf.DUMMYFUNCTION("""COMPUTED_VALUE"""),30000.0)</f>
        <v>30000</v>
      </c>
      <c r="B238" s="1" t="str">
        <f>IFERROR(__xludf.DUMMYFUNCTION("""COMPUTED_VALUE"""),"39")</f>
        <v>39</v>
      </c>
    </row>
    <row r="239" ht="15.75" customHeight="1">
      <c r="A239" s="3">
        <f>IFERROR(__xludf.DUMMYFUNCTION("""COMPUTED_VALUE"""),10000.0)</f>
        <v>10000</v>
      </c>
      <c r="B239" s="1" t="str">
        <f>IFERROR(__xludf.DUMMYFUNCTION("""COMPUTED_VALUE"""),"52")</f>
        <v>52</v>
      </c>
    </row>
    <row r="240" ht="15.75" customHeight="1">
      <c r="A240" s="3">
        <f>IFERROR(__xludf.DUMMYFUNCTION("""COMPUTED_VALUE"""),10000.0)</f>
        <v>10000</v>
      </c>
      <c r="B240" s="1" t="str">
        <f>IFERROR(__xludf.DUMMYFUNCTION("""COMPUTED_VALUE"""),"39")</f>
        <v>39</v>
      </c>
    </row>
    <row r="241" ht="15.75" customHeight="1">
      <c r="A241" s="3">
        <f>IFERROR(__xludf.DUMMYFUNCTION("""COMPUTED_VALUE"""),60000.0)</f>
        <v>60000</v>
      </c>
      <c r="B241" s="1" t="str">
        <f>IFERROR(__xludf.DUMMYFUNCTION("""COMPUTED_VALUE"""),"37")</f>
        <v>37</v>
      </c>
    </row>
    <row r="242" ht="15.75" customHeight="1">
      <c r="A242" s="3">
        <f>IFERROR(__xludf.DUMMYFUNCTION("""COMPUTED_VALUE"""),90000.0)</f>
        <v>90000</v>
      </c>
      <c r="B242" s="1" t="str">
        <f>IFERROR(__xludf.DUMMYFUNCTION("""COMPUTED_VALUE"""),"56")</f>
        <v>56</v>
      </c>
    </row>
    <row r="243" ht="15.75" customHeight="1">
      <c r="A243" s="3">
        <f>IFERROR(__xludf.DUMMYFUNCTION("""COMPUTED_VALUE"""),40000.0)</f>
        <v>40000</v>
      </c>
      <c r="B243" s="1" t="str">
        <f>IFERROR(__xludf.DUMMYFUNCTION("""COMPUTED_VALUE"""),"40")</f>
        <v>40</v>
      </c>
    </row>
    <row r="244" ht="15.75" customHeight="1">
      <c r="A244" s="3">
        <f>IFERROR(__xludf.DUMMYFUNCTION("""COMPUTED_VALUE"""),40000.0)</f>
        <v>40000</v>
      </c>
      <c r="B244" s="1" t="str">
        <f>IFERROR(__xludf.DUMMYFUNCTION("""COMPUTED_VALUE"""),"65")</f>
        <v>65</v>
      </c>
    </row>
    <row r="245" ht="15.75" customHeight="1">
      <c r="A245" s="3">
        <f>IFERROR(__xludf.DUMMYFUNCTION("""COMPUTED_VALUE"""),30000.0)</f>
        <v>30000</v>
      </c>
      <c r="B245" s="1" t="str">
        <f>IFERROR(__xludf.DUMMYFUNCTION("""COMPUTED_VALUE"""),"42")</f>
        <v>42</v>
      </c>
    </row>
    <row r="246" ht="15.75" customHeight="1">
      <c r="A246" s="3">
        <f>IFERROR(__xludf.DUMMYFUNCTION("""COMPUTED_VALUE"""),10000.0)</f>
        <v>10000</v>
      </c>
      <c r="B246" s="1" t="str">
        <f>IFERROR(__xludf.DUMMYFUNCTION("""COMPUTED_VALUE"""),"52")</f>
        <v>52</v>
      </c>
    </row>
    <row r="247" ht="15.75" customHeight="1">
      <c r="A247" s="3">
        <f>IFERROR(__xludf.DUMMYFUNCTION("""COMPUTED_VALUE"""),10000.0)</f>
        <v>10000</v>
      </c>
      <c r="B247" s="1" t="str">
        <f>IFERROR(__xludf.DUMMYFUNCTION("""COMPUTED_VALUE"""),"35")</f>
        <v>35</v>
      </c>
    </row>
    <row r="248" ht="15.75" customHeight="1">
      <c r="A248" s="3">
        <f>IFERROR(__xludf.DUMMYFUNCTION("""COMPUTED_VALUE"""),20000.0)</f>
        <v>20000</v>
      </c>
      <c r="B248" s="1" t="str">
        <f>IFERROR(__xludf.DUMMYFUNCTION("""COMPUTED_VALUE"""),"42")</f>
        <v>42</v>
      </c>
    </row>
    <row r="249" ht="15.75" customHeight="1">
      <c r="A249" s="3">
        <f>IFERROR(__xludf.DUMMYFUNCTION("""COMPUTED_VALUE"""),20000.0)</f>
        <v>20000</v>
      </c>
      <c r="B249" s="1" t="str">
        <f>IFERROR(__xludf.DUMMYFUNCTION("""COMPUTED_VALUE"""),"55")</f>
        <v>55</v>
      </c>
    </row>
    <row r="250" ht="15.75" customHeight="1">
      <c r="A250" s="3">
        <f>IFERROR(__xludf.DUMMYFUNCTION("""COMPUTED_VALUE"""),30000.0)</f>
        <v>30000</v>
      </c>
      <c r="B250" s="1" t="str">
        <f>IFERROR(__xludf.DUMMYFUNCTION("""COMPUTED_VALUE"""),"60")</f>
        <v>60</v>
      </c>
    </row>
    <row r="251" ht="15.75" customHeight="1">
      <c r="A251" s="3">
        <f>IFERROR(__xludf.DUMMYFUNCTION("""COMPUTED_VALUE"""),40000.0)</f>
        <v>40000</v>
      </c>
      <c r="B251" s="1" t="str">
        <f>IFERROR(__xludf.DUMMYFUNCTION("""COMPUTED_VALUE"""),"40")</f>
        <v>40</v>
      </c>
    </row>
    <row r="252" ht="15.75" customHeight="1">
      <c r="A252" s="3">
        <f>IFERROR(__xludf.DUMMYFUNCTION("""COMPUTED_VALUE"""),10000.0)</f>
        <v>10000</v>
      </c>
      <c r="B252" s="1" t="str">
        <f>IFERROR(__xludf.DUMMYFUNCTION("""COMPUTED_VALUE"""),"26")</f>
        <v>26</v>
      </c>
    </row>
    <row r="253" ht="15.75" customHeight="1">
      <c r="A253" s="3">
        <f>IFERROR(__xludf.DUMMYFUNCTION("""COMPUTED_VALUE"""),40000.0)</f>
        <v>40000</v>
      </c>
      <c r="B253" s="1" t="str">
        <f>IFERROR(__xludf.DUMMYFUNCTION("""COMPUTED_VALUE"""),"42")</f>
        <v>42</v>
      </c>
    </row>
    <row r="254" ht="15.75" customHeight="1">
      <c r="A254" s="3">
        <f>IFERROR(__xludf.DUMMYFUNCTION("""COMPUTED_VALUE"""),80000.0)</f>
        <v>80000</v>
      </c>
      <c r="B254" s="1" t="str">
        <f>IFERROR(__xludf.DUMMYFUNCTION("""COMPUTED_VALUE"""),"32")</f>
        <v>32</v>
      </c>
    </row>
    <row r="255" ht="15.75" customHeight="1">
      <c r="A255" s="3">
        <f>IFERROR(__xludf.DUMMYFUNCTION("""COMPUTED_VALUE"""),30000.0)</f>
        <v>30000</v>
      </c>
      <c r="B255" s="1" t="str">
        <f>IFERROR(__xludf.DUMMYFUNCTION("""COMPUTED_VALUE"""),"37")</f>
        <v>37</v>
      </c>
    </row>
    <row r="256" ht="15.75" customHeight="1">
      <c r="A256" s="3">
        <f>IFERROR(__xludf.DUMMYFUNCTION("""COMPUTED_VALUE"""),40000.0)</f>
        <v>40000</v>
      </c>
      <c r="B256" s="1" t="str">
        <f>IFERROR(__xludf.DUMMYFUNCTION("""COMPUTED_VALUE"""),"34")</f>
        <v>34</v>
      </c>
    </row>
    <row r="257" ht="15.75" customHeight="1">
      <c r="A257" s="3">
        <f>IFERROR(__xludf.DUMMYFUNCTION("""COMPUTED_VALUE"""),40000.0)</f>
        <v>40000</v>
      </c>
      <c r="B257" s="1" t="str">
        <f>IFERROR(__xludf.DUMMYFUNCTION("""COMPUTED_VALUE"""),"37")</f>
        <v>37</v>
      </c>
    </row>
    <row r="258" ht="15.75" customHeight="1">
      <c r="A258" s="3">
        <f>IFERROR(__xludf.DUMMYFUNCTION("""COMPUTED_VALUE"""),40000.0)</f>
        <v>40000</v>
      </c>
      <c r="B258" s="1" t="str">
        <f>IFERROR(__xludf.DUMMYFUNCTION("""COMPUTED_VALUE"""),"40")</f>
        <v>40</v>
      </c>
    </row>
    <row r="259" ht="15.75" customHeight="1">
      <c r="A259" s="3">
        <f>IFERROR(__xludf.DUMMYFUNCTION("""COMPUTED_VALUE"""),20000.0)</f>
        <v>20000</v>
      </c>
      <c r="B259" s="1" t="str">
        <f>IFERROR(__xludf.DUMMYFUNCTION("""COMPUTED_VALUE"""),"60")</f>
        <v>60</v>
      </c>
    </row>
    <row r="260" ht="15.75" customHeight="1">
      <c r="A260" s="3">
        <f>IFERROR(__xludf.DUMMYFUNCTION("""COMPUTED_VALUE"""),30000.0)</f>
        <v>30000</v>
      </c>
      <c r="B260" s="1" t="str">
        <f>IFERROR(__xludf.DUMMYFUNCTION("""COMPUTED_VALUE"""),"27")</f>
        <v>27</v>
      </c>
    </row>
    <row r="261" ht="15.75" customHeight="1">
      <c r="A261" s="3">
        <f>IFERROR(__xludf.DUMMYFUNCTION("""COMPUTED_VALUE"""),60000.0)</f>
        <v>60000</v>
      </c>
      <c r="B261" s="1" t="str">
        <f>IFERROR(__xludf.DUMMYFUNCTION("""COMPUTED_VALUE"""),"43")</f>
        <v>43</v>
      </c>
    </row>
    <row r="262" ht="15.75" customHeight="1">
      <c r="A262" s="3">
        <f>IFERROR(__xludf.DUMMYFUNCTION("""COMPUTED_VALUE"""),100000.0)</f>
        <v>100000</v>
      </c>
      <c r="B262" s="1" t="str">
        <f>IFERROR(__xludf.DUMMYFUNCTION("""COMPUTED_VALUE"""),"48")</f>
        <v>48</v>
      </c>
    </row>
    <row r="263" ht="15.75" customHeight="1">
      <c r="A263" s="3">
        <f>IFERROR(__xludf.DUMMYFUNCTION("""COMPUTED_VALUE"""),20000.0)</f>
        <v>20000</v>
      </c>
      <c r="B263" s="1" t="str">
        <f>IFERROR(__xludf.DUMMYFUNCTION("""COMPUTED_VALUE"""),"32")</f>
        <v>32</v>
      </c>
    </row>
    <row r="264" ht="15.75" customHeight="1">
      <c r="A264" s="3">
        <f>IFERROR(__xludf.DUMMYFUNCTION("""COMPUTED_VALUE"""),100000.0)</f>
        <v>100000</v>
      </c>
      <c r="B264" s="1" t="str">
        <f>IFERROR(__xludf.DUMMYFUNCTION("""COMPUTED_VALUE"""),"47")</f>
        <v>47</v>
      </c>
    </row>
    <row r="265" ht="15.75" customHeight="1">
      <c r="A265" s="3">
        <f>IFERROR(__xludf.DUMMYFUNCTION("""COMPUTED_VALUE"""),80000.0)</f>
        <v>80000</v>
      </c>
      <c r="B265" s="1" t="str">
        <f>IFERROR(__xludf.DUMMYFUNCTION("""COMPUTED_VALUE"""),"40")</f>
        <v>40</v>
      </c>
    </row>
    <row r="266" ht="15.75" customHeight="1">
      <c r="A266" s="3">
        <f>IFERROR(__xludf.DUMMYFUNCTION("""COMPUTED_VALUE"""),10000.0)</f>
        <v>10000</v>
      </c>
      <c r="B266" s="1" t="str">
        <f>IFERROR(__xludf.DUMMYFUNCTION("""COMPUTED_VALUE"""),"41")</f>
        <v>41</v>
      </c>
    </row>
    <row r="267" ht="15.75" customHeight="1">
      <c r="A267" s="3">
        <f>IFERROR(__xludf.DUMMYFUNCTION("""COMPUTED_VALUE"""),130000.0)</f>
        <v>130000</v>
      </c>
      <c r="B267" s="1" t="str">
        <f>IFERROR(__xludf.DUMMYFUNCTION("""COMPUTED_VALUE"""),"59")</f>
        <v>59</v>
      </c>
    </row>
    <row r="268" ht="15.75" customHeight="1">
      <c r="A268" s="3">
        <f>IFERROR(__xludf.DUMMYFUNCTION("""COMPUTED_VALUE"""),10000.0)</f>
        <v>10000</v>
      </c>
      <c r="B268" s="1" t="str">
        <f>IFERROR(__xludf.DUMMYFUNCTION("""COMPUTED_VALUE"""),"50")</f>
        <v>50</v>
      </c>
    </row>
    <row r="269" ht="15.75" customHeight="1">
      <c r="A269" s="3">
        <f>IFERROR(__xludf.DUMMYFUNCTION("""COMPUTED_VALUE"""),20000.0)</f>
        <v>20000</v>
      </c>
      <c r="B269" s="1" t="str">
        <f>IFERROR(__xludf.DUMMYFUNCTION("""COMPUTED_VALUE"""),"54")</f>
        <v>54</v>
      </c>
    </row>
    <row r="270" ht="15.75" customHeight="1">
      <c r="A270" s="3">
        <f>IFERROR(__xludf.DUMMYFUNCTION("""COMPUTED_VALUE"""),10000.0)</f>
        <v>10000</v>
      </c>
      <c r="B270" s="1" t="str">
        <f>IFERROR(__xludf.DUMMYFUNCTION("""COMPUTED_VALUE"""),"48")</f>
        <v>48</v>
      </c>
    </row>
    <row r="271" ht="15.75" customHeight="1">
      <c r="A271" s="3">
        <f>IFERROR(__xludf.DUMMYFUNCTION("""COMPUTED_VALUE"""),60000.0)</f>
        <v>60000</v>
      </c>
      <c r="B271" s="1" t="str">
        <f>IFERROR(__xludf.DUMMYFUNCTION("""COMPUTED_VALUE"""),"44")</f>
        <v>44</v>
      </c>
    </row>
    <row r="272" ht="15.75" customHeight="1">
      <c r="A272" s="3">
        <f>IFERROR(__xludf.DUMMYFUNCTION("""COMPUTED_VALUE"""),20000.0)</f>
        <v>20000</v>
      </c>
      <c r="B272" s="1" t="str">
        <f>IFERROR(__xludf.DUMMYFUNCTION("""COMPUTED_VALUE"""),"40")</f>
        <v>40</v>
      </c>
    </row>
    <row r="273" ht="15.75" customHeight="1">
      <c r="A273" s="3">
        <f>IFERROR(__xludf.DUMMYFUNCTION("""COMPUTED_VALUE"""),60000.0)</f>
        <v>60000</v>
      </c>
      <c r="B273" s="1" t="str">
        <f>IFERROR(__xludf.DUMMYFUNCTION("""COMPUTED_VALUE"""),"38")</f>
        <v>38</v>
      </c>
    </row>
    <row r="274" ht="15.75" customHeight="1">
      <c r="A274" s="3">
        <f>IFERROR(__xludf.DUMMYFUNCTION("""COMPUTED_VALUE"""),40000.0)</f>
        <v>40000</v>
      </c>
      <c r="B274" s="1" t="str">
        <f>IFERROR(__xludf.DUMMYFUNCTION("""COMPUTED_VALUE"""),"52")</f>
        <v>52</v>
      </c>
    </row>
    <row r="275" ht="15.75" customHeight="1">
      <c r="A275" s="3">
        <f>IFERROR(__xludf.DUMMYFUNCTION("""COMPUTED_VALUE"""),10000.0)</f>
        <v>10000</v>
      </c>
      <c r="B275" s="1" t="str">
        <f>IFERROR(__xludf.DUMMYFUNCTION("""COMPUTED_VALUE"""),"25")</f>
        <v>25</v>
      </c>
    </row>
    <row r="276" ht="15.75" customHeight="1">
      <c r="A276" s="3">
        <f>IFERROR(__xludf.DUMMYFUNCTION("""COMPUTED_VALUE"""),10000.0)</f>
        <v>10000</v>
      </c>
      <c r="B276" s="1" t="str">
        <f>IFERROR(__xludf.DUMMYFUNCTION("""COMPUTED_VALUE"""),"25")</f>
        <v>25</v>
      </c>
    </row>
    <row r="277" ht="15.75" customHeight="1">
      <c r="A277" s="3">
        <f>IFERROR(__xludf.DUMMYFUNCTION("""COMPUTED_VALUE"""),90000.0)</f>
        <v>90000</v>
      </c>
      <c r="B277" s="1" t="str">
        <f>IFERROR(__xludf.DUMMYFUNCTION("""COMPUTED_VALUE"""),"47")</f>
        <v>47</v>
      </c>
    </row>
    <row r="278" ht="15.75" customHeight="1">
      <c r="A278" s="3">
        <f>IFERROR(__xludf.DUMMYFUNCTION("""COMPUTED_VALUE"""),100000.0)</f>
        <v>100000</v>
      </c>
      <c r="B278" s="1" t="str">
        <f>IFERROR(__xludf.DUMMYFUNCTION("""COMPUTED_VALUE"""),"35")</f>
        <v>35</v>
      </c>
    </row>
    <row r="279" ht="15.75" customHeight="1">
      <c r="A279" s="3">
        <f>IFERROR(__xludf.DUMMYFUNCTION("""COMPUTED_VALUE"""),70000.0)</f>
        <v>70000</v>
      </c>
      <c r="B279" s="1" t="str">
        <f>IFERROR(__xludf.DUMMYFUNCTION("""COMPUTED_VALUE"""),"41")</f>
        <v>41</v>
      </c>
    </row>
    <row r="280" ht="15.75" customHeight="1">
      <c r="A280" s="3">
        <f>IFERROR(__xludf.DUMMYFUNCTION("""COMPUTED_VALUE"""),30000.0)</f>
        <v>30000</v>
      </c>
      <c r="B280" s="1" t="str">
        <f>IFERROR(__xludf.DUMMYFUNCTION("""COMPUTED_VALUE"""),"47")</f>
        <v>47</v>
      </c>
    </row>
    <row r="281" ht="15.75" customHeight="1">
      <c r="A281" s="3">
        <f>IFERROR(__xludf.DUMMYFUNCTION("""COMPUTED_VALUE"""),130000.0)</f>
        <v>130000</v>
      </c>
      <c r="B281" s="1" t="str">
        <f>IFERROR(__xludf.DUMMYFUNCTION("""COMPUTED_VALUE"""),"61")</f>
        <v>61</v>
      </c>
    </row>
    <row r="282" ht="15.75" customHeight="1">
      <c r="A282" s="3">
        <f>IFERROR(__xludf.DUMMYFUNCTION("""COMPUTED_VALUE"""),80000.0)</f>
        <v>80000</v>
      </c>
      <c r="B282" s="1" t="str">
        <f>IFERROR(__xludf.DUMMYFUNCTION("""COMPUTED_VALUE"""),"61")</f>
        <v>61</v>
      </c>
    </row>
    <row r="283" ht="15.75" customHeight="1">
      <c r="A283" s="3">
        <f>IFERROR(__xludf.DUMMYFUNCTION("""COMPUTED_VALUE"""),10000.0)</f>
        <v>10000</v>
      </c>
      <c r="B283" s="1" t="str">
        <f>IFERROR(__xludf.DUMMYFUNCTION("""COMPUTED_VALUE"""),"33")</f>
        <v>33</v>
      </c>
    </row>
    <row r="284" ht="15.75" customHeight="1">
      <c r="A284" s="3">
        <f>IFERROR(__xludf.DUMMYFUNCTION("""COMPUTED_VALUE"""),10000.0)</f>
        <v>10000</v>
      </c>
      <c r="B284" s="1" t="str">
        <f>IFERROR(__xludf.DUMMYFUNCTION("""COMPUTED_VALUE"""),"27")</f>
        <v>27</v>
      </c>
    </row>
    <row r="285" ht="15.75" customHeight="1">
      <c r="A285" s="3">
        <f>IFERROR(__xludf.DUMMYFUNCTION("""COMPUTED_VALUE"""),50000.0)</f>
        <v>50000</v>
      </c>
      <c r="B285" s="1" t="str">
        <f>IFERROR(__xludf.DUMMYFUNCTION("""COMPUTED_VALUE"""),"37")</f>
        <v>37</v>
      </c>
    </row>
    <row r="286" ht="15.75" customHeight="1">
      <c r="A286" s="3">
        <f>IFERROR(__xludf.DUMMYFUNCTION("""COMPUTED_VALUE"""),80000.0)</f>
        <v>80000</v>
      </c>
      <c r="B286" s="1" t="str">
        <f>IFERROR(__xludf.DUMMYFUNCTION("""COMPUTED_VALUE"""),"52")</f>
        <v>52</v>
      </c>
    </row>
    <row r="287" ht="15.75" customHeight="1">
      <c r="A287" s="3">
        <f>IFERROR(__xludf.DUMMYFUNCTION("""COMPUTED_VALUE"""),20000.0)</f>
        <v>20000</v>
      </c>
      <c r="B287" s="1" t="str">
        <f>IFERROR(__xludf.DUMMYFUNCTION("""COMPUTED_VALUE"""),"29")</f>
        <v>29</v>
      </c>
    </row>
    <row r="288" ht="15.75" customHeight="1">
      <c r="A288" s="3">
        <f>IFERROR(__xludf.DUMMYFUNCTION("""COMPUTED_VALUE"""),110000.0)</f>
        <v>110000</v>
      </c>
      <c r="B288" s="1" t="str">
        <f>IFERROR(__xludf.DUMMYFUNCTION("""COMPUTED_VALUE"""),"48")</f>
        <v>48</v>
      </c>
    </row>
    <row r="289" ht="15.75" customHeight="1">
      <c r="A289" s="3">
        <f>IFERROR(__xludf.DUMMYFUNCTION("""COMPUTED_VALUE"""),160000.0)</f>
        <v>160000</v>
      </c>
      <c r="B289" s="1" t="str">
        <f>IFERROR(__xludf.DUMMYFUNCTION("""COMPUTED_VALUE"""),"55")</f>
        <v>55</v>
      </c>
    </row>
    <row r="290" ht="15.75" customHeight="1">
      <c r="A290" s="3">
        <f>IFERROR(__xludf.DUMMYFUNCTION("""COMPUTED_VALUE"""),10000.0)</f>
        <v>10000</v>
      </c>
      <c r="B290" s="1" t="str">
        <f>IFERROR(__xludf.DUMMYFUNCTION("""COMPUTED_VALUE"""),"37")</f>
        <v>37</v>
      </c>
    </row>
    <row r="291" ht="15.75" customHeight="1">
      <c r="A291" s="3">
        <f>IFERROR(__xludf.DUMMYFUNCTION("""COMPUTED_VALUE"""),10000.0)</f>
        <v>10000</v>
      </c>
      <c r="B291" s="1" t="str">
        <f>IFERROR(__xludf.DUMMYFUNCTION("""COMPUTED_VALUE"""),"44")</f>
        <v>44</v>
      </c>
    </row>
    <row r="292" ht="15.75" customHeight="1">
      <c r="A292" s="3">
        <f>IFERROR(__xludf.DUMMYFUNCTION("""COMPUTED_VALUE"""),30000.0)</f>
        <v>30000</v>
      </c>
      <c r="B292" s="1" t="str">
        <f>IFERROR(__xludf.DUMMYFUNCTION("""COMPUTED_VALUE"""),"55")</f>
        <v>55</v>
      </c>
    </row>
    <row r="293" ht="15.75" customHeight="1">
      <c r="A293" s="3">
        <f>IFERROR(__xludf.DUMMYFUNCTION("""COMPUTED_VALUE"""),10000.0)</f>
        <v>10000</v>
      </c>
      <c r="B293" s="1" t="str">
        <f>IFERROR(__xludf.DUMMYFUNCTION("""COMPUTED_VALUE"""),"38")</f>
        <v>38</v>
      </c>
    </row>
    <row r="294" ht="15.75" customHeight="1">
      <c r="A294" s="3">
        <f>IFERROR(__xludf.DUMMYFUNCTION("""COMPUTED_VALUE"""),40000.0)</f>
        <v>40000</v>
      </c>
      <c r="B294" s="1" t="str">
        <f>IFERROR(__xludf.DUMMYFUNCTION("""COMPUTED_VALUE"""),"66")</f>
        <v>66</v>
      </c>
    </row>
    <row r="295" ht="15.75" customHeight="1">
      <c r="A295" s="3">
        <f>IFERROR(__xludf.DUMMYFUNCTION("""COMPUTED_VALUE"""),130000.0)</f>
        <v>130000</v>
      </c>
      <c r="B295" s="1" t="str">
        <f>IFERROR(__xludf.DUMMYFUNCTION("""COMPUTED_VALUE"""),"58")</f>
        <v>58</v>
      </c>
    </row>
    <row r="296" ht="15.75" customHeight="1">
      <c r="A296" s="3">
        <f>IFERROR(__xludf.DUMMYFUNCTION("""COMPUTED_VALUE"""),90000.0)</f>
        <v>90000</v>
      </c>
      <c r="B296" s="1" t="str">
        <f>IFERROR(__xludf.DUMMYFUNCTION("""COMPUTED_VALUE"""),"47")</f>
        <v>47</v>
      </c>
    </row>
    <row r="297" ht="15.75" customHeight="1">
      <c r="A297" s="3">
        <f>IFERROR(__xludf.DUMMYFUNCTION("""COMPUTED_VALUE"""),30000.0)</f>
        <v>30000</v>
      </c>
      <c r="B297" s="1" t="str">
        <f>IFERROR(__xludf.DUMMYFUNCTION("""COMPUTED_VALUE"""),"56")</f>
        <v>56</v>
      </c>
    </row>
    <row r="298" ht="15.75" customHeight="1">
      <c r="A298" s="3">
        <f>IFERROR(__xludf.DUMMYFUNCTION("""COMPUTED_VALUE"""),80000.0)</f>
        <v>80000</v>
      </c>
      <c r="B298" s="1" t="str">
        <f>IFERROR(__xludf.DUMMYFUNCTION("""COMPUTED_VALUE"""),"59")</f>
        <v>59</v>
      </c>
    </row>
    <row r="299" ht="15.75" customHeight="1">
      <c r="A299" s="3">
        <f>IFERROR(__xludf.DUMMYFUNCTION("""COMPUTED_VALUE"""),70000.0)</f>
        <v>70000</v>
      </c>
      <c r="B299" s="1" t="str">
        <f>IFERROR(__xludf.DUMMYFUNCTION("""COMPUTED_VALUE"""),"32")</f>
        <v>32</v>
      </c>
    </row>
    <row r="300" ht="15.75" customHeight="1">
      <c r="A300" s="3">
        <f>IFERROR(__xludf.DUMMYFUNCTION("""COMPUTED_VALUE"""),30000.0)</f>
        <v>30000</v>
      </c>
      <c r="B300" s="1" t="str">
        <f>IFERROR(__xludf.DUMMYFUNCTION("""COMPUTED_VALUE"""),"44")</f>
        <v>44</v>
      </c>
    </row>
    <row r="301" ht="15.75" customHeight="1">
      <c r="A301" s="3">
        <f>IFERROR(__xludf.DUMMYFUNCTION("""COMPUTED_VALUE"""),30000.0)</f>
        <v>30000</v>
      </c>
      <c r="B301" s="1" t="str">
        <f>IFERROR(__xludf.DUMMYFUNCTION("""COMPUTED_VALUE"""),"55")</f>
        <v>55</v>
      </c>
    </row>
    <row r="302" ht="15.75" customHeight="1">
      <c r="A302" s="3">
        <f>IFERROR(__xludf.DUMMYFUNCTION("""COMPUTED_VALUE"""),80000.0)</f>
        <v>80000</v>
      </c>
      <c r="B302" s="1" t="str">
        <f>IFERROR(__xludf.DUMMYFUNCTION("""COMPUTED_VALUE"""),"62")</f>
        <v>62</v>
      </c>
    </row>
    <row r="303" ht="15.75" customHeight="1">
      <c r="A303" s="3">
        <f>IFERROR(__xludf.DUMMYFUNCTION("""COMPUTED_VALUE"""),70000.0)</f>
        <v>70000</v>
      </c>
      <c r="B303" s="1" t="str">
        <f>IFERROR(__xludf.DUMMYFUNCTION("""COMPUTED_VALUE"""),"41")</f>
        <v>41</v>
      </c>
    </row>
    <row r="304" ht="15.75" customHeight="1">
      <c r="A304" s="3">
        <f>IFERROR(__xludf.DUMMYFUNCTION("""COMPUTED_VALUE"""),10000.0)</f>
        <v>10000</v>
      </c>
      <c r="B304" s="1" t="str">
        <f>IFERROR(__xludf.DUMMYFUNCTION("""COMPUTED_VALUE"""),"32")</f>
        <v>32</v>
      </c>
    </row>
    <row r="305" ht="15.75" customHeight="1">
      <c r="A305" s="3">
        <f>IFERROR(__xludf.DUMMYFUNCTION("""COMPUTED_VALUE"""),20000.0)</f>
        <v>20000</v>
      </c>
      <c r="B305" s="1" t="str">
        <f>IFERROR(__xludf.DUMMYFUNCTION("""COMPUTED_VALUE"""),"25")</f>
        <v>25</v>
      </c>
    </row>
    <row r="306" ht="15.75" customHeight="1">
      <c r="A306" s="3">
        <f>IFERROR(__xludf.DUMMYFUNCTION("""COMPUTED_VALUE"""),60000.0)</f>
        <v>60000</v>
      </c>
      <c r="B306" s="1" t="str">
        <f>IFERROR(__xludf.DUMMYFUNCTION("""COMPUTED_VALUE"""),"67")</f>
        <v>67</v>
      </c>
    </row>
    <row r="307" ht="15.75" customHeight="1">
      <c r="A307" s="3">
        <f>IFERROR(__xludf.DUMMYFUNCTION("""COMPUTED_VALUE"""),100000.0)</f>
        <v>100000</v>
      </c>
      <c r="B307" s="1" t="str">
        <f>IFERROR(__xludf.DUMMYFUNCTION("""COMPUTED_VALUE"""),"39")</f>
        <v>39</v>
      </c>
    </row>
    <row r="308" ht="15.75" customHeight="1">
      <c r="A308" s="3">
        <f>IFERROR(__xludf.DUMMYFUNCTION("""COMPUTED_VALUE"""),80000.0)</f>
        <v>80000</v>
      </c>
      <c r="B308" s="1" t="str">
        <f>IFERROR(__xludf.DUMMYFUNCTION("""COMPUTED_VALUE"""),"33")</f>
        <v>33</v>
      </c>
    </row>
    <row r="309" ht="15.75" customHeight="1">
      <c r="A309" s="3">
        <f>IFERROR(__xludf.DUMMYFUNCTION("""COMPUTED_VALUE"""),60000.0)</f>
        <v>60000</v>
      </c>
      <c r="B309" s="1" t="str">
        <f>IFERROR(__xludf.DUMMYFUNCTION("""COMPUTED_VALUE"""),"31")</f>
        <v>31</v>
      </c>
    </row>
    <row r="310" ht="15.75" customHeight="1">
      <c r="A310" s="3">
        <f>IFERROR(__xludf.DUMMYFUNCTION("""COMPUTED_VALUE"""),10000.0)</f>
        <v>10000</v>
      </c>
      <c r="B310" s="1" t="str">
        <f>IFERROR(__xludf.DUMMYFUNCTION("""COMPUTED_VALUE"""),"27")</f>
        <v>27</v>
      </c>
    </row>
    <row r="311" ht="15.75" customHeight="1">
      <c r="A311" s="3">
        <f>IFERROR(__xludf.DUMMYFUNCTION("""COMPUTED_VALUE"""),60000.0)</f>
        <v>60000</v>
      </c>
      <c r="B311" s="1" t="str">
        <f>IFERROR(__xludf.DUMMYFUNCTION("""COMPUTED_VALUE"""),"46")</f>
        <v>46</v>
      </c>
    </row>
    <row r="312" ht="15.75" customHeight="1">
      <c r="A312" s="3">
        <f>IFERROR(__xludf.DUMMYFUNCTION("""COMPUTED_VALUE"""),90000.0)</f>
        <v>90000</v>
      </c>
      <c r="B312" s="1" t="str">
        <f>IFERROR(__xludf.DUMMYFUNCTION("""COMPUTED_VALUE"""),"51")</f>
        <v>51</v>
      </c>
    </row>
    <row r="313" ht="15.75" customHeight="1">
      <c r="A313" s="3">
        <f>IFERROR(__xludf.DUMMYFUNCTION("""COMPUTED_VALUE"""),30000.0)</f>
        <v>30000</v>
      </c>
      <c r="B313" s="1" t="str">
        <f>IFERROR(__xludf.DUMMYFUNCTION("""COMPUTED_VALUE"""),"46")</f>
        <v>46</v>
      </c>
    </row>
    <row r="314" ht="15.75" customHeight="1">
      <c r="A314" s="3">
        <f>IFERROR(__xludf.DUMMYFUNCTION("""COMPUTED_VALUE"""),90000.0)</f>
        <v>90000</v>
      </c>
      <c r="B314" s="1" t="str">
        <f>IFERROR(__xludf.DUMMYFUNCTION("""COMPUTED_VALUE"""),"62")</f>
        <v>62</v>
      </c>
    </row>
    <row r="315" ht="15.75" customHeight="1">
      <c r="A315" s="3">
        <f>IFERROR(__xludf.DUMMYFUNCTION("""COMPUTED_VALUE"""),20000.0)</f>
        <v>20000</v>
      </c>
      <c r="B315" s="1" t="str">
        <f>IFERROR(__xludf.DUMMYFUNCTION("""COMPUTED_VALUE"""),"26")</f>
        <v>26</v>
      </c>
    </row>
    <row r="316" ht="15.75" customHeight="1">
      <c r="A316" s="3">
        <f>IFERROR(__xludf.DUMMYFUNCTION("""COMPUTED_VALUE"""),40000.0)</f>
        <v>40000</v>
      </c>
      <c r="B316" s="1" t="str">
        <f>IFERROR(__xludf.DUMMYFUNCTION("""COMPUTED_VALUE"""),"37")</f>
        <v>37</v>
      </c>
    </row>
    <row r="317" ht="15.75" customHeight="1">
      <c r="A317" s="3">
        <f>IFERROR(__xludf.DUMMYFUNCTION("""COMPUTED_VALUE"""),30000.0)</f>
        <v>30000</v>
      </c>
      <c r="B317" s="1" t="str">
        <f>IFERROR(__xludf.DUMMYFUNCTION("""COMPUTED_VALUE"""),"42")</f>
        <v>42</v>
      </c>
    </row>
    <row r="318" ht="15.75" customHeight="1">
      <c r="A318" s="3">
        <f>IFERROR(__xludf.DUMMYFUNCTION("""COMPUTED_VALUE"""),80000.0)</f>
        <v>80000</v>
      </c>
      <c r="B318" s="1" t="str">
        <f>IFERROR(__xludf.DUMMYFUNCTION("""COMPUTED_VALUE"""),"36")</f>
        <v>36</v>
      </c>
    </row>
    <row r="319" ht="15.75" customHeight="1">
      <c r="A319" s="3">
        <f>IFERROR(__xludf.DUMMYFUNCTION("""COMPUTED_VALUE"""),50000.0)</f>
        <v>50000</v>
      </c>
      <c r="B319" s="1" t="str">
        <f>IFERROR(__xludf.DUMMYFUNCTION("""COMPUTED_VALUE"""),"36")</f>
        <v>36</v>
      </c>
    </row>
    <row r="320" ht="15.75" customHeight="1">
      <c r="A320" s="3">
        <f>IFERROR(__xludf.DUMMYFUNCTION("""COMPUTED_VALUE"""),30000.0)</f>
        <v>30000</v>
      </c>
      <c r="B320" s="1" t="str">
        <f>IFERROR(__xludf.DUMMYFUNCTION("""COMPUTED_VALUE"""),"30")</f>
        <v>30</v>
      </c>
    </row>
    <row r="321" ht="15.75" customHeight="1">
      <c r="A321" s="3">
        <f>IFERROR(__xludf.DUMMYFUNCTION("""COMPUTED_VALUE"""),70000.0)</f>
        <v>70000</v>
      </c>
      <c r="B321" s="1" t="str">
        <f>IFERROR(__xludf.DUMMYFUNCTION("""COMPUTED_VALUE"""),"31")</f>
        <v>31</v>
      </c>
    </row>
    <row r="322" ht="15.75" customHeight="1">
      <c r="A322" s="3">
        <f>IFERROR(__xludf.DUMMYFUNCTION("""COMPUTED_VALUE"""),30000.0)</f>
        <v>30000</v>
      </c>
      <c r="B322" s="1" t="str">
        <f>IFERROR(__xludf.DUMMYFUNCTION("""COMPUTED_VALUE"""),"65")</f>
        <v>65</v>
      </c>
    </row>
    <row r="323" ht="15.75" customHeight="1">
      <c r="A323" s="3">
        <f>IFERROR(__xludf.DUMMYFUNCTION("""COMPUTED_VALUE"""),80000.0)</f>
        <v>80000</v>
      </c>
      <c r="B323" s="1" t="str">
        <f>IFERROR(__xludf.DUMMYFUNCTION("""COMPUTED_VALUE"""),"54")</f>
        <v>54</v>
      </c>
    </row>
    <row r="324" ht="15.75" customHeight="1">
      <c r="A324" s="3">
        <f>IFERROR(__xludf.DUMMYFUNCTION("""COMPUTED_VALUE"""),20000.0)</f>
        <v>20000</v>
      </c>
      <c r="B324" s="1" t="str">
        <f>IFERROR(__xludf.DUMMYFUNCTION("""COMPUTED_VALUE"""),"54")</f>
        <v>54</v>
      </c>
    </row>
    <row r="325" ht="15.75" customHeight="1">
      <c r="A325" s="3">
        <f>IFERROR(__xludf.DUMMYFUNCTION("""COMPUTED_VALUE"""),20000.0)</f>
        <v>20000</v>
      </c>
      <c r="B325" s="1" t="str">
        <f>IFERROR(__xludf.DUMMYFUNCTION("""COMPUTED_VALUE"""),"25")</f>
        <v>25</v>
      </c>
    </row>
    <row r="326" ht="15.75" customHeight="1">
      <c r="A326" s="3">
        <f>IFERROR(__xludf.DUMMYFUNCTION("""COMPUTED_VALUE"""),10000.0)</f>
        <v>10000</v>
      </c>
      <c r="B326" s="1" t="str">
        <f>IFERROR(__xludf.DUMMYFUNCTION("""COMPUTED_VALUE"""),"48")</f>
        <v>48</v>
      </c>
    </row>
    <row r="327" ht="15.75" customHeight="1">
      <c r="A327" s="3">
        <f>IFERROR(__xludf.DUMMYFUNCTION("""COMPUTED_VALUE"""),10000.0)</f>
        <v>10000</v>
      </c>
      <c r="B327" s="1" t="str">
        <f>IFERROR(__xludf.DUMMYFUNCTION("""COMPUTED_VALUE"""),"26")</f>
        <v>26</v>
      </c>
    </row>
    <row r="328" ht="15.75" customHeight="1">
      <c r="A328" s="3">
        <f>IFERROR(__xludf.DUMMYFUNCTION("""COMPUTED_VALUE"""),60000.0)</f>
        <v>60000</v>
      </c>
      <c r="B328" s="1" t="str">
        <f>IFERROR(__xludf.DUMMYFUNCTION("""COMPUTED_VALUE"""),"43")</f>
        <v>43</v>
      </c>
    </row>
    <row r="329" ht="15.75" customHeight="1">
      <c r="A329" s="3">
        <f>IFERROR(__xludf.DUMMYFUNCTION("""COMPUTED_VALUE"""),10000.0)</f>
        <v>10000</v>
      </c>
      <c r="B329" s="1" t="str">
        <f>IFERROR(__xludf.DUMMYFUNCTION("""COMPUTED_VALUE"""),"35")</f>
        <v>35</v>
      </c>
    </row>
    <row r="330" ht="15.75" customHeight="1">
      <c r="A330" s="3">
        <f>IFERROR(__xludf.DUMMYFUNCTION("""COMPUTED_VALUE"""),30000.0)</f>
        <v>30000</v>
      </c>
      <c r="B330" s="1" t="str">
        <f>IFERROR(__xludf.DUMMYFUNCTION("""COMPUTED_VALUE"""),"42")</f>
        <v>42</v>
      </c>
    </row>
    <row r="331" ht="15.75" customHeight="1">
      <c r="A331" s="3">
        <f>IFERROR(__xludf.DUMMYFUNCTION("""COMPUTED_VALUE"""),70000.0)</f>
        <v>70000</v>
      </c>
      <c r="B331" s="1" t="str">
        <f>IFERROR(__xludf.DUMMYFUNCTION("""COMPUTED_VALUE"""),"39")</f>
        <v>39</v>
      </c>
    </row>
    <row r="332" ht="15.75" customHeight="1">
      <c r="A332" s="3">
        <f>IFERROR(__xludf.DUMMYFUNCTION("""COMPUTED_VALUE"""),30000.0)</f>
        <v>30000</v>
      </c>
      <c r="B332" s="1" t="str">
        <f>IFERROR(__xludf.DUMMYFUNCTION("""COMPUTED_VALUE"""),"67")</f>
        <v>67</v>
      </c>
    </row>
    <row r="333" ht="15.75" customHeight="1">
      <c r="A333" s="3">
        <f>IFERROR(__xludf.DUMMYFUNCTION("""COMPUTED_VALUE"""),20000.0)</f>
        <v>20000</v>
      </c>
      <c r="B333" s="1" t="str">
        <f>IFERROR(__xludf.DUMMYFUNCTION("""COMPUTED_VALUE"""),"42")</f>
        <v>42</v>
      </c>
    </row>
    <row r="334" ht="15.75" customHeight="1">
      <c r="A334" s="3">
        <f>IFERROR(__xludf.DUMMYFUNCTION("""COMPUTED_VALUE"""),10000.0)</f>
        <v>10000</v>
      </c>
      <c r="B334" s="1" t="str">
        <f>IFERROR(__xludf.DUMMYFUNCTION("""COMPUTED_VALUE"""),"43")</f>
        <v>43</v>
      </c>
    </row>
    <row r="335" ht="15.75" customHeight="1">
      <c r="A335" s="3">
        <f>IFERROR(__xludf.DUMMYFUNCTION("""COMPUTED_VALUE"""),20000.0)</f>
        <v>20000</v>
      </c>
      <c r="B335" s="1" t="str">
        <f>IFERROR(__xludf.DUMMYFUNCTION("""COMPUTED_VALUE"""),"45")</f>
        <v>45</v>
      </c>
    </row>
    <row r="336" ht="15.75" customHeight="1">
      <c r="A336" s="3">
        <f>IFERROR(__xludf.DUMMYFUNCTION("""COMPUTED_VALUE"""),80000.0)</f>
        <v>80000</v>
      </c>
      <c r="B336" s="1" t="str">
        <f>IFERROR(__xludf.DUMMYFUNCTION("""COMPUTED_VALUE"""),"57")</f>
        <v>57</v>
      </c>
    </row>
    <row r="337" ht="15.75" customHeight="1">
      <c r="A337" s="3">
        <f>IFERROR(__xludf.DUMMYFUNCTION("""COMPUTED_VALUE"""),120000.0)</f>
        <v>120000</v>
      </c>
      <c r="B337" s="1" t="str">
        <f>IFERROR(__xludf.DUMMYFUNCTION("""COMPUTED_VALUE"""),"56")</f>
        <v>56</v>
      </c>
    </row>
    <row r="338" ht="15.75" customHeight="1">
      <c r="A338" s="3">
        <f>IFERROR(__xludf.DUMMYFUNCTION("""COMPUTED_VALUE"""),40000.0)</f>
        <v>40000</v>
      </c>
      <c r="B338" s="1" t="str">
        <f>IFERROR(__xludf.DUMMYFUNCTION("""COMPUTED_VALUE"""),"38")</f>
        <v>38</v>
      </c>
    </row>
    <row r="339" ht="15.75" customHeight="1">
      <c r="A339" s="3">
        <f>IFERROR(__xludf.DUMMYFUNCTION("""COMPUTED_VALUE"""),30000.0)</f>
        <v>30000</v>
      </c>
      <c r="B339" s="1" t="str">
        <f>IFERROR(__xludf.DUMMYFUNCTION("""COMPUTED_VALUE"""),"45")</f>
        <v>45</v>
      </c>
    </row>
    <row r="340" ht="15.75" customHeight="1">
      <c r="A340" s="3">
        <f>IFERROR(__xludf.DUMMYFUNCTION("""COMPUTED_VALUE"""),20000.0)</f>
        <v>20000</v>
      </c>
      <c r="B340" s="1" t="str">
        <f>IFERROR(__xludf.DUMMYFUNCTION("""COMPUTED_VALUE"""),"27")</f>
        <v>27</v>
      </c>
    </row>
    <row r="341" ht="15.75" customHeight="1">
      <c r="A341" s="3">
        <f>IFERROR(__xludf.DUMMYFUNCTION("""COMPUTED_VALUE"""),90000.0)</f>
        <v>90000</v>
      </c>
      <c r="B341" s="1" t="str">
        <f>IFERROR(__xludf.DUMMYFUNCTION("""COMPUTED_VALUE"""),"35")</f>
        <v>35</v>
      </c>
    </row>
    <row r="342" ht="15.75" customHeight="1">
      <c r="A342" s="3">
        <f>IFERROR(__xludf.DUMMYFUNCTION("""COMPUTED_VALUE"""),10000.0)</f>
        <v>10000</v>
      </c>
      <c r="B342" s="1" t="str">
        <f>IFERROR(__xludf.DUMMYFUNCTION("""COMPUTED_VALUE"""),"70")</f>
        <v>70</v>
      </c>
    </row>
    <row r="343" ht="15.75" customHeight="1">
      <c r="A343" s="3">
        <f>IFERROR(__xludf.DUMMYFUNCTION("""COMPUTED_VALUE"""),30000.0)</f>
        <v>30000</v>
      </c>
      <c r="B343" s="1" t="str">
        <f>IFERROR(__xludf.DUMMYFUNCTION("""COMPUTED_VALUE"""),"44")</f>
        <v>44</v>
      </c>
    </row>
    <row r="344" ht="15.75" customHeight="1">
      <c r="A344" s="3">
        <f>IFERROR(__xludf.DUMMYFUNCTION("""COMPUTED_VALUE"""),10000.0)</f>
        <v>10000</v>
      </c>
      <c r="B344" s="1" t="str">
        <f>IFERROR(__xludf.DUMMYFUNCTION("""COMPUTED_VALUE"""),"26")</f>
        <v>26</v>
      </c>
    </row>
    <row r="345" ht="15.75" customHeight="1">
      <c r="A345" s="3">
        <f>IFERROR(__xludf.DUMMYFUNCTION("""COMPUTED_VALUE"""),70000.0)</f>
        <v>70000</v>
      </c>
      <c r="B345" s="1" t="str">
        <f>IFERROR(__xludf.DUMMYFUNCTION("""COMPUTED_VALUE"""),"46")</f>
        <v>46</v>
      </c>
    </row>
    <row r="346" ht="15.75" customHeight="1">
      <c r="A346" s="3">
        <f>IFERROR(__xludf.DUMMYFUNCTION("""COMPUTED_VALUE"""),30000.0)</f>
        <v>30000</v>
      </c>
      <c r="B346" s="1" t="str">
        <f>IFERROR(__xludf.DUMMYFUNCTION("""COMPUTED_VALUE"""),"34")</f>
        <v>34</v>
      </c>
    </row>
    <row r="347" ht="15.75" customHeight="1">
      <c r="A347" s="3">
        <f>IFERROR(__xludf.DUMMYFUNCTION("""COMPUTED_VALUE"""),10000.0)</f>
        <v>10000</v>
      </c>
      <c r="B347" s="1" t="str">
        <f>IFERROR(__xludf.DUMMYFUNCTION("""COMPUTED_VALUE"""),"37")</f>
        <v>37</v>
      </c>
    </row>
    <row r="348" ht="15.75" customHeight="1">
      <c r="A348" s="3">
        <f>IFERROR(__xludf.DUMMYFUNCTION("""COMPUTED_VALUE"""),30000.0)</f>
        <v>30000</v>
      </c>
      <c r="B348" s="1" t="str">
        <f>IFERROR(__xludf.DUMMYFUNCTION("""COMPUTED_VALUE"""),"27")</f>
        <v>27</v>
      </c>
    </row>
    <row r="349" ht="15.75" customHeight="1">
      <c r="A349" s="3">
        <f>IFERROR(__xludf.DUMMYFUNCTION("""COMPUTED_VALUE"""),30000.0)</f>
        <v>30000</v>
      </c>
      <c r="B349" s="1" t="str">
        <f>IFERROR(__xludf.DUMMYFUNCTION("""COMPUTED_VALUE"""),"39")</f>
        <v>39</v>
      </c>
    </row>
    <row r="350" ht="15.75" customHeight="1">
      <c r="A350" s="3">
        <f>IFERROR(__xludf.DUMMYFUNCTION("""COMPUTED_VALUE"""),20000.0)</f>
        <v>20000</v>
      </c>
      <c r="B350" s="1" t="str">
        <f>IFERROR(__xludf.DUMMYFUNCTION("""COMPUTED_VALUE"""),"29")</f>
        <v>29</v>
      </c>
    </row>
    <row r="351" ht="15.75" customHeight="1">
      <c r="A351" s="3">
        <f>IFERROR(__xludf.DUMMYFUNCTION("""COMPUTED_VALUE"""),120000.0)</f>
        <v>120000</v>
      </c>
      <c r="B351" s="1" t="str">
        <f>IFERROR(__xludf.DUMMYFUNCTION("""COMPUTED_VALUE"""),"52")</f>
        <v>52</v>
      </c>
    </row>
    <row r="352" ht="15.75" customHeight="1">
      <c r="A352" s="3">
        <f>IFERROR(__xludf.DUMMYFUNCTION("""COMPUTED_VALUE"""),110000.0)</f>
        <v>110000</v>
      </c>
      <c r="B352" s="1" t="str">
        <f>IFERROR(__xludf.DUMMYFUNCTION("""COMPUTED_VALUE"""),"48")</f>
        <v>48</v>
      </c>
    </row>
    <row r="353" ht="15.75" customHeight="1">
      <c r="A353" s="3">
        <f>IFERROR(__xludf.DUMMYFUNCTION("""COMPUTED_VALUE"""),130000.0)</f>
        <v>130000</v>
      </c>
      <c r="B353" s="1" t="str">
        <f>IFERROR(__xludf.DUMMYFUNCTION("""COMPUTED_VALUE"""),"51")</f>
        <v>51</v>
      </c>
    </row>
    <row r="354" ht="15.75" customHeight="1">
      <c r="A354" s="3">
        <f>IFERROR(__xludf.DUMMYFUNCTION("""COMPUTED_VALUE"""),100000.0)</f>
        <v>100000</v>
      </c>
      <c r="B354" s="1" t="str">
        <f>IFERROR(__xludf.DUMMYFUNCTION("""COMPUTED_VALUE"""),"34")</f>
        <v>34</v>
      </c>
    </row>
    <row r="355" ht="15.75" customHeight="1">
      <c r="A355" s="3">
        <f>IFERROR(__xludf.DUMMYFUNCTION("""COMPUTED_VALUE"""),10000.0)</f>
        <v>10000</v>
      </c>
      <c r="B355" s="1" t="str">
        <f>IFERROR(__xludf.DUMMYFUNCTION("""COMPUTED_VALUE"""),"62")</f>
        <v>62</v>
      </c>
    </row>
    <row r="356" ht="15.75" customHeight="1">
      <c r="A356" s="3">
        <f>IFERROR(__xludf.DUMMYFUNCTION("""COMPUTED_VALUE"""),70000.0)</f>
        <v>70000</v>
      </c>
      <c r="B356" s="1" t="str">
        <f>IFERROR(__xludf.DUMMYFUNCTION("""COMPUTED_VALUE"""),"37")</f>
        <v>37</v>
      </c>
    </row>
    <row r="357" ht="15.75" customHeight="1">
      <c r="A357" s="3">
        <f>IFERROR(__xludf.DUMMYFUNCTION("""COMPUTED_VALUE"""),100000.0)</f>
        <v>100000</v>
      </c>
      <c r="B357" s="1" t="str">
        <f>IFERROR(__xludf.DUMMYFUNCTION("""COMPUTED_VALUE"""),"78")</f>
        <v>78</v>
      </c>
    </row>
    <row r="358" ht="15.75" customHeight="1">
      <c r="A358" s="3">
        <f>IFERROR(__xludf.DUMMYFUNCTION("""COMPUTED_VALUE"""),130000.0)</f>
        <v>130000</v>
      </c>
      <c r="B358" s="1" t="str">
        <f>IFERROR(__xludf.DUMMYFUNCTION("""COMPUTED_VALUE"""),"55")</f>
        <v>55</v>
      </c>
    </row>
    <row r="359" ht="15.75" customHeight="1">
      <c r="A359" s="3">
        <f>IFERROR(__xludf.DUMMYFUNCTION("""COMPUTED_VALUE"""),60000.0)</f>
        <v>60000</v>
      </c>
      <c r="B359" s="1" t="str">
        <f>IFERROR(__xludf.DUMMYFUNCTION("""COMPUTED_VALUE"""),"31")</f>
        <v>31</v>
      </c>
    </row>
    <row r="360" ht="15.75" customHeight="1">
      <c r="A360" s="3">
        <f>IFERROR(__xludf.DUMMYFUNCTION("""COMPUTED_VALUE"""),100000.0)</f>
        <v>100000</v>
      </c>
      <c r="B360" s="1" t="str">
        <f>IFERROR(__xludf.DUMMYFUNCTION("""COMPUTED_VALUE"""),"59")</f>
        <v>59</v>
      </c>
    </row>
    <row r="361" ht="15.75" customHeight="1">
      <c r="A361" s="3">
        <f>IFERROR(__xludf.DUMMYFUNCTION("""COMPUTED_VALUE"""),20000.0)</f>
        <v>20000</v>
      </c>
      <c r="B361" s="1" t="str">
        <f>IFERROR(__xludf.DUMMYFUNCTION("""COMPUTED_VALUE"""),"57")</f>
        <v>57</v>
      </c>
    </row>
    <row r="362" ht="15.75" customHeight="1">
      <c r="A362" s="3">
        <f>IFERROR(__xludf.DUMMYFUNCTION("""COMPUTED_VALUE"""),30000.0)</f>
        <v>30000</v>
      </c>
      <c r="B362" s="1" t="str">
        <f>IFERROR(__xludf.DUMMYFUNCTION("""COMPUTED_VALUE"""),"47")</f>
        <v>47</v>
      </c>
    </row>
    <row r="363" ht="15.75" customHeight="1">
      <c r="A363" s="3">
        <f>IFERROR(__xludf.DUMMYFUNCTION("""COMPUTED_VALUE"""),20000.0)</f>
        <v>20000</v>
      </c>
      <c r="B363" s="1" t="str">
        <f>IFERROR(__xludf.DUMMYFUNCTION("""COMPUTED_VALUE"""),"43")</f>
        <v>43</v>
      </c>
    </row>
    <row r="364" ht="15.75" customHeight="1">
      <c r="A364" s="3">
        <f>IFERROR(__xludf.DUMMYFUNCTION("""COMPUTED_VALUE"""),50000.0)</f>
        <v>50000</v>
      </c>
      <c r="B364" s="1" t="str">
        <f>IFERROR(__xludf.DUMMYFUNCTION("""COMPUTED_VALUE"""),"36")</f>
        <v>36</v>
      </c>
    </row>
    <row r="365" ht="15.75" customHeight="1">
      <c r="A365" s="3">
        <f>IFERROR(__xludf.DUMMYFUNCTION("""COMPUTED_VALUE"""),100000.0)</f>
        <v>100000</v>
      </c>
      <c r="B365" s="1" t="str">
        <f>IFERROR(__xludf.DUMMYFUNCTION("""COMPUTED_VALUE"""),"56")</f>
        <v>56</v>
      </c>
    </row>
    <row r="366" ht="15.75" customHeight="1">
      <c r="A366" s="3">
        <f>IFERROR(__xludf.DUMMYFUNCTION("""COMPUTED_VALUE"""),150000.0)</f>
        <v>150000</v>
      </c>
      <c r="B366" s="1" t="str">
        <f>IFERROR(__xludf.DUMMYFUNCTION("""COMPUTED_VALUE"""),"37")</f>
        <v>37</v>
      </c>
    </row>
    <row r="367" ht="15.75" customHeight="1">
      <c r="A367" s="3">
        <f>IFERROR(__xludf.DUMMYFUNCTION("""COMPUTED_VALUE"""),30000.0)</f>
        <v>30000</v>
      </c>
      <c r="B367" s="1" t="str">
        <f>IFERROR(__xludf.DUMMYFUNCTION("""COMPUTED_VALUE"""),"43")</f>
        <v>43</v>
      </c>
    </row>
    <row r="368" ht="15.75" customHeight="1">
      <c r="A368" s="3">
        <f>IFERROR(__xludf.DUMMYFUNCTION("""COMPUTED_VALUE"""),40000.0)</f>
        <v>40000</v>
      </c>
      <c r="B368" s="1" t="str">
        <f>IFERROR(__xludf.DUMMYFUNCTION("""COMPUTED_VALUE"""),"33")</f>
        <v>33</v>
      </c>
    </row>
    <row r="369" ht="15.75" customHeight="1">
      <c r="A369" s="3">
        <f>IFERROR(__xludf.DUMMYFUNCTION("""COMPUTED_VALUE"""),10000.0)</f>
        <v>10000</v>
      </c>
      <c r="B369" s="1" t="str">
        <f>IFERROR(__xludf.DUMMYFUNCTION("""COMPUTED_VALUE"""),"51")</f>
        <v>51</v>
      </c>
    </row>
    <row r="370" ht="15.75" customHeight="1">
      <c r="A370" s="3">
        <f>IFERROR(__xludf.DUMMYFUNCTION("""COMPUTED_VALUE"""),70000.0)</f>
        <v>70000</v>
      </c>
      <c r="B370" s="1" t="str">
        <f>IFERROR(__xludf.DUMMYFUNCTION("""COMPUTED_VALUE"""),"39")</f>
        <v>39</v>
      </c>
    </row>
    <row r="371" ht="15.75" customHeight="1">
      <c r="A371" s="3">
        <f>IFERROR(__xludf.DUMMYFUNCTION("""COMPUTED_VALUE"""),40000.0)</f>
        <v>40000</v>
      </c>
      <c r="B371" s="1" t="str">
        <f>IFERROR(__xludf.DUMMYFUNCTION("""COMPUTED_VALUE"""),"37")</f>
        <v>37</v>
      </c>
    </row>
    <row r="372" ht="15.75" customHeight="1">
      <c r="A372" s="3">
        <f>IFERROR(__xludf.DUMMYFUNCTION("""COMPUTED_VALUE"""),30000.0)</f>
        <v>30000</v>
      </c>
      <c r="B372" s="1" t="str">
        <f>IFERROR(__xludf.DUMMYFUNCTION("""COMPUTED_VALUE"""),"42")</f>
        <v>42</v>
      </c>
    </row>
    <row r="373" ht="15.75" customHeight="1">
      <c r="A373" s="3">
        <f>IFERROR(__xludf.DUMMYFUNCTION("""COMPUTED_VALUE"""),20000.0)</f>
        <v>20000</v>
      </c>
      <c r="B373" s="1" t="str">
        <f>IFERROR(__xludf.DUMMYFUNCTION("""COMPUTED_VALUE"""),"27")</f>
        <v>27</v>
      </c>
    </row>
    <row r="374" ht="15.75" customHeight="1">
      <c r="A374" s="3">
        <f>IFERROR(__xludf.DUMMYFUNCTION("""COMPUTED_VALUE"""),100000.0)</f>
        <v>100000</v>
      </c>
      <c r="B374" s="1" t="str">
        <f>IFERROR(__xludf.DUMMYFUNCTION("""COMPUTED_VALUE"""),"47")</f>
        <v>47</v>
      </c>
    </row>
    <row r="375" ht="15.75" customHeight="1">
      <c r="A375" s="3">
        <f>IFERROR(__xludf.DUMMYFUNCTION("""COMPUTED_VALUE"""),70000.0)</f>
        <v>70000</v>
      </c>
      <c r="B375" s="1" t="str">
        <f>IFERROR(__xludf.DUMMYFUNCTION("""COMPUTED_VALUE"""),"45")</f>
        <v>45</v>
      </c>
    </row>
    <row r="376" ht="15.75" customHeight="1">
      <c r="A376" s="3">
        <f>IFERROR(__xludf.DUMMYFUNCTION("""COMPUTED_VALUE"""),50000.0)</f>
        <v>50000</v>
      </c>
      <c r="B376" s="1" t="str">
        <f>IFERROR(__xludf.DUMMYFUNCTION("""COMPUTED_VALUE"""),"37")</f>
        <v>37</v>
      </c>
    </row>
    <row r="377" ht="15.75" customHeight="1">
      <c r="A377" s="3">
        <f>IFERROR(__xludf.DUMMYFUNCTION("""COMPUTED_VALUE"""),10000.0)</f>
        <v>10000</v>
      </c>
      <c r="B377" s="1" t="str">
        <f>IFERROR(__xludf.DUMMYFUNCTION("""COMPUTED_VALUE"""),"51")</f>
        <v>51</v>
      </c>
    </row>
    <row r="378" ht="15.75" customHeight="1">
      <c r="A378" s="3">
        <f>IFERROR(__xludf.DUMMYFUNCTION("""COMPUTED_VALUE"""),20000.0)</f>
        <v>20000</v>
      </c>
      <c r="B378" s="1" t="str">
        <f>IFERROR(__xludf.DUMMYFUNCTION("""COMPUTED_VALUE"""),"28")</f>
        <v>28</v>
      </c>
    </row>
    <row r="379" ht="15.75" customHeight="1">
      <c r="A379" s="3">
        <f>IFERROR(__xludf.DUMMYFUNCTION("""COMPUTED_VALUE"""),10000.0)</f>
        <v>10000</v>
      </c>
      <c r="B379" s="1" t="str">
        <f>IFERROR(__xludf.DUMMYFUNCTION("""COMPUTED_VALUE"""),"40")</f>
        <v>40</v>
      </c>
    </row>
    <row r="380" ht="15.75" customHeight="1">
      <c r="A380" s="3">
        <f>IFERROR(__xludf.DUMMYFUNCTION("""COMPUTED_VALUE"""),20000.0)</f>
        <v>20000</v>
      </c>
      <c r="B380" s="1" t="str">
        <f>IFERROR(__xludf.DUMMYFUNCTION("""COMPUTED_VALUE"""),"30")</f>
        <v>30</v>
      </c>
    </row>
    <row r="381" ht="15.75" customHeight="1">
      <c r="A381" s="3">
        <f>IFERROR(__xludf.DUMMYFUNCTION("""COMPUTED_VALUE"""),30000.0)</f>
        <v>30000</v>
      </c>
      <c r="B381" s="1" t="str">
        <f>IFERROR(__xludf.DUMMYFUNCTION("""COMPUTED_VALUE"""),"36")</f>
        <v>36</v>
      </c>
    </row>
    <row r="382" ht="15.75" customHeight="1">
      <c r="A382" s="3">
        <f>IFERROR(__xludf.DUMMYFUNCTION("""COMPUTED_VALUE"""),90000.0)</f>
        <v>90000</v>
      </c>
      <c r="B382" s="1" t="str">
        <f>IFERROR(__xludf.DUMMYFUNCTION("""COMPUTED_VALUE"""),"37")</f>
        <v>37</v>
      </c>
    </row>
    <row r="383" ht="15.75" customHeight="1">
      <c r="A383" s="3">
        <f>IFERROR(__xludf.DUMMYFUNCTION("""COMPUTED_VALUE"""),10000.0)</f>
        <v>10000</v>
      </c>
      <c r="B383" s="1" t="str">
        <f>IFERROR(__xludf.DUMMYFUNCTION("""COMPUTED_VALUE"""),"49")</f>
        <v>49</v>
      </c>
    </row>
    <row r="384" ht="15.75" customHeight="1">
      <c r="A384" s="3">
        <f>IFERROR(__xludf.DUMMYFUNCTION("""COMPUTED_VALUE"""),10000.0)</f>
        <v>10000</v>
      </c>
      <c r="B384" s="1" t="str">
        <f>IFERROR(__xludf.DUMMYFUNCTION("""COMPUTED_VALUE"""),"37")</f>
        <v>37</v>
      </c>
    </row>
    <row r="385" ht="15.75" customHeight="1">
      <c r="A385" s="3">
        <f>IFERROR(__xludf.DUMMYFUNCTION("""COMPUTED_VALUE"""),100000.0)</f>
        <v>100000</v>
      </c>
      <c r="B385" s="1" t="str">
        <f>IFERROR(__xludf.DUMMYFUNCTION("""COMPUTED_VALUE"""),"35")</f>
        <v>35</v>
      </c>
    </row>
    <row r="386" ht="15.75" customHeight="1">
      <c r="A386" s="3">
        <f>IFERROR(__xludf.DUMMYFUNCTION("""COMPUTED_VALUE"""),30000.0)</f>
        <v>30000</v>
      </c>
      <c r="B386" s="1" t="str">
        <f>IFERROR(__xludf.DUMMYFUNCTION("""COMPUTED_VALUE"""),"38")</f>
        <v>38</v>
      </c>
    </row>
    <row r="387" ht="15.75" customHeight="1">
      <c r="A387" s="3">
        <f>IFERROR(__xludf.DUMMYFUNCTION("""COMPUTED_VALUE"""),10000.0)</f>
        <v>10000</v>
      </c>
      <c r="B387" s="1" t="str">
        <f>IFERROR(__xludf.DUMMYFUNCTION("""COMPUTED_VALUE"""),"43")</f>
        <v>43</v>
      </c>
    </row>
    <row r="388" ht="15.75" customHeight="1">
      <c r="A388" s="3">
        <f>IFERROR(__xludf.DUMMYFUNCTION("""COMPUTED_VALUE"""),20000.0)</f>
        <v>20000</v>
      </c>
      <c r="B388" s="1" t="str">
        <f>IFERROR(__xludf.DUMMYFUNCTION("""COMPUTED_VALUE"""),"37")</f>
        <v>37</v>
      </c>
    </row>
    <row r="389" ht="15.75" customHeight="1">
      <c r="A389" s="3">
        <f>IFERROR(__xludf.DUMMYFUNCTION("""COMPUTED_VALUE"""),10000.0)</f>
        <v>10000</v>
      </c>
      <c r="B389" s="1" t="str">
        <f>IFERROR(__xludf.DUMMYFUNCTION("""COMPUTED_VALUE"""),"34")</f>
        <v>34</v>
      </c>
    </row>
    <row r="390" ht="15.75" customHeight="1">
      <c r="A390" s="3">
        <f>IFERROR(__xludf.DUMMYFUNCTION("""COMPUTED_VALUE"""),70000.0)</f>
        <v>70000</v>
      </c>
      <c r="B390" s="1" t="str">
        <f>IFERROR(__xludf.DUMMYFUNCTION("""COMPUTED_VALUE"""),"46")</f>
        <v>46</v>
      </c>
    </row>
    <row r="391" ht="15.75" customHeight="1">
      <c r="A391" s="3">
        <f>IFERROR(__xludf.DUMMYFUNCTION("""COMPUTED_VALUE"""),10000.0)</f>
        <v>10000</v>
      </c>
      <c r="B391" s="1" t="str">
        <f>IFERROR(__xludf.DUMMYFUNCTION("""COMPUTED_VALUE"""),"49")</f>
        <v>49</v>
      </c>
    </row>
    <row r="392" ht="15.75" customHeight="1">
      <c r="A392" s="3">
        <f>IFERROR(__xludf.DUMMYFUNCTION("""COMPUTED_VALUE"""),60000.0)</f>
        <v>60000</v>
      </c>
      <c r="B392" s="1" t="str">
        <f>IFERROR(__xludf.DUMMYFUNCTION("""COMPUTED_VALUE"""),"45")</f>
        <v>45</v>
      </c>
    </row>
    <row r="393" ht="15.75" customHeight="1">
      <c r="A393" s="3">
        <f>IFERROR(__xludf.DUMMYFUNCTION("""COMPUTED_VALUE"""),100000.0)</f>
        <v>100000</v>
      </c>
      <c r="B393" s="1" t="str">
        <f>IFERROR(__xludf.DUMMYFUNCTION("""COMPUTED_VALUE"""),"48")</f>
        <v>48</v>
      </c>
    </row>
    <row r="394" ht="15.75" customHeight="1">
      <c r="A394" s="3">
        <f>IFERROR(__xludf.DUMMYFUNCTION("""COMPUTED_VALUE"""),30000.0)</f>
        <v>30000</v>
      </c>
      <c r="B394" s="1" t="str">
        <f>IFERROR(__xludf.DUMMYFUNCTION("""COMPUTED_VALUE"""),"46")</f>
        <v>46</v>
      </c>
    </row>
    <row r="395" ht="15.75" customHeight="1">
      <c r="A395" s="3">
        <f>IFERROR(__xludf.DUMMYFUNCTION("""COMPUTED_VALUE"""),130000.0)</f>
        <v>130000</v>
      </c>
      <c r="B395" s="1" t="str">
        <f>IFERROR(__xludf.DUMMYFUNCTION("""COMPUTED_VALUE"""),"48")</f>
        <v>48</v>
      </c>
    </row>
    <row r="396" ht="15.75" customHeight="1">
      <c r="A396" s="3">
        <f>IFERROR(__xludf.DUMMYFUNCTION("""COMPUTED_VALUE"""),30000.0)</f>
        <v>30000</v>
      </c>
      <c r="B396" s="1" t="str">
        <f>IFERROR(__xludf.DUMMYFUNCTION("""COMPUTED_VALUE"""),"54")</f>
        <v>54</v>
      </c>
    </row>
    <row r="397" ht="15.75" customHeight="1">
      <c r="A397" s="3">
        <f>IFERROR(__xludf.DUMMYFUNCTION("""COMPUTED_VALUE"""),60000.0)</f>
        <v>60000</v>
      </c>
      <c r="B397" s="1" t="str">
        <f>IFERROR(__xludf.DUMMYFUNCTION("""COMPUTED_VALUE"""),"46")</f>
        <v>46</v>
      </c>
    </row>
    <row r="398" ht="15.75" customHeight="1">
      <c r="A398" s="3">
        <f>IFERROR(__xludf.DUMMYFUNCTION("""COMPUTED_VALUE"""),40000.0)</f>
        <v>40000</v>
      </c>
      <c r="B398" s="1" t="str">
        <f>IFERROR(__xludf.DUMMYFUNCTION("""COMPUTED_VALUE"""),"38")</f>
        <v>38</v>
      </c>
    </row>
    <row r="399" ht="15.75" customHeight="1">
      <c r="A399" s="3">
        <f>IFERROR(__xludf.DUMMYFUNCTION("""COMPUTED_VALUE"""),40000.0)</f>
        <v>40000</v>
      </c>
      <c r="B399" s="1" t="str">
        <f>IFERROR(__xludf.DUMMYFUNCTION("""COMPUTED_VALUE"""),"42")</f>
        <v>42</v>
      </c>
    </row>
    <row r="400" ht="15.75" customHeight="1">
      <c r="A400" s="3">
        <f>IFERROR(__xludf.DUMMYFUNCTION("""COMPUTED_VALUE"""),10000.0)</f>
        <v>10000</v>
      </c>
      <c r="B400" s="1" t="str">
        <f>IFERROR(__xludf.DUMMYFUNCTION("""COMPUTED_VALUE"""),"46")</f>
        <v>46</v>
      </c>
    </row>
    <row r="401" ht="15.75" customHeight="1">
      <c r="A401" s="3">
        <f>IFERROR(__xludf.DUMMYFUNCTION("""COMPUTED_VALUE"""),20000.0)</f>
        <v>20000</v>
      </c>
      <c r="B401" s="1" t="str">
        <f>IFERROR(__xludf.DUMMYFUNCTION("""COMPUTED_VALUE"""),"36")</f>
        <v>36</v>
      </c>
    </row>
    <row r="402" ht="15.75" customHeight="1">
      <c r="A402" s="3">
        <f>IFERROR(__xludf.DUMMYFUNCTION("""COMPUTED_VALUE"""),110000.0)</f>
        <v>110000</v>
      </c>
      <c r="B402" s="1" t="str">
        <f>IFERROR(__xludf.DUMMYFUNCTION("""COMPUTED_VALUE"""),"32")</f>
        <v>32</v>
      </c>
    </row>
    <row r="403" ht="15.75" customHeight="1">
      <c r="A403" s="3">
        <f>IFERROR(__xludf.DUMMYFUNCTION("""COMPUTED_VALUE"""),60000.0)</f>
        <v>60000</v>
      </c>
      <c r="B403" s="1" t="str">
        <f>IFERROR(__xludf.DUMMYFUNCTION("""COMPUTED_VALUE"""),"39")</f>
        <v>39</v>
      </c>
    </row>
    <row r="404" ht="15.75" customHeight="1">
      <c r="A404" s="3">
        <f>IFERROR(__xludf.DUMMYFUNCTION("""COMPUTED_VALUE"""),100000.0)</f>
        <v>100000</v>
      </c>
      <c r="B404" s="1" t="str">
        <f>IFERROR(__xludf.DUMMYFUNCTION("""COMPUTED_VALUE"""),"36")</f>
        <v>36</v>
      </c>
    </row>
    <row r="405" ht="15.75" customHeight="1">
      <c r="A405" s="3">
        <f>IFERROR(__xludf.DUMMYFUNCTION("""COMPUTED_VALUE"""),90000.0)</f>
        <v>90000</v>
      </c>
      <c r="B405" s="1" t="str">
        <f>IFERROR(__xludf.DUMMYFUNCTION("""COMPUTED_VALUE"""),"54")</f>
        <v>54</v>
      </c>
    </row>
    <row r="406" ht="15.75" customHeight="1">
      <c r="A406" s="3">
        <f>IFERROR(__xludf.DUMMYFUNCTION("""COMPUTED_VALUE"""),30000.0)</f>
        <v>30000</v>
      </c>
      <c r="B406" s="1" t="str">
        <f>IFERROR(__xludf.DUMMYFUNCTION("""COMPUTED_VALUE"""),"69")</f>
        <v>69</v>
      </c>
    </row>
    <row r="407" ht="15.75" customHeight="1">
      <c r="A407" s="3">
        <f>IFERROR(__xludf.DUMMYFUNCTION("""COMPUTED_VALUE"""),10000.0)</f>
        <v>10000</v>
      </c>
      <c r="B407" s="1" t="str">
        <f>IFERROR(__xludf.DUMMYFUNCTION("""COMPUTED_VALUE"""),"62")</f>
        <v>62</v>
      </c>
    </row>
    <row r="408" ht="15.75" customHeight="1">
      <c r="A408" s="3">
        <f>IFERROR(__xludf.DUMMYFUNCTION("""COMPUTED_VALUE"""),30000.0)</f>
        <v>30000</v>
      </c>
      <c r="B408" s="1" t="str">
        <f>IFERROR(__xludf.DUMMYFUNCTION("""COMPUTED_VALUE"""),"62")</f>
        <v>62</v>
      </c>
    </row>
    <row r="409" ht="15.75" customHeight="1">
      <c r="A409" s="3">
        <f>IFERROR(__xludf.DUMMYFUNCTION("""COMPUTED_VALUE"""),30000.0)</f>
        <v>30000</v>
      </c>
      <c r="B409" s="1" t="str">
        <f>IFERROR(__xludf.DUMMYFUNCTION("""COMPUTED_VALUE"""),"40")</f>
        <v>40</v>
      </c>
    </row>
    <row r="410" ht="15.75" customHeight="1">
      <c r="A410" s="3">
        <f>IFERROR(__xludf.DUMMYFUNCTION("""COMPUTED_VALUE"""),80000.0)</f>
        <v>80000</v>
      </c>
      <c r="B410" s="1" t="str">
        <f>IFERROR(__xludf.DUMMYFUNCTION("""COMPUTED_VALUE"""),"36")</f>
        <v>36</v>
      </c>
    </row>
    <row r="411" ht="15.75" customHeight="1">
      <c r="A411" s="3">
        <f>IFERROR(__xludf.DUMMYFUNCTION("""COMPUTED_VALUE"""),10000.0)</f>
        <v>10000</v>
      </c>
      <c r="B411" s="1" t="str">
        <f>IFERROR(__xludf.DUMMYFUNCTION("""COMPUTED_VALUE"""),"58")</f>
        <v>58</v>
      </c>
    </row>
    <row r="412" ht="15.75" customHeight="1">
      <c r="A412" s="3">
        <f>IFERROR(__xludf.DUMMYFUNCTION("""COMPUTED_VALUE"""),90000.0)</f>
        <v>90000</v>
      </c>
      <c r="B412" s="1" t="str">
        <f>IFERROR(__xludf.DUMMYFUNCTION("""COMPUTED_VALUE"""),"40")</f>
        <v>40</v>
      </c>
    </row>
    <row r="413" ht="15.75" customHeight="1">
      <c r="A413" s="3">
        <f>IFERROR(__xludf.DUMMYFUNCTION("""COMPUTED_VALUE"""),10000.0)</f>
        <v>10000</v>
      </c>
      <c r="B413" s="1" t="str">
        <f>IFERROR(__xludf.DUMMYFUNCTION("""COMPUTED_VALUE"""),"66")</f>
        <v>66</v>
      </c>
    </row>
    <row r="414" ht="15.75" customHeight="1">
      <c r="A414" s="3">
        <f>IFERROR(__xludf.DUMMYFUNCTION("""COMPUTED_VALUE"""),40000.0)</f>
        <v>40000</v>
      </c>
      <c r="B414" s="1" t="str">
        <f>IFERROR(__xludf.DUMMYFUNCTION("""COMPUTED_VALUE"""),"35")</f>
        <v>35</v>
      </c>
    </row>
    <row r="415" ht="15.75" customHeight="1">
      <c r="A415" s="3">
        <f>IFERROR(__xludf.DUMMYFUNCTION("""COMPUTED_VALUE"""),20000.0)</f>
        <v>20000</v>
      </c>
      <c r="B415" s="1" t="str">
        <f>IFERROR(__xludf.DUMMYFUNCTION("""COMPUTED_VALUE"""),"47")</f>
        <v>47</v>
      </c>
    </row>
    <row r="416" ht="15.75" customHeight="1">
      <c r="A416" s="3">
        <f>IFERROR(__xludf.DUMMYFUNCTION("""COMPUTED_VALUE"""),120000.0)</f>
        <v>120000</v>
      </c>
      <c r="B416" s="1" t="str">
        <f>IFERROR(__xludf.DUMMYFUNCTION("""COMPUTED_VALUE"""),"47")</f>
        <v>47</v>
      </c>
    </row>
    <row r="417" ht="15.75" customHeight="1">
      <c r="A417" s="3">
        <f>IFERROR(__xludf.DUMMYFUNCTION("""COMPUTED_VALUE"""),60000.0)</f>
        <v>60000</v>
      </c>
      <c r="B417" s="1" t="str">
        <f>IFERROR(__xludf.DUMMYFUNCTION("""COMPUTED_VALUE"""),"46")</f>
        <v>46</v>
      </c>
    </row>
    <row r="418" ht="15.75" customHeight="1">
      <c r="A418" s="3">
        <f>IFERROR(__xludf.DUMMYFUNCTION("""COMPUTED_VALUE"""),20000.0)</f>
        <v>20000</v>
      </c>
      <c r="B418" s="1" t="str">
        <f>IFERROR(__xludf.DUMMYFUNCTION("""COMPUTED_VALUE"""),"58")</f>
        <v>58</v>
      </c>
    </row>
    <row r="419" ht="15.75" customHeight="1">
      <c r="A419" s="3">
        <f>IFERROR(__xludf.DUMMYFUNCTION("""COMPUTED_VALUE"""),40000.0)</f>
        <v>40000</v>
      </c>
      <c r="B419" s="1" t="str">
        <f>IFERROR(__xludf.DUMMYFUNCTION("""COMPUTED_VALUE"""),"52")</f>
        <v>52</v>
      </c>
    </row>
    <row r="420" ht="15.75" customHeight="1">
      <c r="A420" s="3">
        <f>IFERROR(__xludf.DUMMYFUNCTION("""COMPUTED_VALUE"""),80000.0)</f>
        <v>80000</v>
      </c>
      <c r="B420" s="1" t="str">
        <f>IFERROR(__xludf.DUMMYFUNCTION("""COMPUTED_VALUE"""),"47")</f>
        <v>47</v>
      </c>
    </row>
    <row r="421" ht="15.75" customHeight="1">
      <c r="A421" s="3">
        <f>IFERROR(__xludf.DUMMYFUNCTION("""COMPUTED_VALUE"""),70000.0)</f>
        <v>70000</v>
      </c>
      <c r="B421" s="1" t="str">
        <f>IFERROR(__xludf.DUMMYFUNCTION("""COMPUTED_VALUE"""),"41")</f>
        <v>41</v>
      </c>
    </row>
    <row r="422" ht="15.75" customHeight="1">
      <c r="A422" s="3">
        <f>IFERROR(__xludf.DUMMYFUNCTION("""COMPUTED_VALUE"""),50000.0)</f>
        <v>50000</v>
      </c>
      <c r="B422" s="1" t="str">
        <f>IFERROR(__xludf.DUMMYFUNCTION("""COMPUTED_VALUE"""),"64")</f>
        <v>64</v>
      </c>
    </row>
    <row r="423" ht="15.75" customHeight="1">
      <c r="A423" s="3">
        <f>IFERROR(__xludf.DUMMYFUNCTION("""COMPUTED_VALUE"""),30000.0)</f>
        <v>30000</v>
      </c>
      <c r="B423" s="1" t="str">
        <f>IFERROR(__xludf.DUMMYFUNCTION("""COMPUTED_VALUE"""),"35")</f>
        <v>35</v>
      </c>
    </row>
    <row r="424" ht="15.75" customHeight="1">
      <c r="A424" s="3">
        <f>IFERROR(__xludf.DUMMYFUNCTION("""COMPUTED_VALUE"""),130000.0)</f>
        <v>130000</v>
      </c>
      <c r="B424" s="1" t="str">
        <f>IFERROR(__xludf.DUMMYFUNCTION("""COMPUTED_VALUE"""),"54")</f>
        <v>54</v>
      </c>
    </row>
    <row r="425" ht="15.75" customHeight="1">
      <c r="A425" s="3">
        <f>IFERROR(__xludf.DUMMYFUNCTION("""COMPUTED_VALUE"""),30000.0)</f>
        <v>30000</v>
      </c>
      <c r="B425" s="1" t="str">
        <f>IFERROR(__xludf.DUMMYFUNCTION("""COMPUTED_VALUE"""),"45")</f>
        <v>45</v>
      </c>
    </row>
    <row r="426" ht="15.75" customHeight="1">
      <c r="A426" s="3">
        <f>IFERROR(__xludf.DUMMYFUNCTION("""COMPUTED_VALUE"""),100000.0)</f>
        <v>100000</v>
      </c>
      <c r="B426" s="1" t="str">
        <f>IFERROR(__xludf.DUMMYFUNCTION("""COMPUTED_VALUE"""),"40")</f>
        <v>40</v>
      </c>
    </row>
    <row r="427" ht="15.75" customHeight="1">
      <c r="A427" s="3">
        <f>IFERROR(__xludf.DUMMYFUNCTION("""COMPUTED_VALUE"""),160000.0)</f>
        <v>160000</v>
      </c>
      <c r="B427" s="1" t="str">
        <f>IFERROR(__xludf.DUMMYFUNCTION("""COMPUTED_VALUE"""),"47")</f>
        <v>47</v>
      </c>
    </row>
    <row r="428" ht="15.75" customHeight="1">
      <c r="A428" s="3">
        <f>IFERROR(__xludf.DUMMYFUNCTION("""COMPUTED_VALUE"""),10000.0)</f>
        <v>10000</v>
      </c>
      <c r="B428" s="1" t="str">
        <f>IFERROR(__xludf.DUMMYFUNCTION("""COMPUTED_VALUE"""),"41")</f>
        <v>41</v>
      </c>
    </row>
    <row r="429" ht="15.75" customHeight="1">
      <c r="A429" s="3">
        <f>IFERROR(__xludf.DUMMYFUNCTION("""COMPUTED_VALUE"""),40000.0)</f>
        <v>40000</v>
      </c>
      <c r="B429" s="1" t="str">
        <f>IFERROR(__xludf.DUMMYFUNCTION("""COMPUTED_VALUE"""),"37")</f>
        <v>37</v>
      </c>
    </row>
    <row r="430" ht="15.75" customHeight="1">
      <c r="A430" s="3">
        <f>IFERROR(__xludf.DUMMYFUNCTION("""COMPUTED_VALUE"""),90000.0)</f>
        <v>90000</v>
      </c>
      <c r="B430" s="1" t="str">
        <f>IFERROR(__xludf.DUMMYFUNCTION("""COMPUTED_VALUE"""),"38")</f>
        <v>38</v>
      </c>
    </row>
    <row r="431" ht="15.75" customHeight="1">
      <c r="A431" s="3">
        <f>IFERROR(__xludf.DUMMYFUNCTION("""COMPUTED_VALUE"""),40000.0)</f>
        <v>40000</v>
      </c>
      <c r="B431" s="1" t="str">
        <f>IFERROR(__xludf.DUMMYFUNCTION("""COMPUTED_VALUE"""),"36")</f>
        <v>36</v>
      </c>
    </row>
    <row r="432" ht="15.75" customHeight="1">
      <c r="A432" s="3">
        <f>IFERROR(__xludf.DUMMYFUNCTION("""COMPUTED_VALUE"""),20000.0)</f>
        <v>20000</v>
      </c>
      <c r="B432" s="1" t="str">
        <f>IFERROR(__xludf.DUMMYFUNCTION("""COMPUTED_VALUE"""),"26")</f>
        <v>26</v>
      </c>
    </row>
    <row r="433" ht="15.75" customHeight="1">
      <c r="A433" s="3">
        <f>IFERROR(__xludf.DUMMYFUNCTION("""COMPUTED_VALUE"""),30000.0)</f>
        <v>30000</v>
      </c>
      <c r="B433" s="1" t="str">
        <f>IFERROR(__xludf.DUMMYFUNCTION("""COMPUTED_VALUE"""),"40")</f>
        <v>40</v>
      </c>
    </row>
    <row r="434" ht="15.75" customHeight="1">
      <c r="A434" s="3">
        <f>IFERROR(__xludf.DUMMYFUNCTION("""COMPUTED_VALUE"""),40000.0)</f>
        <v>40000</v>
      </c>
      <c r="B434" s="1" t="str">
        <f>IFERROR(__xludf.DUMMYFUNCTION("""COMPUTED_VALUE"""),"36")</f>
        <v>36</v>
      </c>
    </row>
    <row r="435" ht="15.75" customHeight="1">
      <c r="A435" s="3">
        <f>IFERROR(__xludf.DUMMYFUNCTION("""COMPUTED_VALUE"""),90000.0)</f>
        <v>90000</v>
      </c>
      <c r="B435" s="1" t="str">
        <f>IFERROR(__xludf.DUMMYFUNCTION("""COMPUTED_VALUE"""),"59")</f>
        <v>59</v>
      </c>
    </row>
    <row r="436" ht="15.75" customHeight="1">
      <c r="A436" s="3">
        <f>IFERROR(__xludf.DUMMYFUNCTION("""COMPUTED_VALUE"""),80000.0)</f>
        <v>80000</v>
      </c>
      <c r="B436" s="1" t="str">
        <f>IFERROR(__xludf.DUMMYFUNCTION("""COMPUTED_VALUE"""),"32")</f>
        <v>32</v>
      </c>
    </row>
    <row r="437" ht="15.75" customHeight="1">
      <c r="A437" s="3">
        <f>IFERROR(__xludf.DUMMYFUNCTION("""COMPUTED_VALUE"""),10000.0)</f>
        <v>10000</v>
      </c>
      <c r="B437" s="1" t="str">
        <f>IFERROR(__xludf.DUMMYFUNCTION("""COMPUTED_VALUE"""),"30")</f>
        <v>30</v>
      </c>
    </row>
    <row r="438" ht="15.75" customHeight="1">
      <c r="A438" s="3">
        <f>IFERROR(__xludf.DUMMYFUNCTION("""COMPUTED_VALUE"""),20000.0)</f>
        <v>20000</v>
      </c>
      <c r="B438" s="1" t="str">
        <f>IFERROR(__xludf.DUMMYFUNCTION("""COMPUTED_VALUE"""),"35")</f>
        <v>35</v>
      </c>
    </row>
    <row r="439" ht="15.75" customHeight="1">
      <c r="A439" s="3">
        <f>IFERROR(__xludf.DUMMYFUNCTION("""COMPUTED_VALUE"""),130000.0)</f>
        <v>130000</v>
      </c>
      <c r="B439" s="1" t="str">
        <f>IFERROR(__xludf.DUMMYFUNCTION("""COMPUTED_VALUE"""),"51")</f>
        <v>51</v>
      </c>
    </row>
    <row r="440" ht="15.75" customHeight="1">
      <c r="A440" s="3">
        <f>IFERROR(__xludf.DUMMYFUNCTION("""COMPUTED_VALUE"""),90000.0)</f>
        <v>90000</v>
      </c>
      <c r="B440" s="1" t="str">
        <f>IFERROR(__xludf.DUMMYFUNCTION("""COMPUTED_VALUE"""),"47")</f>
        <v>47</v>
      </c>
    </row>
    <row r="441" ht="15.75" customHeight="1">
      <c r="A441" s="3">
        <f>IFERROR(__xludf.DUMMYFUNCTION("""COMPUTED_VALUE"""),80000.0)</f>
        <v>80000</v>
      </c>
      <c r="B441" s="1" t="str">
        <f>IFERROR(__xludf.DUMMYFUNCTION("""COMPUTED_VALUE"""),"39")</f>
        <v>39</v>
      </c>
    </row>
    <row r="442" ht="15.75" customHeight="1">
      <c r="A442" s="3">
        <f>IFERROR(__xludf.DUMMYFUNCTION("""COMPUTED_VALUE"""),20000.0)</f>
        <v>20000</v>
      </c>
      <c r="B442" s="1" t="str">
        <f>IFERROR(__xludf.DUMMYFUNCTION("""COMPUTED_VALUE"""),"34")</f>
        <v>34</v>
      </c>
    </row>
    <row r="443" ht="15.75" customHeight="1">
      <c r="A443" s="3">
        <f>IFERROR(__xludf.DUMMYFUNCTION("""COMPUTED_VALUE"""),10000.0)</f>
        <v>10000</v>
      </c>
      <c r="B443" s="1" t="str">
        <f>IFERROR(__xludf.DUMMYFUNCTION("""COMPUTED_VALUE"""),"32")</f>
        <v>32</v>
      </c>
    </row>
    <row r="444" ht="15.75" customHeight="1">
      <c r="A444" s="3">
        <f>IFERROR(__xludf.DUMMYFUNCTION("""COMPUTED_VALUE"""),120000.0)</f>
        <v>120000</v>
      </c>
      <c r="B444" s="1" t="str">
        <f>IFERROR(__xludf.DUMMYFUNCTION("""COMPUTED_VALUE"""),"50")</f>
        <v>50</v>
      </c>
    </row>
    <row r="445" ht="15.75" customHeight="1">
      <c r="A445" s="3">
        <f>IFERROR(__xludf.DUMMYFUNCTION("""COMPUTED_VALUE"""),20000.0)</f>
        <v>20000</v>
      </c>
      <c r="B445" s="1" t="str">
        <f>IFERROR(__xludf.DUMMYFUNCTION("""COMPUTED_VALUE"""),"66")</f>
        <v>66</v>
      </c>
    </row>
    <row r="446" ht="15.75" customHeight="1">
      <c r="A446" s="3">
        <f>IFERROR(__xludf.DUMMYFUNCTION("""COMPUTED_VALUE"""),30000.0)</f>
        <v>30000</v>
      </c>
      <c r="B446" s="1" t="str">
        <f>IFERROR(__xludf.DUMMYFUNCTION("""COMPUTED_VALUE"""),"30")</f>
        <v>30</v>
      </c>
    </row>
    <row r="447" ht="15.75" customHeight="1">
      <c r="A447" s="3">
        <f>IFERROR(__xludf.DUMMYFUNCTION("""COMPUTED_VALUE"""),30000.0)</f>
        <v>30000</v>
      </c>
      <c r="B447" s="1" t="str">
        <f>IFERROR(__xludf.DUMMYFUNCTION("""COMPUTED_VALUE"""),"32")</f>
        <v>32</v>
      </c>
    </row>
    <row r="448" ht="15.75" customHeight="1">
      <c r="A448" s="3">
        <f>IFERROR(__xludf.DUMMYFUNCTION("""COMPUTED_VALUE"""),10000.0)</f>
        <v>10000</v>
      </c>
      <c r="B448" s="1" t="str">
        <f>IFERROR(__xludf.DUMMYFUNCTION("""COMPUTED_VALUE"""),"35")</f>
        <v>35</v>
      </c>
    </row>
    <row r="449" ht="15.75" customHeight="1">
      <c r="A449" s="3">
        <f>IFERROR(__xludf.DUMMYFUNCTION("""COMPUTED_VALUE"""),30000.0)</f>
        <v>30000</v>
      </c>
      <c r="B449" s="1" t="str">
        <f>IFERROR(__xludf.DUMMYFUNCTION("""COMPUTED_VALUE"""),"32")</f>
        <v>32</v>
      </c>
    </row>
    <row r="450" ht="15.75" customHeight="1">
      <c r="A450" s="3">
        <f>IFERROR(__xludf.DUMMYFUNCTION("""COMPUTED_VALUE"""),30000.0)</f>
        <v>30000</v>
      </c>
      <c r="B450" s="1" t="str">
        <f>IFERROR(__xludf.DUMMYFUNCTION("""COMPUTED_VALUE"""),"31")</f>
        <v>31</v>
      </c>
    </row>
    <row r="451" ht="15.75" customHeight="1">
      <c r="A451" s="3">
        <f>IFERROR(__xludf.DUMMYFUNCTION("""COMPUTED_VALUE"""),20000.0)</f>
        <v>20000</v>
      </c>
      <c r="B451" s="1" t="str">
        <f>IFERROR(__xludf.DUMMYFUNCTION("""COMPUTED_VALUE"""),"50")</f>
        <v>50</v>
      </c>
    </row>
    <row r="452" ht="15.75" customHeight="1">
      <c r="A452" s="3">
        <f>IFERROR(__xludf.DUMMYFUNCTION("""COMPUTED_VALUE"""),40000.0)</f>
        <v>40000</v>
      </c>
      <c r="B452" s="1" t="str">
        <f>IFERROR(__xludf.DUMMYFUNCTION("""COMPUTED_VALUE"""),"43")</f>
        <v>43</v>
      </c>
    </row>
    <row r="453" ht="15.75" customHeight="1">
      <c r="A453" s="3">
        <f>IFERROR(__xludf.DUMMYFUNCTION("""COMPUTED_VALUE"""),60000.0)</f>
        <v>60000</v>
      </c>
      <c r="B453" s="1" t="str">
        <f>IFERROR(__xludf.DUMMYFUNCTION("""COMPUTED_VALUE"""),"45")</f>
        <v>45</v>
      </c>
    </row>
    <row r="454" ht="15.75" customHeight="1">
      <c r="A454" s="3">
        <f>IFERROR(__xludf.DUMMYFUNCTION("""COMPUTED_VALUE"""),20000.0)</f>
        <v>20000</v>
      </c>
      <c r="B454" s="1" t="str">
        <f>IFERROR(__xludf.DUMMYFUNCTION("""COMPUTED_VALUE"""),"42")</f>
        <v>42</v>
      </c>
    </row>
    <row r="455" ht="15.75" customHeight="1">
      <c r="A455" s="3">
        <f>IFERROR(__xludf.DUMMYFUNCTION("""COMPUTED_VALUE"""),30000.0)</f>
        <v>30000</v>
      </c>
      <c r="B455" s="1" t="str">
        <f>IFERROR(__xludf.DUMMYFUNCTION("""COMPUTED_VALUE"""),"29")</f>
        <v>29</v>
      </c>
    </row>
    <row r="456" ht="15.75" customHeight="1">
      <c r="A456" s="3">
        <f>IFERROR(__xludf.DUMMYFUNCTION("""COMPUTED_VALUE"""),20000.0)</f>
        <v>20000</v>
      </c>
      <c r="B456" s="1" t="str">
        <f>IFERROR(__xludf.DUMMYFUNCTION("""COMPUTED_VALUE"""),"28")</f>
        <v>28</v>
      </c>
    </row>
    <row r="457" ht="15.75" customHeight="1">
      <c r="A457" s="3">
        <f>IFERROR(__xludf.DUMMYFUNCTION("""COMPUTED_VALUE"""),80000.0)</f>
        <v>80000</v>
      </c>
      <c r="B457" s="1" t="str">
        <f>IFERROR(__xludf.DUMMYFUNCTION("""COMPUTED_VALUE"""),"53")</f>
        <v>53</v>
      </c>
    </row>
    <row r="458" ht="15.75" customHeight="1">
      <c r="A458" s="3">
        <f>IFERROR(__xludf.DUMMYFUNCTION("""COMPUTED_VALUE"""),40000.0)</f>
        <v>40000</v>
      </c>
      <c r="B458" s="1" t="str">
        <f>IFERROR(__xludf.DUMMYFUNCTION("""COMPUTED_VALUE"""),"38")</f>
        <v>38</v>
      </c>
    </row>
    <row r="459" ht="15.75" customHeight="1">
      <c r="A459" s="3">
        <f>IFERROR(__xludf.DUMMYFUNCTION("""COMPUTED_VALUE"""),30000.0)</f>
        <v>30000</v>
      </c>
      <c r="B459" s="1" t="str">
        <f>IFERROR(__xludf.DUMMYFUNCTION("""COMPUTED_VALUE"""),"39")</f>
        <v>39</v>
      </c>
    </row>
    <row r="460" ht="15.75" customHeight="1">
      <c r="A460" s="3">
        <f>IFERROR(__xludf.DUMMYFUNCTION("""COMPUTED_VALUE"""),80000.0)</f>
        <v>80000</v>
      </c>
      <c r="B460" s="1" t="str">
        <f>IFERROR(__xludf.DUMMYFUNCTION("""COMPUTED_VALUE"""),"32")</f>
        <v>32</v>
      </c>
    </row>
    <row r="461" ht="15.75" customHeight="1">
      <c r="A461" s="3">
        <f>IFERROR(__xludf.DUMMYFUNCTION("""COMPUTED_VALUE"""),150000.0)</f>
        <v>150000</v>
      </c>
      <c r="B461" s="1" t="str">
        <f>IFERROR(__xludf.DUMMYFUNCTION("""COMPUTED_VALUE"""),"51")</f>
        <v>51</v>
      </c>
    </row>
    <row r="462" ht="15.75" customHeight="1">
      <c r="A462" s="3">
        <f>IFERROR(__xludf.DUMMYFUNCTION("""COMPUTED_VALUE"""),10000.0)</f>
        <v>10000</v>
      </c>
      <c r="B462" s="1" t="str">
        <f>IFERROR(__xludf.DUMMYFUNCTION("""COMPUTED_VALUE"""),"33")</f>
        <v>33</v>
      </c>
    </row>
    <row r="463" ht="15.75" customHeight="1">
      <c r="A463" s="3">
        <f>IFERROR(__xludf.DUMMYFUNCTION("""COMPUTED_VALUE"""),90000.0)</f>
        <v>90000</v>
      </c>
      <c r="B463" s="1" t="str">
        <f>IFERROR(__xludf.DUMMYFUNCTION("""COMPUTED_VALUE"""),"58")</f>
        <v>58</v>
      </c>
    </row>
    <row r="464" ht="15.75" customHeight="1">
      <c r="A464" s="3">
        <f>IFERROR(__xludf.DUMMYFUNCTION("""COMPUTED_VALUE"""),80000.0)</f>
        <v>80000</v>
      </c>
      <c r="B464" s="1" t="str">
        <f>IFERROR(__xludf.DUMMYFUNCTION("""COMPUTED_VALUE"""),"30")</f>
        <v>30</v>
      </c>
    </row>
    <row r="465" ht="15.75" customHeight="1">
      <c r="A465" s="3">
        <f>IFERROR(__xludf.DUMMYFUNCTION("""COMPUTED_VALUE"""),130000.0)</f>
        <v>130000</v>
      </c>
      <c r="B465" s="1" t="str">
        <f>IFERROR(__xludf.DUMMYFUNCTION("""COMPUTED_VALUE"""),"48")</f>
        <v>48</v>
      </c>
    </row>
    <row r="466" ht="15.75" customHeight="1">
      <c r="A466" s="3">
        <f>IFERROR(__xludf.DUMMYFUNCTION("""COMPUTED_VALUE"""),30000.0)</f>
        <v>30000</v>
      </c>
      <c r="B466" s="1" t="str">
        <f>IFERROR(__xludf.DUMMYFUNCTION("""COMPUTED_VALUE"""),"27")</f>
        <v>27</v>
      </c>
    </row>
    <row r="467" ht="15.75" customHeight="1">
      <c r="A467" s="3">
        <f>IFERROR(__xludf.DUMMYFUNCTION("""COMPUTED_VALUE"""),40000.0)</f>
        <v>40000</v>
      </c>
      <c r="B467" s="1" t="str">
        <f>IFERROR(__xludf.DUMMYFUNCTION("""COMPUTED_VALUE"""),"33")</f>
        <v>33</v>
      </c>
    </row>
    <row r="468" ht="15.75" customHeight="1">
      <c r="A468" s="3">
        <f>IFERROR(__xludf.DUMMYFUNCTION("""COMPUTED_VALUE"""),40000.0)</f>
        <v>40000</v>
      </c>
      <c r="B468" s="1" t="str">
        <f>IFERROR(__xludf.DUMMYFUNCTION("""COMPUTED_VALUE"""),"66")</f>
        <v>66</v>
      </c>
    </row>
    <row r="469" ht="15.75" customHeight="1">
      <c r="A469" s="3">
        <f>IFERROR(__xludf.DUMMYFUNCTION("""COMPUTED_VALUE"""),10000.0)</f>
        <v>10000</v>
      </c>
      <c r="B469" s="1" t="str">
        <f>IFERROR(__xludf.DUMMYFUNCTION("""COMPUTED_VALUE"""),"38")</f>
        <v>38</v>
      </c>
    </row>
    <row r="470" ht="15.75" customHeight="1">
      <c r="A470" s="3">
        <f>IFERROR(__xludf.DUMMYFUNCTION("""COMPUTED_VALUE"""),40000.0)</f>
        <v>40000</v>
      </c>
      <c r="B470" s="1" t="str">
        <f>IFERROR(__xludf.DUMMYFUNCTION("""COMPUTED_VALUE"""),"38")</f>
        <v>38</v>
      </c>
    </row>
    <row r="471" ht="15.75" customHeight="1">
      <c r="A471" s="3">
        <f>IFERROR(__xludf.DUMMYFUNCTION("""COMPUTED_VALUE"""),60000.0)</f>
        <v>60000</v>
      </c>
      <c r="B471" s="1" t="str">
        <f>IFERROR(__xludf.DUMMYFUNCTION("""COMPUTED_VALUE"""),"45")</f>
        <v>45</v>
      </c>
    </row>
    <row r="472" ht="15.75" customHeight="1">
      <c r="A472" s="3">
        <f>IFERROR(__xludf.DUMMYFUNCTION("""COMPUTED_VALUE"""),130000.0)</f>
        <v>130000</v>
      </c>
      <c r="B472" s="1" t="str">
        <f>IFERROR(__xludf.DUMMYFUNCTION("""COMPUTED_VALUE"""),"50")</f>
        <v>50</v>
      </c>
    </row>
    <row r="473" ht="15.75" customHeight="1">
      <c r="A473" s="3">
        <f>IFERROR(__xludf.DUMMYFUNCTION("""COMPUTED_VALUE"""),30000.0)</f>
        <v>30000</v>
      </c>
      <c r="B473" s="1" t="str">
        <f>IFERROR(__xludf.DUMMYFUNCTION("""COMPUTED_VALUE"""),"60")</f>
        <v>60</v>
      </c>
    </row>
    <row r="474" ht="15.75" customHeight="1">
      <c r="A474" s="3">
        <f>IFERROR(__xludf.DUMMYFUNCTION("""COMPUTED_VALUE"""),20000.0)</f>
        <v>20000</v>
      </c>
      <c r="B474" s="1" t="str">
        <f>IFERROR(__xludf.DUMMYFUNCTION("""COMPUTED_VALUE"""),"53")</f>
        <v>53</v>
      </c>
    </row>
    <row r="475" ht="15.75" customHeight="1">
      <c r="A475" s="3">
        <f>IFERROR(__xludf.DUMMYFUNCTION("""COMPUTED_VALUE"""),100000.0)</f>
        <v>100000</v>
      </c>
      <c r="B475" s="1" t="str">
        <f>IFERROR(__xludf.DUMMYFUNCTION("""COMPUTED_VALUE"""),"46")</f>
        <v>46</v>
      </c>
    </row>
    <row r="476" ht="15.75" customHeight="1">
      <c r="A476" s="3">
        <f>IFERROR(__xludf.DUMMYFUNCTION("""COMPUTED_VALUE"""),40000.0)</f>
        <v>40000</v>
      </c>
      <c r="B476" s="1" t="str">
        <f>IFERROR(__xludf.DUMMYFUNCTION("""COMPUTED_VALUE"""),"43")</f>
        <v>43</v>
      </c>
    </row>
    <row r="477" ht="15.75" customHeight="1">
      <c r="A477" s="3">
        <f>IFERROR(__xludf.DUMMYFUNCTION("""COMPUTED_VALUE"""),20000.0)</f>
        <v>20000</v>
      </c>
      <c r="B477" s="1" t="str">
        <f>IFERROR(__xludf.DUMMYFUNCTION("""COMPUTED_VALUE"""),"30")</f>
        <v>30</v>
      </c>
    </row>
    <row r="478" ht="15.75" customHeight="1">
      <c r="A478" s="3">
        <f>IFERROR(__xludf.DUMMYFUNCTION("""COMPUTED_VALUE"""),80000.0)</f>
        <v>80000</v>
      </c>
      <c r="B478" s="1" t="str">
        <f>IFERROR(__xludf.DUMMYFUNCTION("""COMPUTED_VALUE"""),"38")</f>
        <v>38</v>
      </c>
    </row>
    <row r="479" ht="15.75" customHeight="1">
      <c r="A479" s="3">
        <f>IFERROR(__xludf.DUMMYFUNCTION("""COMPUTED_VALUE"""),40000.0)</f>
        <v>40000</v>
      </c>
      <c r="B479" s="1" t="str">
        <f>IFERROR(__xludf.DUMMYFUNCTION("""COMPUTED_VALUE"""),"89")</f>
        <v>89</v>
      </c>
    </row>
    <row r="480" ht="15.75" customHeight="1">
      <c r="A480" s="3">
        <f>IFERROR(__xludf.DUMMYFUNCTION("""COMPUTED_VALUE"""),20000.0)</f>
        <v>20000</v>
      </c>
      <c r="B480" s="1" t="str">
        <f>IFERROR(__xludf.DUMMYFUNCTION("""COMPUTED_VALUE"""),"64")</f>
        <v>64</v>
      </c>
    </row>
    <row r="481" ht="15.75" customHeight="1">
      <c r="A481" s="3">
        <f>IFERROR(__xludf.DUMMYFUNCTION("""COMPUTED_VALUE"""),130000.0)</f>
        <v>130000</v>
      </c>
      <c r="B481" s="1" t="str">
        <f>IFERROR(__xludf.DUMMYFUNCTION("""COMPUTED_VALUE"""),"51")</f>
        <v>51</v>
      </c>
    </row>
    <row r="482" ht="15.75" customHeight="1">
      <c r="A482" s="3">
        <f>IFERROR(__xludf.DUMMYFUNCTION("""COMPUTED_VALUE"""),30000.0)</f>
        <v>30000</v>
      </c>
      <c r="B482" s="1" t="str">
        <f>IFERROR(__xludf.DUMMYFUNCTION("""COMPUTED_VALUE"""),"56")</f>
        <v>56</v>
      </c>
    </row>
    <row r="483" ht="15.75" customHeight="1">
      <c r="A483" s="3">
        <f>IFERROR(__xludf.DUMMYFUNCTION("""COMPUTED_VALUE"""),60000.0)</f>
        <v>60000</v>
      </c>
      <c r="B483" s="1" t="str">
        <f>IFERROR(__xludf.DUMMYFUNCTION("""COMPUTED_VALUE"""),"43")</f>
        <v>43</v>
      </c>
    </row>
    <row r="484" ht="15.75" customHeight="1">
      <c r="A484" s="3">
        <f>IFERROR(__xludf.DUMMYFUNCTION("""COMPUTED_VALUE"""),70000.0)</f>
        <v>70000</v>
      </c>
      <c r="B484" s="1" t="str">
        <f>IFERROR(__xludf.DUMMYFUNCTION("""COMPUTED_VALUE"""),"30")</f>
        <v>30</v>
      </c>
    </row>
    <row r="485" ht="15.75" customHeight="1">
      <c r="A485" s="3">
        <f>IFERROR(__xludf.DUMMYFUNCTION("""COMPUTED_VALUE"""),30000.0)</f>
        <v>30000</v>
      </c>
      <c r="B485" s="1" t="str">
        <f>IFERROR(__xludf.DUMMYFUNCTION("""COMPUTED_VALUE"""),"69")</f>
        <v>69</v>
      </c>
    </row>
    <row r="486" ht="15.75" customHeight="1">
      <c r="A486" s="3">
        <f>IFERROR(__xludf.DUMMYFUNCTION("""COMPUTED_VALUE"""),80000.0)</f>
        <v>80000</v>
      </c>
      <c r="B486" s="1" t="str">
        <f>IFERROR(__xludf.DUMMYFUNCTION("""COMPUTED_VALUE"""),"53")</f>
        <v>53</v>
      </c>
    </row>
    <row r="487" ht="15.75" customHeight="1">
      <c r="A487" s="3">
        <f>IFERROR(__xludf.DUMMYFUNCTION("""COMPUTED_VALUE"""),40000.0)</f>
        <v>40000</v>
      </c>
      <c r="B487" s="1" t="str">
        <f>IFERROR(__xludf.DUMMYFUNCTION("""COMPUTED_VALUE"""),"37")</f>
        <v>37</v>
      </c>
    </row>
    <row r="488" ht="15.75" customHeight="1">
      <c r="A488" s="3">
        <f>IFERROR(__xludf.DUMMYFUNCTION("""COMPUTED_VALUE"""),10000.0)</f>
        <v>10000</v>
      </c>
      <c r="B488" s="1" t="str">
        <f>IFERROR(__xludf.DUMMYFUNCTION("""COMPUTED_VALUE"""),"28")</f>
        <v>28</v>
      </c>
    </row>
    <row r="489" ht="15.75" customHeight="1">
      <c r="A489" s="3">
        <f>IFERROR(__xludf.DUMMYFUNCTION("""COMPUTED_VALUE"""),30000.0)</f>
        <v>30000</v>
      </c>
      <c r="B489" s="1" t="str">
        <f>IFERROR(__xludf.DUMMYFUNCTION("""COMPUTED_VALUE"""),"43")</f>
        <v>43</v>
      </c>
    </row>
    <row r="490" ht="15.75" customHeight="1">
      <c r="A490" s="3">
        <f>IFERROR(__xludf.DUMMYFUNCTION("""COMPUTED_VALUE"""),120000.0)</f>
        <v>120000</v>
      </c>
      <c r="B490" s="1" t="str">
        <f>IFERROR(__xludf.DUMMYFUNCTION("""COMPUTED_VALUE"""),"34")</f>
        <v>34</v>
      </c>
    </row>
    <row r="491" ht="15.75" customHeight="1">
      <c r="A491" s="3">
        <f>IFERROR(__xludf.DUMMYFUNCTION("""COMPUTED_VALUE"""),20000.0)</f>
        <v>20000</v>
      </c>
      <c r="B491" s="1" t="str">
        <f>IFERROR(__xludf.DUMMYFUNCTION("""COMPUTED_VALUE"""),"34")</f>
        <v>34</v>
      </c>
    </row>
    <row r="492" ht="15.75" customHeight="1">
      <c r="A492" s="3">
        <f>IFERROR(__xludf.DUMMYFUNCTION("""COMPUTED_VALUE"""),30000.0)</f>
        <v>30000</v>
      </c>
      <c r="B492" s="1" t="str">
        <f>IFERROR(__xludf.DUMMYFUNCTION("""COMPUTED_VALUE"""),"64")</f>
        <v>64</v>
      </c>
    </row>
    <row r="493" ht="15.75" customHeight="1">
      <c r="A493" s="3">
        <f>IFERROR(__xludf.DUMMYFUNCTION("""COMPUTED_VALUE"""),80000.0)</f>
        <v>80000</v>
      </c>
      <c r="B493" s="1" t="str">
        <f>IFERROR(__xludf.DUMMYFUNCTION("""COMPUTED_VALUE"""),"41")</f>
        <v>41</v>
      </c>
    </row>
    <row r="494" ht="15.75" customHeight="1">
      <c r="A494" s="3">
        <f>IFERROR(__xludf.DUMMYFUNCTION("""COMPUTED_VALUE"""),70000.0)</f>
        <v>70000</v>
      </c>
      <c r="B494" s="1" t="str">
        <f>IFERROR(__xludf.DUMMYFUNCTION("""COMPUTED_VALUE"""),"38")</f>
        <v>38</v>
      </c>
    </row>
    <row r="495" ht="15.75" customHeight="1">
      <c r="A495" s="3">
        <f>IFERROR(__xludf.DUMMYFUNCTION("""COMPUTED_VALUE"""),70000.0)</f>
        <v>70000</v>
      </c>
      <c r="B495" s="1" t="str">
        <f>IFERROR(__xludf.DUMMYFUNCTION("""COMPUTED_VALUE"""),"41")</f>
        <v>41</v>
      </c>
    </row>
    <row r="496" ht="15.75" customHeight="1">
      <c r="A496" s="3">
        <f>IFERROR(__xludf.DUMMYFUNCTION("""COMPUTED_VALUE"""),20000.0)</f>
        <v>20000</v>
      </c>
      <c r="B496" s="1" t="str">
        <f>IFERROR(__xludf.DUMMYFUNCTION("""COMPUTED_VALUE"""),"51")</f>
        <v>51</v>
      </c>
    </row>
    <row r="497" ht="15.75" customHeight="1">
      <c r="A497" s="3">
        <f>IFERROR(__xludf.DUMMYFUNCTION("""COMPUTED_VALUE"""),10000.0)</f>
        <v>10000</v>
      </c>
      <c r="B497" s="1" t="str">
        <f>IFERROR(__xludf.DUMMYFUNCTION("""COMPUTED_VALUE"""),"32")</f>
        <v>32</v>
      </c>
    </row>
    <row r="498" ht="15.75" customHeight="1">
      <c r="A498" s="3">
        <f>IFERROR(__xludf.DUMMYFUNCTION("""COMPUTED_VALUE"""),40000.0)</f>
        <v>40000</v>
      </c>
      <c r="B498" s="1" t="str">
        <f>IFERROR(__xludf.DUMMYFUNCTION("""COMPUTED_VALUE"""),"38")</f>
        <v>38</v>
      </c>
    </row>
    <row r="499" ht="15.75" customHeight="1">
      <c r="A499" s="3">
        <f>IFERROR(__xludf.DUMMYFUNCTION("""COMPUTED_VALUE"""),30000.0)</f>
        <v>30000</v>
      </c>
      <c r="B499" s="1" t="str">
        <f>IFERROR(__xludf.DUMMYFUNCTION("""COMPUTED_VALUE"""),"38")</f>
        <v>38</v>
      </c>
    </row>
    <row r="500" ht="15.75" customHeight="1">
      <c r="A500" s="3">
        <f>IFERROR(__xludf.DUMMYFUNCTION("""COMPUTED_VALUE"""),60000.0)</f>
        <v>60000</v>
      </c>
      <c r="B500" s="1" t="str">
        <f>IFERROR(__xludf.DUMMYFUNCTION("""COMPUTED_VALUE"""),"38")</f>
        <v>38</v>
      </c>
    </row>
    <row r="501" ht="15.75" customHeight="1">
      <c r="A501" s="3">
        <f>IFERROR(__xludf.DUMMYFUNCTION("""COMPUTED_VALUE"""),10000.0)</f>
        <v>10000</v>
      </c>
      <c r="B501" s="1" t="str">
        <f>IFERROR(__xludf.DUMMYFUNCTION("""COMPUTED_VALUE"""),"58")</f>
        <v>58</v>
      </c>
    </row>
    <row r="502" ht="15.75" customHeight="1">
      <c r="A502" s="3">
        <f>IFERROR(__xludf.DUMMYFUNCTION("""COMPUTED_VALUE"""),30000.0)</f>
        <v>30000</v>
      </c>
      <c r="B502" s="1" t="str">
        <f>IFERROR(__xludf.DUMMYFUNCTION("""COMPUTED_VALUE"""),"39")</f>
        <v>39</v>
      </c>
    </row>
    <row r="503" ht="15.75" customHeight="1">
      <c r="A503" s="3">
        <f>IFERROR(__xludf.DUMMYFUNCTION("""COMPUTED_VALUE"""),40000.0)</f>
        <v>40000</v>
      </c>
      <c r="B503" s="1" t="str">
        <f>IFERROR(__xludf.DUMMYFUNCTION("""COMPUTED_VALUE"""),"53")</f>
        <v>53</v>
      </c>
    </row>
    <row r="504" ht="15.75" customHeight="1">
      <c r="A504" s="3">
        <f>IFERROR(__xludf.DUMMYFUNCTION("""COMPUTED_VALUE"""),110000.0)</f>
        <v>110000</v>
      </c>
      <c r="B504" s="1" t="str">
        <f>IFERROR(__xludf.DUMMYFUNCTION("""COMPUTED_VALUE"""),"53")</f>
        <v>53</v>
      </c>
    </row>
    <row r="505" ht="15.75" customHeight="1">
      <c r="A505" s="3">
        <f>IFERROR(__xludf.DUMMYFUNCTION("""COMPUTED_VALUE"""),40000.0)</f>
        <v>40000</v>
      </c>
      <c r="B505" s="1" t="str">
        <f>IFERROR(__xludf.DUMMYFUNCTION("""COMPUTED_VALUE"""),"80")</f>
        <v>80</v>
      </c>
    </row>
    <row r="506" ht="15.75" customHeight="1">
      <c r="A506" s="3">
        <f>IFERROR(__xludf.DUMMYFUNCTION("""COMPUTED_VALUE"""),10000.0)</f>
        <v>10000</v>
      </c>
      <c r="B506" s="1" t="str">
        <f>IFERROR(__xludf.DUMMYFUNCTION("""COMPUTED_VALUE"""),"44")</f>
        <v>44</v>
      </c>
    </row>
    <row r="507" ht="15.75" customHeight="1">
      <c r="A507" s="3">
        <f>IFERROR(__xludf.DUMMYFUNCTION("""COMPUTED_VALUE"""),20000.0)</f>
        <v>20000</v>
      </c>
      <c r="B507" s="1" t="str">
        <f>IFERROR(__xludf.DUMMYFUNCTION("""COMPUTED_VALUE"""),"44")</f>
        <v>44</v>
      </c>
    </row>
    <row r="508" ht="15.75" customHeight="1">
      <c r="A508" s="3">
        <f>IFERROR(__xludf.DUMMYFUNCTION("""COMPUTED_VALUE"""),30000.0)</f>
        <v>30000</v>
      </c>
      <c r="B508" s="1" t="str">
        <f>IFERROR(__xludf.DUMMYFUNCTION("""COMPUTED_VALUE"""),"54")</f>
        <v>54</v>
      </c>
    </row>
    <row r="509" ht="15.75" customHeight="1">
      <c r="A509" s="3">
        <f>IFERROR(__xludf.DUMMYFUNCTION("""COMPUTED_VALUE"""),30000.0)</f>
        <v>30000</v>
      </c>
      <c r="B509" s="1" t="str">
        <f>IFERROR(__xludf.DUMMYFUNCTION("""COMPUTED_VALUE"""),"37")</f>
        <v>37</v>
      </c>
    </row>
    <row r="510" ht="15.75" customHeight="1">
      <c r="A510" s="3">
        <f>IFERROR(__xludf.DUMMYFUNCTION("""COMPUTED_VALUE"""),40000.0)</f>
        <v>40000</v>
      </c>
      <c r="B510" s="1" t="str">
        <f>IFERROR(__xludf.DUMMYFUNCTION("""COMPUTED_VALUE"""),"41")</f>
        <v>41</v>
      </c>
    </row>
    <row r="511" ht="15.75" customHeight="1">
      <c r="A511" s="3">
        <f>IFERROR(__xludf.DUMMYFUNCTION("""COMPUTED_VALUE"""),90000.0)</f>
        <v>90000</v>
      </c>
      <c r="B511" s="1" t="str">
        <f>IFERROR(__xludf.DUMMYFUNCTION("""COMPUTED_VALUE"""),"36")</f>
        <v>36</v>
      </c>
    </row>
    <row r="512" ht="15.75" customHeight="1">
      <c r="A512" s="3">
        <f>IFERROR(__xludf.DUMMYFUNCTION("""COMPUTED_VALUE"""),40000.0)</f>
        <v>40000</v>
      </c>
      <c r="B512" s="1" t="str">
        <f>IFERROR(__xludf.DUMMYFUNCTION("""COMPUTED_VALUE"""),"33")</f>
        <v>33</v>
      </c>
    </row>
    <row r="513" ht="15.75" customHeight="1">
      <c r="A513" s="3">
        <f>IFERROR(__xludf.DUMMYFUNCTION("""COMPUTED_VALUE"""),130000.0)</f>
        <v>130000</v>
      </c>
      <c r="B513" s="1" t="str">
        <f>IFERROR(__xludf.DUMMYFUNCTION("""COMPUTED_VALUE"""),"52")</f>
        <v>52</v>
      </c>
    </row>
    <row r="514" ht="15.75" customHeight="1">
      <c r="A514" s="3">
        <f>IFERROR(__xludf.DUMMYFUNCTION("""COMPUTED_VALUE"""),20000.0)</f>
        <v>20000</v>
      </c>
      <c r="B514" s="1" t="str">
        <f>IFERROR(__xludf.DUMMYFUNCTION("""COMPUTED_VALUE"""),"46")</f>
        <v>46</v>
      </c>
    </row>
    <row r="515" ht="15.75" customHeight="1">
      <c r="A515" s="3">
        <f>IFERROR(__xludf.DUMMYFUNCTION("""COMPUTED_VALUE"""),70000.0)</f>
        <v>70000</v>
      </c>
      <c r="B515" s="1" t="str">
        <f>IFERROR(__xludf.DUMMYFUNCTION("""COMPUTED_VALUE"""),"43")</f>
        <v>43</v>
      </c>
    </row>
    <row r="516" ht="15.75" customHeight="1">
      <c r="A516" s="3">
        <f>IFERROR(__xludf.DUMMYFUNCTION("""COMPUTED_VALUE"""),40000.0)</f>
        <v>40000</v>
      </c>
      <c r="B516" s="1" t="str">
        <f>IFERROR(__xludf.DUMMYFUNCTION("""COMPUTED_VALUE"""),"34")</f>
        <v>34</v>
      </c>
    </row>
    <row r="517" ht="15.75" customHeight="1">
      <c r="A517" s="3">
        <f>IFERROR(__xludf.DUMMYFUNCTION("""COMPUTED_VALUE"""),30000.0)</f>
        <v>30000</v>
      </c>
      <c r="B517" s="1" t="str">
        <f>IFERROR(__xludf.DUMMYFUNCTION("""COMPUTED_VALUE"""),"67")</f>
        <v>67</v>
      </c>
    </row>
    <row r="518" ht="15.75" customHeight="1">
      <c r="A518" s="3">
        <f>IFERROR(__xludf.DUMMYFUNCTION("""COMPUTED_VALUE"""),40000.0)</f>
        <v>40000</v>
      </c>
      <c r="B518" s="1" t="str">
        <f>IFERROR(__xludf.DUMMYFUNCTION("""COMPUTED_VALUE"""),"35")</f>
        <v>35</v>
      </c>
    </row>
    <row r="519" ht="15.75" customHeight="1">
      <c r="A519" s="3">
        <f>IFERROR(__xludf.DUMMYFUNCTION("""COMPUTED_VALUE"""),80000.0)</f>
        <v>80000</v>
      </c>
      <c r="B519" s="1" t="str">
        <f>IFERROR(__xludf.DUMMYFUNCTION("""COMPUTED_VALUE"""),"40")</f>
        <v>40</v>
      </c>
    </row>
    <row r="520" ht="15.75" customHeight="1">
      <c r="A520" s="3">
        <f>IFERROR(__xludf.DUMMYFUNCTION("""COMPUTED_VALUE"""),60000.0)</f>
        <v>60000</v>
      </c>
      <c r="B520" s="1" t="str">
        <f>IFERROR(__xludf.DUMMYFUNCTION("""COMPUTED_VALUE"""),"37")</f>
        <v>37</v>
      </c>
    </row>
    <row r="521" ht="15.75" customHeight="1">
      <c r="A521" s="3">
        <f>IFERROR(__xludf.DUMMYFUNCTION("""COMPUTED_VALUE"""),30000.0)</f>
        <v>30000</v>
      </c>
      <c r="B521" s="1" t="str">
        <f>IFERROR(__xludf.DUMMYFUNCTION("""COMPUTED_VALUE"""),"67")</f>
        <v>67</v>
      </c>
    </row>
    <row r="522" ht="15.75" customHeight="1">
      <c r="A522" s="3">
        <f>IFERROR(__xludf.DUMMYFUNCTION("""COMPUTED_VALUE"""),30000.0)</f>
        <v>30000</v>
      </c>
      <c r="B522" s="1" t="str">
        <f>IFERROR(__xludf.DUMMYFUNCTION("""COMPUTED_VALUE"""),"41")</f>
        <v>41</v>
      </c>
    </row>
    <row r="523" ht="15.75" customHeight="1">
      <c r="A523" s="3">
        <f>IFERROR(__xludf.DUMMYFUNCTION("""COMPUTED_VALUE"""),10000.0)</f>
        <v>10000</v>
      </c>
      <c r="B523" s="1" t="str">
        <f>IFERROR(__xludf.DUMMYFUNCTION("""COMPUTED_VALUE"""),"51")</f>
        <v>51</v>
      </c>
    </row>
    <row r="524" ht="15.75" customHeight="1">
      <c r="A524" s="3">
        <f>IFERROR(__xludf.DUMMYFUNCTION("""COMPUTED_VALUE"""),100000.0)</f>
        <v>100000</v>
      </c>
      <c r="B524" s="1" t="str">
        <f>IFERROR(__xludf.DUMMYFUNCTION("""COMPUTED_VALUE"""),"59")</f>
        <v>59</v>
      </c>
    </row>
    <row r="525" ht="15.75" customHeight="1">
      <c r="A525" s="3">
        <f>IFERROR(__xludf.DUMMYFUNCTION("""COMPUTED_VALUE"""),10000.0)</f>
        <v>10000</v>
      </c>
      <c r="B525" s="1" t="str">
        <f>IFERROR(__xludf.DUMMYFUNCTION("""COMPUTED_VALUE"""),"51")</f>
        <v>51</v>
      </c>
    </row>
    <row r="526" ht="15.75" customHeight="1">
      <c r="A526" s="3">
        <f>IFERROR(__xludf.DUMMYFUNCTION("""COMPUTED_VALUE"""),110000.0)</f>
        <v>110000</v>
      </c>
      <c r="B526" s="1" t="str">
        <f>IFERROR(__xludf.DUMMYFUNCTION("""COMPUTED_VALUE"""),"32")</f>
        <v>32</v>
      </c>
    </row>
    <row r="527" ht="15.75" customHeight="1">
      <c r="A527" s="3">
        <f>IFERROR(__xludf.DUMMYFUNCTION("""COMPUTED_VALUE"""),30000.0)</f>
        <v>30000</v>
      </c>
      <c r="B527" s="1" t="str">
        <f>IFERROR(__xludf.DUMMYFUNCTION("""COMPUTED_VALUE"""),"34")</f>
        <v>34</v>
      </c>
    </row>
    <row r="528" ht="15.75" customHeight="1">
      <c r="A528" s="3">
        <f>IFERROR(__xludf.DUMMYFUNCTION("""COMPUTED_VALUE"""),10000.0)</f>
        <v>10000</v>
      </c>
      <c r="B528" s="1" t="str">
        <f>IFERROR(__xludf.DUMMYFUNCTION("""COMPUTED_VALUE"""),"43")</f>
        <v>43</v>
      </c>
    </row>
    <row r="529" ht="15.75" customHeight="1">
      <c r="A529" s="3">
        <f>IFERROR(__xludf.DUMMYFUNCTION("""COMPUTED_VALUE"""),40000.0)</f>
        <v>40000</v>
      </c>
      <c r="B529" s="1" t="str">
        <f>IFERROR(__xludf.DUMMYFUNCTION("""COMPUTED_VALUE"""),"67")</f>
        <v>67</v>
      </c>
    </row>
    <row r="530" ht="15.75" customHeight="1">
      <c r="A530" s="3">
        <f>IFERROR(__xludf.DUMMYFUNCTION("""COMPUTED_VALUE"""),30000.0)</f>
        <v>30000</v>
      </c>
      <c r="B530" s="1" t="str">
        <f>IFERROR(__xludf.DUMMYFUNCTION("""COMPUTED_VALUE"""),"28")</f>
        <v>28</v>
      </c>
    </row>
    <row r="531" ht="15.75" customHeight="1">
      <c r="A531" s="3">
        <f>IFERROR(__xludf.DUMMYFUNCTION("""COMPUTED_VALUE"""),90000.0)</f>
        <v>90000</v>
      </c>
      <c r="B531" s="1" t="str">
        <f>IFERROR(__xludf.DUMMYFUNCTION("""COMPUTED_VALUE"""),"36")</f>
        <v>36</v>
      </c>
    </row>
    <row r="532" ht="15.75" customHeight="1">
      <c r="A532" s="3">
        <f>IFERROR(__xludf.DUMMYFUNCTION("""COMPUTED_VALUE"""),110000.0)</f>
        <v>110000</v>
      </c>
      <c r="B532" s="1" t="str">
        <f>IFERROR(__xludf.DUMMYFUNCTION("""COMPUTED_VALUE"""),"48")</f>
        <v>48</v>
      </c>
    </row>
    <row r="533" ht="15.75" customHeight="1">
      <c r="A533" s="3">
        <f>IFERROR(__xludf.DUMMYFUNCTION("""COMPUTED_VALUE"""),30000.0)</f>
        <v>30000</v>
      </c>
      <c r="B533" s="1" t="str">
        <f>IFERROR(__xludf.DUMMYFUNCTION("""COMPUTED_VALUE"""),"31")</f>
        <v>31</v>
      </c>
    </row>
    <row r="534" ht="15.75" customHeight="1">
      <c r="A534" s="3">
        <f>IFERROR(__xludf.DUMMYFUNCTION("""COMPUTED_VALUE"""),30000.0)</f>
        <v>30000</v>
      </c>
      <c r="B534" s="1" t="str">
        <f>IFERROR(__xludf.DUMMYFUNCTION("""COMPUTED_VALUE"""),"55")</f>
        <v>55</v>
      </c>
    </row>
    <row r="535" ht="15.75" customHeight="1">
      <c r="A535" s="3">
        <f>IFERROR(__xludf.DUMMYFUNCTION("""COMPUTED_VALUE"""),20000.0)</f>
        <v>20000</v>
      </c>
      <c r="B535" s="1" t="str">
        <f>IFERROR(__xludf.DUMMYFUNCTION("""COMPUTED_VALUE"""),"28")</f>
        <v>28</v>
      </c>
    </row>
    <row r="536" ht="15.75" customHeight="1">
      <c r="A536" s="3">
        <f>IFERROR(__xludf.DUMMYFUNCTION("""COMPUTED_VALUE"""),110000.0)</f>
        <v>110000</v>
      </c>
      <c r="B536" s="1" t="str">
        <f>IFERROR(__xludf.DUMMYFUNCTION("""COMPUTED_VALUE"""),"34")</f>
        <v>34</v>
      </c>
    </row>
    <row r="537" ht="15.75" customHeight="1">
      <c r="A537" s="3">
        <f>IFERROR(__xludf.DUMMYFUNCTION("""COMPUTED_VALUE"""),30000.0)</f>
        <v>30000</v>
      </c>
      <c r="B537" s="1" t="str">
        <f>IFERROR(__xludf.DUMMYFUNCTION("""COMPUTED_VALUE"""),"26")</f>
        <v>26</v>
      </c>
    </row>
    <row r="538" ht="15.75" customHeight="1">
      <c r="A538" s="3">
        <f>IFERROR(__xludf.DUMMYFUNCTION("""COMPUTED_VALUE"""),30000.0)</f>
        <v>30000</v>
      </c>
      <c r="B538" s="1" t="str">
        <f>IFERROR(__xludf.DUMMYFUNCTION("""COMPUTED_VALUE"""),"53")</f>
        <v>53</v>
      </c>
    </row>
    <row r="539" ht="15.75" customHeight="1">
      <c r="A539" s="3">
        <f>IFERROR(__xludf.DUMMYFUNCTION("""COMPUTED_VALUE"""),10000.0)</f>
        <v>10000</v>
      </c>
      <c r="B539" s="1" t="str">
        <f>IFERROR(__xludf.DUMMYFUNCTION("""COMPUTED_VALUE"""),"68")</f>
        <v>68</v>
      </c>
    </row>
    <row r="540" ht="15.75" customHeight="1">
      <c r="A540" s="3">
        <f>IFERROR(__xludf.DUMMYFUNCTION("""COMPUTED_VALUE"""),80000.0)</f>
        <v>80000</v>
      </c>
      <c r="B540" s="1" t="str">
        <f>IFERROR(__xludf.DUMMYFUNCTION("""COMPUTED_VALUE"""),"50")</f>
        <v>50</v>
      </c>
    </row>
    <row r="541" ht="15.75" customHeight="1">
      <c r="A541" s="3">
        <f>IFERROR(__xludf.DUMMYFUNCTION("""COMPUTED_VALUE"""),30000.0)</f>
        <v>30000</v>
      </c>
      <c r="B541" s="1" t="str">
        <f>IFERROR(__xludf.DUMMYFUNCTION("""COMPUTED_VALUE"""),"28")</f>
        <v>28</v>
      </c>
    </row>
    <row r="542" ht="15.75" customHeight="1">
      <c r="A542" s="3">
        <f>IFERROR(__xludf.DUMMYFUNCTION("""COMPUTED_VALUE"""),80000.0)</f>
        <v>80000</v>
      </c>
      <c r="B542" s="1" t="str">
        <f>IFERROR(__xludf.DUMMYFUNCTION("""COMPUTED_VALUE"""),"40")</f>
        <v>40</v>
      </c>
    </row>
    <row r="543" ht="15.75" customHeight="1">
      <c r="A543" s="3">
        <f>IFERROR(__xludf.DUMMYFUNCTION("""COMPUTED_VALUE"""),70000.0)</f>
        <v>70000</v>
      </c>
      <c r="B543" s="1" t="str">
        <f>IFERROR(__xludf.DUMMYFUNCTION("""COMPUTED_VALUE"""),"44")</f>
        <v>44</v>
      </c>
    </row>
    <row r="544" ht="15.75" customHeight="1">
      <c r="A544" s="3">
        <f>IFERROR(__xludf.DUMMYFUNCTION("""COMPUTED_VALUE"""),90000.0)</f>
        <v>90000</v>
      </c>
      <c r="B544" s="1" t="str">
        <f>IFERROR(__xludf.DUMMYFUNCTION("""COMPUTED_VALUE"""),"34")</f>
        <v>34</v>
      </c>
    </row>
    <row r="545" ht="15.75" customHeight="1">
      <c r="A545" s="3">
        <f>IFERROR(__xludf.DUMMYFUNCTION("""COMPUTED_VALUE"""),80000.0)</f>
        <v>80000</v>
      </c>
      <c r="B545" s="1" t="str">
        <f>IFERROR(__xludf.DUMMYFUNCTION("""COMPUTED_VALUE"""),"36")</f>
        <v>36</v>
      </c>
    </row>
    <row r="546" ht="15.75" customHeight="1">
      <c r="A546" s="3">
        <f>IFERROR(__xludf.DUMMYFUNCTION("""COMPUTED_VALUE"""),40000.0)</f>
        <v>40000</v>
      </c>
      <c r="B546" s="1" t="str">
        <f>IFERROR(__xludf.DUMMYFUNCTION("""COMPUTED_VALUE"""),"43")</f>
        <v>43</v>
      </c>
    </row>
    <row r="547" ht="15.75" customHeight="1">
      <c r="A547" s="3">
        <f>IFERROR(__xludf.DUMMYFUNCTION("""COMPUTED_VALUE"""),30000.0)</f>
        <v>30000</v>
      </c>
      <c r="B547" s="1" t="str">
        <f>IFERROR(__xludf.DUMMYFUNCTION("""COMPUTED_VALUE"""),"32")</f>
        <v>32</v>
      </c>
    </row>
    <row r="548" ht="15.75" customHeight="1">
      <c r="A548" s="3">
        <f>IFERROR(__xludf.DUMMYFUNCTION("""COMPUTED_VALUE"""),40000.0)</f>
        <v>40000</v>
      </c>
      <c r="B548" s="1" t="str">
        <f>IFERROR(__xludf.DUMMYFUNCTION("""COMPUTED_VALUE"""),"32")</f>
        <v>32</v>
      </c>
    </row>
    <row r="549" ht="15.75" customHeight="1">
      <c r="A549" s="3">
        <f>IFERROR(__xludf.DUMMYFUNCTION("""COMPUTED_VALUE"""),130000.0)</f>
        <v>130000</v>
      </c>
      <c r="B549" s="1" t="str">
        <f>IFERROR(__xludf.DUMMYFUNCTION("""COMPUTED_VALUE"""),"48")</f>
        <v>48</v>
      </c>
    </row>
    <row r="550" ht="15.75" customHeight="1">
      <c r="A550" s="3">
        <f>IFERROR(__xludf.DUMMYFUNCTION("""COMPUTED_VALUE"""),40000.0)</f>
        <v>40000</v>
      </c>
      <c r="B550" s="1" t="str">
        <f>IFERROR(__xludf.DUMMYFUNCTION("""COMPUTED_VALUE"""),"32")</f>
        <v>32</v>
      </c>
    </row>
    <row r="551" ht="15.75" customHeight="1">
      <c r="A551" s="3">
        <f>IFERROR(__xludf.DUMMYFUNCTION("""COMPUTED_VALUE"""),40000.0)</f>
        <v>40000</v>
      </c>
      <c r="B551" s="1" t="str">
        <f>IFERROR(__xludf.DUMMYFUNCTION("""COMPUTED_VALUE"""),"42")</f>
        <v>42</v>
      </c>
    </row>
    <row r="552" ht="15.75" customHeight="1">
      <c r="A552" s="3">
        <f>IFERROR(__xludf.DUMMYFUNCTION("""COMPUTED_VALUE"""),10000.0)</f>
        <v>10000</v>
      </c>
      <c r="B552" s="1" t="str">
        <f>IFERROR(__xludf.DUMMYFUNCTION("""COMPUTED_VALUE"""),"36")</f>
        <v>36</v>
      </c>
    </row>
    <row r="553" ht="15.75" customHeight="1">
      <c r="A553" s="3">
        <f>IFERROR(__xludf.DUMMYFUNCTION("""COMPUTED_VALUE"""),40000.0)</f>
        <v>40000</v>
      </c>
      <c r="B553" s="1" t="str">
        <f>IFERROR(__xludf.DUMMYFUNCTION("""COMPUTED_VALUE"""),"41")</f>
        <v>41</v>
      </c>
    </row>
    <row r="554" ht="15.75" customHeight="1">
      <c r="A554" s="3">
        <f>IFERROR(__xludf.DUMMYFUNCTION("""COMPUTED_VALUE"""),30000.0)</f>
        <v>30000</v>
      </c>
      <c r="B554" s="1" t="str">
        <f>IFERROR(__xludf.DUMMYFUNCTION("""COMPUTED_VALUE"""),"69")</f>
        <v>69</v>
      </c>
    </row>
    <row r="555" ht="15.75" customHeight="1">
      <c r="A555" s="3">
        <f>IFERROR(__xludf.DUMMYFUNCTION("""COMPUTED_VALUE"""),70000.0)</f>
        <v>70000</v>
      </c>
      <c r="B555" s="1" t="str">
        <f>IFERROR(__xludf.DUMMYFUNCTION("""COMPUTED_VALUE"""),"45")</f>
        <v>45</v>
      </c>
    </row>
    <row r="556" ht="15.75" customHeight="1">
      <c r="A556" s="3">
        <f>IFERROR(__xludf.DUMMYFUNCTION("""COMPUTED_VALUE"""),30000.0)</f>
        <v>30000</v>
      </c>
      <c r="B556" s="1" t="str">
        <f>IFERROR(__xludf.DUMMYFUNCTION("""COMPUTED_VALUE"""),"34")</f>
        <v>34</v>
      </c>
    </row>
    <row r="557" ht="15.75" customHeight="1">
      <c r="A557" s="3">
        <f>IFERROR(__xludf.DUMMYFUNCTION("""COMPUTED_VALUE"""),80000.0)</f>
        <v>80000</v>
      </c>
      <c r="B557" s="1" t="str">
        <f>IFERROR(__xludf.DUMMYFUNCTION("""COMPUTED_VALUE"""),"53")</f>
        <v>53</v>
      </c>
    </row>
    <row r="558" ht="15.75" customHeight="1">
      <c r="A558" s="3">
        <f>IFERROR(__xludf.DUMMYFUNCTION("""COMPUTED_VALUE"""),120000.0)</f>
        <v>120000</v>
      </c>
      <c r="B558" s="1" t="str">
        <f>IFERROR(__xludf.DUMMYFUNCTION("""COMPUTED_VALUE"""),"50")</f>
        <v>50</v>
      </c>
    </row>
    <row r="559" ht="15.75" customHeight="1">
      <c r="A559" s="3">
        <f>IFERROR(__xludf.DUMMYFUNCTION("""COMPUTED_VALUE"""),20000.0)</f>
        <v>20000</v>
      </c>
      <c r="B559" s="1" t="str">
        <f>IFERROR(__xludf.DUMMYFUNCTION("""COMPUTED_VALUE"""),"65")</f>
        <v>65</v>
      </c>
    </row>
    <row r="560" ht="15.75" customHeight="1">
      <c r="A560" s="3">
        <f>IFERROR(__xludf.DUMMYFUNCTION("""COMPUTED_VALUE"""),120000.0)</f>
        <v>120000</v>
      </c>
      <c r="B560" s="1" t="str">
        <f>IFERROR(__xludf.DUMMYFUNCTION("""COMPUTED_VALUE"""),"32")</f>
        <v>32</v>
      </c>
    </row>
    <row r="561" ht="15.75" customHeight="1">
      <c r="A561" s="3">
        <f>IFERROR(__xludf.DUMMYFUNCTION("""COMPUTED_VALUE"""),80000.0)</f>
        <v>80000</v>
      </c>
      <c r="B561" s="1" t="str">
        <f>IFERROR(__xludf.DUMMYFUNCTION("""COMPUTED_VALUE"""),"33")</f>
        <v>33</v>
      </c>
    </row>
    <row r="562" ht="15.75" customHeight="1">
      <c r="A562" s="3">
        <f>IFERROR(__xludf.DUMMYFUNCTION("""COMPUTED_VALUE"""),20000.0)</f>
        <v>20000</v>
      </c>
      <c r="B562" s="1" t="str">
        <f>IFERROR(__xludf.DUMMYFUNCTION("""COMPUTED_VALUE"""),"31")</f>
        <v>31</v>
      </c>
    </row>
    <row r="563" ht="15.75" customHeight="1">
      <c r="A563" s="3">
        <f>IFERROR(__xludf.DUMMYFUNCTION("""COMPUTED_VALUE"""),120000.0)</f>
        <v>120000</v>
      </c>
      <c r="B563" s="1" t="str">
        <f>IFERROR(__xludf.DUMMYFUNCTION("""COMPUTED_VALUE"""),"46")</f>
        <v>46</v>
      </c>
    </row>
    <row r="564" ht="15.75" customHeight="1">
      <c r="A564" s="3">
        <f>IFERROR(__xludf.DUMMYFUNCTION("""COMPUTED_VALUE"""),40000.0)</f>
        <v>40000</v>
      </c>
      <c r="B564" s="1" t="str">
        <f>IFERROR(__xludf.DUMMYFUNCTION("""COMPUTED_VALUE"""),"39")</f>
        <v>39</v>
      </c>
    </row>
    <row r="565" ht="15.75" customHeight="1">
      <c r="A565" s="3">
        <f>IFERROR(__xludf.DUMMYFUNCTION("""COMPUTED_VALUE"""),20000.0)</f>
        <v>20000</v>
      </c>
      <c r="B565" s="1" t="str">
        <f>IFERROR(__xludf.DUMMYFUNCTION("""COMPUTED_VALUE"""),"40")</f>
        <v>40</v>
      </c>
    </row>
    <row r="566" ht="15.75" customHeight="1">
      <c r="A566" s="3">
        <f>IFERROR(__xludf.DUMMYFUNCTION("""COMPUTED_VALUE"""),30000.0)</f>
        <v>30000</v>
      </c>
      <c r="B566" s="1" t="str">
        <f>IFERROR(__xludf.DUMMYFUNCTION("""COMPUTED_VALUE"""),"46")</f>
        <v>46</v>
      </c>
    </row>
    <row r="567" ht="15.75" customHeight="1">
      <c r="A567" s="3">
        <f>IFERROR(__xludf.DUMMYFUNCTION("""COMPUTED_VALUE"""),40000.0)</f>
        <v>40000</v>
      </c>
      <c r="B567" s="1" t="str">
        <f>IFERROR(__xludf.DUMMYFUNCTION("""COMPUTED_VALUE"""),"65")</f>
        <v>65</v>
      </c>
    </row>
    <row r="568" ht="15.75" customHeight="1">
      <c r="A568" s="3">
        <f>IFERROR(__xludf.DUMMYFUNCTION("""COMPUTED_VALUE"""),30000.0)</f>
        <v>30000</v>
      </c>
      <c r="B568" s="1" t="str">
        <f>IFERROR(__xludf.DUMMYFUNCTION("""COMPUTED_VALUE"""),"47")</f>
        <v>47</v>
      </c>
    </row>
    <row r="569" ht="15.75" customHeight="1">
      <c r="A569" s="3">
        <f>IFERROR(__xludf.DUMMYFUNCTION("""COMPUTED_VALUE"""),100000.0)</f>
        <v>100000</v>
      </c>
      <c r="B569" s="1" t="str">
        <f>IFERROR(__xludf.DUMMYFUNCTION("""COMPUTED_VALUE"""),"46")</f>
        <v>46</v>
      </c>
    </row>
    <row r="570" ht="15.75" customHeight="1">
      <c r="A570" s="3">
        <f>IFERROR(__xludf.DUMMYFUNCTION("""COMPUTED_VALUE"""),80000.0)</f>
        <v>80000</v>
      </c>
      <c r="B570" s="1" t="str">
        <f>IFERROR(__xludf.DUMMYFUNCTION("""COMPUTED_VALUE"""),"40")</f>
        <v>40</v>
      </c>
    </row>
    <row r="571" ht="15.75" customHeight="1">
      <c r="A571" s="3">
        <f>IFERROR(__xludf.DUMMYFUNCTION("""COMPUTED_VALUE"""),30000.0)</f>
        <v>30000</v>
      </c>
      <c r="B571" s="1" t="str">
        <f>IFERROR(__xludf.DUMMYFUNCTION("""COMPUTED_VALUE"""),"65")</f>
        <v>65</v>
      </c>
    </row>
    <row r="572" ht="15.75" customHeight="1">
      <c r="A572" s="3">
        <f>IFERROR(__xludf.DUMMYFUNCTION("""COMPUTED_VALUE"""),30000.0)</f>
        <v>30000</v>
      </c>
      <c r="B572" s="1" t="str">
        <f>IFERROR(__xludf.DUMMYFUNCTION("""COMPUTED_VALUE"""),"28")</f>
        <v>28</v>
      </c>
    </row>
    <row r="573" ht="15.75" customHeight="1">
      <c r="A573" s="3">
        <f>IFERROR(__xludf.DUMMYFUNCTION("""COMPUTED_VALUE"""),70000.0)</f>
        <v>70000</v>
      </c>
      <c r="B573" s="1" t="str">
        <f>IFERROR(__xludf.DUMMYFUNCTION("""COMPUTED_VALUE"""),"43")</f>
        <v>43</v>
      </c>
    </row>
    <row r="574" ht="15.75" customHeight="1">
      <c r="A574" s="3">
        <f>IFERROR(__xludf.DUMMYFUNCTION("""COMPUTED_VALUE"""),40000.0)</f>
        <v>40000</v>
      </c>
      <c r="B574" s="1" t="str">
        <f>IFERROR(__xludf.DUMMYFUNCTION("""COMPUTED_VALUE"""),"38")</f>
        <v>38</v>
      </c>
    </row>
    <row r="575" ht="15.75" customHeight="1">
      <c r="A575" s="3">
        <f>IFERROR(__xludf.DUMMYFUNCTION("""COMPUTED_VALUE"""),30000.0)</f>
        <v>30000</v>
      </c>
      <c r="B575" s="1" t="str">
        <f>IFERROR(__xludf.DUMMYFUNCTION("""COMPUTED_VALUE"""),"47")</f>
        <v>47</v>
      </c>
    </row>
    <row r="576" ht="15.75" customHeight="1">
      <c r="A576" s="3">
        <f>IFERROR(__xludf.DUMMYFUNCTION("""COMPUTED_VALUE"""),90000.0)</f>
        <v>90000</v>
      </c>
      <c r="B576" s="1" t="str">
        <f>IFERROR(__xludf.DUMMYFUNCTION("""COMPUTED_VALUE"""),"36")</f>
        <v>36</v>
      </c>
    </row>
    <row r="577" ht="15.75" customHeight="1">
      <c r="A577" s="3">
        <f>IFERROR(__xludf.DUMMYFUNCTION("""COMPUTED_VALUE"""),20000.0)</f>
        <v>20000</v>
      </c>
      <c r="B577" s="1" t="str">
        <f>IFERROR(__xludf.DUMMYFUNCTION("""COMPUTED_VALUE"""),"60")</f>
        <v>60</v>
      </c>
    </row>
    <row r="578" ht="15.75" customHeight="1">
      <c r="A578" s="3">
        <f>IFERROR(__xludf.DUMMYFUNCTION("""COMPUTED_VALUE"""),70000.0)</f>
        <v>70000</v>
      </c>
      <c r="B578" s="1" t="str">
        <f>IFERROR(__xludf.DUMMYFUNCTION("""COMPUTED_VALUE"""),"42")</f>
        <v>42</v>
      </c>
    </row>
    <row r="579" ht="15.75" customHeight="1">
      <c r="A579" s="3">
        <f>IFERROR(__xludf.DUMMYFUNCTION("""COMPUTED_VALUE"""),70000.0)</f>
        <v>70000</v>
      </c>
      <c r="B579" s="1" t="str">
        <f>IFERROR(__xludf.DUMMYFUNCTION("""COMPUTED_VALUE"""),"50")</f>
        <v>50</v>
      </c>
    </row>
    <row r="580" ht="15.75" customHeight="1">
      <c r="A580" s="3">
        <f>IFERROR(__xludf.DUMMYFUNCTION("""COMPUTED_VALUE"""),30000.0)</f>
        <v>30000</v>
      </c>
      <c r="B580" s="1" t="str">
        <f>IFERROR(__xludf.DUMMYFUNCTION("""COMPUTED_VALUE"""),"35")</f>
        <v>35</v>
      </c>
    </row>
    <row r="581" ht="15.75" customHeight="1">
      <c r="A581" s="3">
        <f>IFERROR(__xludf.DUMMYFUNCTION("""COMPUTED_VALUE"""),40000.0)</f>
        <v>40000</v>
      </c>
      <c r="B581" s="1" t="str">
        <f>IFERROR(__xludf.DUMMYFUNCTION("""COMPUTED_VALUE"""),"32")</f>
        <v>32</v>
      </c>
    </row>
    <row r="582" ht="15.75" customHeight="1">
      <c r="A582" s="3">
        <f>IFERROR(__xludf.DUMMYFUNCTION("""COMPUTED_VALUE"""),90000.0)</f>
        <v>90000</v>
      </c>
      <c r="B582" s="1" t="str">
        <f>IFERROR(__xludf.DUMMYFUNCTION("""COMPUTED_VALUE"""),"46")</f>
        <v>46</v>
      </c>
    </row>
    <row r="583" ht="15.75" customHeight="1">
      <c r="A583" s="3">
        <f>IFERROR(__xludf.DUMMYFUNCTION("""COMPUTED_VALUE"""),40000.0)</f>
        <v>40000</v>
      </c>
      <c r="B583" s="1" t="str">
        <f>IFERROR(__xludf.DUMMYFUNCTION("""COMPUTED_VALUE"""),"33")</f>
        <v>33</v>
      </c>
    </row>
    <row r="584" ht="15.75" customHeight="1">
      <c r="A584" s="3">
        <f>IFERROR(__xludf.DUMMYFUNCTION("""COMPUTED_VALUE"""),40000.0)</f>
        <v>40000</v>
      </c>
      <c r="B584" s="1" t="str">
        <f>IFERROR(__xludf.DUMMYFUNCTION("""COMPUTED_VALUE"""),"36")</f>
        <v>36</v>
      </c>
    </row>
    <row r="585" ht="15.75" customHeight="1">
      <c r="A585" s="3">
        <f>IFERROR(__xludf.DUMMYFUNCTION("""COMPUTED_VALUE"""),10000.0)</f>
        <v>10000</v>
      </c>
      <c r="B585" s="1" t="str">
        <f>IFERROR(__xludf.DUMMYFUNCTION("""COMPUTED_VALUE"""),"70")</f>
        <v>70</v>
      </c>
    </row>
    <row r="586" ht="15.75" customHeight="1">
      <c r="A586" s="3">
        <f>IFERROR(__xludf.DUMMYFUNCTION("""COMPUTED_VALUE"""),30000.0)</f>
        <v>30000</v>
      </c>
      <c r="B586" s="1" t="str">
        <f>IFERROR(__xludf.DUMMYFUNCTION("""COMPUTED_VALUE"""),"31")</f>
        <v>31</v>
      </c>
    </row>
    <row r="587" ht="15.75" customHeight="1">
      <c r="A587" s="3">
        <f>IFERROR(__xludf.DUMMYFUNCTION("""COMPUTED_VALUE"""),30000.0)</f>
        <v>30000</v>
      </c>
      <c r="B587" s="1" t="str">
        <f>IFERROR(__xludf.DUMMYFUNCTION("""COMPUTED_VALUE"""),"42")</f>
        <v>42</v>
      </c>
    </row>
    <row r="588" ht="15.75" customHeight="1">
      <c r="A588" s="3">
        <f>IFERROR(__xludf.DUMMYFUNCTION("""COMPUTED_VALUE"""),90000.0)</f>
        <v>90000</v>
      </c>
      <c r="B588" s="1" t="str">
        <f>IFERROR(__xludf.DUMMYFUNCTION("""COMPUTED_VALUE"""),"58")</f>
        <v>58</v>
      </c>
    </row>
    <row r="589" ht="15.75" customHeight="1">
      <c r="A589" s="3">
        <f>IFERROR(__xludf.DUMMYFUNCTION("""COMPUTED_VALUE"""),40000.0)</f>
        <v>40000</v>
      </c>
      <c r="B589" s="1" t="str">
        <f>IFERROR(__xludf.DUMMYFUNCTION("""COMPUTED_VALUE"""),"39")</f>
        <v>39</v>
      </c>
    </row>
    <row r="590" ht="15.75" customHeight="1">
      <c r="A590" s="3">
        <f>IFERROR(__xludf.DUMMYFUNCTION("""COMPUTED_VALUE"""),10000.0)</f>
        <v>10000</v>
      </c>
      <c r="B590" s="1" t="str">
        <f>IFERROR(__xludf.DUMMYFUNCTION("""COMPUTED_VALUE"""),"34")</f>
        <v>34</v>
      </c>
    </row>
    <row r="591" ht="15.75" customHeight="1">
      <c r="A591" s="3">
        <f>IFERROR(__xludf.DUMMYFUNCTION("""COMPUTED_VALUE"""),20000.0)</f>
        <v>20000</v>
      </c>
      <c r="B591" s="1" t="str">
        <f>IFERROR(__xludf.DUMMYFUNCTION("""COMPUTED_VALUE"""),"32")</f>
        <v>32</v>
      </c>
    </row>
    <row r="592" ht="15.75" customHeight="1">
      <c r="A592" s="3">
        <f>IFERROR(__xludf.DUMMYFUNCTION("""COMPUTED_VALUE"""),60000.0)</f>
        <v>60000</v>
      </c>
      <c r="B592" s="1" t="str">
        <f>IFERROR(__xludf.DUMMYFUNCTION("""COMPUTED_VALUE"""),"46")</f>
        <v>46</v>
      </c>
    </row>
    <row r="593" ht="15.75" customHeight="1">
      <c r="A593" s="3">
        <f>IFERROR(__xludf.DUMMYFUNCTION("""COMPUTED_VALUE"""),70000.0)</f>
        <v>70000</v>
      </c>
      <c r="B593" s="1" t="str">
        <f>IFERROR(__xludf.DUMMYFUNCTION("""COMPUTED_VALUE"""),"48")</f>
        <v>48</v>
      </c>
    </row>
    <row r="594" ht="15.75" customHeight="1">
      <c r="A594" s="3">
        <f>IFERROR(__xludf.DUMMYFUNCTION("""COMPUTED_VALUE"""),40000.0)</f>
        <v>40000</v>
      </c>
      <c r="B594" s="1" t="str">
        <f>IFERROR(__xludf.DUMMYFUNCTION("""COMPUTED_VALUE"""),"31")</f>
        <v>31</v>
      </c>
    </row>
    <row r="595" ht="15.75" customHeight="1">
      <c r="A595" s="3">
        <f>IFERROR(__xludf.DUMMYFUNCTION("""COMPUTED_VALUE"""),70000.0)</f>
        <v>70000</v>
      </c>
      <c r="B595" s="1" t="str">
        <f>IFERROR(__xludf.DUMMYFUNCTION("""COMPUTED_VALUE"""),"60")</f>
        <v>60</v>
      </c>
    </row>
    <row r="596" ht="15.75" customHeight="1">
      <c r="A596" s="3">
        <f>IFERROR(__xludf.DUMMYFUNCTION("""COMPUTED_VALUE"""),70000.0)</f>
        <v>70000</v>
      </c>
      <c r="B596" s="1" t="str">
        <f>IFERROR(__xludf.DUMMYFUNCTION("""COMPUTED_VALUE"""),"51")</f>
        <v>51</v>
      </c>
    </row>
    <row r="597" ht="15.75" customHeight="1">
      <c r="A597" s="3">
        <f>IFERROR(__xludf.DUMMYFUNCTION("""COMPUTED_VALUE"""),60000.0)</f>
        <v>60000</v>
      </c>
      <c r="B597" s="1" t="str">
        <f>IFERROR(__xludf.DUMMYFUNCTION("""COMPUTED_VALUE"""),"56")</f>
        <v>56</v>
      </c>
    </row>
    <row r="598" ht="15.75" customHeight="1">
      <c r="A598" s="3">
        <f>IFERROR(__xludf.DUMMYFUNCTION("""COMPUTED_VALUE"""),60000.0)</f>
        <v>60000</v>
      </c>
      <c r="B598" s="1" t="str">
        <f>IFERROR(__xludf.DUMMYFUNCTION("""COMPUTED_VALUE"""),"40")</f>
        <v>40</v>
      </c>
    </row>
    <row r="599" ht="15.75" customHeight="1">
      <c r="A599" s="3">
        <f>IFERROR(__xludf.DUMMYFUNCTION("""COMPUTED_VALUE"""),70000.0)</f>
        <v>70000</v>
      </c>
      <c r="B599" s="1" t="str">
        <f>IFERROR(__xludf.DUMMYFUNCTION("""COMPUTED_VALUE"""),"34")</f>
        <v>34</v>
      </c>
    </row>
    <row r="600" ht="15.75" customHeight="1">
      <c r="A600" s="3">
        <f>IFERROR(__xludf.DUMMYFUNCTION("""COMPUTED_VALUE"""),80000.0)</f>
        <v>80000</v>
      </c>
      <c r="B600" s="1" t="str">
        <f>IFERROR(__xludf.DUMMYFUNCTION("""COMPUTED_VALUE"""),"48")</f>
        <v>48</v>
      </c>
    </row>
    <row r="601" ht="15.75" customHeight="1">
      <c r="A601" s="3">
        <f>IFERROR(__xludf.DUMMYFUNCTION("""COMPUTED_VALUE"""),40000.0)</f>
        <v>40000</v>
      </c>
      <c r="B601" s="1" t="str">
        <f>IFERROR(__xludf.DUMMYFUNCTION("""COMPUTED_VALUE"""),"31")</f>
        <v>31</v>
      </c>
    </row>
    <row r="602" ht="15.75" customHeight="1">
      <c r="A602" s="3">
        <f>IFERROR(__xludf.DUMMYFUNCTION("""COMPUTED_VALUE"""),60000.0)</f>
        <v>60000</v>
      </c>
      <c r="B602" s="1" t="str">
        <f>IFERROR(__xludf.DUMMYFUNCTION("""COMPUTED_VALUE"""),"47")</f>
        <v>47</v>
      </c>
    </row>
    <row r="603" ht="15.75" customHeight="1">
      <c r="A603" s="3">
        <f>IFERROR(__xludf.DUMMYFUNCTION("""COMPUTED_VALUE"""),50000.0)</f>
        <v>50000</v>
      </c>
      <c r="B603" s="1" t="str">
        <f>IFERROR(__xludf.DUMMYFUNCTION("""COMPUTED_VALUE"""),"34")</f>
        <v>34</v>
      </c>
    </row>
    <row r="604" ht="15.75" customHeight="1">
      <c r="A604" s="3">
        <f>IFERROR(__xludf.DUMMYFUNCTION("""COMPUTED_VALUE"""),40000.0)</f>
        <v>40000</v>
      </c>
      <c r="B604" s="1" t="str">
        <f>IFERROR(__xludf.DUMMYFUNCTION("""COMPUTED_VALUE"""),"29")</f>
        <v>29</v>
      </c>
    </row>
    <row r="605" ht="15.75" customHeight="1">
      <c r="A605" s="3">
        <f>IFERROR(__xludf.DUMMYFUNCTION("""COMPUTED_VALUE"""),130000.0)</f>
        <v>130000</v>
      </c>
      <c r="B605" s="1" t="str">
        <f>IFERROR(__xludf.DUMMYFUNCTION("""COMPUTED_VALUE"""),"44")</f>
        <v>44</v>
      </c>
    </row>
    <row r="606" ht="15.75" customHeight="1">
      <c r="A606" s="3">
        <f>IFERROR(__xludf.DUMMYFUNCTION("""COMPUTED_VALUE"""),70000.0)</f>
        <v>70000</v>
      </c>
      <c r="B606" s="1" t="str">
        <f>IFERROR(__xludf.DUMMYFUNCTION("""COMPUTED_VALUE"""),"38")</f>
        <v>38</v>
      </c>
    </row>
    <row r="607" ht="15.75" customHeight="1">
      <c r="A607" s="3">
        <f>IFERROR(__xludf.DUMMYFUNCTION("""COMPUTED_VALUE"""),100000.0)</f>
        <v>100000</v>
      </c>
      <c r="B607" s="1" t="str">
        <f>IFERROR(__xludf.DUMMYFUNCTION("""COMPUTED_VALUE"""),"40")</f>
        <v>40</v>
      </c>
    </row>
    <row r="608" ht="15.75" customHeight="1">
      <c r="A608" s="3">
        <f>IFERROR(__xludf.DUMMYFUNCTION("""COMPUTED_VALUE"""),70000.0)</f>
        <v>70000</v>
      </c>
      <c r="B608" s="1" t="str">
        <f>IFERROR(__xludf.DUMMYFUNCTION("""COMPUTED_VALUE"""),"42")</f>
        <v>42</v>
      </c>
    </row>
    <row r="609" ht="15.75" customHeight="1">
      <c r="A609" s="3">
        <f>IFERROR(__xludf.DUMMYFUNCTION("""COMPUTED_VALUE"""),40000.0)</f>
        <v>40000</v>
      </c>
      <c r="B609" s="1" t="str">
        <f>IFERROR(__xludf.DUMMYFUNCTION("""COMPUTED_VALUE"""),"51")</f>
        <v>51</v>
      </c>
    </row>
    <row r="610" ht="15.75" customHeight="1">
      <c r="A610" s="3">
        <f>IFERROR(__xludf.DUMMYFUNCTION("""COMPUTED_VALUE"""),60000.0)</f>
        <v>60000</v>
      </c>
      <c r="B610" s="1" t="str">
        <f>IFERROR(__xludf.DUMMYFUNCTION("""COMPUTED_VALUE"""),"29")</f>
        <v>29</v>
      </c>
    </row>
    <row r="611" ht="15.75" customHeight="1">
      <c r="A611" s="3">
        <f>IFERROR(__xludf.DUMMYFUNCTION("""COMPUTED_VALUE"""),70000.0)</f>
        <v>70000</v>
      </c>
      <c r="B611" s="1" t="str">
        <f>IFERROR(__xludf.DUMMYFUNCTION("""COMPUTED_VALUE"""),"37")</f>
        <v>37</v>
      </c>
    </row>
    <row r="612" ht="15.75" customHeight="1">
      <c r="A612" s="3">
        <f>IFERROR(__xludf.DUMMYFUNCTION("""COMPUTED_VALUE"""),60000.0)</f>
        <v>60000</v>
      </c>
      <c r="B612" s="1" t="str">
        <f>IFERROR(__xludf.DUMMYFUNCTION("""COMPUTED_VALUE"""),"45")</f>
        <v>45</v>
      </c>
    </row>
    <row r="613" ht="15.75" customHeight="1">
      <c r="A613" s="3">
        <f>IFERROR(__xludf.DUMMYFUNCTION("""COMPUTED_VALUE"""),60000.0)</f>
        <v>60000</v>
      </c>
      <c r="B613" s="1" t="str">
        <f>IFERROR(__xludf.DUMMYFUNCTION("""COMPUTED_VALUE"""),"61")</f>
        <v>61</v>
      </c>
    </row>
    <row r="614" ht="15.75" customHeight="1">
      <c r="A614" s="3">
        <f>IFERROR(__xludf.DUMMYFUNCTION("""COMPUTED_VALUE"""),40000.0)</f>
        <v>40000</v>
      </c>
      <c r="B614" s="1" t="str">
        <f>IFERROR(__xludf.DUMMYFUNCTION("""COMPUTED_VALUE"""),"45")</f>
        <v>45</v>
      </c>
    </row>
    <row r="615" ht="15.75" customHeight="1">
      <c r="A615" s="3">
        <f>IFERROR(__xludf.DUMMYFUNCTION("""COMPUTED_VALUE"""),70000.0)</f>
        <v>70000</v>
      </c>
      <c r="B615" s="1" t="str">
        <f>IFERROR(__xludf.DUMMYFUNCTION("""COMPUTED_VALUE"""),"47")</f>
        <v>47</v>
      </c>
    </row>
    <row r="616" ht="15.75" customHeight="1">
      <c r="A616" s="3">
        <f>IFERROR(__xludf.DUMMYFUNCTION("""COMPUTED_VALUE"""),60000.0)</f>
        <v>60000</v>
      </c>
      <c r="B616" s="1" t="str">
        <f>IFERROR(__xludf.DUMMYFUNCTION("""COMPUTED_VALUE"""),"49")</f>
        <v>49</v>
      </c>
    </row>
    <row r="617" ht="15.75" customHeight="1">
      <c r="A617" s="3">
        <f>IFERROR(__xludf.DUMMYFUNCTION("""COMPUTED_VALUE"""),60000.0)</f>
        <v>60000</v>
      </c>
      <c r="B617" s="1" t="str">
        <f>IFERROR(__xludf.DUMMYFUNCTION("""COMPUTED_VALUE"""),"47")</f>
        <v>47</v>
      </c>
    </row>
    <row r="618" ht="15.75" customHeight="1">
      <c r="A618" s="3">
        <f>IFERROR(__xludf.DUMMYFUNCTION("""COMPUTED_VALUE"""),80000.0)</f>
        <v>80000</v>
      </c>
      <c r="B618" s="1" t="str">
        <f>IFERROR(__xludf.DUMMYFUNCTION("""COMPUTED_VALUE"""),"34")</f>
        <v>34</v>
      </c>
    </row>
    <row r="619" ht="15.75" customHeight="1">
      <c r="A619" s="3">
        <f>IFERROR(__xludf.DUMMYFUNCTION("""COMPUTED_VALUE"""),80000.0)</f>
        <v>80000</v>
      </c>
      <c r="B619" s="1" t="str">
        <f>IFERROR(__xludf.DUMMYFUNCTION("""COMPUTED_VALUE"""),"64")</f>
        <v>64</v>
      </c>
    </row>
    <row r="620" ht="15.75" customHeight="1">
      <c r="A620" s="3">
        <f>IFERROR(__xludf.DUMMYFUNCTION("""COMPUTED_VALUE"""),100000.0)</f>
        <v>100000</v>
      </c>
      <c r="B620" s="1" t="str">
        <f>IFERROR(__xludf.DUMMYFUNCTION("""COMPUTED_VALUE"""),"44")</f>
        <v>44</v>
      </c>
    </row>
    <row r="621" ht="15.75" customHeight="1">
      <c r="A621" s="3">
        <f>IFERROR(__xludf.DUMMYFUNCTION("""COMPUTED_VALUE"""),40000.0)</f>
        <v>40000</v>
      </c>
      <c r="B621" s="1" t="str">
        <f>IFERROR(__xludf.DUMMYFUNCTION("""COMPUTED_VALUE"""),"62")</f>
        <v>62</v>
      </c>
    </row>
    <row r="622" ht="15.75" customHeight="1">
      <c r="A622" s="3">
        <f>IFERROR(__xludf.DUMMYFUNCTION("""COMPUTED_VALUE"""),60000.0)</f>
        <v>60000</v>
      </c>
      <c r="B622" s="1" t="str">
        <f>IFERROR(__xludf.DUMMYFUNCTION("""COMPUTED_VALUE"""),"47")</f>
        <v>47</v>
      </c>
    </row>
    <row r="623" ht="15.75" customHeight="1">
      <c r="A623" s="3">
        <f>IFERROR(__xludf.DUMMYFUNCTION("""COMPUTED_VALUE"""),80000.0)</f>
        <v>80000</v>
      </c>
      <c r="B623" s="1" t="str">
        <f>IFERROR(__xludf.DUMMYFUNCTION("""COMPUTED_VALUE"""),"49")</f>
        <v>49</v>
      </c>
    </row>
    <row r="624" ht="15.75" customHeight="1">
      <c r="A624" s="3">
        <f>IFERROR(__xludf.DUMMYFUNCTION("""COMPUTED_VALUE"""),80000.0)</f>
        <v>80000</v>
      </c>
      <c r="B624" s="1" t="str">
        <f>IFERROR(__xludf.DUMMYFUNCTION("""COMPUTED_VALUE"""),"67")</f>
        <v>67</v>
      </c>
    </row>
    <row r="625" ht="15.75" customHeight="1">
      <c r="A625" s="3">
        <f>IFERROR(__xludf.DUMMYFUNCTION("""COMPUTED_VALUE"""),60000.0)</f>
        <v>60000</v>
      </c>
      <c r="B625" s="1" t="str">
        <f>IFERROR(__xludf.DUMMYFUNCTION("""COMPUTED_VALUE"""),"59")</f>
        <v>59</v>
      </c>
    </row>
    <row r="626" ht="15.75" customHeight="1">
      <c r="A626" s="3">
        <f>IFERROR(__xludf.DUMMYFUNCTION("""COMPUTED_VALUE"""),110000.0)</f>
        <v>110000</v>
      </c>
      <c r="B626" s="1" t="str">
        <f>IFERROR(__xludf.DUMMYFUNCTION("""COMPUTED_VALUE"""),"44")</f>
        <v>44</v>
      </c>
    </row>
    <row r="627" ht="15.75" customHeight="1">
      <c r="A627" s="3">
        <f>IFERROR(__xludf.DUMMYFUNCTION("""COMPUTED_VALUE"""),50000.0)</f>
        <v>50000</v>
      </c>
      <c r="B627" s="1" t="str">
        <f>IFERROR(__xludf.DUMMYFUNCTION("""COMPUTED_VALUE"""),"36")</f>
        <v>36</v>
      </c>
    </row>
    <row r="628" ht="15.75" customHeight="1">
      <c r="A628" s="3">
        <f>IFERROR(__xludf.DUMMYFUNCTION("""COMPUTED_VALUE"""),30000.0)</f>
        <v>30000</v>
      </c>
      <c r="B628" s="1" t="str">
        <f>IFERROR(__xludf.DUMMYFUNCTION("""COMPUTED_VALUE"""),"28")</f>
        <v>28</v>
      </c>
    </row>
    <row r="629" ht="15.75" customHeight="1">
      <c r="A629" s="3">
        <f>IFERROR(__xludf.DUMMYFUNCTION("""COMPUTED_VALUE"""),60000.0)</f>
        <v>60000</v>
      </c>
      <c r="B629" s="1" t="str">
        <f>IFERROR(__xludf.DUMMYFUNCTION("""COMPUTED_VALUE"""),"57")</f>
        <v>57</v>
      </c>
    </row>
    <row r="630" ht="15.75" customHeight="1">
      <c r="A630" s="3">
        <f>IFERROR(__xludf.DUMMYFUNCTION("""COMPUTED_VALUE"""),60000.0)</f>
        <v>60000</v>
      </c>
      <c r="B630" s="1" t="str">
        <f>IFERROR(__xludf.DUMMYFUNCTION("""COMPUTED_VALUE"""),"27")</f>
        <v>27</v>
      </c>
    </row>
    <row r="631" ht="15.75" customHeight="1">
      <c r="A631" s="3">
        <f>IFERROR(__xludf.DUMMYFUNCTION("""COMPUTED_VALUE"""),30000.0)</f>
        <v>30000</v>
      </c>
      <c r="B631" s="1" t="str">
        <f>IFERROR(__xludf.DUMMYFUNCTION("""COMPUTED_VALUE"""),"28")</f>
        <v>28</v>
      </c>
    </row>
    <row r="632" ht="15.75" customHeight="1">
      <c r="A632" s="3">
        <f>IFERROR(__xludf.DUMMYFUNCTION("""COMPUTED_VALUE"""),60000.0)</f>
        <v>60000</v>
      </c>
      <c r="B632" s="1" t="str">
        <f>IFERROR(__xludf.DUMMYFUNCTION("""COMPUTED_VALUE"""),"44")</f>
        <v>44</v>
      </c>
    </row>
    <row r="633" ht="15.75" customHeight="1">
      <c r="A633" s="3">
        <f>IFERROR(__xludf.DUMMYFUNCTION("""COMPUTED_VALUE"""),60000.0)</f>
        <v>60000</v>
      </c>
      <c r="B633" s="1" t="str">
        <f>IFERROR(__xludf.DUMMYFUNCTION("""COMPUTED_VALUE"""),"66")</f>
        <v>66</v>
      </c>
    </row>
    <row r="634" ht="15.75" customHeight="1">
      <c r="A634" s="3">
        <f>IFERROR(__xludf.DUMMYFUNCTION("""COMPUTED_VALUE"""),40000.0)</f>
        <v>40000</v>
      </c>
      <c r="B634" s="1" t="str">
        <f>IFERROR(__xludf.DUMMYFUNCTION("""COMPUTED_VALUE"""),"64")</f>
        <v>64</v>
      </c>
    </row>
    <row r="635" ht="15.75" customHeight="1">
      <c r="A635" s="3">
        <f>IFERROR(__xludf.DUMMYFUNCTION("""COMPUTED_VALUE"""),50000.0)</f>
        <v>50000</v>
      </c>
      <c r="B635" s="1" t="str">
        <f>IFERROR(__xludf.DUMMYFUNCTION("""COMPUTED_VALUE"""),"41")</f>
        <v>41</v>
      </c>
    </row>
    <row r="636" ht="15.75" customHeight="1">
      <c r="A636" s="3">
        <f>IFERROR(__xludf.DUMMYFUNCTION("""COMPUTED_VALUE"""),80000.0)</f>
        <v>80000</v>
      </c>
      <c r="B636" s="1" t="str">
        <f>IFERROR(__xludf.DUMMYFUNCTION("""COMPUTED_VALUE"""),"41")</f>
        <v>41</v>
      </c>
    </row>
    <row r="637" ht="15.75" customHeight="1">
      <c r="A637" s="3">
        <f>IFERROR(__xludf.DUMMYFUNCTION("""COMPUTED_VALUE"""),40000.0)</f>
        <v>40000</v>
      </c>
      <c r="B637" s="1" t="str">
        <f>IFERROR(__xludf.DUMMYFUNCTION("""COMPUTED_VALUE"""),"49")</f>
        <v>49</v>
      </c>
    </row>
    <row r="638" ht="15.75" customHeight="1">
      <c r="A638" s="3">
        <f>IFERROR(__xludf.DUMMYFUNCTION("""COMPUTED_VALUE"""),80000.0)</f>
        <v>80000</v>
      </c>
      <c r="B638" s="1" t="str">
        <f>IFERROR(__xludf.DUMMYFUNCTION("""COMPUTED_VALUE"""),"42")</f>
        <v>42</v>
      </c>
    </row>
    <row r="639" ht="15.75" customHeight="1">
      <c r="A639" s="3">
        <f>IFERROR(__xludf.DUMMYFUNCTION("""COMPUTED_VALUE"""),70000.0)</f>
        <v>70000</v>
      </c>
      <c r="B639" s="1" t="str">
        <f>IFERROR(__xludf.DUMMYFUNCTION("""COMPUTED_VALUE"""),"37")</f>
        <v>37</v>
      </c>
    </row>
    <row r="640" ht="15.75" customHeight="1">
      <c r="A640" s="3">
        <f>IFERROR(__xludf.DUMMYFUNCTION("""COMPUTED_VALUE"""),70000.0)</f>
        <v>70000</v>
      </c>
      <c r="B640" s="1" t="str">
        <f>IFERROR(__xludf.DUMMYFUNCTION("""COMPUTED_VALUE"""),"52")</f>
        <v>52</v>
      </c>
    </row>
    <row r="641" ht="15.75" customHeight="1">
      <c r="A641" s="3">
        <f>IFERROR(__xludf.DUMMYFUNCTION("""COMPUTED_VALUE"""),50000.0)</f>
        <v>50000</v>
      </c>
      <c r="B641" s="1" t="str">
        <f>IFERROR(__xludf.DUMMYFUNCTION("""COMPUTED_VALUE"""),"34")</f>
        <v>34</v>
      </c>
    </row>
    <row r="642" ht="15.75" customHeight="1">
      <c r="A642" s="3">
        <f>IFERROR(__xludf.DUMMYFUNCTION("""COMPUTED_VALUE"""),40000.0)</f>
        <v>40000</v>
      </c>
      <c r="B642" s="1" t="str">
        <f>IFERROR(__xludf.DUMMYFUNCTION("""COMPUTED_VALUE"""),"29")</f>
        <v>29</v>
      </c>
    </row>
    <row r="643" ht="15.75" customHeight="1">
      <c r="A643" s="3">
        <f>IFERROR(__xludf.DUMMYFUNCTION("""COMPUTED_VALUE"""),70000.0)</f>
        <v>70000</v>
      </c>
      <c r="B643" s="1" t="str">
        <f>IFERROR(__xludf.DUMMYFUNCTION("""COMPUTED_VALUE"""),"53")</f>
        <v>53</v>
      </c>
    </row>
    <row r="644" ht="15.75" customHeight="1">
      <c r="A644" s="3">
        <f>IFERROR(__xludf.DUMMYFUNCTION("""COMPUTED_VALUE"""),120000.0)</f>
        <v>120000</v>
      </c>
      <c r="B644" s="1" t="str">
        <f>IFERROR(__xludf.DUMMYFUNCTION("""COMPUTED_VALUE"""),"40")</f>
        <v>40</v>
      </c>
    </row>
    <row r="645" ht="15.75" customHeight="1">
      <c r="A645" s="3">
        <f>IFERROR(__xludf.DUMMYFUNCTION("""COMPUTED_VALUE"""),60000.0)</f>
        <v>60000</v>
      </c>
      <c r="B645" s="1" t="str">
        <f>IFERROR(__xludf.DUMMYFUNCTION("""COMPUTED_VALUE"""),"29")</f>
        <v>29</v>
      </c>
    </row>
    <row r="646" ht="15.75" customHeight="1">
      <c r="A646" s="3">
        <f>IFERROR(__xludf.DUMMYFUNCTION("""COMPUTED_VALUE"""),60000.0)</f>
        <v>60000</v>
      </c>
      <c r="B646" s="1" t="str">
        <f>IFERROR(__xludf.DUMMYFUNCTION("""COMPUTED_VALUE"""),"43")</f>
        <v>43</v>
      </c>
    </row>
    <row r="647" ht="15.75" customHeight="1">
      <c r="A647" s="3">
        <f>IFERROR(__xludf.DUMMYFUNCTION("""COMPUTED_VALUE"""),60000.0)</f>
        <v>60000</v>
      </c>
      <c r="B647" s="1" t="str">
        <f>IFERROR(__xludf.DUMMYFUNCTION("""COMPUTED_VALUE"""),"55")</f>
        <v>55</v>
      </c>
    </row>
    <row r="648" ht="15.75" customHeight="1">
      <c r="A648" s="3">
        <f>IFERROR(__xludf.DUMMYFUNCTION("""COMPUTED_VALUE"""),80000.0)</f>
        <v>80000</v>
      </c>
      <c r="B648" s="1" t="str">
        <f>IFERROR(__xludf.DUMMYFUNCTION("""COMPUTED_VALUE"""),"48")</f>
        <v>48</v>
      </c>
    </row>
    <row r="649" ht="15.75" customHeight="1">
      <c r="A649" s="3">
        <f>IFERROR(__xludf.DUMMYFUNCTION("""COMPUTED_VALUE"""),70000.0)</f>
        <v>70000</v>
      </c>
      <c r="B649" s="1" t="str">
        <f>IFERROR(__xludf.DUMMYFUNCTION("""COMPUTED_VALUE"""),"42")</f>
        <v>42</v>
      </c>
    </row>
    <row r="650" ht="15.75" customHeight="1">
      <c r="A650" s="3">
        <f>IFERROR(__xludf.DUMMYFUNCTION("""COMPUTED_VALUE"""),50000.0)</f>
        <v>50000</v>
      </c>
      <c r="B650" s="1" t="str">
        <f>IFERROR(__xludf.DUMMYFUNCTION("""COMPUTED_VALUE"""),"63")</f>
        <v>63</v>
      </c>
    </row>
    <row r="651" ht="15.75" customHeight="1">
      <c r="A651" s="3">
        <f>IFERROR(__xludf.DUMMYFUNCTION("""COMPUTED_VALUE"""),60000.0)</f>
        <v>60000</v>
      </c>
      <c r="B651" s="1" t="str">
        <f>IFERROR(__xludf.DUMMYFUNCTION("""COMPUTED_VALUE"""),"54")</f>
        <v>54</v>
      </c>
    </row>
    <row r="652" ht="15.75" customHeight="1">
      <c r="A652" s="3">
        <f>IFERROR(__xludf.DUMMYFUNCTION("""COMPUTED_VALUE"""),40000.0)</f>
        <v>40000</v>
      </c>
      <c r="B652" s="1" t="str">
        <f>IFERROR(__xludf.DUMMYFUNCTION("""COMPUTED_VALUE"""),"73")</f>
        <v>73</v>
      </c>
    </row>
    <row r="653" ht="15.75" customHeight="1">
      <c r="A653" s="3">
        <f>IFERROR(__xludf.DUMMYFUNCTION("""COMPUTED_VALUE"""),50000.0)</f>
        <v>50000</v>
      </c>
      <c r="B653" s="1" t="str">
        <f>IFERROR(__xludf.DUMMYFUNCTION("""COMPUTED_VALUE"""),"39")</f>
        <v>39</v>
      </c>
    </row>
    <row r="654" ht="15.75" customHeight="1">
      <c r="A654" s="3">
        <f>IFERROR(__xludf.DUMMYFUNCTION("""COMPUTED_VALUE"""),80000.0)</f>
        <v>80000</v>
      </c>
      <c r="B654" s="1" t="str">
        <f>IFERROR(__xludf.DUMMYFUNCTION("""COMPUTED_VALUE"""),"42")</f>
        <v>42</v>
      </c>
    </row>
    <row r="655" ht="15.75" customHeight="1">
      <c r="A655" s="3">
        <f>IFERROR(__xludf.DUMMYFUNCTION("""COMPUTED_VALUE"""),40000.0)</f>
        <v>40000</v>
      </c>
      <c r="B655" s="1" t="str">
        <f>IFERROR(__xludf.DUMMYFUNCTION("""COMPUTED_VALUE"""),"31")</f>
        <v>31</v>
      </c>
    </row>
    <row r="656" ht="15.75" customHeight="1">
      <c r="A656" s="3">
        <f>IFERROR(__xludf.DUMMYFUNCTION("""COMPUTED_VALUE"""),50000.0)</f>
        <v>50000</v>
      </c>
      <c r="B656" s="1" t="str">
        <f>IFERROR(__xludf.DUMMYFUNCTION("""COMPUTED_VALUE"""),"41")</f>
        <v>41</v>
      </c>
    </row>
    <row r="657" ht="15.75" customHeight="1">
      <c r="A657" s="3">
        <f>IFERROR(__xludf.DUMMYFUNCTION("""COMPUTED_VALUE"""),60000.0)</f>
        <v>60000</v>
      </c>
      <c r="B657" s="1" t="str">
        <f>IFERROR(__xludf.DUMMYFUNCTION("""COMPUTED_VALUE"""),"58")</f>
        <v>58</v>
      </c>
    </row>
    <row r="658" ht="15.75" customHeight="1">
      <c r="A658" s="3">
        <f>IFERROR(__xludf.DUMMYFUNCTION("""COMPUTED_VALUE"""),60000.0)</f>
        <v>60000</v>
      </c>
      <c r="B658" s="1" t="str">
        <f>IFERROR(__xludf.DUMMYFUNCTION("""COMPUTED_VALUE"""),"40")</f>
        <v>40</v>
      </c>
    </row>
    <row r="659" ht="15.75" customHeight="1">
      <c r="A659" s="3">
        <f>IFERROR(__xludf.DUMMYFUNCTION("""COMPUTED_VALUE"""),70000.0)</f>
        <v>70000</v>
      </c>
      <c r="B659" s="1" t="str">
        <f>IFERROR(__xludf.DUMMYFUNCTION("""COMPUTED_VALUE"""),"34")</f>
        <v>34</v>
      </c>
    </row>
    <row r="660" ht="15.75" customHeight="1">
      <c r="A660" s="3">
        <f>IFERROR(__xludf.DUMMYFUNCTION("""COMPUTED_VALUE"""),30000.0)</f>
        <v>30000</v>
      </c>
      <c r="B660" s="1" t="str">
        <f>IFERROR(__xludf.DUMMYFUNCTION("""COMPUTED_VALUE"""),"28")</f>
        <v>28</v>
      </c>
    </row>
    <row r="661" ht="15.75" customHeight="1">
      <c r="A661" s="3">
        <f>IFERROR(__xludf.DUMMYFUNCTION("""COMPUTED_VALUE"""),30000.0)</f>
        <v>30000</v>
      </c>
      <c r="B661" s="1" t="str">
        <f>IFERROR(__xludf.DUMMYFUNCTION("""COMPUTED_VALUE"""),"27")</f>
        <v>27</v>
      </c>
    </row>
    <row r="662" ht="15.75" customHeight="1">
      <c r="A662" s="3">
        <f>IFERROR(__xludf.DUMMYFUNCTION("""COMPUTED_VALUE"""),40000.0)</f>
        <v>40000</v>
      </c>
      <c r="B662" s="1" t="str">
        <f>IFERROR(__xludf.DUMMYFUNCTION("""COMPUTED_VALUE"""),"54")</f>
        <v>54</v>
      </c>
    </row>
    <row r="663" ht="15.75" customHeight="1">
      <c r="A663" s="3">
        <f>IFERROR(__xludf.DUMMYFUNCTION("""COMPUTED_VALUE"""),60000.0)</f>
        <v>60000</v>
      </c>
      <c r="B663" s="1" t="str">
        <f>IFERROR(__xludf.DUMMYFUNCTION("""COMPUTED_VALUE"""),"70")</f>
        <v>70</v>
      </c>
    </row>
    <row r="664" ht="15.75" customHeight="1">
      <c r="A664" s="3">
        <f>IFERROR(__xludf.DUMMYFUNCTION("""COMPUTED_VALUE"""),40000.0)</f>
        <v>40000</v>
      </c>
      <c r="B664" s="1" t="str">
        <f>IFERROR(__xludf.DUMMYFUNCTION("""COMPUTED_VALUE"""),"48")</f>
        <v>48</v>
      </c>
    </row>
    <row r="665" ht="15.75" customHeight="1">
      <c r="A665" s="3">
        <f>IFERROR(__xludf.DUMMYFUNCTION("""COMPUTED_VALUE"""),70000.0)</f>
        <v>70000</v>
      </c>
      <c r="B665" s="1" t="str">
        <f>IFERROR(__xludf.DUMMYFUNCTION("""COMPUTED_VALUE"""),"44")</f>
        <v>44</v>
      </c>
    </row>
    <row r="666" ht="15.75" customHeight="1">
      <c r="A666" s="3">
        <f>IFERROR(__xludf.DUMMYFUNCTION("""COMPUTED_VALUE"""),50000.0)</f>
        <v>50000</v>
      </c>
      <c r="B666" s="1" t="str">
        <f>IFERROR(__xludf.DUMMYFUNCTION("""COMPUTED_VALUE"""),"69")</f>
        <v>69</v>
      </c>
    </row>
    <row r="667" ht="15.75" customHeight="1">
      <c r="A667" s="3">
        <f>IFERROR(__xludf.DUMMYFUNCTION("""COMPUTED_VALUE"""),70000.0)</f>
        <v>70000</v>
      </c>
      <c r="B667" s="1" t="str">
        <f>IFERROR(__xludf.DUMMYFUNCTION("""COMPUTED_VALUE"""),"52")</f>
        <v>52</v>
      </c>
    </row>
    <row r="668" ht="15.75" customHeight="1">
      <c r="A668" s="3">
        <f>IFERROR(__xludf.DUMMYFUNCTION("""COMPUTED_VALUE"""),40000.0)</f>
        <v>40000</v>
      </c>
      <c r="B668" s="1" t="str">
        <f>IFERROR(__xludf.DUMMYFUNCTION("""COMPUTED_VALUE"""),"55")</f>
        <v>55</v>
      </c>
    </row>
    <row r="669" ht="15.75" customHeight="1">
      <c r="A669" s="3">
        <f>IFERROR(__xludf.DUMMYFUNCTION("""COMPUTED_VALUE"""),30000.0)</f>
        <v>30000</v>
      </c>
      <c r="B669" s="1" t="str">
        <f>IFERROR(__xludf.DUMMYFUNCTION("""COMPUTED_VALUE"""),"30")</f>
        <v>30</v>
      </c>
    </row>
    <row r="670" ht="15.75" customHeight="1">
      <c r="A670" s="3">
        <f>IFERROR(__xludf.DUMMYFUNCTION("""COMPUTED_VALUE"""),60000.0)</f>
        <v>60000</v>
      </c>
      <c r="B670" s="1" t="str">
        <f>IFERROR(__xludf.DUMMYFUNCTION("""COMPUTED_VALUE"""),"63")</f>
        <v>63</v>
      </c>
    </row>
    <row r="671" ht="15.75" customHeight="1">
      <c r="A671" s="3">
        <f>IFERROR(__xludf.DUMMYFUNCTION("""COMPUTED_VALUE"""),80000.0)</f>
        <v>80000</v>
      </c>
      <c r="B671" s="1" t="str">
        <f>IFERROR(__xludf.DUMMYFUNCTION("""COMPUTED_VALUE"""),"34")</f>
        <v>34</v>
      </c>
    </row>
    <row r="672" ht="15.75" customHeight="1">
      <c r="A672" s="3">
        <f>IFERROR(__xludf.DUMMYFUNCTION("""COMPUTED_VALUE"""),60000.0)</f>
        <v>60000</v>
      </c>
      <c r="B672" s="1" t="str">
        <f>IFERROR(__xludf.DUMMYFUNCTION("""COMPUTED_VALUE"""),"56")</f>
        <v>56</v>
      </c>
    </row>
    <row r="673" ht="15.75" customHeight="1">
      <c r="A673" s="3">
        <f>IFERROR(__xludf.DUMMYFUNCTION("""COMPUTED_VALUE"""),40000.0)</f>
        <v>40000</v>
      </c>
      <c r="B673" s="1" t="str">
        <f>IFERROR(__xludf.DUMMYFUNCTION("""COMPUTED_VALUE"""),"31")</f>
        <v>31</v>
      </c>
    </row>
    <row r="674" ht="15.75" customHeight="1">
      <c r="A674" s="3">
        <f>IFERROR(__xludf.DUMMYFUNCTION("""COMPUTED_VALUE"""),120000.0)</f>
        <v>120000</v>
      </c>
      <c r="B674" s="1" t="str">
        <f>IFERROR(__xludf.DUMMYFUNCTION("""COMPUTED_VALUE"""),"38")</f>
        <v>38</v>
      </c>
    </row>
    <row r="675" ht="15.75" customHeight="1">
      <c r="A675" s="3">
        <f>IFERROR(__xludf.DUMMYFUNCTION("""COMPUTED_VALUE"""),60000.0)</f>
        <v>60000</v>
      </c>
      <c r="B675" s="1" t="str">
        <f>IFERROR(__xludf.DUMMYFUNCTION("""COMPUTED_VALUE"""),"59")</f>
        <v>59</v>
      </c>
    </row>
    <row r="676" ht="15.75" customHeight="1">
      <c r="A676" s="3">
        <f>IFERROR(__xludf.DUMMYFUNCTION("""COMPUTED_VALUE"""),40000.0)</f>
        <v>40000</v>
      </c>
      <c r="B676" s="1" t="str">
        <f>IFERROR(__xludf.DUMMYFUNCTION("""COMPUTED_VALUE"""),"32")</f>
        <v>32</v>
      </c>
    </row>
    <row r="677" ht="15.75" customHeight="1">
      <c r="A677" s="3">
        <f>IFERROR(__xludf.DUMMYFUNCTION("""COMPUTED_VALUE"""),60000.0)</f>
        <v>60000</v>
      </c>
      <c r="B677" s="1" t="str">
        <f>IFERROR(__xludf.DUMMYFUNCTION("""COMPUTED_VALUE"""),"69")</f>
        <v>69</v>
      </c>
    </row>
    <row r="678" ht="15.75" customHeight="1">
      <c r="A678" s="3">
        <f>IFERROR(__xludf.DUMMYFUNCTION("""COMPUTED_VALUE"""),40000.0)</f>
        <v>40000</v>
      </c>
      <c r="B678" s="1" t="str">
        <f>IFERROR(__xludf.DUMMYFUNCTION("""COMPUTED_VALUE"""),"28")</f>
        <v>28</v>
      </c>
    </row>
    <row r="679" ht="15.75" customHeight="1">
      <c r="A679" s="3">
        <f>IFERROR(__xludf.DUMMYFUNCTION("""COMPUTED_VALUE"""),80000.0)</f>
        <v>80000</v>
      </c>
      <c r="B679" s="1" t="str">
        <f>IFERROR(__xludf.DUMMYFUNCTION("""COMPUTED_VALUE"""),"47")</f>
        <v>47</v>
      </c>
    </row>
    <row r="680" ht="15.75" customHeight="1">
      <c r="A680" s="3">
        <f>IFERROR(__xludf.DUMMYFUNCTION("""COMPUTED_VALUE"""),60000.0)</f>
        <v>60000</v>
      </c>
      <c r="B680" s="1" t="str">
        <f>IFERROR(__xludf.DUMMYFUNCTION("""COMPUTED_VALUE"""),"66")</f>
        <v>66</v>
      </c>
    </row>
    <row r="681" ht="15.75" customHeight="1">
      <c r="A681" s="3">
        <f>IFERROR(__xludf.DUMMYFUNCTION("""COMPUTED_VALUE"""),70000.0)</f>
        <v>70000</v>
      </c>
      <c r="B681" s="1" t="str">
        <f>IFERROR(__xludf.DUMMYFUNCTION("""COMPUTED_VALUE"""),"37")</f>
        <v>37</v>
      </c>
    </row>
    <row r="682" ht="15.75" customHeight="1">
      <c r="A682" s="3">
        <f>IFERROR(__xludf.DUMMYFUNCTION("""COMPUTED_VALUE"""),120000.0)</f>
        <v>120000</v>
      </c>
      <c r="B682" s="1" t="str">
        <f>IFERROR(__xludf.DUMMYFUNCTION("""COMPUTED_VALUE"""),"39")</f>
        <v>39</v>
      </c>
    </row>
    <row r="683" ht="15.75" customHeight="1">
      <c r="A683" s="3">
        <f>IFERROR(__xludf.DUMMYFUNCTION("""COMPUTED_VALUE"""),60000.0)</f>
        <v>60000</v>
      </c>
      <c r="B683" s="1" t="str">
        <f>IFERROR(__xludf.DUMMYFUNCTION("""COMPUTED_VALUE"""),"51")</f>
        <v>51</v>
      </c>
    </row>
    <row r="684" ht="15.75" customHeight="1">
      <c r="A684" s="3">
        <f>IFERROR(__xludf.DUMMYFUNCTION("""COMPUTED_VALUE"""),130000.0)</f>
        <v>130000</v>
      </c>
      <c r="B684" s="1" t="str">
        <f>IFERROR(__xludf.DUMMYFUNCTION("""COMPUTED_VALUE"""),"40")</f>
        <v>40</v>
      </c>
    </row>
    <row r="685" ht="15.75" customHeight="1">
      <c r="A685" s="3">
        <f>IFERROR(__xludf.DUMMYFUNCTION("""COMPUTED_VALUE"""),90000.0)</f>
        <v>90000</v>
      </c>
      <c r="B685" s="1" t="str">
        <f>IFERROR(__xludf.DUMMYFUNCTION("""COMPUTED_VALUE"""),"51")</f>
        <v>51</v>
      </c>
    </row>
    <row r="686" ht="15.75" customHeight="1">
      <c r="A686" s="3">
        <f>IFERROR(__xludf.DUMMYFUNCTION("""COMPUTED_VALUE"""),60000.0)</f>
        <v>60000</v>
      </c>
      <c r="B686" s="1" t="str">
        <f>IFERROR(__xludf.DUMMYFUNCTION("""COMPUTED_VALUE"""),"57")</f>
        <v>57</v>
      </c>
    </row>
    <row r="687" ht="15.75" customHeight="1">
      <c r="A687" s="3">
        <f>IFERROR(__xludf.DUMMYFUNCTION("""COMPUTED_VALUE"""),60000.0)</f>
        <v>60000</v>
      </c>
      <c r="B687" s="1" t="str">
        <f>IFERROR(__xludf.DUMMYFUNCTION("""COMPUTED_VALUE"""),"35")</f>
        <v>35</v>
      </c>
    </row>
    <row r="688" ht="15.75" customHeight="1">
      <c r="A688" s="3">
        <f>IFERROR(__xludf.DUMMYFUNCTION("""COMPUTED_VALUE"""),40000.0)</f>
        <v>40000</v>
      </c>
      <c r="B688" s="1" t="str">
        <f>IFERROR(__xludf.DUMMYFUNCTION("""COMPUTED_VALUE"""),"61")</f>
        <v>61</v>
      </c>
    </row>
    <row r="689" ht="15.75" customHeight="1">
      <c r="A689" s="3">
        <f>IFERROR(__xludf.DUMMYFUNCTION("""COMPUTED_VALUE"""),80000.0)</f>
        <v>80000</v>
      </c>
      <c r="B689" s="1" t="str">
        <f>IFERROR(__xludf.DUMMYFUNCTION("""COMPUTED_VALUE"""),"44")</f>
        <v>44</v>
      </c>
    </row>
    <row r="690" ht="15.75" customHeight="1">
      <c r="A690" s="3">
        <f>IFERROR(__xludf.DUMMYFUNCTION("""COMPUTED_VALUE"""),70000.0)</f>
        <v>70000</v>
      </c>
      <c r="B690" s="1" t="str">
        <f>IFERROR(__xludf.DUMMYFUNCTION("""COMPUTED_VALUE"""),"49")</f>
        <v>49</v>
      </c>
    </row>
    <row r="691" ht="15.75" customHeight="1">
      <c r="A691" s="3">
        <f>IFERROR(__xludf.DUMMYFUNCTION("""COMPUTED_VALUE"""),80000.0)</f>
        <v>80000</v>
      </c>
      <c r="B691" s="1" t="str">
        <f>IFERROR(__xludf.DUMMYFUNCTION("""COMPUTED_VALUE"""),"70")</f>
        <v>70</v>
      </c>
    </row>
    <row r="692" ht="15.75" customHeight="1">
      <c r="A692" s="3">
        <f>IFERROR(__xludf.DUMMYFUNCTION("""COMPUTED_VALUE"""),20000.0)</f>
        <v>20000</v>
      </c>
      <c r="B692" s="1" t="str">
        <f>IFERROR(__xludf.DUMMYFUNCTION("""COMPUTED_VALUE"""),"78")</f>
        <v>78</v>
      </c>
    </row>
    <row r="693" ht="15.75" customHeight="1">
      <c r="A693" s="3">
        <f>IFERROR(__xludf.DUMMYFUNCTION("""COMPUTED_VALUE"""),90000.0)</f>
        <v>90000</v>
      </c>
      <c r="B693" s="1" t="str">
        <f>IFERROR(__xludf.DUMMYFUNCTION("""COMPUTED_VALUE"""),"45")</f>
        <v>45</v>
      </c>
    </row>
    <row r="694" ht="15.75" customHeight="1">
      <c r="A694" s="3">
        <f>IFERROR(__xludf.DUMMYFUNCTION("""COMPUTED_VALUE"""),40000.0)</f>
        <v>40000</v>
      </c>
      <c r="B694" s="1" t="str">
        <f>IFERROR(__xludf.DUMMYFUNCTION("""COMPUTED_VALUE"""),"58")</f>
        <v>58</v>
      </c>
    </row>
    <row r="695" ht="15.75" customHeight="1">
      <c r="A695" s="3">
        <f>IFERROR(__xludf.DUMMYFUNCTION("""COMPUTED_VALUE"""),130000.0)</f>
        <v>130000</v>
      </c>
      <c r="B695" s="1" t="str">
        <f>IFERROR(__xludf.DUMMYFUNCTION("""COMPUTED_VALUE"""),"41")</f>
        <v>41</v>
      </c>
    </row>
    <row r="696" ht="15.75" customHeight="1">
      <c r="A696" s="3">
        <f>IFERROR(__xludf.DUMMYFUNCTION("""COMPUTED_VALUE"""),60000.0)</f>
        <v>60000</v>
      </c>
      <c r="B696" s="1" t="str">
        <f>IFERROR(__xludf.DUMMYFUNCTION("""COMPUTED_VALUE"""),"57")</f>
        <v>57</v>
      </c>
    </row>
    <row r="697" ht="15.75" customHeight="1">
      <c r="A697" s="3">
        <f>IFERROR(__xludf.DUMMYFUNCTION("""COMPUTED_VALUE"""),30000.0)</f>
        <v>30000</v>
      </c>
      <c r="B697" s="1" t="str">
        <f>IFERROR(__xludf.DUMMYFUNCTION("""COMPUTED_VALUE"""),"49")</f>
        <v>49</v>
      </c>
    </row>
    <row r="698" ht="15.75" customHeight="1">
      <c r="A698" s="3">
        <f>IFERROR(__xludf.DUMMYFUNCTION("""COMPUTED_VALUE"""),80000.0)</f>
        <v>80000</v>
      </c>
      <c r="B698" s="1" t="str">
        <f>IFERROR(__xludf.DUMMYFUNCTION("""COMPUTED_VALUE"""),"43")</f>
        <v>43</v>
      </c>
    </row>
    <row r="699" ht="15.75" customHeight="1">
      <c r="A699" s="3">
        <f>IFERROR(__xludf.DUMMYFUNCTION("""COMPUTED_VALUE"""),60000.0)</f>
        <v>60000</v>
      </c>
      <c r="B699" s="1" t="str">
        <f>IFERROR(__xludf.DUMMYFUNCTION("""COMPUTED_VALUE"""),"52")</f>
        <v>52</v>
      </c>
    </row>
    <row r="700" ht="15.75" customHeight="1">
      <c r="A700" s="3">
        <f>IFERROR(__xludf.DUMMYFUNCTION("""COMPUTED_VALUE"""),60000.0)</f>
        <v>60000</v>
      </c>
      <c r="B700" s="1" t="str">
        <f>IFERROR(__xludf.DUMMYFUNCTION("""COMPUTED_VALUE"""),"35")</f>
        <v>35</v>
      </c>
    </row>
    <row r="701" ht="15.75" customHeight="1">
      <c r="A701" s="3">
        <f>IFERROR(__xludf.DUMMYFUNCTION("""COMPUTED_VALUE"""),40000.0)</f>
        <v>40000</v>
      </c>
      <c r="B701" s="1" t="str">
        <f>IFERROR(__xludf.DUMMYFUNCTION("""COMPUTED_VALUE"""),"27")</f>
        <v>27</v>
      </c>
    </row>
    <row r="702" ht="15.75" customHeight="1">
      <c r="A702" s="3">
        <f>IFERROR(__xludf.DUMMYFUNCTION("""COMPUTED_VALUE"""),70000.0)</f>
        <v>70000</v>
      </c>
      <c r="B702" s="1" t="str">
        <f>IFERROR(__xludf.DUMMYFUNCTION("""COMPUTED_VALUE"""),"52")</f>
        <v>52</v>
      </c>
    </row>
    <row r="703" ht="15.75" customHeight="1">
      <c r="A703" s="3">
        <f>IFERROR(__xludf.DUMMYFUNCTION("""COMPUTED_VALUE"""),40000.0)</f>
        <v>40000</v>
      </c>
      <c r="B703" s="1" t="str">
        <f>IFERROR(__xludf.DUMMYFUNCTION("""COMPUTED_VALUE"""),"36")</f>
        <v>36</v>
      </c>
    </row>
    <row r="704" ht="15.75" customHeight="1">
      <c r="A704" s="3">
        <f>IFERROR(__xludf.DUMMYFUNCTION("""COMPUTED_VALUE"""),70000.0)</f>
        <v>70000</v>
      </c>
      <c r="B704" s="1" t="str">
        <f>IFERROR(__xludf.DUMMYFUNCTION("""COMPUTED_VALUE"""),"46")</f>
        <v>46</v>
      </c>
    </row>
    <row r="705" ht="15.75" customHeight="1">
      <c r="A705" s="3">
        <f>IFERROR(__xludf.DUMMYFUNCTION("""COMPUTED_VALUE"""),60000.0)</f>
        <v>60000</v>
      </c>
      <c r="B705" s="1" t="str">
        <f>IFERROR(__xludf.DUMMYFUNCTION("""COMPUTED_VALUE"""),"52")</f>
        <v>52</v>
      </c>
    </row>
    <row r="706" ht="15.75" customHeight="1">
      <c r="A706" s="3">
        <f>IFERROR(__xludf.DUMMYFUNCTION("""COMPUTED_VALUE"""),70000.0)</f>
        <v>70000</v>
      </c>
      <c r="B706" s="1" t="str">
        <f>IFERROR(__xludf.DUMMYFUNCTION("""COMPUTED_VALUE"""),"43")</f>
        <v>43</v>
      </c>
    </row>
    <row r="707" ht="15.75" customHeight="1">
      <c r="A707" s="3">
        <f>IFERROR(__xludf.DUMMYFUNCTION("""COMPUTED_VALUE"""),60000.0)</f>
        <v>60000</v>
      </c>
      <c r="B707" s="1" t="str">
        <f>IFERROR(__xludf.DUMMYFUNCTION("""COMPUTED_VALUE"""),"44")</f>
        <v>44</v>
      </c>
    </row>
    <row r="708" ht="15.75" customHeight="1">
      <c r="A708" s="3">
        <f>IFERROR(__xludf.DUMMYFUNCTION("""COMPUTED_VALUE"""),80000.0)</f>
        <v>80000</v>
      </c>
      <c r="B708" s="1" t="str">
        <f>IFERROR(__xludf.DUMMYFUNCTION("""COMPUTED_VALUE"""),"34")</f>
        <v>34</v>
      </c>
    </row>
    <row r="709" ht="15.75" customHeight="1">
      <c r="A709" s="3">
        <f>IFERROR(__xludf.DUMMYFUNCTION("""COMPUTED_VALUE"""),30000.0)</f>
        <v>30000</v>
      </c>
      <c r="B709" s="1" t="str">
        <f>IFERROR(__xludf.DUMMYFUNCTION("""COMPUTED_VALUE"""),"27")</f>
        <v>27</v>
      </c>
    </row>
    <row r="710" ht="15.75" customHeight="1">
      <c r="A710" s="3">
        <f>IFERROR(__xludf.DUMMYFUNCTION("""COMPUTED_VALUE"""),110000.0)</f>
        <v>110000</v>
      </c>
      <c r="B710" s="1" t="str">
        <f>IFERROR(__xludf.DUMMYFUNCTION("""COMPUTED_VALUE"""),"45")</f>
        <v>45</v>
      </c>
    </row>
    <row r="711" ht="15.75" customHeight="1">
      <c r="A711" s="3">
        <f>IFERROR(__xludf.DUMMYFUNCTION("""COMPUTED_VALUE"""),100000.0)</f>
        <v>100000</v>
      </c>
      <c r="B711" s="1" t="str">
        <f>IFERROR(__xludf.DUMMYFUNCTION("""COMPUTED_VALUE"""),"45")</f>
        <v>45</v>
      </c>
    </row>
    <row r="712" ht="15.75" customHeight="1">
      <c r="A712" s="3">
        <f>IFERROR(__xludf.DUMMYFUNCTION("""COMPUTED_VALUE"""),80000.0)</f>
        <v>80000</v>
      </c>
      <c r="B712" s="1" t="str">
        <f>IFERROR(__xludf.DUMMYFUNCTION("""COMPUTED_VALUE"""),"47")</f>
        <v>47</v>
      </c>
    </row>
    <row r="713" ht="15.75" customHeight="1">
      <c r="A713" s="3">
        <f>IFERROR(__xludf.DUMMYFUNCTION("""COMPUTED_VALUE"""),40000.0)</f>
        <v>40000</v>
      </c>
      <c r="B713" s="1" t="str">
        <f>IFERROR(__xludf.DUMMYFUNCTION("""COMPUTED_VALUE"""),"44")</f>
        <v>44</v>
      </c>
    </row>
    <row r="714" ht="15.75" customHeight="1">
      <c r="A714" s="3">
        <f>IFERROR(__xludf.DUMMYFUNCTION("""COMPUTED_VALUE"""),20000.0)</f>
        <v>20000</v>
      </c>
      <c r="B714" s="1" t="str">
        <f>IFERROR(__xludf.DUMMYFUNCTION("""COMPUTED_VALUE"""),"49")</f>
        <v>49</v>
      </c>
    </row>
    <row r="715" ht="15.75" customHeight="1">
      <c r="A715" s="3">
        <f>IFERROR(__xludf.DUMMYFUNCTION("""COMPUTED_VALUE"""),40000.0)</f>
        <v>40000</v>
      </c>
      <c r="B715" s="1" t="str">
        <f>IFERROR(__xludf.DUMMYFUNCTION("""COMPUTED_VALUE"""),"30")</f>
        <v>30</v>
      </c>
    </row>
    <row r="716" ht="15.75" customHeight="1">
      <c r="A716" s="3">
        <f>IFERROR(__xludf.DUMMYFUNCTION("""COMPUTED_VALUE"""),100000.0)</f>
        <v>100000</v>
      </c>
      <c r="B716" s="1" t="str">
        <f>IFERROR(__xludf.DUMMYFUNCTION("""COMPUTED_VALUE"""),"41")</f>
        <v>41</v>
      </c>
    </row>
    <row r="717" ht="15.75" customHeight="1">
      <c r="A717" s="3">
        <f>IFERROR(__xludf.DUMMYFUNCTION("""COMPUTED_VALUE"""),70000.0)</f>
        <v>70000</v>
      </c>
      <c r="B717" s="1" t="str">
        <f>IFERROR(__xludf.DUMMYFUNCTION("""COMPUTED_VALUE"""),"58")</f>
        <v>58</v>
      </c>
    </row>
    <row r="718" ht="15.75" customHeight="1">
      <c r="A718" s="3">
        <f>IFERROR(__xludf.DUMMYFUNCTION("""COMPUTED_VALUE"""),60000.0)</f>
        <v>60000</v>
      </c>
      <c r="B718" s="1" t="str">
        <f>IFERROR(__xludf.DUMMYFUNCTION("""COMPUTED_VALUE"""),"47")</f>
        <v>47</v>
      </c>
    </row>
    <row r="719" ht="15.75" customHeight="1">
      <c r="A719" s="3">
        <f>IFERROR(__xludf.DUMMYFUNCTION("""COMPUTED_VALUE"""),70000.0)</f>
        <v>70000</v>
      </c>
      <c r="B719" s="1" t="str">
        <f>IFERROR(__xludf.DUMMYFUNCTION("""COMPUTED_VALUE"""),"55")</f>
        <v>55</v>
      </c>
    </row>
    <row r="720" ht="15.75" customHeight="1">
      <c r="A720" s="3">
        <f>IFERROR(__xludf.DUMMYFUNCTION("""COMPUTED_VALUE"""),70000.0)</f>
        <v>70000</v>
      </c>
      <c r="B720" s="1" t="str">
        <f>IFERROR(__xludf.DUMMYFUNCTION("""COMPUTED_VALUE"""),"27")</f>
        <v>27</v>
      </c>
    </row>
    <row r="721" ht="15.75" customHeight="1">
      <c r="A721" s="3">
        <f>IFERROR(__xludf.DUMMYFUNCTION("""COMPUTED_VALUE"""),60000.0)</f>
        <v>60000</v>
      </c>
      <c r="B721" s="1" t="str">
        <f>IFERROR(__xludf.DUMMYFUNCTION("""COMPUTED_VALUE"""),"67")</f>
        <v>67</v>
      </c>
    </row>
    <row r="722" ht="15.75" customHeight="1">
      <c r="A722" s="3">
        <f>IFERROR(__xludf.DUMMYFUNCTION("""COMPUTED_VALUE"""),60000.0)</f>
        <v>60000</v>
      </c>
      <c r="B722" s="1" t="str">
        <f>IFERROR(__xludf.DUMMYFUNCTION("""COMPUTED_VALUE"""),"29")</f>
        <v>29</v>
      </c>
    </row>
    <row r="723" ht="15.75" customHeight="1">
      <c r="A723" s="3">
        <f>IFERROR(__xludf.DUMMYFUNCTION("""COMPUTED_VALUE"""),60000.0)</f>
        <v>60000</v>
      </c>
      <c r="B723" s="1" t="str">
        <f>IFERROR(__xludf.DUMMYFUNCTION("""COMPUTED_VALUE"""),"67")</f>
        <v>67</v>
      </c>
    </row>
    <row r="724" ht="15.75" customHeight="1">
      <c r="A724" s="3">
        <f>IFERROR(__xludf.DUMMYFUNCTION("""COMPUTED_VALUE"""),80000.0)</f>
        <v>80000</v>
      </c>
      <c r="B724" s="1" t="str">
        <f>IFERROR(__xludf.DUMMYFUNCTION("""COMPUTED_VALUE"""),"51")</f>
        <v>51</v>
      </c>
    </row>
    <row r="725" ht="15.75" customHeight="1">
      <c r="A725" s="3">
        <f>IFERROR(__xludf.DUMMYFUNCTION("""COMPUTED_VALUE"""),50000.0)</f>
        <v>50000</v>
      </c>
      <c r="B725" s="1" t="str">
        <f>IFERROR(__xludf.DUMMYFUNCTION("""COMPUTED_VALUE"""),"35")</f>
        <v>35</v>
      </c>
    </row>
    <row r="726" ht="15.75" customHeight="1">
      <c r="A726" s="3">
        <f>IFERROR(__xludf.DUMMYFUNCTION("""COMPUTED_VALUE"""),40000.0)</f>
        <v>40000</v>
      </c>
      <c r="B726" s="1" t="str">
        <f>IFERROR(__xludf.DUMMYFUNCTION("""COMPUTED_VALUE"""),"30")</f>
        <v>30</v>
      </c>
    </row>
    <row r="727" ht="15.75" customHeight="1">
      <c r="A727" s="3">
        <f>IFERROR(__xludf.DUMMYFUNCTION("""COMPUTED_VALUE"""),70000.0)</f>
        <v>70000</v>
      </c>
      <c r="B727" s="1" t="str">
        <f>IFERROR(__xludf.DUMMYFUNCTION("""COMPUTED_VALUE"""),"44")</f>
        <v>44</v>
      </c>
    </row>
    <row r="728" ht="15.75" customHeight="1">
      <c r="A728" s="3">
        <f>IFERROR(__xludf.DUMMYFUNCTION("""COMPUTED_VALUE"""),80000.0)</f>
        <v>80000</v>
      </c>
      <c r="B728" s="1" t="str">
        <f>IFERROR(__xludf.DUMMYFUNCTION("""COMPUTED_VALUE"""),"48")</f>
        <v>48</v>
      </c>
    </row>
    <row r="729" ht="15.75" customHeight="1">
      <c r="A729" s="3">
        <f>IFERROR(__xludf.DUMMYFUNCTION("""COMPUTED_VALUE"""),130000.0)</f>
        <v>130000</v>
      </c>
      <c r="B729" s="1" t="str">
        <f>IFERROR(__xludf.DUMMYFUNCTION("""COMPUTED_VALUE"""),"45")</f>
        <v>45</v>
      </c>
    </row>
    <row r="730" ht="15.75" customHeight="1">
      <c r="A730" s="3">
        <f>IFERROR(__xludf.DUMMYFUNCTION("""COMPUTED_VALUE"""),60000.0)</f>
        <v>60000</v>
      </c>
      <c r="B730" s="1" t="str">
        <f>IFERROR(__xludf.DUMMYFUNCTION("""COMPUTED_VALUE"""),"66")</f>
        <v>66</v>
      </c>
    </row>
    <row r="731" ht="15.75" customHeight="1">
      <c r="A731" s="3">
        <f>IFERROR(__xludf.DUMMYFUNCTION("""COMPUTED_VALUE"""),30000.0)</f>
        <v>30000</v>
      </c>
      <c r="B731" s="1" t="str">
        <f>IFERROR(__xludf.DUMMYFUNCTION("""COMPUTED_VALUE"""),"49")</f>
        <v>49</v>
      </c>
    </row>
    <row r="732" ht="15.75" customHeight="1">
      <c r="A732" s="3">
        <f>IFERROR(__xludf.DUMMYFUNCTION("""COMPUTED_VALUE"""),120000.0)</f>
        <v>120000</v>
      </c>
      <c r="B732" s="1" t="str">
        <f>IFERROR(__xludf.DUMMYFUNCTION("""COMPUTED_VALUE"""),"43")</f>
        <v>43</v>
      </c>
    </row>
    <row r="733" ht="15.75" customHeight="1">
      <c r="A733" s="3">
        <f>IFERROR(__xludf.DUMMYFUNCTION("""COMPUTED_VALUE"""),40000.0)</f>
        <v>40000</v>
      </c>
      <c r="B733" s="1" t="str">
        <f>IFERROR(__xludf.DUMMYFUNCTION("""COMPUTED_VALUE"""),"30")</f>
        <v>30</v>
      </c>
    </row>
    <row r="734" ht="15.75" customHeight="1">
      <c r="A734" s="3">
        <f>IFERROR(__xludf.DUMMYFUNCTION("""COMPUTED_VALUE"""),100000.0)</f>
        <v>100000</v>
      </c>
      <c r="B734" s="1" t="str">
        <f>IFERROR(__xludf.DUMMYFUNCTION("""COMPUTED_VALUE"""),"65")</f>
        <v>65</v>
      </c>
    </row>
    <row r="735" ht="15.75" customHeight="1">
      <c r="A735" s="3">
        <f>IFERROR(__xludf.DUMMYFUNCTION("""COMPUTED_VALUE"""),60000.0)</f>
        <v>60000</v>
      </c>
      <c r="B735" s="1" t="str">
        <f>IFERROR(__xludf.DUMMYFUNCTION("""COMPUTED_VALUE"""),"56")</f>
        <v>56</v>
      </c>
    </row>
    <row r="736" ht="15.75" customHeight="1">
      <c r="A736" s="3">
        <f>IFERROR(__xludf.DUMMYFUNCTION("""COMPUTED_VALUE"""),50000.0)</f>
        <v>50000</v>
      </c>
      <c r="B736" s="1" t="str">
        <f>IFERROR(__xludf.DUMMYFUNCTION("""COMPUTED_VALUE"""),"64")</f>
        <v>64</v>
      </c>
    </row>
    <row r="737" ht="15.75" customHeight="1">
      <c r="A737" s="3">
        <f>IFERROR(__xludf.DUMMYFUNCTION("""COMPUTED_VALUE"""),70000.0)</f>
        <v>70000</v>
      </c>
      <c r="B737" s="1" t="str">
        <f>IFERROR(__xludf.DUMMYFUNCTION("""COMPUTED_VALUE"""),"50")</f>
        <v>50</v>
      </c>
    </row>
    <row r="738" ht="15.75" customHeight="1">
      <c r="A738" s="3">
        <f>IFERROR(__xludf.DUMMYFUNCTION("""COMPUTED_VALUE"""),70000.0)</f>
        <v>70000</v>
      </c>
      <c r="B738" s="1" t="str">
        <f>IFERROR(__xludf.DUMMYFUNCTION("""COMPUTED_VALUE"""),"35")</f>
        <v>35</v>
      </c>
    </row>
    <row r="739" ht="15.75" customHeight="1">
      <c r="A739" s="3">
        <f>IFERROR(__xludf.DUMMYFUNCTION("""COMPUTED_VALUE"""),60000.0)</f>
        <v>60000</v>
      </c>
      <c r="B739" s="1" t="str">
        <f>IFERROR(__xludf.DUMMYFUNCTION("""COMPUTED_VALUE"""),"41")</f>
        <v>41</v>
      </c>
    </row>
    <row r="740" ht="15.75" customHeight="1">
      <c r="A740" s="3">
        <f>IFERROR(__xludf.DUMMYFUNCTION("""COMPUTED_VALUE"""),60000.0)</f>
        <v>60000</v>
      </c>
      <c r="B740" s="1" t="str">
        <f>IFERROR(__xludf.DUMMYFUNCTION("""COMPUTED_VALUE"""),"39")</f>
        <v>39</v>
      </c>
    </row>
    <row r="741" ht="15.75" customHeight="1">
      <c r="A741" s="3">
        <f>IFERROR(__xludf.DUMMYFUNCTION("""COMPUTED_VALUE"""),60000.0)</f>
        <v>60000</v>
      </c>
      <c r="B741" s="1" t="str">
        <f>IFERROR(__xludf.DUMMYFUNCTION("""COMPUTED_VALUE"""),"47")</f>
        <v>47</v>
      </c>
    </row>
    <row r="742" ht="15.75" customHeight="1">
      <c r="A742" s="3">
        <f>IFERROR(__xludf.DUMMYFUNCTION("""COMPUTED_VALUE"""),40000.0)</f>
        <v>40000</v>
      </c>
      <c r="B742" s="1" t="str">
        <f>IFERROR(__xludf.DUMMYFUNCTION("""COMPUTED_VALUE"""),"31")</f>
        <v>31</v>
      </c>
    </row>
    <row r="743" ht="15.75" customHeight="1">
      <c r="A743" s="3">
        <f>IFERROR(__xludf.DUMMYFUNCTION("""COMPUTED_VALUE"""),70000.0)</f>
        <v>70000</v>
      </c>
      <c r="B743" s="1" t="str">
        <f>IFERROR(__xludf.DUMMYFUNCTION("""COMPUTED_VALUE"""),"58")</f>
        <v>58</v>
      </c>
    </row>
    <row r="744" ht="15.75" customHeight="1">
      <c r="A744" s="3">
        <f>IFERROR(__xludf.DUMMYFUNCTION("""COMPUTED_VALUE"""),70000.0)</f>
        <v>70000</v>
      </c>
      <c r="B744" s="1" t="str">
        <f>IFERROR(__xludf.DUMMYFUNCTION("""COMPUTED_VALUE"""),"38")</f>
        <v>38</v>
      </c>
    </row>
    <row r="745" ht="15.75" customHeight="1">
      <c r="A745" s="3">
        <f>IFERROR(__xludf.DUMMYFUNCTION("""COMPUTED_VALUE"""),70000.0)</f>
        <v>70000</v>
      </c>
      <c r="B745" s="1" t="str">
        <f>IFERROR(__xludf.DUMMYFUNCTION("""COMPUTED_VALUE"""),"67")</f>
        <v>67</v>
      </c>
    </row>
    <row r="746" ht="15.75" customHeight="1">
      <c r="A746" s="3">
        <f>IFERROR(__xludf.DUMMYFUNCTION("""COMPUTED_VALUE"""),60000.0)</f>
        <v>60000</v>
      </c>
      <c r="B746" s="1" t="str">
        <f>IFERROR(__xludf.DUMMYFUNCTION("""COMPUTED_VALUE"""),"32")</f>
        <v>32</v>
      </c>
    </row>
    <row r="747" ht="15.75" customHeight="1">
      <c r="A747" s="3">
        <f>IFERROR(__xludf.DUMMYFUNCTION("""COMPUTED_VALUE"""),70000.0)</f>
        <v>70000</v>
      </c>
      <c r="B747" s="1" t="str">
        <f>IFERROR(__xludf.DUMMYFUNCTION("""COMPUTED_VALUE"""),"45")</f>
        <v>45</v>
      </c>
    </row>
    <row r="748" ht="15.75" customHeight="1">
      <c r="A748" s="3">
        <f>IFERROR(__xludf.DUMMYFUNCTION("""COMPUTED_VALUE"""),30000.0)</f>
        <v>30000</v>
      </c>
      <c r="B748" s="1" t="str">
        <f>IFERROR(__xludf.DUMMYFUNCTION("""COMPUTED_VALUE"""),"31")</f>
        <v>31</v>
      </c>
    </row>
    <row r="749" ht="15.75" customHeight="1">
      <c r="A749" s="3">
        <f>IFERROR(__xludf.DUMMYFUNCTION("""COMPUTED_VALUE"""),40000.0)</f>
        <v>40000</v>
      </c>
      <c r="B749" s="1" t="str">
        <f>IFERROR(__xludf.DUMMYFUNCTION("""COMPUTED_VALUE"""),"31")</f>
        <v>31</v>
      </c>
    </row>
    <row r="750" ht="15.75" customHeight="1">
      <c r="A750" s="3">
        <f>IFERROR(__xludf.DUMMYFUNCTION("""COMPUTED_VALUE"""),40000.0)</f>
        <v>40000</v>
      </c>
      <c r="B750" s="1" t="str">
        <f>IFERROR(__xludf.DUMMYFUNCTION("""COMPUTED_VALUE"""),"31")</f>
        <v>31</v>
      </c>
    </row>
    <row r="751" ht="15.75" customHeight="1">
      <c r="A751" s="3">
        <f>IFERROR(__xludf.DUMMYFUNCTION("""COMPUTED_VALUE"""),60000.0)</f>
        <v>60000</v>
      </c>
      <c r="B751" s="1" t="str">
        <f>IFERROR(__xludf.DUMMYFUNCTION("""COMPUTED_VALUE"""),"50")</f>
        <v>50</v>
      </c>
    </row>
    <row r="752" ht="15.75" customHeight="1">
      <c r="A752" s="3">
        <f>IFERROR(__xludf.DUMMYFUNCTION("""COMPUTED_VALUE"""),70000.0)</f>
        <v>70000</v>
      </c>
      <c r="B752" s="1" t="str">
        <f>IFERROR(__xludf.DUMMYFUNCTION("""COMPUTED_VALUE"""),"44")</f>
        <v>44</v>
      </c>
    </row>
    <row r="753" ht="15.75" customHeight="1">
      <c r="A753" s="3">
        <f>IFERROR(__xludf.DUMMYFUNCTION("""COMPUTED_VALUE"""),50000.0)</f>
        <v>50000</v>
      </c>
      <c r="B753" s="1" t="str">
        <f>IFERROR(__xludf.DUMMYFUNCTION("""COMPUTED_VALUE"""),"38")</f>
        <v>38</v>
      </c>
    </row>
    <row r="754" ht="15.75" customHeight="1">
      <c r="A754" s="3">
        <f>IFERROR(__xludf.DUMMYFUNCTION("""COMPUTED_VALUE"""),60000.0)</f>
        <v>60000</v>
      </c>
      <c r="B754" s="1" t="str">
        <f>IFERROR(__xludf.DUMMYFUNCTION("""COMPUTED_VALUE"""),"63")</f>
        <v>63</v>
      </c>
    </row>
    <row r="755" ht="15.75" customHeight="1">
      <c r="A755" s="3">
        <f>IFERROR(__xludf.DUMMYFUNCTION("""COMPUTED_VALUE"""),60000.0)</f>
        <v>60000</v>
      </c>
      <c r="B755" s="1" t="str">
        <f>IFERROR(__xludf.DUMMYFUNCTION("""COMPUTED_VALUE"""),"36")</f>
        <v>36</v>
      </c>
    </row>
    <row r="756" ht="15.75" customHeight="1">
      <c r="A756" s="3">
        <f>IFERROR(__xludf.DUMMYFUNCTION("""COMPUTED_VALUE"""),40000.0)</f>
        <v>40000</v>
      </c>
      <c r="B756" s="1" t="str">
        <f>IFERROR(__xludf.DUMMYFUNCTION("""COMPUTED_VALUE"""),"28")</f>
        <v>28</v>
      </c>
    </row>
    <row r="757" ht="15.75" customHeight="1">
      <c r="A757" s="3">
        <f>IFERROR(__xludf.DUMMYFUNCTION("""COMPUTED_VALUE"""),100000.0)</f>
        <v>100000</v>
      </c>
      <c r="B757" s="1" t="str">
        <f>IFERROR(__xludf.DUMMYFUNCTION("""COMPUTED_VALUE"""),"44")</f>
        <v>44</v>
      </c>
    </row>
    <row r="758" ht="15.75" customHeight="1">
      <c r="A758" s="3">
        <f>IFERROR(__xludf.DUMMYFUNCTION("""COMPUTED_VALUE"""),70000.0)</f>
        <v>70000</v>
      </c>
      <c r="B758" s="1" t="str">
        <f>IFERROR(__xludf.DUMMYFUNCTION("""COMPUTED_VALUE"""),"47")</f>
        <v>47</v>
      </c>
    </row>
    <row r="759" ht="15.75" customHeight="1">
      <c r="A759" s="3">
        <f>IFERROR(__xludf.DUMMYFUNCTION("""COMPUTED_VALUE"""),80000.0)</f>
        <v>80000</v>
      </c>
      <c r="B759" s="1" t="str">
        <f>IFERROR(__xludf.DUMMYFUNCTION("""COMPUTED_VALUE"""),"40")</f>
        <v>40</v>
      </c>
    </row>
    <row r="760" ht="15.75" customHeight="1">
      <c r="A760" s="3">
        <f>IFERROR(__xludf.DUMMYFUNCTION("""COMPUTED_VALUE"""),130000.0)</f>
        <v>130000</v>
      </c>
      <c r="B760" s="1" t="str">
        <f>IFERROR(__xludf.DUMMYFUNCTION("""COMPUTED_VALUE"""),"40")</f>
        <v>40</v>
      </c>
    </row>
    <row r="761" ht="15.75" customHeight="1">
      <c r="A761" s="3">
        <f>IFERROR(__xludf.DUMMYFUNCTION("""COMPUTED_VALUE"""),60000.0)</f>
        <v>60000</v>
      </c>
      <c r="B761" s="1" t="str">
        <f>IFERROR(__xludf.DUMMYFUNCTION("""COMPUTED_VALUE"""),"46")</f>
        <v>46</v>
      </c>
    </row>
    <row r="762" ht="15.75" customHeight="1">
      <c r="A762" s="3">
        <f>IFERROR(__xludf.DUMMYFUNCTION("""COMPUTED_VALUE"""),40000.0)</f>
        <v>40000</v>
      </c>
      <c r="B762" s="1" t="str">
        <f>IFERROR(__xludf.DUMMYFUNCTION("""COMPUTED_VALUE"""),"61")</f>
        <v>61</v>
      </c>
    </row>
    <row r="763" ht="15.75" customHeight="1">
      <c r="A763" s="3">
        <f>IFERROR(__xludf.DUMMYFUNCTION("""COMPUTED_VALUE"""),60000.0)</f>
        <v>60000</v>
      </c>
      <c r="B763" s="1" t="str">
        <f>IFERROR(__xludf.DUMMYFUNCTION("""COMPUTED_VALUE"""),"40")</f>
        <v>40</v>
      </c>
    </row>
    <row r="764" ht="15.75" customHeight="1">
      <c r="A764" s="3">
        <f>IFERROR(__xludf.DUMMYFUNCTION("""COMPUTED_VALUE"""),60000.0)</f>
        <v>60000</v>
      </c>
      <c r="B764" s="1" t="str">
        <f>IFERROR(__xludf.DUMMYFUNCTION("""COMPUTED_VALUE"""),"50")</f>
        <v>50</v>
      </c>
    </row>
    <row r="765" ht="15.75" customHeight="1">
      <c r="A765" s="3">
        <f>IFERROR(__xludf.DUMMYFUNCTION("""COMPUTED_VALUE"""),70000.0)</f>
        <v>70000</v>
      </c>
      <c r="B765" s="1" t="str">
        <f>IFERROR(__xludf.DUMMYFUNCTION("""COMPUTED_VALUE"""),"59")</f>
        <v>59</v>
      </c>
    </row>
    <row r="766" ht="15.75" customHeight="1">
      <c r="A766" s="3">
        <f>IFERROR(__xludf.DUMMYFUNCTION("""COMPUTED_VALUE"""),60000.0)</f>
        <v>60000</v>
      </c>
      <c r="B766" s="1" t="str">
        <f>IFERROR(__xludf.DUMMYFUNCTION("""COMPUTED_VALUE"""),"36")</f>
        <v>36</v>
      </c>
    </row>
    <row r="767" ht="15.75" customHeight="1">
      <c r="A767" s="3">
        <f>IFERROR(__xludf.DUMMYFUNCTION("""COMPUTED_VALUE"""),40000.0)</f>
        <v>40000</v>
      </c>
      <c r="B767" s="1" t="str">
        <f>IFERROR(__xludf.DUMMYFUNCTION("""COMPUTED_VALUE"""),"30")</f>
        <v>30</v>
      </c>
    </row>
    <row r="768" ht="15.75" customHeight="1">
      <c r="A768" s="3">
        <f>IFERROR(__xludf.DUMMYFUNCTION("""COMPUTED_VALUE"""),70000.0)</f>
        <v>70000</v>
      </c>
      <c r="B768" s="1" t="str">
        <f>IFERROR(__xludf.DUMMYFUNCTION("""COMPUTED_VALUE"""),"35")</f>
        <v>35</v>
      </c>
    </row>
    <row r="769" ht="15.75" customHeight="1">
      <c r="A769" s="3">
        <f>IFERROR(__xludf.DUMMYFUNCTION("""COMPUTED_VALUE"""),30000.0)</f>
        <v>30000</v>
      </c>
      <c r="B769" s="1" t="str">
        <f>IFERROR(__xludf.DUMMYFUNCTION("""COMPUTED_VALUE"""),"48")</f>
        <v>48</v>
      </c>
    </row>
    <row r="770" ht="15.75" customHeight="1">
      <c r="A770" s="3">
        <f>IFERROR(__xludf.DUMMYFUNCTION("""COMPUTED_VALUE"""),100000.0)</f>
        <v>100000</v>
      </c>
      <c r="B770" s="1" t="str">
        <f>IFERROR(__xludf.DUMMYFUNCTION("""COMPUTED_VALUE"""),"41")</f>
        <v>41</v>
      </c>
    </row>
    <row r="771" ht="15.75" customHeight="1">
      <c r="A771" s="3">
        <f>IFERROR(__xludf.DUMMYFUNCTION("""COMPUTED_VALUE"""),40000.0)</f>
        <v>40000</v>
      </c>
      <c r="B771" s="1" t="str">
        <f>IFERROR(__xludf.DUMMYFUNCTION("""COMPUTED_VALUE"""),"47")</f>
        <v>47</v>
      </c>
    </row>
    <row r="772" ht="15.75" customHeight="1">
      <c r="A772" s="3">
        <f>IFERROR(__xludf.DUMMYFUNCTION("""COMPUTED_VALUE"""),60000.0)</f>
        <v>60000</v>
      </c>
      <c r="B772" s="1" t="str">
        <f>IFERROR(__xludf.DUMMYFUNCTION("""COMPUTED_VALUE"""),"47")</f>
        <v>47</v>
      </c>
    </row>
    <row r="773" ht="15.75" customHeight="1">
      <c r="A773" s="3">
        <f>IFERROR(__xludf.DUMMYFUNCTION("""COMPUTED_VALUE"""),80000.0)</f>
        <v>80000</v>
      </c>
      <c r="B773" s="1" t="str">
        <f>IFERROR(__xludf.DUMMYFUNCTION("""COMPUTED_VALUE"""),"62")</f>
        <v>62</v>
      </c>
    </row>
    <row r="774" ht="15.75" customHeight="1">
      <c r="A774" s="3">
        <f>IFERROR(__xludf.DUMMYFUNCTION("""COMPUTED_VALUE"""),60000.0)</f>
        <v>60000</v>
      </c>
      <c r="B774" s="1" t="str">
        <f>IFERROR(__xludf.DUMMYFUNCTION("""COMPUTED_VALUE"""),"60")</f>
        <v>60</v>
      </c>
    </row>
    <row r="775" ht="15.75" customHeight="1">
      <c r="A775" s="3">
        <f>IFERROR(__xludf.DUMMYFUNCTION("""COMPUTED_VALUE"""),60000.0)</f>
        <v>60000</v>
      </c>
      <c r="B775" s="1" t="str">
        <f>IFERROR(__xludf.DUMMYFUNCTION("""COMPUTED_VALUE"""),"33")</f>
        <v>33</v>
      </c>
    </row>
    <row r="776" ht="15.75" customHeight="1">
      <c r="A776" s="3">
        <f>IFERROR(__xludf.DUMMYFUNCTION("""COMPUTED_VALUE"""),80000.0)</f>
        <v>80000</v>
      </c>
      <c r="B776" s="1" t="str">
        <f>IFERROR(__xludf.DUMMYFUNCTION("""COMPUTED_VALUE"""),"47")</f>
        <v>47</v>
      </c>
    </row>
    <row r="777" ht="15.75" customHeight="1">
      <c r="A777" s="3">
        <f>IFERROR(__xludf.DUMMYFUNCTION("""COMPUTED_VALUE"""),20000.0)</f>
        <v>20000</v>
      </c>
      <c r="B777" s="1" t="str">
        <f>IFERROR(__xludf.DUMMYFUNCTION("""COMPUTED_VALUE"""),"52")</f>
        <v>52</v>
      </c>
    </row>
    <row r="778" ht="15.75" customHeight="1">
      <c r="A778" s="3">
        <f>IFERROR(__xludf.DUMMYFUNCTION("""COMPUTED_VALUE"""),90000.0)</f>
        <v>90000</v>
      </c>
      <c r="B778" s="1" t="str">
        <f>IFERROR(__xludf.DUMMYFUNCTION("""COMPUTED_VALUE"""),"40")</f>
        <v>40</v>
      </c>
    </row>
    <row r="779" ht="15.75" customHeight="1">
      <c r="A779" s="3">
        <f>IFERROR(__xludf.DUMMYFUNCTION("""COMPUTED_VALUE"""),60000.0)</f>
        <v>60000</v>
      </c>
      <c r="B779" s="1" t="str">
        <f>IFERROR(__xludf.DUMMYFUNCTION("""COMPUTED_VALUE"""),"42")</f>
        <v>42</v>
      </c>
    </row>
    <row r="780" ht="15.75" customHeight="1">
      <c r="A780" s="3">
        <f>IFERROR(__xludf.DUMMYFUNCTION("""COMPUTED_VALUE"""),60000.0)</f>
        <v>60000</v>
      </c>
      <c r="B780" s="1" t="str">
        <f>IFERROR(__xludf.DUMMYFUNCTION("""COMPUTED_VALUE"""),"53")</f>
        <v>53</v>
      </c>
    </row>
    <row r="781" ht="15.75" customHeight="1">
      <c r="A781" s="3">
        <f>IFERROR(__xludf.DUMMYFUNCTION("""COMPUTED_VALUE"""),40000.0)</f>
        <v>40000</v>
      </c>
      <c r="B781" s="1" t="str">
        <f>IFERROR(__xludf.DUMMYFUNCTION("""COMPUTED_VALUE"""),"51")</f>
        <v>51</v>
      </c>
    </row>
    <row r="782" ht="15.75" customHeight="1">
      <c r="A782" s="3">
        <f>IFERROR(__xludf.DUMMYFUNCTION("""COMPUTED_VALUE"""),30000.0)</f>
        <v>30000</v>
      </c>
      <c r="B782" s="1" t="str">
        <f>IFERROR(__xludf.DUMMYFUNCTION("""COMPUTED_VALUE"""),"30")</f>
        <v>30</v>
      </c>
    </row>
    <row r="783" ht="15.75" customHeight="1">
      <c r="A783" s="3">
        <f>IFERROR(__xludf.DUMMYFUNCTION("""COMPUTED_VALUE"""),30000.0)</f>
        <v>30000</v>
      </c>
      <c r="B783" s="1" t="str">
        <f>IFERROR(__xludf.DUMMYFUNCTION("""COMPUTED_VALUE"""),"26")</f>
        <v>26</v>
      </c>
    </row>
    <row r="784" ht="15.75" customHeight="1">
      <c r="A784" s="3">
        <f>IFERROR(__xludf.DUMMYFUNCTION("""COMPUTED_VALUE"""),130000.0)</f>
        <v>130000</v>
      </c>
      <c r="B784" s="1" t="str">
        <f>IFERROR(__xludf.DUMMYFUNCTION("""COMPUTED_VALUE"""),"45")</f>
        <v>45</v>
      </c>
    </row>
    <row r="785" ht="15.75" customHeight="1">
      <c r="A785" s="3">
        <f>IFERROR(__xludf.DUMMYFUNCTION("""COMPUTED_VALUE"""),50000.0)</f>
        <v>50000</v>
      </c>
      <c r="B785" s="1" t="str">
        <f>IFERROR(__xludf.DUMMYFUNCTION("""COMPUTED_VALUE"""),"34")</f>
        <v>34</v>
      </c>
    </row>
    <row r="786" ht="15.75" customHeight="1">
      <c r="A786" s="3">
        <f>IFERROR(__xludf.DUMMYFUNCTION("""COMPUTED_VALUE"""),70000.0)</f>
        <v>70000</v>
      </c>
      <c r="B786" s="1" t="str">
        <f>IFERROR(__xludf.DUMMYFUNCTION("""COMPUTED_VALUE"""),"44")</f>
        <v>44</v>
      </c>
    </row>
    <row r="787" ht="15.75" customHeight="1">
      <c r="A787" s="3">
        <f>IFERROR(__xludf.DUMMYFUNCTION("""COMPUTED_VALUE"""),60000.0)</f>
        <v>60000</v>
      </c>
      <c r="B787" s="1" t="str">
        <f>IFERROR(__xludf.DUMMYFUNCTION("""COMPUTED_VALUE"""),"41")</f>
        <v>41</v>
      </c>
    </row>
    <row r="788" ht="15.75" customHeight="1">
      <c r="A788" s="3">
        <f>IFERROR(__xludf.DUMMYFUNCTION("""COMPUTED_VALUE"""),80000.0)</f>
        <v>80000</v>
      </c>
      <c r="B788" s="1" t="str">
        <f>IFERROR(__xludf.DUMMYFUNCTION("""COMPUTED_VALUE"""),"36")</f>
        <v>36</v>
      </c>
    </row>
    <row r="789" ht="15.75" customHeight="1">
      <c r="A789" s="3">
        <f>IFERROR(__xludf.DUMMYFUNCTION("""COMPUTED_VALUE"""),80000.0)</f>
        <v>80000</v>
      </c>
      <c r="B789" s="1" t="str">
        <f>IFERROR(__xludf.DUMMYFUNCTION("""COMPUTED_VALUE"""),"44")</f>
        <v>44</v>
      </c>
    </row>
    <row r="790" ht="15.75" customHeight="1">
      <c r="A790" s="3">
        <f>IFERROR(__xludf.DUMMYFUNCTION("""COMPUTED_VALUE"""),60000.0)</f>
        <v>60000</v>
      </c>
      <c r="B790" s="1" t="str">
        <f>IFERROR(__xludf.DUMMYFUNCTION("""COMPUTED_VALUE"""),"30")</f>
        <v>30</v>
      </c>
    </row>
    <row r="791" ht="15.75" customHeight="1">
      <c r="A791" s="3">
        <f>IFERROR(__xludf.DUMMYFUNCTION("""COMPUTED_VALUE"""),30000.0)</f>
        <v>30000</v>
      </c>
      <c r="B791" s="1" t="str">
        <f>IFERROR(__xludf.DUMMYFUNCTION("""COMPUTED_VALUE"""),"28")</f>
        <v>28</v>
      </c>
    </row>
    <row r="792" ht="15.75" customHeight="1">
      <c r="A792" s="3">
        <f>IFERROR(__xludf.DUMMYFUNCTION("""COMPUTED_VALUE"""),20000.0)</f>
        <v>20000</v>
      </c>
      <c r="B792" s="1" t="str">
        <f>IFERROR(__xludf.DUMMYFUNCTION("""COMPUTED_VALUE"""),"49")</f>
        <v>49</v>
      </c>
    </row>
    <row r="793" ht="15.75" customHeight="1">
      <c r="A793" s="3">
        <f>IFERROR(__xludf.DUMMYFUNCTION("""COMPUTED_VALUE"""),90000.0)</f>
        <v>90000</v>
      </c>
      <c r="B793" s="1" t="str">
        <f>IFERROR(__xludf.DUMMYFUNCTION("""COMPUTED_VALUE"""),"43")</f>
        <v>43</v>
      </c>
    </row>
    <row r="794" ht="15.75" customHeight="1">
      <c r="A794" s="3">
        <f>IFERROR(__xludf.DUMMYFUNCTION("""COMPUTED_VALUE"""),70000.0)</f>
        <v>70000</v>
      </c>
      <c r="B794" s="1" t="str">
        <f>IFERROR(__xludf.DUMMYFUNCTION("""COMPUTED_VALUE"""),"59")</f>
        <v>59</v>
      </c>
    </row>
    <row r="795" ht="15.75" customHeight="1">
      <c r="A795" s="3">
        <f>IFERROR(__xludf.DUMMYFUNCTION("""COMPUTED_VALUE"""),30000.0)</f>
        <v>30000</v>
      </c>
      <c r="B795" s="1" t="str">
        <f>IFERROR(__xludf.DUMMYFUNCTION("""COMPUTED_VALUE"""),"26")</f>
        <v>26</v>
      </c>
    </row>
    <row r="796" ht="15.75" customHeight="1">
      <c r="A796" s="3">
        <f>IFERROR(__xludf.DUMMYFUNCTION("""COMPUTED_VALUE"""),120000.0)</f>
        <v>120000</v>
      </c>
      <c r="B796" s="1" t="str">
        <f>IFERROR(__xludf.DUMMYFUNCTION("""COMPUTED_VALUE"""),"46")</f>
        <v>46</v>
      </c>
    </row>
    <row r="797" ht="15.75" customHeight="1">
      <c r="A797" s="3">
        <f>IFERROR(__xludf.DUMMYFUNCTION("""COMPUTED_VALUE"""),50000.0)</f>
        <v>50000</v>
      </c>
      <c r="B797" s="1" t="str">
        <f>IFERROR(__xludf.DUMMYFUNCTION("""COMPUTED_VALUE"""),"33")</f>
        <v>33</v>
      </c>
    </row>
    <row r="798" ht="15.75" customHeight="1">
      <c r="A798" s="3">
        <f>IFERROR(__xludf.DUMMYFUNCTION("""COMPUTED_VALUE"""),40000.0)</f>
        <v>40000</v>
      </c>
      <c r="B798" s="1" t="str">
        <f>IFERROR(__xludf.DUMMYFUNCTION("""COMPUTED_VALUE"""),"42")</f>
        <v>42</v>
      </c>
    </row>
    <row r="799" ht="15.75" customHeight="1">
      <c r="A799" s="3">
        <f>IFERROR(__xludf.DUMMYFUNCTION("""COMPUTED_VALUE"""),70000.0)</f>
        <v>70000</v>
      </c>
      <c r="B799" s="1" t="str">
        <f>IFERROR(__xludf.DUMMYFUNCTION("""COMPUTED_VALUE"""),"59")</f>
        <v>59</v>
      </c>
    </row>
    <row r="800" ht="15.75" customHeight="1">
      <c r="A800" s="3">
        <f>IFERROR(__xludf.DUMMYFUNCTION("""COMPUTED_VALUE"""),60000.0)</f>
        <v>60000</v>
      </c>
      <c r="B800" s="1" t="str">
        <f>IFERROR(__xludf.DUMMYFUNCTION("""COMPUTED_VALUE"""),"33")</f>
        <v>33</v>
      </c>
    </row>
    <row r="801" ht="15.75" customHeight="1">
      <c r="A801" s="3">
        <f>IFERROR(__xludf.DUMMYFUNCTION("""COMPUTED_VALUE"""),70000.0)</f>
        <v>70000</v>
      </c>
      <c r="B801" s="1" t="str">
        <f>IFERROR(__xludf.DUMMYFUNCTION("""COMPUTED_VALUE"""),"44")</f>
        <v>44</v>
      </c>
    </row>
    <row r="802" ht="15.75" customHeight="1">
      <c r="A802" s="3">
        <f>IFERROR(__xludf.DUMMYFUNCTION("""COMPUTED_VALUE"""),70000.0)</f>
        <v>70000</v>
      </c>
      <c r="B802" s="1" t="str">
        <f>IFERROR(__xludf.DUMMYFUNCTION("""COMPUTED_VALUE"""),"60")</f>
        <v>60</v>
      </c>
    </row>
    <row r="803" ht="15.75" customHeight="1">
      <c r="A803" s="3">
        <f>IFERROR(__xludf.DUMMYFUNCTION("""COMPUTED_VALUE"""),70000.0)</f>
        <v>70000</v>
      </c>
      <c r="B803" s="1" t="str">
        <f>IFERROR(__xludf.DUMMYFUNCTION("""COMPUTED_VALUE"""),"59")</f>
        <v>59</v>
      </c>
    </row>
    <row r="804" ht="15.75" customHeight="1">
      <c r="A804" s="3">
        <f>IFERROR(__xludf.DUMMYFUNCTION("""COMPUTED_VALUE"""),60000.0)</f>
        <v>60000</v>
      </c>
      <c r="B804" s="1" t="str">
        <f>IFERROR(__xludf.DUMMYFUNCTION("""COMPUTED_VALUE"""),"32")</f>
        <v>32</v>
      </c>
    </row>
    <row r="805" ht="15.75" customHeight="1">
      <c r="A805" s="3">
        <f>IFERROR(__xludf.DUMMYFUNCTION("""COMPUTED_VALUE"""),70000.0)</f>
        <v>70000</v>
      </c>
      <c r="B805" s="1" t="str">
        <f>IFERROR(__xludf.DUMMYFUNCTION("""COMPUTED_VALUE"""),"58")</f>
        <v>58</v>
      </c>
    </row>
    <row r="806" ht="15.75" customHeight="1">
      <c r="A806" s="3">
        <f>IFERROR(__xludf.DUMMYFUNCTION("""COMPUTED_VALUE"""),40000.0)</f>
        <v>40000</v>
      </c>
      <c r="B806" s="1" t="str">
        <f>IFERROR(__xludf.DUMMYFUNCTION("""COMPUTED_VALUE"""),"59")</f>
        <v>59</v>
      </c>
    </row>
    <row r="807" ht="15.75" customHeight="1">
      <c r="A807" s="3">
        <f>IFERROR(__xludf.DUMMYFUNCTION("""COMPUTED_VALUE"""),70000.0)</f>
        <v>70000</v>
      </c>
      <c r="B807" s="1" t="str">
        <f>IFERROR(__xludf.DUMMYFUNCTION("""COMPUTED_VALUE"""),"38")</f>
        <v>38</v>
      </c>
    </row>
    <row r="808" ht="15.75" customHeight="1">
      <c r="A808" s="3">
        <f>IFERROR(__xludf.DUMMYFUNCTION("""COMPUTED_VALUE"""),40000.0)</f>
        <v>40000</v>
      </c>
      <c r="B808" s="1" t="str">
        <f>IFERROR(__xludf.DUMMYFUNCTION("""COMPUTED_VALUE"""),"28")</f>
        <v>28</v>
      </c>
    </row>
    <row r="809" ht="15.75" customHeight="1">
      <c r="A809" s="3">
        <f>IFERROR(__xludf.DUMMYFUNCTION("""COMPUTED_VALUE"""),60000.0)</f>
        <v>60000</v>
      </c>
      <c r="B809" s="1" t="str">
        <f>IFERROR(__xludf.DUMMYFUNCTION("""COMPUTED_VALUE"""),"37")</f>
        <v>37</v>
      </c>
    </row>
    <row r="810" ht="15.75" customHeight="1">
      <c r="A810" s="3">
        <f>IFERROR(__xludf.DUMMYFUNCTION("""COMPUTED_VALUE"""),80000.0)</f>
        <v>80000</v>
      </c>
      <c r="B810" s="1" t="str">
        <f>IFERROR(__xludf.DUMMYFUNCTION("""COMPUTED_VALUE"""),"40")</f>
        <v>40</v>
      </c>
    </row>
    <row r="811" ht="15.75" customHeight="1">
      <c r="A811" s="3">
        <f>IFERROR(__xludf.DUMMYFUNCTION("""COMPUTED_VALUE"""),90000.0)</f>
        <v>90000</v>
      </c>
      <c r="B811" s="1" t="str">
        <f>IFERROR(__xludf.DUMMYFUNCTION("""COMPUTED_VALUE"""),"38")</f>
        <v>38</v>
      </c>
    </row>
    <row r="812" ht="15.75" customHeight="1">
      <c r="A812" s="3">
        <f>IFERROR(__xludf.DUMMYFUNCTION("""COMPUTED_VALUE"""),70000.0)</f>
        <v>70000</v>
      </c>
      <c r="B812" s="1" t="str">
        <f>IFERROR(__xludf.DUMMYFUNCTION("""COMPUTED_VALUE"""),"36")</f>
        <v>36</v>
      </c>
    </row>
    <row r="813" ht="15.75" customHeight="1">
      <c r="A813" s="3">
        <f>IFERROR(__xludf.DUMMYFUNCTION("""COMPUTED_VALUE"""),70000.0)</f>
        <v>70000</v>
      </c>
      <c r="B813" s="1" t="str">
        <f>IFERROR(__xludf.DUMMYFUNCTION("""COMPUTED_VALUE"""),"37")</f>
        <v>37</v>
      </c>
    </row>
    <row r="814" ht="15.75" customHeight="1">
      <c r="A814" s="3">
        <f>IFERROR(__xludf.DUMMYFUNCTION("""COMPUTED_VALUE"""),40000.0)</f>
        <v>40000</v>
      </c>
      <c r="B814" s="1" t="str">
        <f>IFERROR(__xludf.DUMMYFUNCTION("""COMPUTED_VALUE"""),"60")</f>
        <v>60</v>
      </c>
    </row>
    <row r="815" ht="15.75" customHeight="1">
      <c r="A815" s="3">
        <f>IFERROR(__xludf.DUMMYFUNCTION("""COMPUTED_VALUE"""),110000.0)</f>
        <v>110000</v>
      </c>
      <c r="B815" s="1" t="str">
        <f>IFERROR(__xludf.DUMMYFUNCTION("""COMPUTED_VALUE"""),"42")</f>
        <v>42</v>
      </c>
    </row>
    <row r="816" ht="15.75" customHeight="1">
      <c r="A816" s="3">
        <f>IFERROR(__xludf.DUMMYFUNCTION("""COMPUTED_VALUE"""),70000.0)</f>
        <v>70000</v>
      </c>
      <c r="B816" s="1" t="str">
        <f>IFERROR(__xludf.DUMMYFUNCTION("""COMPUTED_VALUE"""),"53")</f>
        <v>53</v>
      </c>
    </row>
    <row r="817" ht="15.75" customHeight="1">
      <c r="A817" s="3">
        <f>IFERROR(__xludf.DUMMYFUNCTION("""COMPUTED_VALUE"""),80000.0)</f>
        <v>80000</v>
      </c>
      <c r="B817" s="1" t="str">
        <f>IFERROR(__xludf.DUMMYFUNCTION("""COMPUTED_VALUE"""),"49")</f>
        <v>49</v>
      </c>
    </row>
    <row r="818" ht="15.75" customHeight="1">
      <c r="A818" s="3">
        <f>IFERROR(__xludf.DUMMYFUNCTION("""COMPUTED_VALUE"""),30000.0)</f>
        <v>30000</v>
      </c>
      <c r="B818" s="1" t="str">
        <f>IFERROR(__xludf.DUMMYFUNCTION("""COMPUTED_VALUE"""),"49")</f>
        <v>49</v>
      </c>
    </row>
    <row r="819" ht="15.75" customHeight="1">
      <c r="A819" s="3">
        <f>IFERROR(__xludf.DUMMYFUNCTION("""COMPUTED_VALUE"""),130000.0)</f>
        <v>130000</v>
      </c>
      <c r="B819" s="1" t="str">
        <f>IFERROR(__xludf.DUMMYFUNCTION("""COMPUTED_VALUE"""),"42")</f>
        <v>42</v>
      </c>
    </row>
    <row r="820" ht="15.75" customHeight="1">
      <c r="A820" s="3">
        <f>IFERROR(__xludf.DUMMYFUNCTION("""COMPUTED_VALUE"""),20000.0)</f>
        <v>20000</v>
      </c>
      <c r="B820" s="1" t="str">
        <f>IFERROR(__xludf.DUMMYFUNCTION("""COMPUTED_VALUE"""),"53")</f>
        <v>53</v>
      </c>
    </row>
    <row r="821" ht="15.75" customHeight="1">
      <c r="A821" s="3">
        <f>IFERROR(__xludf.DUMMYFUNCTION("""COMPUTED_VALUE"""),70000.0)</f>
        <v>70000</v>
      </c>
      <c r="B821" s="1" t="str">
        <f>IFERROR(__xludf.DUMMYFUNCTION("""COMPUTED_VALUE"""),"46")</f>
        <v>46</v>
      </c>
    </row>
    <row r="822" ht="15.75" customHeight="1">
      <c r="A822" s="3">
        <f>IFERROR(__xludf.DUMMYFUNCTION("""COMPUTED_VALUE"""),40000.0)</f>
        <v>40000</v>
      </c>
      <c r="B822" s="1" t="str">
        <f>IFERROR(__xludf.DUMMYFUNCTION("""COMPUTED_VALUE"""),"27")</f>
        <v>27</v>
      </c>
    </row>
    <row r="823" ht="15.75" customHeight="1">
      <c r="A823" s="3">
        <f>IFERROR(__xludf.DUMMYFUNCTION("""COMPUTED_VALUE"""),60000.0)</f>
        <v>60000</v>
      </c>
      <c r="B823" s="1" t="str">
        <f>IFERROR(__xludf.DUMMYFUNCTION("""COMPUTED_VALUE"""),"48")</f>
        <v>48</v>
      </c>
    </row>
    <row r="824" ht="15.75" customHeight="1">
      <c r="A824" s="3">
        <f>IFERROR(__xludf.DUMMYFUNCTION("""COMPUTED_VALUE"""),60000.0)</f>
        <v>60000</v>
      </c>
      <c r="B824" s="1" t="str">
        <f>IFERROR(__xludf.DUMMYFUNCTION("""COMPUTED_VALUE"""),"41")</f>
        <v>41</v>
      </c>
    </row>
    <row r="825" ht="15.75" customHeight="1">
      <c r="A825" s="3">
        <f>IFERROR(__xludf.DUMMYFUNCTION("""COMPUTED_VALUE"""),60000.0)</f>
        <v>60000</v>
      </c>
      <c r="B825" s="1" t="str">
        <f>IFERROR(__xludf.DUMMYFUNCTION("""COMPUTED_VALUE"""),"49")</f>
        <v>49</v>
      </c>
    </row>
    <row r="826" ht="15.75" customHeight="1">
      <c r="A826" s="3">
        <f>IFERROR(__xludf.DUMMYFUNCTION("""COMPUTED_VALUE"""),60000.0)</f>
        <v>60000</v>
      </c>
      <c r="B826" s="1" t="str">
        <f>IFERROR(__xludf.DUMMYFUNCTION("""COMPUTED_VALUE"""),"38")</f>
        <v>38</v>
      </c>
    </row>
    <row r="827" ht="15.75" customHeight="1">
      <c r="A827" s="3">
        <f>IFERROR(__xludf.DUMMYFUNCTION("""COMPUTED_VALUE"""),130000.0)</f>
        <v>130000</v>
      </c>
      <c r="B827" s="1" t="str">
        <f>IFERROR(__xludf.DUMMYFUNCTION("""COMPUTED_VALUE"""),"44")</f>
        <v>44</v>
      </c>
    </row>
    <row r="828" ht="15.75" customHeight="1">
      <c r="A828" s="3">
        <f>IFERROR(__xludf.DUMMYFUNCTION("""COMPUTED_VALUE"""),130000.0)</f>
        <v>130000</v>
      </c>
      <c r="B828" s="1" t="str">
        <f>IFERROR(__xludf.DUMMYFUNCTION("""COMPUTED_VALUE"""),"45")</f>
        <v>45</v>
      </c>
    </row>
    <row r="829" ht="15.75" customHeight="1">
      <c r="A829" s="3">
        <f>IFERROR(__xludf.DUMMYFUNCTION("""COMPUTED_VALUE"""),30000.0)</f>
        <v>30000</v>
      </c>
      <c r="B829" s="1" t="str">
        <f>IFERROR(__xludf.DUMMYFUNCTION("""COMPUTED_VALUE"""),"26")</f>
        <v>26</v>
      </c>
    </row>
    <row r="830" ht="15.75" customHeight="1">
      <c r="A830" s="3">
        <f>IFERROR(__xludf.DUMMYFUNCTION("""COMPUTED_VALUE"""),40000.0)</f>
        <v>40000</v>
      </c>
      <c r="B830" s="1" t="str">
        <f>IFERROR(__xludf.DUMMYFUNCTION("""COMPUTED_VALUE"""),"31")</f>
        <v>31</v>
      </c>
    </row>
    <row r="831" ht="15.75" customHeight="1">
      <c r="A831" s="3">
        <f>IFERROR(__xludf.DUMMYFUNCTION("""COMPUTED_VALUE"""),70000.0)</f>
        <v>70000</v>
      </c>
      <c r="B831" s="1" t="str">
        <f>IFERROR(__xludf.DUMMYFUNCTION("""COMPUTED_VALUE"""),"49")</f>
        <v>49</v>
      </c>
    </row>
    <row r="832" ht="15.75" customHeight="1">
      <c r="A832" s="3">
        <f>IFERROR(__xludf.DUMMYFUNCTION("""COMPUTED_VALUE"""),40000.0)</f>
        <v>40000</v>
      </c>
      <c r="B832" s="1" t="str">
        <f>IFERROR(__xludf.DUMMYFUNCTION("""COMPUTED_VALUE"""),"47")</f>
        <v>47</v>
      </c>
    </row>
    <row r="833" ht="15.75" customHeight="1">
      <c r="A833" s="3">
        <f>IFERROR(__xludf.DUMMYFUNCTION("""COMPUTED_VALUE"""),60000.0)</f>
        <v>60000</v>
      </c>
      <c r="B833" s="1" t="str">
        <f>IFERROR(__xludf.DUMMYFUNCTION("""COMPUTED_VALUE"""),"55")</f>
        <v>55</v>
      </c>
    </row>
    <row r="834" ht="15.75" customHeight="1">
      <c r="A834" s="3">
        <f>IFERROR(__xludf.DUMMYFUNCTION("""COMPUTED_VALUE"""),40000.0)</f>
        <v>40000</v>
      </c>
      <c r="B834" s="1" t="str">
        <f>IFERROR(__xludf.DUMMYFUNCTION("""COMPUTED_VALUE"""),"30")</f>
        <v>30</v>
      </c>
    </row>
    <row r="835" ht="15.75" customHeight="1">
      <c r="A835" s="3">
        <f>IFERROR(__xludf.DUMMYFUNCTION("""COMPUTED_VALUE"""),40000.0)</f>
        <v>40000</v>
      </c>
      <c r="B835" s="1" t="str">
        <f>IFERROR(__xludf.DUMMYFUNCTION("""COMPUTED_VALUE"""),"48")</f>
        <v>48</v>
      </c>
    </row>
    <row r="836" ht="15.75" customHeight="1">
      <c r="A836" s="3">
        <f>IFERROR(__xludf.DUMMYFUNCTION("""COMPUTED_VALUE"""),30000.0)</f>
        <v>30000</v>
      </c>
      <c r="B836" s="1" t="str">
        <f>IFERROR(__xludf.DUMMYFUNCTION("""COMPUTED_VALUE"""),"30")</f>
        <v>30</v>
      </c>
    </row>
    <row r="837" ht="15.75" customHeight="1">
      <c r="A837" s="3">
        <f>IFERROR(__xludf.DUMMYFUNCTION("""COMPUTED_VALUE"""),110000.0)</f>
        <v>110000</v>
      </c>
      <c r="B837" s="1" t="str">
        <f>IFERROR(__xludf.DUMMYFUNCTION("""COMPUTED_VALUE"""),"45")</f>
        <v>45</v>
      </c>
    </row>
    <row r="838" ht="15.75" customHeight="1">
      <c r="A838" s="3">
        <f>IFERROR(__xludf.DUMMYFUNCTION("""COMPUTED_VALUE"""),70000.0)</f>
        <v>70000</v>
      </c>
      <c r="B838" s="1" t="str">
        <f>IFERROR(__xludf.DUMMYFUNCTION("""COMPUTED_VALUE"""),"56")</f>
        <v>56</v>
      </c>
    </row>
    <row r="839" ht="15.75" customHeight="1">
      <c r="A839" s="3">
        <f>IFERROR(__xludf.DUMMYFUNCTION("""COMPUTED_VALUE"""),60000.0)</f>
        <v>60000</v>
      </c>
      <c r="B839" s="1" t="str">
        <f>IFERROR(__xludf.DUMMYFUNCTION("""COMPUTED_VALUE"""),"47")</f>
        <v>47</v>
      </c>
    </row>
    <row r="840" ht="15.75" customHeight="1">
      <c r="A840" s="3">
        <f>IFERROR(__xludf.DUMMYFUNCTION("""COMPUTED_VALUE"""),60000.0)</f>
        <v>60000</v>
      </c>
      <c r="B840" s="1" t="str">
        <f>IFERROR(__xludf.DUMMYFUNCTION("""COMPUTED_VALUE"""),"56")</f>
        <v>56</v>
      </c>
    </row>
    <row r="841" ht="15.75" customHeight="1">
      <c r="A841" s="3">
        <f>IFERROR(__xludf.DUMMYFUNCTION("""COMPUTED_VALUE"""),70000.0)</f>
        <v>70000</v>
      </c>
      <c r="B841" s="1" t="str">
        <f>IFERROR(__xludf.DUMMYFUNCTION("""COMPUTED_VALUE"""),"44")</f>
        <v>44</v>
      </c>
    </row>
    <row r="842" ht="15.75" customHeight="1">
      <c r="A842" s="3">
        <f>IFERROR(__xludf.DUMMYFUNCTION("""COMPUTED_VALUE"""),130000.0)</f>
        <v>130000</v>
      </c>
      <c r="B842" s="1" t="str">
        <f>IFERROR(__xludf.DUMMYFUNCTION("""COMPUTED_VALUE"""),"69")</f>
        <v>69</v>
      </c>
    </row>
    <row r="843" ht="15.75" customHeight="1">
      <c r="A843" s="3">
        <f>IFERROR(__xludf.DUMMYFUNCTION("""COMPUTED_VALUE"""),70000.0)</f>
        <v>70000</v>
      </c>
      <c r="B843" s="1" t="str">
        <f>IFERROR(__xludf.DUMMYFUNCTION("""COMPUTED_VALUE"""),"59")</f>
        <v>59</v>
      </c>
    </row>
    <row r="844" ht="15.75" customHeight="1">
      <c r="A844" s="3">
        <f>IFERROR(__xludf.DUMMYFUNCTION("""COMPUTED_VALUE"""),30000.0)</f>
        <v>30000</v>
      </c>
      <c r="B844" s="1" t="str">
        <f>IFERROR(__xludf.DUMMYFUNCTION("""COMPUTED_VALUE"""),"50")</f>
        <v>50</v>
      </c>
    </row>
    <row r="845" ht="15.75" customHeight="1">
      <c r="A845" s="3">
        <f>IFERROR(__xludf.DUMMYFUNCTION("""COMPUTED_VALUE"""),60000.0)</f>
        <v>60000</v>
      </c>
      <c r="B845" s="1" t="str">
        <f>IFERROR(__xludf.DUMMYFUNCTION("""COMPUTED_VALUE"""),"36")</f>
        <v>36</v>
      </c>
    </row>
    <row r="846" ht="15.75" customHeight="1">
      <c r="A846" s="3">
        <f>IFERROR(__xludf.DUMMYFUNCTION("""COMPUTED_VALUE"""),60000.0)</f>
        <v>60000</v>
      </c>
      <c r="B846" s="1" t="str">
        <f>IFERROR(__xludf.DUMMYFUNCTION("""COMPUTED_VALUE"""),"32")</f>
        <v>32</v>
      </c>
    </row>
    <row r="847" ht="15.75" customHeight="1">
      <c r="A847" s="3">
        <f>IFERROR(__xludf.DUMMYFUNCTION("""COMPUTED_VALUE"""),40000.0)</f>
        <v>40000</v>
      </c>
      <c r="B847" s="1" t="str">
        <f>IFERROR(__xludf.DUMMYFUNCTION("""COMPUTED_VALUE"""),"27")</f>
        <v>27</v>
      </c>
    </row>
    <row r="848" ht="15.75" customHeight="1">
      <c r="A848" s="3">
        <f>IFERROR(__xludf.DUMMYFUNCTION("""COMPUTED_VALUE"""),40000.0)</f>
        <v>40000</v>
      </c>
      <c r="B848" s="1" t="str">
        <f>IFERROR(__xludf.DUMMYFUNCTION("""COMPUTED_VALUE"""),"59")</f>
        <v>59</v>
      </c>
    </row>
    <row r="849" ht="15.75" customHeight="1">
      <c r="A849" s="3">
        <f>IFERROR(__xludf.DUMMYFUNCTION("""COMPUTED_VALUE"""),60000.0)</f>
        <v>60000</v>
      </c>
      <c r="B849" s="1" t="str">
        <f>IFERROR(__xludf.DUMMYFUNCTION("""COMPUTED_VALUE"""),"53")</f>
        <v>53</v>
      </c>
    </row>
    <row r="850" ht="15.75" customHeight="1">
      <c r="A850" s="3">
        <f>IFERROR(__xludf.DUMMYFUNCTION("""COMPUTED_VALUE"""),40000.0)</f>
        <v>40000</v>
      </c>
      <c r="B850" s="1" t="str">
        <f>IFERROR(__xludf.DUMMYFUNCTION("""COMPUTED_VALUE"""),"36")</f>
        <v>36</v>
      </c>
    </row>
    <row r="851" ht="15.75" customHeight="1">
      <c r="A851" s="3">
        <f>IFERROR(__xludf.DUMMYFUNCTION("""COMPUTED_VALUE"""),30000.0)</f>
        <v>30000</v>
      </c>
      <c r="B851" s="1" t="str">
        <f>IFERROR(__xludf.DUMMYFUNCTION("""COMPUTED_VALUE"""),"51")</f>
        <v>51</v>
      </c>
    </row>
    <row r="852" ht="15.75" customHeight="1">
      <c r="A852" s="3">
        <f>IFERROR(__xludf.DUMMYFUNCTION("""COMPUTED_VALUE"""),80000.0)</f>
        <v>80000</v>
      </c>
      <c r="B852" s="1" t="str">
        <f>IFERROR(__xludf.DUMMYFUNCTION("""COMPUTED_VALUE"""),"47")</f>
        <v>47</v>
      </c>
    </row>
    <row r="853" ht="15.75" customHeight="1">
      <c r="A853" s="3">
        <f>IFERROR(__xludf.DUMMYFUNCTION("""COMPUTED_VALUE"""),60000.0)</f>
        <v>60000</v>
      </c>
      <c r="B853" s="1" t="str">
        <f>IFERROR(__xludf.DUMMYFUNCTION("""COMPUTED_VALUE"""),"43")</f>
        <v>43</v>
      </c>
    </row>
    <row r="854" ht="15.75" customHeight="1">
      <c r="A854" s="3">
        <f>IFERROR(__xludf.DUMMYFUNCTION("""COMPUTED_VALUE"""),20000.0)</f>
        <v>20000</v>
      </c>
      <c r="B854" s="1" t="str">
        <f>IFERROR(__xludf.DUMMYFUNCTION("""COMPUTED_VALUE"""),"50")</f>
        <v>50</v>
      </c>
    </row>
    <row r="855" ht="15.75" customHeight="1">
      <c r="A855" s="3">
        <f>IFERROR(__xludf.DUMMYFUNCTION("""COMPUTED_VALUE"""),60000.0)</f>
        <v>60000</v>
      </c>
      <c r="B855" s="1" t="str">
        <f>IFERROR(__xludf.DUMMYFUNCTION("""COMPUTED_VALUE"""),"59")</f>
        <v>59</v>
      </c>
    </row>
    <row r="856" ht="15.75" customHeight="1">
      <c r="A856" s="3">
        <f>IFERROR(__xludf.DUMMYFUNCTION("""COMPUTED_VALUE"""),50000.0)</f>
        <v>50000</v>
      </c>
      <c r="B856" s="1" t="str">
        <f>IFERROR(__xludf.DUMMYFUNCTION("""COMPUTED_VALUE"""),"37")</f>
        <v>37</v>
      </c>
    </row>
    <row r="857" ht="15.75" customHeight="1">
      <c r="A857" s="3">
        <f>IFERROR(__xludf.DUMMYFUNCTION("""COMPUTED_VALUE"""),50000.0)</f>
        <v>50000</v>
      </c>
      <c r="B857" s="1" t="str">
        <f>IFERROR(__xludf.DUMMYFUNCTION("""COMPUTED_VALUE"""),"33")</f>
        <v>33</v>
      </c>
    </row>
    <row r="858" ht="15.75" customHeight="1">
      <c r="A858" s="3">
        <f>IFERROR(__xludf.DUMMYFUNCTION("""COMPUTED_VALUE"""),60000.0)</f>
        <v>60000</v>
      </c>
      <c r="B858" s="1" t="str">
        <f>IFERROR(__xludf.DUMMYFUNCTION("""COMPUTED_VALUE"""),"27")</f>
        <v>27</v>
      </c>
    </row>
    <row r="859" ht="15.75" customHeight="1">
      <c r="A859" s="3">
        <f>IFERROR(__xludf.DUMMYFUNCTION("""COMPUTED_VALUE"""),70000.0)</f>
        <v>70000</v>
      </c>
      <c r="B859" s="1" t="str">
        <f>IFERROR(__xludf.DUMMYFUNCTION("""COMPUTED_VALUE"""),"34")</f>
        <v>34</v>
      </c>
    </row>
    <row r="860" ht="15.75" customHeight="1">
      <c r="A860" s="3">
        <f>IFERROR(__xludf.DUMMYFUNCTION("""COMPUTED_VALUE"""),50000.0)</f>
        <v>50000</v>
      </c>
      <c r="B860" s="1" t="str">
        <f>IFERROR(__xludf.DUMMYFUNCTION("""COMPUTED_VALUE"""),"42")</f>
        <v>42</v>
      </c>
    </row>
    <row r="861" ht="15.75" customHeight="1">
      <c r="A861" s="3">
        <f>IFERROR(__xludf.DUMMYFUNCTION("""COMPUTED_VALUE"""),60000.0)</f>
        <v>60000</v>
      </c>
      <c r="B861" s="1" t="str">
        <f>IFERROR(__xludf.DUMMYFUNCTION("""COMPUTED_VALUE"""),"57")</f>
        <v>57</v>
      </c>
    </row>
    <row r="862" ht="15.75" customHeight="1">
      <c r="A862" s="3">
        <f>IFERROR(__xludf.DUMMYFUNCTION("""COMPUTED_VALUE"""),120000.0)</f>
        <v>120000</v>
      </c>
      <c r="B862" s="1" t="str">
        <f>IFERROR(__xludf.DUMMYFUNCTION("""COMPUTED_VALUE"""),"45")</f>
        <v>45</v>
      </c>
    </row>
    <row r="863" ht="15.75" customHeight="1">
      <c r="A863" s="3">
        <f>IFERROR(__xludf.DUMMYFUNCTION("""COMPUTED_VALUE"""),100000.0)</f>
        <v>100000</v>
      </c>
      <c r="B863" s="1" t="str">
        <f>IFERROR(__xludf.DUMMYFUNCTION("""COMPUTED_VALUE"""),"40")</f>
        <v>40</v>
      </c>
    </row>
    <row r="864" ht="15.75" customHeight="1">
      <c r="A864" s="3">
        <f>IFERROR(__xludf.DUMMYFUNCTION("""COMPUTED_VALUE"""),80000.0)</f>
        <v>80000</v>
      </c>
      <c r="B864" s="1" t="str">
        <f>IFERROR(__xludf.DUMMYFUNCTION("""COMPUTED_VALUE"""),"47")</f>
        <v>47</v>
      </c>
    </row>
    <row r="865" ht="15.75" customHeight="1">
      <c r="A865" s="3">
        <f>IFERROR(__xludf.DUMMYFUNCTION("""COMPUTED_VALUE"""),60000.0)</f>
        <v>60000</v>
      </c>
      <c r="B865" s="1" t="str">
        <f>IFERROR(__xludf.DUMMYFUNCTION("""COMPUTED_VALUE"""),"47")</f>
        <v>47</v>
      </c>
    </row>
    <row r="866" ht="15.75" customHeight="1">
      <c r="A866" s="3">
        <f>IFERROR(__xludf.DUMMYFUNCTION("""COMPUTED_VALUE"""),60000.0)</f>
        <v>60000</v>
      </c>
      <c r="B866" s="1" t="str">
        <f>IFERROR(__xludf.DUMMYFUNCTION("""COMPUTED_VALUE"""),"34")</f>
        <v>34</v>
      </c>
    </row>
    <row r="867" ht="15.75" customHeight="1">
      <c r="A867" s="3">
        <f>IFERROR(__xludf.DUMMYFUNCTION("""COMPUTED_VALUE"""),80000.0)</f>
        <v>80000</v>
      </c>
      <c r="B867" s="1" t="str">
        <f>IFERROR(__xludf.DUMMYFUNCTION("""COMPUTED_VALUE"""),"36")</f>
        <v>36</v>
      </c>
    </row>
    <row r="868" ht="15.75" customHeight="1">
      <c r="A868" s="3">
        <f>IFERROR(__xludf.DUMMYFUNCTION("""COMPUTED_VALUE"""),70000.0)</f>
        <v>70000</v>
      </c>
      <c r="B868" s="1" t="str">
        <f>IFERROR(__xludf.DUMMYFUNCTION("""COMPUTED_VALUE"""),"54")</f>
        <v>54</v>
      </c>
    </row>
    <row r="869" ht="15.75" customHeight="1">
      <c r="A869" s="3">
        <f>IFERROR(__xludf.DUMMYFUNCTION("""COMPUTED_VALUE"""),70000.0)</f>
        <v>70000</v>
      </c>
      <c r="B869" s="1" t="str">
        <f>IFERROR(__xludf.DUMMYFUNCTION("""COMPUTED_VALUE"""),"59")</f>
        <v>59</v>
      </c>
    </row>
    <row r="870" ht="15.75" customHeight="1">
      <c r="A870" s="3">
        <f>IFERROR(__xludf.DUMMYFUNCTION("""COMPUTED_VALUE"""),40000.0)</f>
        <v>40000</v>
      </c>
      <c r="B870" s="1" t="str">
        <f>IFERROR(__xludf.DUMMYFUNCTION("""COMPUTED_VALUE"""),"27")</f>
        <v>27</v>
      </c>
    </row>
    <row r="871" ht="15.75" customHeight="1">
      <c r="A871" s="3">
        <f>IFERROR(__xludf.DUMMYFUNCTION("""COMPUTED_VALUE"""),90000.0)</f>
        <v>90000</v>
      </c>
      <c r="B871" s="1" t="str">
        <f>IFERROR(__xludf.DUMMYFUNCTION("""COMPUTED_VALUE"""),"41")</f>
        <v>41</v>
      </c>
    </row>
    <row r="872" ht="15.75" customHeight="1">
      <c r="A872" s="3">
        <f>IFERROR(__xludf.DUMMYFUNCTION("""COMPUTED_VALUE"""),80000.0)</f>
        <v>80000</v>
      </c>
      <c r="B872" s="1" t="str">
        <f>IFERROR(__xludf.DUMMYFUNCTION("""COMPUTED_VALUE"""),"50")</f>
        <v>50</v>
      </c>
    </row>
    <row r="873" ht="15.75" customHeight="1">
      <c r="A873" s="3">
        <f>IFERROR(__xludf.DUMMYFUNCTION("""COMPUTED_VALUE"""),60000.0)</f>
        <v>60000</v>
      </c>
      <c r="B873" s="1" t="str">
        <f>IFERROR(__xludf.DUMMYFUNCTION("""COMPUTED_VALUE"""),"55")</f>
        <v>55</v>
      </c>
    </row>
    <row r="874" ht="15.75" customHeight="1">
      <c r="A874" s="3">
        <f>IFERROR(__xludf.DUMMYFUNCTION("""COMPUTED_VALUE"""),80000.0)</f>
        <v>80000</v>
      </c>
      <c r="B874" s="1" t="str">
        <f>IFERROR(__xludf.DUMMYFUNCTION("""COMPUTED_VALUE"""),"43")</f>
        <v>43</v>
      </c>
    </row>
    <row r="875" ht="15.75" customHeight="1">
      <c r="A875" s="3">
        <f>IFERROR(__xludf.DUMMYFUNCTION("""COMPUTED_VALUE"""),70000.0)</f>
        <v>70000</v>
      </c>
      <c r="B875" s="1" t="str">
        <f>IFERROR(__xludf.DUMMYFUNCTION("""COMPUTED_VALUE"""),"43")</f>
        <v>43</v>
      </c>
    </row>
    <row r="876" ht="15.75" customHeight="1">
      <c r="A876" s="3">
        <f>IFERROR(__xludf.DUMMYFUNCTION("""COMPUTED_VALUE"""),60000.0)</f>
        <v>60000</v>
      </c>
      <c r="B876" s="1" t="str">
        <f>IFERROR(__xludf.DUMMYFUNCTION("""COMPUTED_VALUE"""),"42")</f>
        <v>42</v>
      </c>
    </row>
    <row r="877" ht="15.75" customHeight="1">
      <c r="A877" s="3">
        <f>IFERROR(__xludf.DUMMYFUNCTION("""COMPUTED_VALUE"""),10000.0)</f>
        <v>10000</v>
      </c>
      <c r="B877" s="1" t="str">
        <f>IFERROR(__xludf.DUMMYFUNCTION("""COMPUTED_VALUE"""),"53")</f>
        <v>53</v>
      </c>
    </row>
    <row r="878" ht="15.75" customHeight="1">
      <c r="A878" s="3">
        <f>IFERROR(__xludf.DUMMYFUNCTION("""COMPUTED_VALUE"""),40000.0)</f>
        <v>40000</v>
      </c>
      <c r="B878" s="1" t="str">
        <f>IFERROR(__xludf.DUMMYFUNCTION("""COMPUTED_VALUE"""),"28")</f>
        <v>28</v>
      </c>
    </row>
    <row r="879" ht="15.75" customHeight="1">
      <c r="A879" s="3">
        <f>IFERROR(__xludf.DUMMYFUNCTION("""COMPUTED_VALUE"""),50000.0)</f>
        <v>50000</v>
      </c>
      <c r="B879" s="1" t="str">
        <f>IFERROR(__xludf.DUMMYFUNCTION("""COMPUTED_VALUE"""),"35")</f>
        <v>35</v>
      </c>
    </row>
    <row r="880" ht="15.75" customHeight="1">
      <c r="A880" s="3">
        <f>IFERROR(__xludf.DUMMYFUNCTION("""COMPUTED_VALUE"""),70000.0)</f>
        <v>70000</v>
      </c>
      <c r="B880" s="1" t="str">
        <f>IFERROR(__xludf.DUMMYFUNCTION("""COMPUTED_VALUE"""),"59")</f>
        <v>59</v>
      </c>
    </row>
    <row r="881" ht="15.75" customHeight="1">
      <c r="A881" s="3">
        <f>IFERROR(__xludf.DUMMYFUNCTION("""COMPUTED_VALUE"""),20000.0)</f>
        <v>20000</v>
      </c>
      <c r="B881" s="1" t="str">
        <f>IFERROR(__xludf.DUMMYFUNCTION("""COMPUTED_VALUE"""),"49")</f>
        <v>49</v>
      </c>
    </row>
    <row r="882" ht="15.75" customHeight="1">
      <c r="A882" s="3">
        <f>IFERROR(__xludf.DUMMYFUNCTION("""COMPUTED_VALUE"""),60000.0)</f>
        <v>60000</v>
      </c>
      <c r="B882" s="1" t="str">
        <f>IFERROR(__xludf.DUMMYFUNCTION("""COMPUTED_VALUE"""),"48")</f>
        <v>48</v>
      </c>
    </row>
    <row r="883" ht="15.75" customHeight="1">
      <c r="A883" s="3">
        <f>IFERROR(__xludf.DUMMYFUNCTION("""COMPUTED_VALUE"""),80000.0)</f>
        <v>80000</v>
      </c>
      <c r="B883" s="1" t="str">
        <f>IFERROR(__xludf.DUMMYFUNCTION("""COMPUTED_VALUE"""),"50")</f>
        <v>50</v>
      </c>
    </row>
    <row r="884" ht="15.75" customHeight="1">
      <c r="A884" s="3">
        <f>IFERROR(__xludf.DUMMYFUNCTION("""COMPUTED_VALUE"""),40000.0)</f>
        <v>40000</v>
      </c>
      <c r="B884" s="1" t="str">
        <f>IFERROR(__xludf.DUMMYFUNCTION("""COMPUTED_VALUE"""),"28")</f>
        <v>28</v>
      </c>
    </row>
    <row r="885" ht="15.75" customHeight="1">
      <c r="A885" s="3">
        <f>IFERROR(__xludf.DUMMYFUNCTION("""COMPUTED_VALUE"""),30000.0)</f>
        <v>30000</v>
      </c>
      <c r="B885" s="1" t="str">
        <f>IFERROR(__xludf.DUMMYFUNCTION("""COMPUTED_VALUE"""),"52")</f>
        <v>52</v>
      </c>
    </row>
    <row r="886" ht="15.75" customHeight="1">
      <c r="A886" s="3">
        <f>IFERROR(__xludf.DUMMYFUNCTION("""COMPUTED_VALUE"""),30000.0)</f>
        <v>30000</v>
      </c>
      <c r="B886" s="1" t="str">
        <f>IFERROR(__xludf.DUMMYFUNCTION("""COMPUTED_VALUE"""),"52")</f>
        <v>52</v>
      </c>
    </row>
    <row r="887" ht="15.75" customHeight="1">
      <c r="A887" s="3">
        <f>IFERROR(__xludf.DUMMYFUNCTION("""COMPUTED_VALUE"""),50000.0)</f>
        <v>50000</v>
      </c>
      <c r="B887" s="1" t="str">
        <f>IFERROR(__xludf.DUMMYFUNCTION("""COMPUTED_VALUE"""),"69")</f>
        <v>69</v>
      </c>
    </row>
    <row r="888" ht="15.75" customHeight="1">
      <c r="A888" s="3">
        <f>IFERROR(__xludf.DUMMYFUNCTION("""COMPUTED_VALUE"""),60000.0)</f>
        <v>60000</v>
      </c>
      <c r="B888" s="1" t="str">
        <f>IFERROR(__xludf.DUMMYFUNCTION("""COMPUTED_VALUE"""),"51")</f>
        <v>51</v>
      </c>
    </row>
    <row r="889" ht="15.75" customHeight="1">
      <c r="A889" s="3">
        <f>IFERROR(__xludf.DUMMYFUNCTION("""COMPUTED_VALUE"""),70000.0)</f>
        <v>70000</v>
      </c>
      <c r="B889" s="1" t="str">
        <f>IFERROR(__xludf.DUMMYFUNCTION("""COMPUTED_VALUE"""),"57")</f>
        <v>57</v>
      </c>
    </row>
    <row r="890" ht="15.75" customHeight="1">
      <c r="A890" s="3">
        <f>IFERROR(__xludf.DUMMYFUNCTION("""COMPUTED_VALUE"""),60000.0)</f>
        <v>60000</v>
      </c>
      <c r="B890" s="1" t="str">
        <f>IFERROR(__xludf.DUMMYFUNCTION("""COMPUTED_VALUE"""),"27")</f>
        <v>27</v>
      </c>
    </row>
    <row r="891" ht="15.75" customHeight="1">
      <c r="A891" s="3">
        <f>IFERROR(__xludf.DUMMYFUNCTION("""COMPUTED_VALUE"""),30000.0)</f>
        <v>30000</v>
      </c>
      <c r="B891" s="1" t="str">
        <f>IFERROR(__xludf.DUMMYFUNCTION("""COMPUTED_VALUE"""),"25")</f>
        <v>25</v>
      </c>
    </row>
    <row r="892" ht="15.75" customHeight="1">
      <c r="A892" s="3">
        <f>IFERROR(__xludf.DUMMYFUNCTION("""COMPUTED_VALUE"""),50000.0)</f>
        <v>50000</v>
      </c>
      <c r="B892" s="1" t="str">
        <f>IFERROR(__xludf.DUMMYFUNCTION("""COMPUTED_VALUE"""),"33")</f>
        <v>33</v>
      </c>
    </row>
    <row r="893" ht="15.75" customHeight="1">
      <c r="A893" s="3">
        <f>IFERROR(__xludf.DUMMYFUNCTION("""COMPUTED_VALUE"""),60000.0)</f>
        <v>60000</v>
      </c>
      <c r="B893" s="1" t="str">
        <f>IFERROR(__xludf.DUMMYFUNCTION("""COMPUTED_VALUE"""),"43")</f>
        <v>43</v>
      </c>
    </row>
    <row r="894" ht="15.75" customHeight="1">
      <c r="A894" s="3">
        <f>IFERROR(__xludf.DUMMYFUNCTION("""COMPUTED_VALUE"""),70000.0)</f>
        <v>70000</v>
      </c>
      <c r="B894" s="1" t="str">
        <f>IFERROR(__xludf.DUMMYFUNCTION("""COMPUTED_VALUE"""),"73")</f>
        <v>73</v>
      </c>
    </row>
    <row r="895" ht="15.75" customHeight="1">
      <c r="A895" s="3">
        <f>IFERROR(__xludf.DUMMYFUNCTION("""COMPUTED_VALUE"""),40000.0)</f>
        <v>40000</v>
      </c>
      <c r="B895" s="1" t="str">
        <f>IFERROR(__xludf.DUMMYFUNCTION("""COMPUTED_VALUE"""),"27")</f>
        <v>27</v>
      </c>
    </row>
    <row r="896" ht="15.75" customHeight="1">
      <c r="A896" s="3">
        <f>IFERROR(__xludf.DUMMYFUNCTION("""COMPUTED_VALUE"""),40000.0)</f>
        <v>40000</v>
      </c>
      <c r="B896" s="1" t="str">
        <f>IFERROR(__xludf.DUMMYFUNCTION("""COMPUTED_VALUE"""),"28")</f>
        <v>28</v>
      </c>
    </row>
    <row r="897" ht="15.75" customHeight="1">
      <c r="A897" s="3">
        <f>IFERROR(__xludf.DUMMYFUNCTION("""COMPUTED_VALUE"""),40000.0)</f>
        <v>40000</v>
      </c>
      <c r="B897" s="1" t="str">
        <f>IFERROR(__xludf.DUMMYFUNCTION("""COMPUTED_VALUE"""),"27")</f>
        <v>27</v>
      </c>
    </row>
    <row r="898" ht="15.75" customHeight="1">
      <c r="A898" s="3">
        <f>IFERROR(__xludf.DUMMYFUNCTION("""COMPUTED_VALUE"""),40000.0)</f>
        <v>40000</v>
      </c>
      <c r="B898" s="1" t="str">
        <f>IFERROR(__xludf.DUMMYFUNCTION("""COMPUTED_VALUE"""),"31")</f>
        <v>31</v>
      </c>
    </row>
    <row r="899" ht="15.75" customHeight="1">
      <c r="A899" s="3">
        <f>IFERROR(__xludf.DUMMYFUNCTION("""COMPUTED_VALUE"""),10000.0)</f>
        <v>10000</v>
      </c>
      <c r="B899" s="1" t="str">
        <f>IFERROR(__xludf.DUMMYFUNCTION("""COMPUTED_VALUE"""),"53")</f>
        <v>53</v>
      </c>
    </row>
    <row r="900" ht="15.75" customHeight="1">
      <c r="A900" s="3">
        <f>IFERROR(__xludf.DUMMYFUNCTION("""COMPUTED_VALUE"""),60000.0)</f>
        <v>60000</v>
      </c>
      <c r="B900" s="1" t="str">
        <f>IFERROR(__xludf.DUMMYFUNCTION("""COMPUTED_VALUE"""),"32")</f>
        <v>32</v>
      </c>
    </row>
    <row r="901" ht="15.75" customHeight="1">
      <c r="A901" s="3">
        <f>IFERROR(__xludf.DUMMYFUNCTION("""COMPUTED_VALUE"""),30000.0)</f>
        <v>30000</v>
      </c>
      <c r="B901" s="1" t="str">
        <f>IFERROR(__xludf.DUMMYFUNCTION("""COMPUTED_VALUE"""),"50")</f>
        <v>50</v>
      </c>
    </row>
    <row r="902" ht="15.75" customHeight="1">
      <c r="A902" s="3">
        <f>IFERROR(__xludf.DUMMYFUNCTION("""COMPUTED_VALUE"""),40000.0)</f>
        <v>40000</v>
      </c>
      <c r="B902" s="1" t="str">
        <f>IFERROR(__xludf.DUMMYFUNCTION("""COMPUTED_VALUE"""),"69")</f>
        <v>69</v>
      </c>
    </row>
    <row r="903" ht="15.75" customHeight="1">
      <c r="A903" s="3">
        <f>IFERROR(__xludf.DUMMYFUNCTION("""COMPUTED_VALUE"""),70000.0)</f>
        <v>70000</v>
      </c>
      <c r="B903" s="1" t="str">
        <f>IFERROR(__xludf.DUMMYFUNCTION("""COMPUTED_VALUE"""),"52")</f>
        <v>52</v>
      </c>
    </row>
    <row r="904" ht="15.75" customHeight="1">
      <c r="A904" s="3">
        <f>IFERROR(__xludf.DUMMYFUNCTION("""COMPUTED_VALUE"""),60000.0)</f>
        <v>60000</v>
      </c>
      <c r="B904" s="1" t="str">
        <f>IFERROR(__xludf.DUMMYFUNCTION("""COMPUTED_VALUE"""),"31")</f>
        <v>31</v>
      </c>
    </row>
    <row r="905" ht="15.75" customHeight="1">
      <c r="A905" s="3">
        <f>IFERROR(__xludf.DUMMYFUNCTION("""COMPUTED_VALUE"""),70000.0)</f>
        <v>70000</v>
      </c>
      <c r="B905" s="1" t="str">
        <f>IFERROR(__xludf.DUMMYFUNCTION("""COMPUTED_VALUE"""),"61")</f>
        <v>61</v>
      </c>
    </row>
    <row r="906" ht="15.75" customHeight="1">
      <c r="A906" s="3">
        <f>IFERROR(__xludf.DUMMYFUNCTION("""COMPUTED_VALUE"""),70000.0)</f>
        <v>70000</v>
      </c>
      <c r="B906" s="1" t="str">
        <f>IFERROR(__xludf.DUMMYFUNCTION("""COMPUTED_VALUE"""),"53")</f>
        <v>53</v>
      </c>
    </row>
    <row r="907" ht="15.75" customHeight="1">
      <c r="A907" s="3">
        <f>IFERROR(__xludf.DUMMYFUNCTION("""COMPUTED_VALUE"""),70000.0)</f>
        <v>70000</v>
      </c>
      <c r="B907" s="1" t="str">
        <f>IFERROR(__xludf.DUMMYFUNCTION("""COMPUTED_VALUE"""),"62")</f>
        <v>62</v>
      </c>
    </row>
    <row r="908" ht="15.75" customHeight="1">
      <c r="A908" s="3">
        <f>IFERROR(__xludf.DUMMYFUNCTION("""COMPUTED_VALUE"""),40000.0)</f>
        <v>40000</v>
      </c>
      <c r="B908" s="1" t="str">
        <f>IFERROR(__xludf.DUMMYFUNCTION("""COMPUTED_VALUE"""),"30")</f>
        <v>30</v>
      </c>
    </row>
    <row r="909" ht="15.75" customHeight="1">
      <c r="A909" s="3">
        <f>IFERROR(__xludf.DUMMYFUNCTION("""COMPUTED_VALUE"""),60000.0)</f>
        <v>60000</v>
      </c>
      <c r="B909" s="1" t="str">
        <f>IFERROR(__xludf.DUMMYFUNCTION("""COMPUTED_VALUE"""),"43")</f>
        <v>43</v>
      </c>
    </row>
    <row r="910" ht="15.75" customHeight="1">
      <c r="A910" s="3">
        <f>IFERROR(__xludf.DUMMYFUNCTION("""COMPUTED_VALUE"""),60000.0)</f>
        <v>60000</v>
      </c>
      <c r="B910" s="1" t="str">
        <f>IFERROR(__xludf.DUMMYFUNCTION("""COMPUTED_VALUE"""),"42")</f>
        <v>42</v>
      </c>
    </row>
    <row r="911" ht="15.75" customHeight="1">
      <c r="A911" s="3">
        <f>IFERROR(__xludf.DUMMYFUNCTION("""COMPUTED_VALUE"""),40000.0)</f>
        <v>40000</v>
      </c>
      <c r="B911" s="1" t="str">
        <f>IFERROR(__xludf.DUMMYFUNCTION("""COMPUTED_VALUE"""),"30")</f>
        <v>30</v>
      </c>
    </row>
    <row r="912" ht="15.75" customHeight="1">
      <c r="A912" s="3">
        <f>IFERROR(__xludf.DUMMYFUNCTION("""COMPUTED_VALUE"""),40000.0)</f>
        <v>40000</v>
      </c>
      <c r="B912" s="1" t="str">
        <f>IFERROR(__xludf.DUMMYFUNCTION("""COMPUTED_VALUE"""),"30")</f>
        <v>30</v>
      </c>
    </row>
    <row r="913" ht="15.75" customHeight="1">
      <c r="A913" s="3">
        <f>IFERROR(__xludf.DUMMYFUNCTION("""COMPUTED_VALUE"""),110000.0)</f>
        <v>110000</v>
      </c>
      <c r="B913" s="1" t="str">
        <f>IFERROR(__xludf.DUMMYFUNCTION("""COMPUTED_VALUE"""),"43")</f>
        <v>43</v>
      </c>
    </row>
    <row r="914" ht="15.75" customHeight="1">
      <c r="A914" s="3">
        <f>IFERROR(__xludf.DUMMYFUNCTION("""COMPUTED_VALUE"""),60000.0)</f>
        <v>60000</v>
      </c>
      <c r="B914" s="1" t="str">
        <f>IFERROR(__xludf.DUMMYFUNCTION("""COMPUTED_VALUE"""),"33")</f>
        <v>33</v>
      </c>
    </row>
    <row r="915" ht="15.75" customHeight="1">
      <c r="A915" s="3">
        <f>IFERROR(__xludf.DUMMYFUNCTION("""COMPUTED_VALUE"""),30000.0)</f>
        <v>30000</v>
      </c>
      <c r="B915" s="1" t="str">
        <f>IFERROR(__xludf.DUMMYFUNCTION("""COMPUTED_VALUE"""),"32")</f>
        <v>32</v>
      </c>
    </row>
    <row r="916" ht="15.75" customHeight="1">
      <c r="A916" s="3">
        <f>IFERROR(__xludf.DUMMYFUNCTION("""COMPUTED_VALUE"""),70000.0)</f>
        <v>70000</v>
      </c>
      <c r="B916" s="1" t="str">
        <f>IFERROR(__xludf.DUMMYFUNCTION("""COMPUTED_VALUE"""),"50")</f>
        <v>50</v>
      </c>
    </row>
    <row r="917" ht="15.75" customHeight="1">
      <c r="A917" s="3">
        <f>IFERROR(__xludf.DUMMYFUNCTION("""COMPUTED_VALUE"""),110000.0)</f>
        <v>110000</v>
      </c>
      <c r="B917" s="1" t="str">
        <f>IFERROR(__xludf.DUMMYFUNCTION("""COMPUTED_VALUE"""),"37")</f>
        <v>37</v>
      </c>
    </row>
    <row r="918" ht="15.75" customHeight="1">
      <c r="A918" s="3">
        <f>IFERROR(__xludf.DUMMYFUNCTION("""COMPUTED_VALUE"""),70000.0)</f>
        <v>70000</v>
      </c>
      <c r="B918" s="1" t="str">
        <f>IFERROR(__xludf.DUMMYFUNCTION("""COMPUTED_VALUE"""),"52")</f>
        <v>52</v>
      </c>
    </row>
    <row r="919" ht="15.75" customHeight="1">
      <c r="A919" s="3">
        <f>IFERROR(__xludf.DUMMYFUNCTION("""COMPUTED_VALUE"""),70000.0)</f>
        <v>70000</v>
      </c>
      <c r="B919" s="1" t="str">
        <f>IFERROR(__xludf.DUMMYFUNCTION("""COMPUTED_VALUE"""),"36")</f>
        <v>36</v>
      </c>
    </row>
    <row r="920" ht="15.75" customHeight="1">
      <c r="A920" s="3">
        <f>IFERROR(__xludf.DUMMYFUNCTION("""COMPUTED_VALUE"""),80000.0)</f>
        <v>80000</v>
      </c>
      <c r="B920" s="1" t="str">
        <f>IFERROR(__xludf.DUMMYFUNCTION("""COMPUTED_VALUE"""),"41")</f>
        <v>41</v>
      </c>
    </row>
    <row r="921" ht="15.75" customHeight="1">
      <c r="A921" s="3">
        <f>IFERROR(__xludf.DUMMYFUNCTION("""COMPUTED_VALUE"""),40000.0)</f>
        <v>40000</v>
      </c>
      <c r="B921" s="1" t="str">
        <f>IFERROR(__xludf.DUMMYFUNCTION("""COMPUTED_VALUE"""),"26")</f>
        <v>26</v>
      </c>
    </row>
    <row r="922" ht="15.75" customHeight="1">
      <c r="A922" s="3">
        <f>IFERROR(__xludf.DUMMYFUNCTION("""COMPUTED_VALUE"""),170000.0)</f>
        <v>170000</v>
      </c>
      <c r="B922" s="1" t="str">
        <f>IFERROR(__xludf.DUMMYFUNCTION("""COMPUTED_VALUE"""),"66")</f>
        <v>66</v>
      </c>
    </row>
    <row r="923" ht="15.75" customHeight="1">
      <c r="A923" s="3">
        <f>IFERROR(__xludf.DUMMYFUNCTION("""COMPUTED_VALUE"""),60000.0)</f>
        <v>60000</v>
      </c>
      <c r="B923" s="1" t="str">
        <f>IFERROR(__xludf.DUMMYFUNCTION("""COMPUTED_VALUE"""),"51")</f>
        <v>51</v>
      </c>
    </row>
    <row r="924" ht="15.75" customHeight="1">
      <c r="A924" s="3">
        <f>IFERROR(__xludf.DUMMYFUNCTION("""COMPUTED_VALUE"""),70000.0)</f>
        <v>70000</v>
      </c>
      <c r="B924" s="1" t="str">
        <f>IFERROR(__xludf.DUMMYFUNCTION("""COMPUTED_VALUE"""),"43")</f>
        <v>43</v>
      </c>
    </row>
    <row r="925" ht="15.75" customHeight="1">
      <c r="A925" s="3">
        <f>IFERROR(__xludf.DUMMYFUNCTION("""COMPUTED_VALUE"""),60000.0)</f>
        <v>60000</v>
      </c>
      <c r="B925" s="1" t="str">
        <f>IFERROR(__xludf.DUMMYFUNCTION("""COMPUTED_VALUE"""),"39")</f>
        <v>39</v>
      </c>
    </row>
    <row r="926" ht="15.75" customHeight="1">
      <c r="A926" s="3">
        <f>IFERROR(__xludf.DUMMYFUNCTION("""COMPUTED_VALUE"""),70000.0)</f>
        <v>70000</v>
      </c>
      <c r="B926" s="1" t="str">
        <f>IFERROR(__xludf.DUMMYFUNCTION("""COMPUTED_VALUE"""),"37")</f>
        <v>37</v>
      </c>
    </row>
    <row r="927" ht="15.75" customHeight="1">
      <c r="A927" s="3">
        <f>IFERROR(__xludf.DUMMYFUNCTION("""COMPUTED_VALUE"""),70000.0)</f>
        <v>70000</v>
      </c>
      <c r="B927" s="1" t="str">
        <f>IFERROR(__xludf.DUMMYFUNCTION("""COMPUTED_VALUE"""),"54")</f>
        <v>54</v>
      </c>
    </row>
    <row r="928" ht="15.75" customHeight="1">
      <c r="A928" s="3">
        <f>IFERROR(__xludf.DUMMYFUNCTION("""COMPUTED_VALUE"""),60000.0)</f>
        <v>60000</v>
      </c>
      <c r="B928" s="1" t="str">
        <f>IFERROR(__xludf.DUMMYFUNCTION("""COMPUTED_VALUE"""),"40")</f>
        <v>40</v>
      </c>
    </row>
    <row r="929" ht="15.75" customHeight="1">
      <c r="A929" s="3">
        <f>IFERROR(__xludf.DUMMYFUNCTION("""COMPUTED_VALUE"""),40000.0)</f>
        <v>40000</v>
      </c>
      <c r="B929" s="1" t="str">
        <f>IFERROR(__xludf.DUMMYFUNCTION("""COMPUTED_VALUE"""),"28")</f>
        <v>28</v>
      </c>
    </row>
    <row r="930" ht="15.75" customHeight="1">
      <c r="A930" s="3">
        <f>IFERROR(__xludf.DUMMYFUNCTION("""COMPUTED_VALUE"""),60000.0)</f>
        <v>60000</v>
      </c>
      <c r="B930" s="1" t="str">
        <f>IFERROR(__xludf.DUMMYFUNCTION("""COMPUTED_VALUE"""),"33")</f>
        <v>33</v>
      </c>
    </row>
    <row r="931" ht="15.75" customHeight="1">
      <c r="A931" s="3">
        <f>IFERROR(__xludf.DUMMYFUNCTION("""COMPUTED_VALUE"""),80000.0)</f>
        <v>80000</v>
      </c>
      <c r="B931" s="1" t="str">
        <f>IFERROR(__xludf.DUMMYFUNCTION("""COMPUTED_VALUE"""),"41")</f>
        <v>41</v>
      </c>
    </row>
    <row r="932" ht="15.75" customHeight="1">
      <c r="A932" s="3">
        <f>IFERROR(__xludf.DUMMYFUNCTION("""COMPUTED_VALUE"""),80000.0)</f>
        <v>80000</v>
      </c>
      <c r="B932" s="1" t="str">
        <f>IFERROR(__xludf.DUMMYFUNCTION("""COMPUTED_VALUE"""),"37")</f>
        <v>37</v>
      </c>
    </row>
    <row r="933" ht="15.75" customHeight="1">
      <c r="A933" s="3">
        <f>IFERROR(__xludf.DUMMYFUNCTION("""COMPUTED_VALUE"""),70000.0)</f>
        <v>70000</v>
      </c>
      <c r="B933" s="1" t="str">
        <f>IFERROR(__xludf.DUMMYFUNCTION("""COMPUTED_VALUE"""),"53")</f>
        <v>53</v>
      </c>
    </row>
    <row r="934" ht="15.75" customHeight="1">
      <c r="A934" s="3">
        <f>IFERROR(__xludf.DUMMYFUNCTION("""COMPUTED_VALUE"""),120000.0)</f>
        <v>120000</v>
      </c>
      <c r="B934" s="1" t="str">
        <f>IFERROR(__xludf.DUMMYFUNCTION("""COMPUTED_VALUE"""),"64")</f>
        <v>64</v>
      </c>
    </row>
    <row r="935" ht="15.75" customHeight="1">
      <c r="A935" s="3">
        <f>IFERROR(__xludf.DUMMYFUNCTION("""COMPUTED_VALUE"""),60000.0)</f>
        <v>60000</v>
      </c>
      <c r="B935" s="1" t="str">
        <f>IFERROR(__xludf.DUMMYFUNCTION("""COMPUTED_VALUE"""),"45")</f>
        <v>45</v>
      </c>
    </row>
    <row r="936" ht="15.75" customHeight="1">
      <c r="A936" s="3">
        <f>IFERROR(__xludf.DUMMYFUNCTION("""COMPUTED_VALUE"""),80000.0)</f>
        <v>80000</v>
      </c>
      <c r="B936" s="1" t="str">
        <f>IFERROR(__xludf.DUMMYFUNCTION("""COMPUTED_VALUE"""),"52")</f>
        <v>52</v>
      </c>
    </row>
    <row r="937" ht="15.75" customHeight="1">
      <c r="A937" s="3">
        <f>IFERROR(__xludf.DUMMYFUNCTION("""COMPUTED_VALUE"""),40000.0)</f>
        <v>40000</v>
      </c>
      <c r="B937" s="1" t="str">
        <f>IFERROR(__xludf.DUMMYFUNCTION("""COMPUTED_VALUE"""),"60")</f>
        <v>60</v>
      </c>
    </row>
    <row r="938" ht="15.75" customHeight="1">
      <c r="A938" s="3">
        <f>IFERROR(__xludf.DUMMYFUNCTION("""COMPUTED_VALUE"""),20000.0)</f>
        <v>20000</v>
      </c>
      <c r="B938" s="1" t="str">
        <f>IFERROR(__xludf.DUMMYFUNCTION("""COMPUTED_VALUE"""),"50")</f>
        <v>50</v>
      </c>
    </row>
    <row r="939" ht="15.75" customHeight="1">
      <c r="A939" s="3">
        <f>IFERROR(__xludf.DUMMYFUNCTION("""COMPUTED_VALUE"""),70000.0)</f>
        <v>70000</v>
      </c>
      <c r="B939" s="1" t="str">
        <f>IFERROR(__xludf.DUMMYFUNCTION("""COMPUTED_VALUE"""),"56")</f>
        <v>56</v>
      </c>
    </row>
    <row r="940" ht="15.75" customHeight="1">
      <c r="A940" s="3">
        <f>IFERROR(__xludf.DUMMYFUNCTION("""COMPUTED_VALUE"""),40000.0)</f>
        <v>40000</v>
      </c>
      <c r="B940" s="1" t="str">
        <f>IFERROR(__xludf.DUMMYFUNCTION("""COMPUTED_VALUE"""),"29")</f>
        <v>29</v>
      </c>
    </row>
    <row r="941" ht="15.75" customHeight="1">
      <c r="A941" s="3">
        <f>IFERROR(__xludf.DUMMYFUNCTION("""COMPUTED_VALUE"""),130000.0)</f>
        <v>130000</v>
      </c>
      <c r="B941" s="1" t="str">
        <f>IFERROR(__xludf.DUMMYFUNCTION("""COMPUTED_VALUE"""),"38")</f>
        <v>38</v>
      </c>
    </row>
    <row r="942" ht="15.75" customHeight="1">
      <c r="A942" s="3">
        <f>IFERROR(__xludf.DUMMYFUNCTION("""COMPUTED_VALUE"""),40000.0)</f>
        <v>40000</v>
      </c>
      <c r="B942" s="1" t="str">
        <f>IFERROR(__xludf.DUMMYFUNCTION("""COMPUTED_VALUE"""),"60")</f>
        <v>60</v>
      </c>
    </row>
    <row r="943" ht="15.75" customHeight="1">
      <c r="A943" s="3">
        <f>IFERROR(__xludf.DUMMYFUNCTION("""COMPUTED_VALUE"""),130000.0)</f>
        <v>130000</v>
      </c>
      <c r="B943" s="1" t="str">
        <f>IFERROR(__xludf.DUMMYFUNCTION("""COMPUTED_VALUE"""),"67")</f>
        <v>67</v>
      </c>
    </row>
    <row r="944" ht="15.75" customHeight="1">
      <c r="A944" s="3">
        <f>IFERROR(__xludf.DUMMYFUNCTION("""COMPUTED_VALUE"""),60000.0)</f>
        <v>60000</v>
      </c>
      <c r="B944" s="1" t="str">
        <f>IFERROR(__xludf.DUMMYFUNCTION("""COMPUTED_VALUE"""),"32")</f>
        <v>32</v>
      </c>
    </row>
    <row r="945" ht="15.75" customHeight="1">
      <c r="A945" s="3">
        <f>IFERROR(__xludf.DUMMYFUNCTION("""COMPUTED_VALUE"""),50000.0)</f>
        <v>50000</v>
      </c>
      <c r="B945" s="1" t="str">
        <f>IFERROR(__xludf.DUMMYFUNCTION("""COMPUTED_VALUE"""),"39")</f>
        <v>39</v>
      </c>
    </row>
    <row r="946" ht="15.75" customHeight="1">
      <c r="A946" s="3">
        <f>IFERROR(__xludf.DUMMYFUNCTION("""COMPUTED_VALUE"""),60000.0)</f>
        <v>60000</v>
      </c>
      <c r="B946" s="1" t="str">
        <f>IFERROR(__xludf.DUMMYFUNCTION("""COMPUTED_VALUE"""),"35")</f>
        <v>35</v>
      </c>
    </row>
    <row r="947" ht="15.75" customHeight="1">
      <c r="A947" s="3">
        <f>IFERROR(__xludf.DUMMYFUNCTION("""COMPUTED_VALUE"""),60000.0)</f>
        <v>60000</v>
      </c>
      <c r="B947" s="1" t="str">
        <f>IFERROR(__xludf.DUMMYFUNCTION("""COMPUTED_VALUE"""),"32")</f>
        <v>32</v>
      </c>
    </row>
    <row r="948" ht="15.75" customHeight="1">
      <c r="A948" s="3">
        <f>IFERROR(__xludf.DUMMYFUNCTION("""COMPUTED_VALUE"""),30000.0)</f>
        <v>30000</v>
      </c>
      <c r="B948" s="1" t="str">
        <f>IFERROR(__xludf.DUMMYFUNCTION("""COMPUTED_VALUE"""),"31")</f>
        <v>31</v>
      </c>
    </row>
    <row r="949" ht="15.75" customHeight="1">
      <c r="A949" s="3">
        <f>IFERROR(__xludf.DUMMYFUNCTION("""COMPUTED_VALUE"""),40000.0)</f>
        <v>40000</v>
      </c>
      <c r="B949" s="1" t="str">
        <f>IFERROR(__xludf.DUMMYFUNCTION("""COMPUTED_VALUE"""),"27")</f>
        <v>27</v>
      </c>
    </row>
    <row r="950" ht="15.75" customHeight="1">
      <c r="A950" s="3">
        <f>IFERROR(__xludf.DUMMYFUNCTION("""COMPUTED_VALUE"""),60000.0)</f>
        <v>60000</v>
      </c>
      <c r="B950" s="1" t="str">
        <f>IFERROR(__xludf.DUMMYFUNCTION("""COMPUTED_VALUE"""),"47")</f>
        <v>47</v>
      </c>
    </row>
    <row r="951" ht="15.75" customHeight="1">
      <c r="A951" s="3">
        <f>IFERROR(__xludf.DUMMYFUNCTION("""COMPUTED_VALUE"""),40000.0)</f>
        <v>40000</v>
      </c>
      <c r="B951" s="1" t="str">
        <f>IFERROR(__xludf.DUMMYFUNCTION("""COMPUTED_VALUE"""),"42")</f>
        <v>42</v>
      </c>
    </row>
    <row r="952" ht="15.75" customHeight="1">
      <c r="A952" s="3">
        <f>IFERROR(__xludf.DUMMYFUNCTION("""COMPUTED_VALUE"""),30000.0)</f>
        <v>30000</v>
      </c>
      <c r="B952" s="1" t="str">
        <f>IFERROR(__xludf.DUMMYFUNCTION("""COMPUTED_VALUE"""),"49")</f>
        <v>49</v>
      </c>
    </row>
    <row r="953" ht="15.75" customHeight="1">
      <c r="A953" s="3">
        <f>IFERROR(__xludf.DUMMYFUNCTION("""COMPUTED_VALUE"""),30000.0)</f>
        <v>30000</v>
      </c>
      <c r="B953" s="1" t="str">
        <f>IFERROR(__xludf.DUMMYFUNCTION("""COMPUTED_VALUE"""),"32")</f>
        <v>32</v>
      </c>
    </row>
    <row r="954" ht="15.75" customHeight="1">
      <c r="A954" s="3">
        <f>IFERROR(__xludf.DUMMYFUNCTION("""COMPUTED_VALUE"""),20000.0)</f>
        <v>20000</v>
      </c>
      <c r="B954" s="1" t="str">
        <f>IFERROR(__xludf.DUMMYFUNCTION("""COMPUTED_VALUE"""),"53")</f>
        <v>53</v>
      </c>
    </row>
    <row r="955" ht="15.75" customHeight="1">
      <c r="A955" s="3">
        <f>IFERROR(__xludf.DUMMYFUNCTION("""COMPUTED_VALUE"""),50000.0)</f>
        <v>50000</v>
      </c>
      <c r="B955" s="1" t="str">
        <f>IFERROR(__xludf.DUMMYFUNCTION("""COMPUTED_VALUE"""),"32")</f>
        <v>32</v>
      </c>
    </row>
    <row r="956" ht="15.75" customHeight="1">
      <c r="A956" s="3">
        <f>IFERROR(__xludf.DUMMYFUNCTION("""COMPUTED_VALUE"""),80000.0)</f>
        <v>80000</v>
      </c>
      <c r="B956" s="1" t="str">
        <f>IFERROR(__xludf.DUMMYFUNCTION("""COMPUTED_VALUE"""),"38")</f>
        <v>38</v>
      </c>
    </row>
    <row r="957" ht="15.75" customHeight="1">
      <c r="A957" s="3">
        <f>IFERROR(__xludf.DUMMYFUNCTION("""COMPUTED_VALUE"""),40000.0)</f>
        <v>40000</v>
      </c>
      <c r="B957" s="1" t="str">
        <f>IFERROR(__xludf.DUMMYFUNCTION("""COMPUTED_VALUE"""),"31")</f>
        <v>31</v>
      </c>
    </row>
    <row r="958" ht="15.75" customHeight="1">
      <c r="A958" s="3">
        <f>IFERROR(__xludf.DUMMYFUNCTION("""COMPUTED_VALUE"""),80000.0)</f>
        <v>80000</v>
      </c>
      <c r="B958" s="1" t="str">
        <f>IFERROR(__xludf.DUMMYFUNCTION("""COMPUTED_VALUE"""),"38")</f>
        <v>38</v>
      </c>
    </row>
    <row r="959" ht="15.75" customHeight="1">
      <c r="A959" s="3">
        <f>IFERROR(__xludf.DUMMYFUNCTION("""COMPUTED_VALUE"""),60000.0)</f>
        <v>60000</v>
      </c>
      <c r="B959" s="1" t="str">
        <f>IFERROR(__xludf.DUMMYFUNCTION("""COMPUTED_VALUE"""),"55")</f>
        <v>55</v>
      </c>
    </row>
    <row r="960" ht="15.75" customHeight="1">
      <c r="A960" s="3">
        <f>IFERROR(__xludf.DUMMYFUNCTION("""COMPUTED_VALUE"""),70000.0)</f>
        <v>70000</v>
      </c>
      <c r="B960" s="1" t="str">
        <f>IFERROR(__xludf.DUMMYFUNCTION("""COMPUTED_VALUE"""),"49")</f>
        <v>49</v>
      </c>
    </row>
    <row r="961" ht="15.75" customHeight="1">
      <c r="A961" s="3">
        <f>IFERROR(__xludf.DUMMYFUNCTION("""COMPUTED_VALUE"""),30000.0)</f>
        <v>30000</v>
      </c>
      <c r="B961" s="1" t="str">
        <f>IFERROR(__xludf.DUMMYFUNCTION("""COMPUTED_VALUE"""),"60")</f>
        <v>60</v>
      </c>
    </row>
    <row r="962" ht="15.75" customHeight="1">
      <c r="A962" s="3">
        <f>IFERROR(__xludf.DUMMYFUNCTION("""COMPUTED_VALUE"""),110000.0)</f>
        <v>110000</v>
      </c>
      <c r="B962" s="1" t="str">
        <f>IFERROR(__xludf.DUMMYFUNCTION("""COMPUTED_VALUE"""),"42")</f>
        <v>42</v>
      </c>
    </row>
    <row r="963" ht="15.75" customHeight="1">
      <c r="A963" s="3">
        <f>IFERROR(__xludf.DUMMYFUNCTION("""COMPUTED_VALUE"""),60000.0)</f>
        <v>60000</v>
      </c>
      <c r="B963" s="1" t="str">
        <f>IFERROR(__xludf.DUMMYFUNCTION("""COMPUTED_VALUE"""),"46")</f>
        <v>46</v>
      </c>
    </row>
    <row r="964" ht="15.75" customHeight="1">
      <c r="A964" s="3">
        <f>IFERROR(__xludf.DUMMYFUNCTION("""COMPUTED_VALUE"""),60000.0)</f>
        <v>60000</v>
      </c>
      <c r="B964" s="1" t="str">
        <f>IFERROR(__xludf.DUMMYFUNCTION("""COMPUTED_VALUE"""),"55")</f>
        <v>55</v>
      </c>
    </row>
    <row r="965" ht="15.75" customHeight="1">
      <c r="A965" s="3">
        <f>IFERROR(__xludf.DUMMYFUNCTION("""COMPUTED_VALUE"""),70000.0)</f>
        <v>70000</v>
      </c>
      <c r="B965" s="1" t="str">
        <f>IFERROR(__xludf.DUMMYFUNCTION("""COMPUTED_VALUE"""),"53")</f>
        <v>53</v>
      </c>
    </row>
    <row r="966" ht="15.75" customHeight="1">
      <c r="A966" s="3">
        <f>IFERROR(__xludf.DUMMYFUNCTION("""COMPUTED_VALUE"""),50000.0)</f>
        <v>50000</v>
      </c>
      <c r="B966" s="1" t="str">
        <f>IFERROR(__xludf.DUMMYFUNCTION("""COMPUTED_VALUE"""),"40")</f>
        <v>40</v>
      </c>
    </row>
    <row r="967" ht="15.75" customHeight="1">
      <c r="A967" s="3">
        <f>IFERROR(__xludf.DUMMYFUNCTION("""COMPUTED_VALUE"""),30000.0)</f>
        <v>30000</v>
      </c>
      <c r="B967" s="1" t="str">
        <f>IFERROR(__xludf.DUMMYFUNCTION("""COMPUTED_VALUE"""),"53")</f>
        <v>53</v>
      </c>
    </row>
    <row r="968" ht="15.75" customHeight="1">
      <c r="A968" s="3">
        <f>IFERROR(__xludf.DUMMYFUNCTION("""COMPUTED_VALUE"""),70000.0)</f>
        <v>70000</v>
      </c>
      <c r="B968" s="1" t="str">
        <f>IFERROR(__xludf.DUMMYFUNCTION("""COMPUTED_VALUE"""),"38")</f>
        <v>38</v>
      </c>
    </row>
    <row r="969" ht="15.75" customHeight="1">
      <c r="A969" s="3">
        <f>IFERROR(__xludf.DUMMYFUNCTION("""COMPUTED_VALUE"""),30000.0)</f>
        <v>30000</v>
      </c>
      <c r="B969" s="1" t="str">
        <f>IFERROR(__xludf.DUMMYFUNCTION("""COMPUTED_VALUE"""),"26")</f>
        <v>26</v>
      </c>
    </row>
    <row r="970" ht="15.75" customHeight="1">
      <c r="A970" s="3">
        <f>IFERROR(__xludf.DUMMYFUNCTION("""COMPUTED_VALUE"""),70000.0)</f>
        <v>70000</v>
      </c>
      <c r="B970" s="1" t="str">
        <f>IFERROR(__xludf.DUMMYFUNCTION("""COMPUTED_VALUE"""),"61")</f>
        <v>61</v>
      </c>
    </row>
    <row r="971" ht="15.75" customHeight="1">
      <c r="A971" s="3">
        <f>IFERROR(__xludf.DUMMYFUNCTION("""COMPUTED_VALUE"""),50000.0)</f>
        <v>50000</v>
      </c>
      <c r="B971" s="1" t="str">
        <f>IFERROR(__xludf.DUMMYFUNCTION("""COMPUTED_VALUE"""),"71")</f>
        <v>71</v>
      </c>
    </row>
    <row r="972" ht="15.75" customHeight="1">
      <c r="A972" s="3">
        <f>IFERROR(__xludf.DUMMYFUNCTION("""COMPUTED_VALUE"""),90000.0)</f>
        <v>90000</v>
      </c>
      <c r="B972" s="1" t="str">
        <f>IFERROR(__xludf.DUMMYFUNCTION("""COMPUTED_VALUE"""),"45")</f>
        <v>45</v>
      </c>
    </row>
    <row r="973" ht="15.75" customHeight="1">
      <c r="A973" s="3">
        <f>IFERROR(__xludf.DUMMYFUNCTION("""COMPUTED_VALUE"""),80000.0)</f>
        <v>80000</v>
      </c>
      <c r="B973" s="1" t="str">
        <f>IFERROR(__xludf.DUMMYFUNCTION("""COMPUTED_VALUE"""),"37")</f>
        <v>37</v>
      </c>
    </row>
    <row r="974" ht="15.75" customHeight="1">
      <c r="A974" s="3">
        <f>IFERROR(__xludf.DUMMYFUNCTION("""COMPUTED_VALUE"""),80000.0)</f>
        <v>80000</v>
      </c>
      <c r="B974" s="1" t="str">
        <f>IFERROR(__xludf.DUMMYFUNCTION("""COMPUTED_VALUE"""),"72")</f>
        <v>72</v>
      </c>
    </row>
    <row r="975" ht="15.75" customHeight="1">
      <c r="A975" s="3">
        <f>IFERROR(__xludf.DUMMYFUNCTION("""COMPUTED_VALUE"""),30000.0)</f>
        <v>30000</v>
      </c>
      <c r="B975" s="1" t="str">
        <f>IFERROR(__xludf.DUMMYFUNCTION("""COMPUTED_VALUE"""),"32")</f>
        <v>32</v>
      </c>
    </row>
    <row r="976" ht="15.75" customHeight="1">
      <c r="A976" s="3">
        <f>IFERROR(__xludf.DUMMYFUNCTION("""COMPUTED_VALUE"""),60000.0)</f>
        <v>60000</v>
      </c>
      <c r="B976" s="1" t="str">
        <f>IFERROR(__xludf.DUMMYFUNCTION("""COMPUTED_VALUE"""),"48")</f>
        <v>48</v>
      </c>
    </row>
    <row r="977" ht="15.75" customHeight="1">
      <c r="A977" s="3">
        <f>IFERROR(__xludf.DUMMYFUNCTION("""COMPUTED_VALUE"""),80000.0)</f>
        <v>80000</v>
      </c>
      <c r="B977" s="1" t="str">
        <f>IFERROR(__xludf.DUMMYFUNCTION("""COMPUTED_VALUE"""),"68")</f>
        <v>68</v>
      </c>
    </row>
    <row r="978" ht="15.75" customHeight="1">
      <c r="A978" s="3">
        <f>IFERROR(__xludf.DUMMYFUNCTION("""COMPUTED_VALUE"""),20000.0)</f>
        <v>20000</v>
      </c>
      <c r="B978" s="1" t="str">
        <f>IFERROR(__xludf.DUMMYFUNCTION("""COMPUTED_VALUE"""),"49")</f>
        <v>49</v>
      </c>
    </row>
    <row r="979" ht="15.75" customHeight="1">
      <c r="A979" s="3">
        <f>IFERROR(__xludf.DUMMYFUNCTION("""COMPUTED_VALUE"""),70000.0)</f>
        <v>70000</v>
      </c>
      <c r="B979" s="1" t="str">
        <f>IFERROR(__xludf.DUMMYFUNCTION("""COMPUTED_VALUE"""),"34")</f>
        <v>34</v>
      </c>
    </row>
    <row r="980" ht="15.75" customHeight="1">
      <c r="A980" s="3">
        <f>IFERROR(__xludf.DUMMYFUNCTION("""COMPUTED_VALUE"""),50000.0)</f>
        <v>50000</v>
      </c>
      <c r="B980" s="1" t="str">
        <f>IFERROR(__xludf.DUMMYFUNCTION("""COMPUTED_VALUE"""),"32")</f>
        <v>32</v>
      </c>
    </row>
    <row r="981" ht="15.75" customHeight="1">
      <c r="A981" s="3">
        <f>IFERROR(__xludf.DUMMYFUNCTION("""COMPUTED_VALUE"""),60000.0)</f>
        <v>60000</v>
      </c>
      <c r="B981" s="1" t="str">
        <f>IFERROR(__xludf.DUMMYFUNCTION("""COMPUTED_VALUE"""),"42")</f>
        <v>42</v>
      </c>
    </row>
    <row r="982" ht="15.75" customHeight="1">
      <c r="A982" s="3">
        <f>IFERROR(__xludf.DUMMYFUNCTION("""COMPUTED_VALUE"""),70000.0)</f>
        <v>70000</v>
      </c>
      <c r="B982" s="1" t="str">
        <f>IFERROR(__xludf.DUMMYFUNCTION("""COMPUTED_VALUE"""),"35")</f>
        <v>35</v>
      </c>
    </row>
    <row r="983" ht="15.75" customHeight="1">
      <c r="A983" s="3">
        <f>IFERROR(__xludf.DUMMYFUNCTION("""COMPUTED_VALUE"""),40000.0)</f>
        <v>40000</v>
      </c>
      <c r="B983" s="1" t="str">
        <f>IFERROR(__xludf.DUMMYFUNCTION("""COMPUTED_VALUE"""),"48")</f>
        <v>48</v>
      </c>
    </row>
    <row r="984" ht="15.75" customHeight="1">
      <c r="A984" s="3">
        <f>IFERROR(__xludf.DUMMYFUNCTION("""COMPUTED_VALUE"""),100000.0)</f>
        <v>100000</v>
      </c>
      <c r="B984" s="1" t="str">
        <f>IFERROR(__xludf.DUMMYFUNCTION("""COMPUTED_VALUE"""),"73")</f>
        <v>73</v>
      </c>
    </row>
    <row r="985" ht="15.75" customHeight="1">
      <c r="A985" s="3">
        <f>IFERROR(__xludf.DUMMYFUNCTION("""COMPUTED_VALUE"""),70000.0)</f>
        <v>70000</v>
      </c>
      <c r="B985" s="1" t="str">
        <f>IFERROR(__xludf.DUMMYFUNCTION("""COMPUTED_VALUE"""),"43")</f>
        <v>43</v>
      </c>
    </row>
    <row r="986" ht="15.75" customHeight="1">
      <c r="A986" s="3">
        <f>IFERROR(__xludf.DUMMYFUNCTION("""COMPUTED_VALUE"""),60000.0)</f>
        <v>60000</v>
      </c>
      <c r="B986" s="1" t="str">
        <f>IFERROR(__xludf.DUMMYFUNCTION("""COMPUTED_VALUE"""),"35")</f>
        <v>35</v>
      </c>
    </row>
    <row r="987" ht="15.75" customHeight="1">
      <c r="A987" s="3">
        <f>IFERROR(__xludf.DUMMYFUNCTION("""COMPUTED_VALUE"""),70000.0)</f>
        <v>70000</v>
      </c>
      <c r="B987" s="1" t="str">
        <f>IFERROR(__xludf.DUMMYFUNCTION("""COMPUTED_VALUE"""),"35")</f>
        <v>35</v>
      </c>
    </row>
    <row r="988" ht="15.75" customHeight="1">
      <c r="A988" s="3">
        <f>IFERROR(__xludf.DUMMYFUNCTION("""COMPUTED_VALUE"""),50000.0)</f>
        <v>50000</v>
      </c>
      <c r="B988" s="1" t="str">
        <f>IFERROR(__xludf.DUMMYFUNCTION("""COMPUTED_VALUE"""),"64")</f>
        <v>64</v>
      </c>
    </row>
    <row r="989" ht="15.75" customHeight="1">
      <c r="A989" s="3">
        <f>IFERROR(__xludf.DUMMYFUNCTION("""COMPUTED_VALUE"""),50000.0)</f>
        <v>50000</v>
      </c>
      <c r="B989" s="1" t="str">
        <f>IFERROR(__xludf.DUMMYFUNCTION("""COMPUTED_VALUE"""),"34")</f>
        <v>34</v>
      </c>
    </row>
    <row r="990" ht="15.75" customHeight="1">
      <c r="A990" s="3">
        <f>IFERROR(__xludf.DUMMYFUNCTION("""COMPUTED_VALUE"""),30000.0)</f>
        <v>30000</v>
      </c>
      <c r="B990" s="1" t="str">
        <f>IFERROR(__xludf.DUMMYFUNCTION("""COMPUTED_VALUE"""),"28")</f>
        <v>28</v>
      </c>
    </row>
    <row r="991" ht="15.75" customHeight="1">
      <c r="A991" s="3">
        <f>IFERROR(__xludf.DUMMYFUNCTION("""COMPUTED_VALUE"""),70000.0)</f>
        <v>70000</v>
      </c>
      <c r="B991" s="1" t="str">
        <f>IFERROR(__xludf.DUMMYFUNCTION("""COMPUTED_VALUE"""),"60")</f>
        <v>60</v>
      </c>
    </row>
    <row r="992" ht="15.75" customHeight="1">
      <c r="A992" s="3">
        <f>IFERROR(__xludf.DUMMYFUNCTION("""COMPUTED_VALUE"""),70000.0)</f>
        <v>70000</v>
      </c>
      <c r="B992" s="1" t="str">
        <f>IFERROR(__xludf.DUMMYFUNCTION("""COMPUTED_VALUE"""),"46")</f>
        <v>46</v>
      </c>
    </row>
    <row r="993" ht="15.75" customHeight="1">
      <c r="A993" s="3">
        <f>IFERROR(__xludf.DUMMYFUNCTION("""COMPUTED_VALUE"""),40000.0)</f>
        <v>40000</v>
      </c>
      <c r="B993" s="1" t="str">
        <f>IFERROR(__xludf.DUMMYFUNCTION("""COMPUTED_VALUE"""),"44")</f>
        <v>44</v>
      </c>
    </row>
    <row r="994" ht="15.75" customHeight="1">
      <c r="A994" s="3">
        <f>IFERROR(__xludf.DUMMYFUNCTION("""COMPUTED_VALUE"""),60000.0)</f>
        <v>60000</v>
      </c>
      <c r="B994" s="1" t="str">
        <f>IFERROR(__xludf.DUMMYFUNCTION("""COMPUTED_VALUE"""),"42")</f>
        <v>42</v>
      </c>
    </row>
    <row r="995" ht="15.75" customHeight="1">
      <c r="A995" s="3">
        <f>IFERROR(__xludf.DUMMYFUNCTION("""COMPUTED_VALUE"""),80000.0)</f>
        <v>80000</v>
      </c>
      <c r="B995" s="1" t="str">
        <f>IFERROR(__xludf.DUMMYFUNCTION("""COMPUTED_VALUE"""),"40")</f>
        <v>40</v>
      </c>
    </row>
    <row r="996" ht="15.75" customHeight="1">
      <c r="A996" s="3">
        <f>IFERROR(__xludf.DUMMYFUNCTION("""COMPUTED_VALUE"""),90000.0)</f>
        <v>90000</v>
      </c>
      <c r="B996" s="1" t="str">
        <f>IFERROR(__xludf.DUMMYFUNCTION("""COMPUTED_VALUE"""),"73")</f>
        <v>73</v>
      </c>
    </row>
    <row r="997" ht="15.75" customHeight="1">
      <c r="A997" s="3">
        <f>IFERROR(__xludf.DUMMYFUNCTION("""COMPUTED_VALUE"""),60000.0)</f>
        <v>60000</v>
      </c>
      <c r="B997" s="1" t="str">
        <f>IFERROR(__xludf.DUMMYFUNCTION("""COMPUTED_VALUE"""),"36")</f>
        <v>36</v>
      </c>
    </row>
    <row r="998" ht="15.75" customHeight="1">
      <c r="A998" s="3">
        <f>IFERROR(__xludf.DUMMYFUNCTION("""COMPUTED_VALUE"""),90000.0)</f>
        <v>90000</v>
      </c>
      <c r="B998" s="1" t="str">
        <f>IFERROR(__xludf.DUMMYFUNCTION("""COMPUTED_VALUE"""),"38")</f>
        <v>38</v>
      </c>
    </row>
    <row r="999" ht="15.75" customHeight="1">
      <c r="A999" s="3">
        <f>IFERROR(__xludf.DUMMYFUNCTION("""COMPUTED_VALUE"""),60000.0)</f>
        <v>60000</v>
      </c>
      <c r="B999" s="1" t="str">
        <f>IFERROR(__xludf.DUMMYFUNCTION("""COMPUTED_VALUE"""),"34")</f>
        <v>34</v>
      </c>
    </row>
    <row r="1000" ht="15.75" customHeight="1">
      <c r="A1000" s="3">
        <f>IFERROR(__xludf.DUMMYFUNCTION("""COMPUTED_VALUE"""),50000.0)</f>
        <v>50000</v>
      </c>
      <c r="B1000" s="1" t="str">
        <f>IFERROR(__xludf.DUMMYFUNCTION("""COMPUTED_VALUE"""),"63")</f>
        <v>63</v>
      </c>
    </row>
    <row r="1001" ht="15.75" customHeight="1">
      <c r="A1001" s="3">
        <f>IFERROR(__xludf.DUMMYFUNCTION("""COMPUTED_VALUE"""),50000.0)</f>
        <v>50000</v>
      </c>
      <c r="B1001" s="1" t="str">
        <f>IFERROR(__xludf.DUMMYFUNCTION("""COMPUTED_VALUE"""),"41")</f>
        <v>41</v>
      </c>
    </row>
    <row r="1002" ht="15.75" customHeight="1">
      <c r="A1002" s="3">
        <f>IFERROR(__xludf.DUMMYFUNCTION("""COMPUTED_VALUE"""),60000.0)</f>
        <v>60000</v>
      </c>
      <c r="B1002" s="1" t="str">
        <f>IFERROR(__xludf.DUMMYFUNCTION("""COMPUTED_VALUE"""),"39")</f>
        <v>39</v>
      </c>
    </row>
    <row r="1003" ht="15.75" customHeight="1">
      <c r="A1003" s="3">
        <f>IFERROR(__xludf.DUMMYFUNCTION("""COMPUTED_VALUE"""),40000.0)</f>
        <v>40000</v>
      </c>
      <c r="B1003" s="1" t="str">
        <f>IFERROR(__xludf.DUMMYFUNCTION("""COMPUTED_VALUE"""),"46")</f>
        <v>46</v>
      </c>
    </row>
    <row r="1004" ht="15.75" customHeight="1">
      <c r="A1004" s="3">
        <f>IFERROR(__xludf.DUMMYFUNCTION("""COMPUTED_VALUE"""),80000.0)</f>
        <v>80000</v>
      </c>
      <c r="B1004" s="1" t="str">
        <f>IFERROR(__xludf.DUMMYFUNCTION("""COMPUTED_VALUE"""),"64")</f>
        <v>64</v>
      </c>
    </row>
    <row r="1005" ht="15.75" customHeight="1">
      <c r="A1005" s="3">
        <f>IFERROR(__xludf.DUMMYFUNCTION("""COMPUTED_VALUE"""),40000.0)</f>
        <v>40000</v>
      </c>
      <c r="B1005" s="1" t="str">
        <f>IFERROR(__xludf.DUMMYFUNCTION("""COMPUTED_VALUE"""),"32")</f>
        <v>32</v>
      </c>
    </row>
    <row r="1006" ht="15.75" customHeight="1">
      <c r="A1006" s="3">
        <f>IFERROR(__xludf.DUMMYFUNCTION("""COMPUTED_VALUE"""),60000.0)</f>
        <v>60000</v>
      </c>
      <c r="B1006" s="1" t="str">
        <f>IFERROR(__xludf.DUMMYFUNCTION("""COMPUTED_VALUE"""),"36")</f>
        <v>36</v>
      </c>
    </row>
    <row r="1007" ht="15.75" customHeight="1">
      <c r="A1007" s="3">
        <f>IFERROR(__xludf.DUMMYFUNCTION("""COMPUTED_VALUE"""),80000.0)</f>
        <v>80000</v>
      </c>
      <c r="B1007" s="1" t="str">
        <f>IFERROR(__xludf.DUMMYFUNCTION("""COMPUTED_VALUE"""),"47")</f>
        <v>47</v>
      </c>
    </row>
    <row r="1008" ht="15.75" customHeight="1">
      <c r="A1008" s="3">
        <f>IFERROR(__xludf.DUMMYFUNCTION("""COMPUTED_VALUE"""),60000.0)</f>
        <v>60000</v>
      </c>
      <c r="B1008" s="1" t="str">
        <f>IFERROR(__xludf.DUMMYFUNCTION("""COMPUTED_VALUE"""),"64")</f>
        <v>64</v>
      </c>
    </row>
    <row r="1009" ht="15.75" customHeight="1">
      <c r="A1009" s="3">
        <f>IFERROR(__xludf.DUMMYFUNCTION("""COMPUTED_VALUE"""),70000.0)</f>
        <v>70000</v>
      </c>
      <c r="B1009" s="1" t="str">
        <f>IFERROR(__xludf.DUMMYFUNCTION("""COMPUTED_VALUE"""),"35")</f>
        <v>35</v>
      </c>
    </row>
    <row r="1010" ht="15.75" customHeight="1">
      <c r="A1010" s="3">
        <f>IFERROR(__xludf.DUMMYFUNCTION("""COMPUTED_VALUE"""),110000.0)</f>
        <v>110000</v>
      </c>
      <c r="B1010" s="1" t="str">
        <f>IFERROR(__xludf.DUMMYFUNCTION("""COMPUTED_VALUE"""),"40")</f>
        <v>40</v>
      </c>
    </row>
    <row r="1011" ht="15.75" customHeight="1">
      <c r="A1011" s="3">
        <f>IFERROR(__xludf.DUMMYFUNCTION("""COMPUTED_VALUE"""),70000.0)</f>
        <v>70000</v>
      </c>
      <c r="B1011" s="1" t="str">
        <f>IFERROR(__xludf.DUMMYFUNCTION("""COMPUTED_VALUE"""),"34")</f>
        <v>34</v>
      </c>
    </row>
    <row r="1012" ht="15.75" customHeight="1">
      <c r="A1012" s="3">
        <f>IFERROR(__xludf.DUMMYFUNCTION("""COMPUTED_VALUE"""),40000.0)</f>
        <v>40000</v>
      </c>
      <c r="B1012" s="1" t="str">
        <f>IFERROR(__xludf.DUMMYFUNCTION("""COMPUTED_VALUE"""),"61")</f>
        <v>61</v>
      </c>
    </row>
    <row r="1013" ht="15.75" customHeight="1">
      <c r="A1013" s="3">
        <f>IFERROR(__xludf.DUMMYFUNCTION("""COMPUTED_VALUE"""),30000.0)</f>
        <v>30000</v>
      </c>
      <c r="B1013" s="1" t="str">
        <f>IFERROR(__xludf.DUMMYFUNCTION("""COMPUTED_VALUE"""),"51")</f>
        <v>51</v>
      </c>
    </row>
    <row r="1014" ht="15.75" customHeight="1">
      <c r="A1014" s="3">
        <f>IFERROR(__xludf.DUMMYFUNCTION("""COMPUTED_VALUE"""),70000.0)</f>
        <v>70000</v>
      </c>
      <c r="B1014" s="1" t="str">
        <f>IFERROR(__xludf.DUMMYFUNCTION("""COMPUTED_VALUE"""),"49")</f>
        <v>49</v>
      </c>
    </row>
    <row r="1015" ht="15.75" customHeight="1">
      <c r="A1015" s="3">
        <f>IFERROR(__xludf.DUMMYFUNCTION("""COMPUTED_VALUE"""),40000.0)</f>
        <v>40000</v>
      </c>
      <c r="B1015" s="1" t="str">
        <f>IFERROR(__xludf.DUMMYFUNCTION("""COMPUTED_VALUE"""),"54")</f>
        <v>54</v>
      </c>
    </row>
    <row r="1016" ht="15.75" customHeight="1">
      <c r="A1016" s="3">
        <f>IFERROR(__xludf.DUMMYFUNCTION("""COMPUTED_VALUE"""),70000.0)</f>
        <v>70000</v>
      </c>
      <c r="B1016" s="1" t="str">
        <f>IFERROR(__xludf.DUMMYFUNCTION("""COMPUTED_VALUE"""),"53")</f>
        <v>53</v>
      </c>
    </row>
    <row r="1017" ht="15.75" customHeight="1">
      <c r="A1017" s="3">
        <f>IFERROR(__xludf.DUMMYFUNCTION("""COMPUTED_VALUE"""),90000.0)</f>
        <v>90000</v>
      </c>
      <c r="B1017" s="1" t="str">
        <f>IFERROR(__xludf.DUMMYFUNCTION("""COMPUTED_VALUE"""),"48")</f>
        <v>48</v>
      </c>
    </row>
    <row r="1018" ht="15.75" customHeight="1">
      <c r="A1018" s="3">
        <f>IFERROR(__xludf.DUMMYFUNCTION("""COMPUTED_VALUE"""),50000.0)</f>
        <v>50000</v>
      </c>
      <c r="B1018" s="1" t="str">
        <f>IFERROR(__xludf.DUMMYFUNCTION("""COMPUTED_VALUE"""),"33")</f>
        <v>33</v>
      </c>
    </row>
    <row r="1019" ht="15.75" customHeight="1">
      <c r="A1019" s="3">
        <f>IFERROR(__xludf.DUMMYFUNCTION("""COMPUTED_VALUE"""),40000.0)</f>
        <v>40000</v>
      </c>
      <c r="B1019" s="1" t="str">
        <f>IFERROR(__xludf.DUMMYFUNCTION("""COMPUTED_VALUE"""),"57")</f>
        <v>57</v>
      </c>
    </row>
    <row r="1020" ht="15.75" customHeight="1">
      <c r="A1020" s="3">
        <f>IFERROR(__xludf.DUMMYFUNCTION("""COMPUTED_VALUE"""),70000.0)</f>
        <v>70000</v>
      </c>
      <c r="B1020" s="1" t="str">
        <f>IFERROR(__xludf.DUMMYFUNCTION("""COMPUTED_VALUE"""),"39")</f>
        <v>39</v>
      </c>
    </row>
    <row r="1021" ht="15.75" customHeight="1">
      <c r="A1021" s="3">
        <f>IFERROR(__xludf.DUMMYFUNCTION("""COMPUTED_VALUE"""),60000.0)</f>
        <v>60000</v>
      </c>
      <c r="B1021" s="1" t="str">
        <f>IFERROR(__xludf.DUMMYFUNCTION("""COMPUTED_VALUE"""),"48")</f>
        <v>48</v>
      </c>
    </row>
    <row r="1022" ht="15.75" customHeight="1">
      <c r="A1022" s="3">
        <f>IFERROR(__xludf.DUMMYFUNCTION("""COMPUTED_VALUE"""),60000.0)</f>
        <v>60000</v>
      </c>
      <c r="B1022" s="1" t="str">
        <f>IFERROR(__xludf.DUMMYFUNCTION("""COMPUTED_VALUE"""),"50")</f>
        <v>50</v>
      </c>
    </row>
    <row r="1023" ht="15.75" customHeight="1">
      <c r="A1023" s="3">
        <f>IFERROR(__xludf.DUMMYFUNCTION("""COMPUTED_VALUE"""),70000.0)</f>
        <v>70000</v>
      </c>
      <c r="B1023" s="1" t="str">
        <f>IFERROR(__xludf.DUMMYFUNCTION("""COMPUTED_VALUE"""),"47")</f>
        <v>47</v>
      </c>
    </row>
    <row r="1024" ht="15.75" customHeight="1">
      <c r="A1024" s="3">
        <f>IFERROR(__xludf.DUMMYFUNCTION("""COMPUTED_VALUE"""),40000.0)</f>
        <v>40000</v>
      </c>
      <c r="B1024" s="1" t="str">
        <f>IFERROR(__xludf.DUMMYFUNCTION("""COMPUTED_VALUE"""),"49")</f>
        <v>49</v>
      </c>
    </row>
    <row r="1025" ht="15.75" customHeight="1">
      <c r="A1025" s="3">
        <f>IFERROR(__xludf.DUMMYFUNCTION("""COMPUTED_VALUE"""),40000.0)</f>
        <v>40000</v>
      </c>
      <c r="B1025" s="1" t="str">
        <f>IFERROR(__xludf.DUMMYFUNCTION("""COMPUTED_VALUE"""),"27")</f>
        <v>27</v>
      </c>
    </row>
    <row r="1026" ht="15.75" customHeight="1">
      <c r="A1026" s="3">
        <f>IFERROR(__xludf.DUMMYFUNCTION("""COMPUTED_VALUE"""),60000.0)</f>
        <v>60000</v>
      </c>
      <c r="B1026" s="1" t="str">
        <f>IFERROR(__xludf.DUMMYFUNCTION("""COMPUTED_VALUE"""),"59")</f>
        <v>59</v>
      </c>
    </row>
    <row r="1027" ht="15.75" customHeight="1">
      <c r="A1027" s="3">
        <f>IFERROR(__xludf.DUMMYFUNCTION("""COMPUTED_VALUE"""),60000.0)</f>
        <v>60000</v>
      </c>
      <c r="B1027" s="1" t="str">
        <f>IFERROR(__xludf.DUMMYFUNCTION("""COMPUTED_VALUE"""),"45")</f>
        <v>45</v>
      </c>
    </row>
    <row r="1028" ht="15.75" customHeight="1">
      <c r="A1028" s="3">
        <f>IFERROR(__xludf.DUMMYFUNCTION("""COMPUTED_VALUE"""),60000.0)</f>
        <v>60000</v>
      </c>
      <c r="B1028" s="1" t="str">
        <f>IFERROR(__xludf.DUMMYFUNCTION("""COMPUTED_VALUE"""),"60")</f>
        <v>60</v>
      </c>
    </row>
    <row r="1029" ht="15.75" customHeight="1">
      <c r="A1029" s="3">
        <f>IFERROR(__xludf.DUMMYFUNCTION("""COMPUTED_VALUE"""),70000.0)</f>
        <v>70000</v>
      </c>
      <c r="B1029" s="1" t="str">
        <f>IFERROR(__xludf.DUMMYFUNCTION("""COMPUTED_VALUE"""),"36")</f>
        <v>36</v>
      </c>
    </row>
    <row r="1030" ht="15.75" customHeight="1">
      <c r="A1030" s="3">
        <f>IFERROR(__xludf.DUMMYFUNCTION("""COMPUTED_VALUE"""),40000.0)</f>
        <v>40000</v>
      </c>
      <c r="B1030" s="1" t="str">
        <f>IFERROR(__xludf.DUMMYFUNCTION("""COMPUTED_VALUE"""),"27")</f>
        <v>27</v>
      </c>
    </row>
    <row r="1031" ht="15.75" customHeight="1">
      <c r="A1031" s="3">
        <f>IFERROR(__xludf.DUMMYFUNCTION("""COMPUTED_VALUE"""),80000.0)</f>
        <v>80000</v>
      </c>
      <c r="B1031" s="1" t="str">
        <f>IFERROR(__xludf.DUMMYFUNCTION("""COMPUTED_VALUE"""),"50")</f>
        <v>50</v>
      </c>
    </row>
    <row r="1032" ht="15.75" customHeight="1">
      <c r="A1032" s="3">
        <f>IFERROR(__xludf.DUMMYFUNCTION("""COMPUTED_VALUE"""),60000.0)</f>
        <v>60000</v>
      </c>
      <c r="B1032" s="1" t="str">
        <f>IFERROR(__xludf.DUMMYFUNCTION("""COMPUTED_VALUE"""),"35")</f>
        <v>35</v>
      </c>
    </row>
    <row r="1033" ht="15.75" customHeight="1">
      <c r="A1033" s="3">
        <f>IFERROR(__xludf.DUMMYFUNCTION("""COMPUTED_VALUE"""),60000.0)</f>
        <v>60000</v>
      </c>
      <c r="B1033" s="1" t="str">
        <f>IFERROR(__xludf.DUMMYFUNCTION("""COMPUTED_VALUE"""),"34")</f>
        <v>34</v>
      </c>
    </row>
    <row r="1034" ht="15.75" customHeight="1">
      <c r="A1034" s="3">
        <f>IFERROR(__xludf.DUMMYFUNCTION("""COMPUTED_VALUE"""),40000.0)</f>
        <v>40000</v>
      </c>
      <c r="B1034" s="1" t="str">
        <f>IFERROR(__xludf.DUMMYFUNCTION("""COMPUTED_VALUE"""),"54")</f>
        <v>54</v>
      </c>
    </row>
    <row r="1035" ht="15.75" customHeight="1">
      <c r="A1035" s="3">
        <f>IFERROR(__xludf.DUMMYFUNCTION("""COMPUTED_VALUE"""),60000.0)</f>
        <v>60000</v>
      </c>
      <c r="B1035" s="1" t="str">
        <f>IFERROR(__xludf.DUMMYFUNCTION("""COMPUTED_VALUE"""),"42")</f>
        <v>42</v>
      </c>
    </row>
    <row r="1036" ht="15.75" customHeight="1">
      <c r="A1036" s="3">
        <f>IFERROR(__xludf.DUMMYFUNCTION("""COMPUTED_VALUE"""),50000.0)</f>
        <v>50000</v>
      </c>
      <c r="B1036" s="1" t="str">
        <f>IFERROR(__xludf.DUMMYFUNCTION("""COMPUTED_VALUE"""),"34")</f>
        <v>34</v>
      </c>
    </row>
    <row r="1037" ht="15.75" customHeight="1">
      <c r="A1037" s="3">
        <f>IFERROR(__xludf.DUMMYFUNCTION("""COMPUTED_VALUE"""),50000.0)</f>
        <v>50000</v>
      </c>
      <c r="B1037" s="1" t="str">
        <f>IFERROR(__xludf.DUMMYFUNCTION("""COMPUTED_VALUE"""),"38")</f>
        <v>38</v>
      </c>
    </row>
    <row r="1038" ht="15.75" customHeight="1">
      <c r="A1038" s="3">
        <f>IFERROR(__xludf.DUMMYFUNCTION("""COMPUTED_VALUE"""),90000.0)</f>
        <v>90000</v>
      </c>
      <c r="B1038" s="1" t="str">
        <f>IFERROR(__xludf.DUMMYFUNCTION("""COMPUTED_VALUE"""),"63")</f>
        <v>63</v>
      </c>
    </row>
    <row r="1039" ht="15.75" customHeight="1">
      <c r="A1039" s="3">
        <f>IFERROR(__xludf.DUMMYFUNCTION("""COMPUTED_VALUE"""),90000.0)</f>
        <v>90000</v>
      </c>
      <c r="B1039" s="1" t="str">
        <f>IFERROR(__xludf.DUMMYFUNCTION("""COMPUTED_VALUE"""),"45")</f>
        <v>45</v>
      </c>
    </row>
    <row r="1040" ht="15.75" customHeight="1">
      <c r="A1040" s="3">
        <f>IFERROR(__xludf.DUMMYFUNCTION("""COMPUTED_VALUE"""),60000.0)</f>
        <v>60000</v>
      </c>
      <c r="B1040" s="1" t="str">
        <f>IFERROR(__xludf.DUMMYFUNCTION("""COMPUTED_VALUE"""),"40")</f>
        <v>40</v>
      </c>
    </row>
    <row r="1041" ht="15.75" customHeight="1">
      <c r="A1041" s="3">
        <f>IFERROR(__xludf.DUMMYFUNCTION("""COMPUTED_VALUE"""),70000.0)</f>
        <v>70000</v>
      </c>
      <c r="B1041" s="1" t="str">
        <f>IFERROR(__xludf.DUMMYFUNCTION("""COMPUTED_VALUE"""),"53")</f>
        <v>53</v>
      </c>
    </row>
    <row r="1042" ht="15.75" customHeight="1">
      <c r="A1042" s="3">
        <f>IFERROR(__xludf.DUMMYFUNCTION("""COMPUTED_VALUE"""),70000.0)</f>
        <v>70000</v>
      </c>
      <c r="B1042" s="1" t="str">
        <f>IFERROR(__xludf.DUMMYFUNCTION("""COMPUTED_VALUE"""),"34")</f>
        <v>34</v>
      </c>
    </row>
    <row r="1043" ht="15.75" customHeight="1">
      <c r="A1043" s="3">
        <f>IFERROR(__xludf.DUMMYFUNCTION("""COMPUTED_VALUE"""),70000.0)</f>
        <v>70000</v>
      </c>
      <c r="B1043" s="1" t="str">
        <f>IFERROR(__xludf.DUMMYFUNCTION("""COMPUTED_VALUE"""),"38")</f>
        <v>38</v>
      </c>
    </row>
    <row r="1044" ht="15.75" customHeight="1">
      <c r="A1044" s="3">
        <f>IFERROR(__xludf.DUMMYFUNCTION("""COMPUTED_VALUE"""),70000.0)</f>
        <v>70000</v>
      </c>
      <c r="B1044" s="1" t="str">
        <f>IFERROR(__xludf.DUMMYFUNCTION("""COMPUTED_VALUE"""),"59")</f>
        <v>59</v>
      </c>
    </row>
    <row r="1045" ht="15.75" customHeight="1">
      <c r="A1045" s="3">
        <f>IFERROR(__xludf.DUMMYFUNCTION("""COMPUTED_VALUE"""),40000.0)</f>
        <v>40000</v>
      </c>
      <c r="B1045" s="1" t="str">
        <f>IFERROR(__xludf.DUMMYFUNCTION("""COMPUTED_VALUE"""),"30")</f>
        <v>30</v>
      </c>
    </row>
    <row r="1046" ht="15.75" customHeight="1">
      <c r="A1046" s="3">
        <f>IFERROR(__xludf.DUMMYFUNCTION("""COMPUTED_VALUE"""),60000.0)</f>
        <v>60000</v>
      </c>
      <c r="B1046" s="1" t="str">
        <f>IFERROR(__xludf.DUMMYFUNCTION("""COMPUTED_VALUE"""),"48")</f>
        <v>48</v>
      </c>
    </row>
    <row r="1047" ht="15.75" customHeight="1">
      <c r="A1047" s="3">
        <f>IFERROR(__xludf.DUMMYFUNCTION("""COMPUTED_VALUE"""),40000.0)</f>
        <v>40000</v>
      </c>
      <c r="B1047" s="1" t="str">
        <f>IFERROR(__xludf.DUMMYFUNCTION("""COMPUTED_VALUE"""),"43")</f>
        <v>43</v>
      </c>
    </row>
    <row r="1048" ht="15.75" customHeight="1">
      <c r="A1048" s="3">
        <f>IFERROR(__xludf.DUMMYFUNCTION("""COMPUTED_VALUE"""),70000.0)</f>
        <v>70000</v>
      </c>
      <c r="B1048" s="1" t="str">
        <f>IFERROR(__xludf.DUMMYFUNCTION("""COMPUTED_VALUE"""),"35")</f>
        <v>35</v>
      </c>
    </row>
    <row r="1049" ht="15.75" customHeight="1">
      <c r="A1049" s="3">
        <f>IFERROR(__xludf.DUMMYFUNCTION("""COMPUTED_VALUE"""),60000.0)</f>
        <v>60000</v>
      </c>
      <c r="B1049" s="1" t="str">
        <f>IFERROR(__xludf.DUMMYFUNCTION("""COMPUTED_VALUE"""),"30")</f>
        <v>30</v>
      </c>
    </row>
    <row r="1050" ht="15.75" customHeight="1">
      <c r="A1050" s="3">
        <f>IFERROR(__xludf.DUMMYFUNCTION("""COMPUTED_VALUE"""),90000.0)</f>
        <v>90000</v>
      </c>
      <c r="B1050" s="1" t="str">
        <f>IFERROR(__xludf.DUMMYFUNCTION("""COMPUTED_VALUE"""),"47")</f>
        <v>47</v>
      </c>
    </row>
    <row r="1051" ht="15.75" customHeight="1">
      <c r="A1051" s="3">
        <f>IFERROR(__xludf.DUMMYFUNCTION("""COMPUTED_VALUE"""),60000.0)</f>
        <v>60000</v>
      </c>
      <c r="B1051" s="1" t="str">
        <f>IFERROR(__xludf.DUMMYFUNCTION("""COMPUTED_VALUE"""),"45")</f>
        <v>45</v>
      </c>
    </row>
    <row r="1052" ht="15.75" customHeight="1">
      <c r="A1052" s="3">
        <f>IFERROR(__xludf.DUMMYFUNCTION("""COMPUTED_VALUE"""),100000.0)</f>
        <v>100000</v>
      </c>
      <c r="B1052" s="1" t="str">
        <f>IFERROR(__xludf.DUMMYFUNCTION("""COMPUTED_VALUE"""),"45")</f>
        <v>45</v>
      </c>
    </row>
    <row r="1053" ht="15.75" customHeight="1">
      <c r="A1053" s="3">
        <f>IFERROR(__xludf.DUMMYFUNCTION("""COMPUTED_VALUE"""),120000.0)</f>
        <v>120000</v>
      </c>
      <c r="B1053" s="1" t="str">
        <f>IFERROR(__xludf.DUMMYFUNCTION("""COMPUTED_VALUE"""),"62")</f>
        <v>62</v>
      </c>
    </row>
    <row r="1054" ht="15.75" customHeight="1">
      <c r="A1054" s="3">
        <f>IFERROR(__xludf.DUMMYFUNCTION("""COMPUTED_VALUE"""),60000.0)</f>
        <v>60000</v>
      </c>
      <c r="B1054" s="1" t="str">
        <f>IFERROR(__xludf.DUMMYFUNCTION("""COMPUTED_VALUE"""),"55")</f>
        <v>55</v>
      </c>
    </row>
    <row r="1055" ht="15.75" customHeight="1">
      <c r="A1055" s="3">
        <f>IFERROR(__xludf.DUMMYFUNCTION("""COMPUTED_VALUE"""),90000.0)</f>
        <v>90000</v>
      </c>
      <c r="B1055" s="1" t="str">
        <f>IFERROR(__xludf.DUMMYFUNCTION("""COMPUTED_VALUE"""),"66")</f>
        <v>66</v>
      </c>
    </row>
    <row r="1056" ht="15.75" customHeight="1">
      <c r="A1056" s="3">
        <f>IFERROR(__xludf.DUMMYFUNCTION("""COMPUTED_VALUE"""),70000.0)</f>
        <v>70000</v>
      </c>
      <c r="B1056" s="1" t="str">
        <f>IFERROR(__xludf.DUMMYFUNCTION("""COMPUTED_VALUE"""),"56")</f>
        <v>56</v>
      </c>
    </row>
    <row r="1057" ht="15.75" customHeight="1">
      <c r="A1057" s="3">
        <f>IFERROR(__xludf.DUMMYFUNCTION("""COMPUTED_VALUE"""),50000.0)</f>
        <v>50000</v>
      </c>
      <c r="B1057" s="1" t="str">
        <f>IFERROR(__xludf.DUMMYFUNCTION("""COMPUTED_VALUE"""),"40")</f>
        <v>40</v>
      </c>
    </row>
    <row r="1058" ht="15.75" customHeight="1">
      <c r="A1058" s="3">
        <f>IFERROR(__xludf.DUMMYFUNCTION("""COMPUTED_VALUE"""),50000.0)</f>
        <v>50000</v>
      </c>
      <c r="B1058" s="1" t="str">
        <f>IFERROR(__xludf.DUMMYFUNCTION("""COMPUTED_VALUE"""),"33")</f>
        <v>33</v>
      </c>
    </row>
    <row r="1059" ht="15.75" customHeight="1">
      <c r="A1059" s="3">
        <f>IFERROR(__xludf.DUMMYFUNCTION("""COMPUTED_VALUE"""),80000.0)</f>
        <v>80000</v>
      </c>
      <c r="B1059" s="1" t="str">
        <f>IFERROR(__xludf.DUMMYFUNCTION("""COMPUTED_VALUE"""),"56")</f>
        <v>56</v>
      </c>
    </row>
    <row r="1060" ht="15.75" customHeight="1">
      <c r="A1060" s="3">
        <f>IFERROR(__xludf.DUMMYFUNCTION("""COMPUTED_VALUE"""),30000.0)</f>
        <v>30000</v>
      </c>
      <c r="B1060" s="1" t="str">
        <f>IFERROR(__xludf.DUMMYFUNCTION("""COMPUTED_VALUE"""),"27")</f>
        <v>27</v>
      </c>
    </row>
    <row r="1061" ht="15.75" customHeight="1">
      <c r="A1061" s="3">
        <f>IFERROR(__xludf.DUMMYFUNCTION("""COMPUTED_VALUE"""),60000.0)</f>
        <v>60000</v>
      </c>
      <c r="B1061" s="1" t="str">
        <f>IFERROR(__xludf.DUMMYFUNCTION("""COMPUTED_VALUE"""),"39")</f>
        <v>39</v>
      </c>
    </row>
    <row r="1062" ht="15.75" customHeight="1">
      <c r="A1062" s="3">
        <f>IFERROR(__xludf.DUMMYFUNCTION("""COMPUTED_VALUE"""),60000.0)</f>
        <v>60000</v>
      </c>
      <c r="B1062" s="1" t="str">
        <f>IFERROR(__xludf.DUMMYFUNCTION("""COMPUTED_VALUE"""),"31")</f>
        <v>31</v>
      </c>
    </row>
    <row r="1063" ht="15.75" customHeight="1">
      <c r="A1063" s="3">
        <f>IFERROR(__xludf.DUMMYFUNCTION("""COMPUTED_VALUE"""),60000.0)</f>
        <v>60000</v>
      </c>
      <c r="B1063" s="1" t="str">
        <f>IFERROR(__xludf.DUMMYFUNCTION("""COMPUTED_VALUE"""),"51")</f>
        <v>51</v>
      </c>
    </row>
    <row r="1064" ht="15.75" customHeight="1">
      <c r="A1064" s="3">
        <f>IFERROR(__xludf.DUMMYFUNCTION("""COMPUTED_VALUE"""),30000.0)</f>
        <v>30000</v>
      </c>
      <c r="B1064" s="1" t="str">
        <f>IFERROR(__xludf.DUMMYFUNCTION("""COMPUTED_VALUE"""),"52")</f>
        <v>52</v>
      </c>
    </row>
    <row r="1065" ht="15.75" customHeight="1">
      <c r="A1065" s="3">
        <f>IFERROR(__xludf.DUMMYFUNCTION("""COMPUTED_VALUE"""),60000.0)</f>
        <v>60000</v>
      </c>
      <c r="B1065" s="1" t="str">
        <f>IFERROR(__xludf.DUMMYFUNCTION("""COMPUTED_VALUE"""),"47")</f>
        <v>47</v>
      </c>
      <c r="D1065" s="1" t="str">
        <f>IFERROR(__xludf.DUMMYFUNCTION("QUERY(Import!A:L, ""SELECT A, D, E, I, L"")
"),"ID")</f>
        <v>ID</v>
      </c>
      <c r="E1065" s="1" t="str">
        <f>IFERROR(__xludf.DUMMYFUNCTION("""COMPUTED_VALUE"""),"Income")</f>
        <v>Income</v>
      </c>
      <c r="F1065" s="1" t="str">
        <f>IFERROR(__xludf.DUMMYFUNCTION("""COMPUTED_VALUE"""),"Children")</f>
        <v>Children</v>
      </c>
      <c r="G1065" s="1" t="str">
        <f>IFERROR(__xludf.DUMMYFUNCTION("""COMPUTED_VALUE"""),"Cars")</f>
        <v>Cars</v>
      </c>
      <c r="H1065" s="1" t="str">
        <f>IFERROR(__xludf.DUMMYFUNCTION("""COMPUTED_VALUE"""),"Age")</f>
        <v>Age</v>
      </c>
    </row>
    <row r="1066" ht="15.75" customHeight="1">
      <c r="A1066" s="3">
        <f>IFERROR(__xludf.DUMMYFUNCTION("""COMPUTED_VALUE"""),70000.0)</f>
        <v>70000</v>
      </c>
      <c r="B1066" s="1" t="str">
        <f>IFERROR(__xludf.DUMMYFUNCTION("""COMPUTED_VALUE"""),"53")</f>
        <v>53</v>
      </c>
      <c r="D1066" s="1" t="str">
        <f>IFERROR(__xludf.DUMMYFUNCTION("""COMPUTED_VALUE"""),"12496")</f>
        <v>12496</v>
      </c>
      <c r="E1066" s="3">
        <f>IFERROR(__xludf.DUMMYFUNCTION("""COMPUTED_VALUE"""),40000.0)</f>
        <v>40000</v>
      </c>
      <c r="F1066" s="1" t="str">
        <f>IFERROR(__xludf.DUMMYFUNCTION("""COMPUTED_VALUE"""),"1")</f>
        <v>1</v>
      </c>
      <c r="G1066" s="1" t="str">
        <f>IFERROR(__xludf.DUMMYFUNCTION("""COMPUTED_VALUE"""),"0")</f>
        <v>0</v>
      </c>
      <c r="H1066" s="1" t="str">
        <f>IFERROR(__xludf.DUMMYFUNCTION("""COMPUTED_VALUE"""),"42")</f>
        <v>42</v>
      </c>
    </row>
    <row r="1067" ht="15.75" customHeight="1">
      <c r="A1067" s="3">
        <f>IFERROR(__xludf.DUMMYFUNCTION("""COMPUTED_VALUE"""),70000.0)</f>
        <v>70000</v>
      </c>
      <c r="B1067" s="1" t="str">
        <f>IFERROR(__xludf.DUMMYFUNCTION("""COMPUTED_VALUE"""),"35")</f>
        <v>35</v>
      </c>
      <c r="D1067" s="1" t="str">
        <f>IFERROR(__xludf.DUMMYFUNCTION("""COMPUTED_VALUE"""),"24107")</f>
        <v>24107</v>
      </c>
      <c r="E1067" s="3">
        <f>IFERROR(__xludf.DUMMYFUNCTION("""COMPUTED_VALUE"""),30000.0)</f>
        <v>30000</v>
      </c>
      <c r="F1067" s="1" t="str">
        <f>IFERROR(__xludf.DUMMYFUNCTION("""COMPUTED_VALUE"""),"3")</f>
        <v>3</v>
      </c>
      <c r="G1067" s="1" t="str">
        <f>IFERROR(__xludf.DUMMYFUNCTION("""COMPUTED_VALUE"""),"1")</f>
        <v>1</v>
      </c>
      <c r="H1067" s="1" t="str">
        <f>IFERROR(__xludf.DUMMYFUNCTION("""COMPUTED_VALUE"""),"43")</f>
        <v>43</v>
      </c>
    </row>
    <row r="1068" ht="15.75" customHeight="1">
      <c r="A1068" s="3">
        <f>IFERROR(__xludf.DUMMYFUNCTION("""COMPUTED_VALUE"""),60000.0)</f>
        <v>60000</v>
      </c>
      <c r="B1068" s="1" t="str">
        <f>IFERROR(__xludf.DUMMYFUNCTION("""COMPUTED_VALUE"""),"66")</f>
        <v>66</v>
      </c>
      <c r="D1068" s="1" t="str">
        <f>IFERROR(__xludf.DUMMYFUNCTION("""COMPUTED_VALUE"""),"14177")</f>
        <v>14177</v>
      </c>
      <c r="E1068" s="3">
        <f>IFERROR(__xludf.DUMMYFUNCTION("""COMPUTED_VALUE"""),80000.0)</f>
        <v>80000</v>
      </c>
      <c r="F1068" s="1" t="str">
        <f>IFERROR(__xludf.DUMMYFUNCTION("""COMPUTED_VALUE"""),"5")</f>
        <v>5</v>
      </c>
      <c r="G1068" s="1" t="str">
        <f>IFERROR(__xludf.DUMMYFUNCTION("""COMPUTED_VALUE"""),"2")</f>
        <v>2</v>
      </c>
      <c r="H1068" s="1" t="str">
        <f>IFERROR(__xludf.DUMMYFUNCTION("""COMPUTED_VALUE"""),"60")</f>
        <v>60</v>
      </c>
    </row>
    <row r="1069" ht="15.75" customHeight="1">
      <c r="A1069" s="3">
        <f>IFERROR(__xludf.DUMMYFUNCTION("""COMPUTED_VALUE"""),80000.0)</f>
        <v>80000</v>
      </c>
      <c r="B1069" s="1" t="str">
        <f>IFERROR(__xludf.DUMMYFUNCTION("""COMPUTED_VALUE"""),"65")</f>
        <v>65</v>
      </c>
      <c r="D1069" s="1" t="str">
        <f>IFERROR(__xludf.DUMMYFUNCTION("""COMPUTED_VALUE"""),"24381")</f>
        <v>24381</v>
      </c>
      <c r="E1069" s="3">
        <f>IFERROR(__xludf.DUMMYFUNCTION("""COMPUTED_VALUE"""),70000.0)</f>
        <v>70000</v>
      </c>
      <c r="F1069" s="1" t="str">
        <f>IFERROR(__xludf.DUMMYFUNCTION("""COMPUTED_VALUE"""),"0")</f>
        <v>0</v>
      </c>
      <c r="G1069" s="1" t="str">
        <f>IFERROR(__xludf.DUMMYFUNCTION("""COMPUTED_VALUE"""),"1")</f>
        <v>1</v>
      </c>
      <c r="H1069" s="1" t="str">
        <f>IFERROR(__xludf.DUMMYFUNCTION("""COMPUTED_VALUE"""),"41")</f>
        <v>41</v>
      </c>
    </row>
    <row r="1070" ht="15.75" customHeight="1">
      <c r="A1070" s="3">
        <f>IFERROR(__xludf.DUMMYFUNCTION("""COMPUTED_VALUE"""),80000.0)</f>
        <v>80000</v>
      </c>
      <c r="B1070" s="1" t="str">
        <f>IFERROR(__xludf.DUMMYFUNCTION("""COMPUTED_VALUE"""),"45")</f>
        <v>45</v>
      </c>
      <c r="D1070" s="1" t="str">
        <f>IFERROR(__xludf.DUMMYFUNCTION("""COMPUTED_VALUE"""),"25597")</f>
        <v>25597</v>
      </c>
      <c r="E1070" s="3">
        <f>IFERROR(__xludf.DUMMYFUNCTION("""COMPUTED_VALUE"""),30000.0)</f>
        <v>30000</v>
      </c>
      <c r="F1070" s="1" t="str">
        <f>IFERROR(__xludf.DUMMYFUNCTION("""COMPUTED_VALUE"""),"0")</f>
        <v>0</v>
      </c>
      <c r="G1070" s="1" t="str">
        <f>IFERROR(__xludf.DUMMYFUNCTION("""COMPUTED_VALUE"""),"0")</f>
        <v>0</v>
      </c>
      <c r="H1070" s="1" t="str">
        <f>IFERROR(__xludf.DUMMYFUNCTION("""COMPUTED_VALUE"""),"36")</f>
        <v>36</v>
      </c>
    </row>
    <row r="1071" ht="15.75" customHeight="1">
      <c r="A1071" s="3">
        <f>IFERROR(__xludf.DUMMYFUNCTION("""COMPUTED_VALUE"""),40000.0)</f>
        <v>40000</v>
      </c>
      <c r="B1071" s="1" t="str">
        <f>IFERROR(__xludf.DUMMYFUNCTION("""COMPUTED_VALUE"""),"31")</f>
        <v>31</v>
      </c>
      <c r="D1071" s="1" t="str">
        <f>IFERROR(__xludf.DUMMYFUNCTION("""COMPUTED_VALUE"""),"13507")</f>
        <v>13507</v>
      </c>
      <c r="E1071" s="3">
        <f>IFERROR(__xludf.DUMMYFUNCTION("""COMPUTED_VALUE"""),10000.0)</f>
        <v>10000</v>
      </c>
      <c r="F1071" s="1" t="str">
        <f>IFERROR(__xludf.DUMMYFUNCTION("""COMPUTED_VALUE"""),"2")</f>
        <v>2</v>
      </c>
      <c r="G1071" s="1" t="str">
        <f>IFERROR(__xludf.DUMMYFUNCTION("""COMPUTED_VALUE"""),"0")</f>
        <v>0</v>
      </c>
      <c r="H1071" s="1" t="str">
        <f>IFERROR(__xludf.DUMMYFUNCTION("""COMPUTED_VALUE"""),"50")</f>
        <v>50</v>
      </c>
    </row>
    <row r="1072" ht="15.75" customHeight="1">
      <c r="A1072" s="3">
        <f>IFERROR(__xludf.DUMMYFUNCTION("""COMPUTED_VALUE"""),80000.0)</f>
        <v>80000</v>
      </c>
      <c r="B1072" s="1" t="str">
        <f>IFERROR(__xludf.DUMMYFUNCTION("""COMPUTED_VALUE"""),"40")</f>
        <v>40</v>
      </c>
      <c r="D1072" s="1" t="str">
        <f>IFERROR(__xludf.DUMMYFUNCTION("""COMPUTED_VALUE"""),"27974")</f>
        <v>27974</v>
      </c>
      <c r="E1072" s="3">
        <f>IFERROR(__xludf.DUMMYFUNCTION("""COMPUTED_VALUE"""),160000.0)</f>
        <v>160000</v>
      </c>
      <c r="F1072" s="1" t="str">
        <f>IFERROR(__xludf.DUMMYFUNCTION("""COMPUTED_VALUE"""),"2")</f>
        <v>2</v>
      </c>
      <c r="G1072" s="1" t="str">
        <f>IFERROR(__xludf.DUMMYFUNCTION("""COMPUTED_VALUE"""),"4")</f>
        <v>4</v>
      </c>
      <c r="H1072" s="1" t="str">
        <f>IFERROR(__xludf.DUMMYFUNCTION("""COMPUTED_VALUE"""),"33")</f>
        <v>33</v>
      </c>
    </row>
    <row r="1073" ht="15.75" customHeight="1">
      <c r="A1073" s="3">
        <f>IFERROR(__xludf.DUMMYFUNCTION("""COMPUTED_VALUE"""),110000.0)</f>
        <v>110000</v>
      </c>
      <c r="B1073" s="1" t="str">
        <f>IFERROR(__xludf.DUMMYFUNCTION("""COMPUTED_VALUE"""),"46")</f>
        <v>46</v>
      </c>
      <c r="D1073" s="1" t="str">
        <f>IFERROR(__xludf.DUMMYFUNCTION("""COMPUTED_VALUE"""),"19364")</f>
        <v>19364</v>
      </c>
      <c r="E1073" s="3">
        <f>IFERROR(__xludf.DUMMYFUNCTION("""COMPUTED_VALUE"""),40000.0)</f>
        <v>40000</v>
      </c>
      <c r="F1073" s="1" t="str">
        <f>IFERROR(__xludf.DUMMYFUNCTION("""COMPUTED_VALUE"""),"1")</f>
        <v>1</v>
      </c>
      <c r="G1073" s="1" t="str">
        <f>IFERROR(__xludf.DUMMYFUNCTION("""COMPUTED_VALUE"""),"0")</f>
        <v>0</v>
      </c>
      <c r="H1073" s="1" t="str">
        <f>IFERROR(__xludf.DUMMYFUNCTION("""COMPUTED_VALUE"""),"43")</f>
        <v>43</v>
      </c>
    </row>
    <row r="1074" ht="15.75" customHeight="1">
      <c r="A1074" s="3">
        <f>IFERROR(__xludf.DUMMYFUNCTION("""COMPUTED_VALUE"""),40000.0)</f>
        <v>40000</v>
      </c>
      <c r="B1074" s="1" t="str">
        <f>IFERROR(__xludf.DUMMYFUNCTION("""COMPUTED_VALUE"""),"47")</f>
        <v>47</v>
      </c>
      <c r="D1074" s="1" t="str">
        <f>IFERROR(__xludf.DUMMYFUNCTION("""COMPUTED_VALUE"""),"22155")</f>
        <v>22155</v>
      </c>
      <c r="E1074" s="3">
        <f>IFERROR(__xludf.DUMMYFUNCTION("""COMPUTED_VALUE"""),20000.0)</f>
        <v>20000</v>
      </c>
      <c r="F1074" s="1" t="str">
        <f>IFERROR(__xludf.DUMMYFUNCTION("""COMPUTED_VALUE"""),"2")</f>
        <v>2</v>
      </c>
      <c r="G1074" s="1" t="str">
        <f>IFERROR(__xludf.DUMMYFUNCTION("""COMPUTED_VALUE"""),"2")</f>
        <v>2</v>
      </c>
      <c r="H1074" s="1" t="str">
        <f>IFERROR(__xludf.DUMMYFUNCTION("""COMPUTED_VALUE"""),"58")</f>
        <v>58</v>
      </c>
    </row>
    <row r="1075" ht="15.75" customHeight="1">
      <c r="A1075" s="3">
        <f>IFERROR(__xludf.DUMMYFUNCTION("""COMPUTED_VALUE"""),130000.0)</f>
        <v>130000</v>
      </c>
      <c r="B1075" s="1" t="str">
        <f>IFERROR(__xludf.DUMMYFUNCTION("""COMPUTED_VALUE"""),"41")</f>
        <v>41</v>
      </c>
      <c r="D1075" s="1" t="str">
        <f>IFERROR(__xludf.DUMMYFUNCTION("""COMPUTED_VALUE"""),"22173")</f>
        <v>22173</v>
      </c>
      <c r="E1075" s="3">
        <f>IFERROR(__xludf.DUMMYFUNCTION("""COMPUTED_VALUE"""),30000.0)</f>
        <v>30000</v>
      </c>
      <c r="F1075" s="1" t="str">
        <f>IFERROR(__xludf.DUMMYFUNCTION("""COMPUTED_VALUE"""),"3")</f>
        <v>3</v>
      </c>
      <c r="G1075" s="1" t="str">
        <f>IFERROR(__xludf.DUMMYFUNCTION("""COMPUTED_VALUE"""),"2")</f>
        <v>2</v>
      </c>
      <c r="H1075" s="1" t="str">
        <f>IFERROR(__xludf.DUMMYFUNCTION("""COMPUTED_VALUE"""),"54")</f>
        <v>54</v>
      </c>
    </row>
    <row r="1076" ht="15.75" customHeight="1">
      <c r="A1076" s="3">
        <f>IFERROR(__xludf.DUMMYFUNCTION("""COMPUTED_VALUE"""),60000.0)</f>
        <v>60000</v>
      </c>
      <c r="B1076" s="1" t="str">
        <f>IFERROR(__xludf.DUMMYFUNCTION("""COMPUTED_VALUE"""),"48")</f>
        <v>48</v>
      </c>
      <c r="D1076" s="1" t="str">
        <f>IFERROR(__xludf.DUMMYFUNCTION("""COMPUTED_VALUE"""),"12697")</f>
        <v>12697</v>
      </c>
      <c r="E1076" s="3">
        <f>IFERROR(__xludf.DUMMYFUNCTION("""COMPUTED_VALUE"""),90000.0)</f>
        <v>90000</v>
      </c>
      <c r="F1076" s="1" t="str">
        <f>IFERROR(__xludf.DUMMYFUNCTION("""COMPUTED_VALUE"""),"0")</f>
        <v>0</v>
      </c>
      <c r="G1076" s="1" t="str">
        <f>IFERROR(__xludf.DUMMYFUNCTION("""COMPUTED_VALUE"""),"4")</f>
        <v>4</v>
      </c>
      <c r="H1076" s="1" t="str">
        <f>IFERROR(__xludf.DUMMYFUNCTION("""COMPUTED_VALUE"""),"36")</f>
        <v>36</v>
      </c>
    </row>
    <row r="1077" ht="15.75" customHeight="1">
      <c r="A1077" s="3">
        <f>IFERROR(__xludf.DUMMYFUNCTION("""COMPUTED_VALUE"""),50000.0)</f>
        <v>50000</v>
      </c>
      <c r="B1077" s="1" t="str">
        <f>IFERROR(__xludf.DUMMYFUNCTION("""COMPUTED_VALUE"""),"42")</f>
        <v>42</v>
      </c>
      <c r="D1077" s="1" t="str">
        <f>IFERROR(__xludf.DUMMYFUNCTION("""COMPUTED_VALUE"""),"25323")</f>
        <v>25323</v>
      </c>
      <c r="E1077" s="3">
        <f>IFERROR(__xludf.DUMMYFUNCTION("""COMPUTED_VALUE"""),40000.0)</f>
        <v>40000</v>
      </c>
      <c r="F1077" s="1" t="str">
        <f>IFERROR(__xludf.DUMMYFUNCTION("""COMPUTED_VALUE"""),"2")</f>
        <v>2</v>
      </c>
      <c r="G1077" s="1" t="str">
        <f>IFERROR(__xludf.DUMMYFUNCTION("""COMPUTED_VALUE"""),"1")</f>
        <v>1</v>
      </c>
      <c r="H1077" s="1" t="str">
        <f>IFERROR(__xludf.DUMMYFUNCTION("""COMPUTED_VALUE"""),"35")</f>
        <v>35</v>
      </c>
    </row>
    <row r="1078" ht="15.75" customHeight="1">
      <c r="A1078" s="3">
        <f>IFERROR(__xludf.DUMMYFUNCTION("""COMPUTED_VALUE"""),60000.0)</f>
        <v>60000</v>
      </c>
      <c r="B1078" s="1" t="str">
        <f>IFERROR(__xludf.DUMMYFUNCTION("""COMPUTED_VALUE"""),"66")</f>
        <v>66</v>
      </c>
      <c r="D1078" s="1" t="str">
        <f>IFERROR(__xludf.DUMMYFUNCTION("""COMPUTED_VALUE"""),"23542")</f>
        <v>23542</v>
      </c>
      <c r="E1078" s="3">
        <f>IFERROR(__xludf.DUMMYFUNCTION("""COMPUTED_VALUE"""),60000.0)</f>
        <v>60000</v>
      </c>
      <c r="F1078" s="1" t="str">
        <f>IFERROR(__xludf.DUMMYFUNCTION("""COMPUTED_VALUE"""),"1")</f>
        <v>1</v>
      </c>
      <c r="G1078" s="1" t="str">
        <f>IFERROR(__xludf.DUMMYFUNCTION("""COMPUTED_VALUE"""),"1")</f>
        <v>1</v>
      </c>
      <c r="H1078" s="1" t="str">
        <f>IFERROR(__xludf.DUMMYFUNCTION("""COMPUTED_VALUE"""),"45")</f>
        <v>45</v>
      </c>
    </row>
    <row r="1079" ht="15.75" customHeight="1">
      <c r="A1079" s="3">
        <f>IFERROR(__xludf.DUMMYFUNCTION("""COMPUTED_VALUE"""),70000.0)</f>
        <v>70000</v>
      </c>
      <c r="B1079" s="1" t="str">
        <f>IFERROR(__xludf.DUMMYFUNCTION("""COMPUTED_VALUE"""),"63")</f>
        <v>63</v>
      </c>
      <c r="D1079" s="1" t="str">
        <f>IFERROR(__xludf.DUMMYFUNCTION("""COMPUTED_VALUE"""),"20870")</f>
        <v>20870</v>
      </c>
      <c r="E1079" s="3">
        <f>IFERROR(__xludf.DUMMYFUNCTION("""COMPUTED_VALUE"""),10000.0)</f>
        <v>10000</v>
      </c>
      <c r="F1079" s="1" t="str">
        <f>IFERROR(__xludf.DUMMYFUNCTION("""COMPUTED_VALUE"""),"2")</f>
        <v>2</v>
      </c>
      <c r="G1079" s="1" t="str">
        <f>IFERROR(__xludf.DUMMYFUNCTION("""COMPUTED_VALUE"""),"1")</f>
        <v>1</v>
      </c>
      <c r="H1079" s="1" t="str">
        <f>IFERROR(__xludf.DUMMYFUNCTION("""COMPUTED_VALUE"""),"38")</f>
        <v>38</v>
      </c>
    </row>
    <row r="1080" ht="15.75" customHeight="1">
      <c r="A1080" s="3">
        <f>IFERROR(__xludf.DUMMYFUNCTION("""COMPUTED_VALUE"""),60000.0)</f>
        <v>60000</v>
      </c>
      <c r="B1080" s="1" t="str">
        <f>IFERROR(__xludf.DUMMYFUNCTION("""COMPUTED_VALUE"""),"42")</f>
        <v>42</v>
      </c>
      <c r="D1080" s="1" t="str">
        <f>IFERROR(__xludf.DUMMYFUNCTION("""COMPUTED_VALUE"""),"23316")</f>
        <v>23316</v>
      </c>
      <c r="E1080" s="3">
        <f>IFERROR(__xludf.DUMMYFUNCTION("""COMPUTED_VALUE"""),30000.0)</f>
        <v>30000</v>
      </c>
      <c r="F1080" s="1" t="str">
        <f>IFERROR(__xludf.DUMMYFUNCTION("""COMPUTED_VALUE"""),"3")</f>
        <v>3</v>
      </c>
      <c r="G1080" s="1" t="str">
        <f>IFERROR(__xludf.DUMMYFUNCTION("""COMPUTED_VALUE"""),"2")</f>
        <v>2</v>
      </c>
      <c r="H1080" s="1" t="str">
        <f>IFERROR(__xludf.DUMMYFUNCTION("""COMPUTED_VALUE"""),"59")</f>
        <v>59</v>
      </c>
    </row>
    <row r="1081" ht="15.75" customHeight="1">
      <c r="A1081" s="3">
        <f>IFERROR(__xludf.DUMMYFUNCTION("""COMPUTED_VALUE"""),30000.0)</f>
        <v>30000</v>
      </c>
      <c r="B1081" s="1" t="str">
        <f>IFERROR(__xludf.DUMMYFUNCTION("""COMPUTED_VALUE"""),"26")</f>
        <v>26</v>
      </c>
      <c r="D1081" s="1" t="str">
        <f>IFERROR(__xludf.DUMMYFUNCTION("""COMPUTED_VALUE"""),"12610")</f>
        <v>12610</v>
      </c>
      <c r="E1081" s="3">
        <f>IFERROR(__xludf.DUMMYFUNCTION("""COMPUTED_VALUE"""),30000.0)</f>
        <v>30000</v>
      </c>
      <c r="F1081" s="1" t="str">
        <f>IFERROR(__xludf.DUMMYFUNCTION("""COMPUTED_VALUE"""),"1")</f>
        <v>1</v>
      </c>
      <c r="G1081" s="1" t="str">
        <f>IFERROR(__xludf.DUMMYFUNCTION("""COMPUTED_VALUE"""),"0")</f>
        <v>0</v>
      </c>
      <c r="H1081" s="1" t="str">
        <f>IFERROR(__xludf.DUMMYFUNCTION("""COMPUTED_VALUE"""),"47")</f>
        <v>47</v>
      </c>
    </row>
    <row r="1082" ht="15.75" customHeight="1">
      <c r="A1082" s="3">
        <f>IFERROR(__xludf.DUMMYFUNCTION("""COMPUTED_VALUE"""),60000.0)</f>
        <v>60000</v>
      </c>
      <c r="B1082" s="1" t="str">
        <f>IFERROR(__xludf.DUMMYFUNCTION("""COMPUTED_VALUE"""),"36")</f>
        <v>36</v>
      </c>
      <c r="D1082" s="1" t="str">
        <f>IFERROR(__xludf.DUMMYFUNCTION("""COMPUTED_VALUE"""),"27183")</f>
        <v>27183</v>
      </c>
      <c r="E1082" s="3">
        <f>IFERROR(__xludf.DUMMYFUNCTION("""COMPUTED_VALUE"""),40000.0)</f>
        <v>40000</v>
      </c>
      <c r="F1082" s="1" t="str">
        <f>IFERROR(__xludf.DUMMYFUNCTION("""COMPUTED_VALUE"""),"2")</f>
        <v>2</v>
      </c>
      <c r="G1082" s="1" t="str">
        <f>IFERROR(__xludf.DUMMYFUNCTION("""COMPUTED_VALUE"""),"1")</f>
        <v>1</v>
      </c>
      <c r="H1082" s="1" t="str">
        <f>IFERROR(__xludf.DUMMYFUNCTION("""COMPUTED_VALUE"""),"35")</f>
        <v>35</v>
      </c>
    </row>
    <row r="1083" ht="15.75" customHeight="1">
      <c r="A1083" s="3">
        <f>IFERROR(__xludf.DUMMYFUNCTION("""COMPUTED_VALUE"""),90000.0)</f>
        <v>90000</v>
      </c>
      <c r="B1083" s="1" t="str">
        <f>IFERROR(__xludf.DUMMYFUNCTION("""COMPUTED_VALUE"""),"49")</f>
        <v>49</v>
      </c>
      <c r="D1083" s="1" t="str">
        <f>IFERROR(__xludf.DUMMYFUNCTION("""COMPUTED_VALUE"""),"25940")</f>
        <v>25940</v>
      </c>
      <c r="E1083" s="3">
        <f>IFERROR(__xludf.DUMMYFUNCTION("""COMPUTED_VALUE"""),20000.0)</f>
        <v>20000</v>
      </c>
      <c r="F1083" s="1" t="str">
        <f>IFERROR(__xludf.DUMMYFUNCTION("""COMPUTED_VALUE"""),"2")</f>
        <v>2</v>
      </c>
      <c r="G1083" s="1" t="str">
        <f>IFERROR(__xludf.DUMMYFUNCTION("""COMPUTED_VALUE"""),"2")</f>
        <v>2</v>
      </c>
      <c r="H1083" s="1" t="str">
        <f>IFERROR(__xludf.DUMMYFUNCTION("""COMPUTED_VALUE"""),"55")</f>
        <v>55</v>
      </c>
    </row>
    <row r="1084" ht="15.75" customHeight="1">
      <c r="A1084" s="3">
        <f>IFERROR(__xludf.DUMMYFUNCTION("""COMPUTED_VALUE"""),150000.0)</f>
        <v>150000</v>
      </c>
      <c r="B1084" s="1" t="str">
        <f>IFERROR(__xludf.DUMMYFUNCTION("""COMPUTED_VALUE"""),"44")</f>
        <v>44</v>
      </c>
      <c r="D1084" s="1" t="str">
        <f>IFERROR(__xludf.DUMMYFUNCTION("""COMPUTED_VALUE"""),"25598")</f>
        <v>25598</v>
      </c>
      <c r="E1084" s="3">
        <f>IFERROR(__xludf.DUMMYFUNCTION("""COMPUTED_VALUE"""),40000.0)</f>
        <v>40000</v>
      </c>
      <c r="F1084" s="1" t="str">
        <f>IFERROR(__xludf.DUMMYFUNCTION("""COMPUTED_VALUE"""),"0")</f>
        <v>0</v>
      </c>
      <c r="G1084" s="1" t="str">
        <f>IFERROR(__xludf.DUMMYFUNCTION("""COMPUTED_VALUE"""),"0")</f>
        <v>0</v>
      </c>
      <c r="H1084" s="1" t="str">
        <f>IFERROR(__xludf.DUMMYFUNCTION("""COMPUTED_VALUE"""),"36")</f>
        <v>36</v>
      </c>
    </row>
    <row r="1085" ht="15.75" customHeight="1">
      <c r="A1085" s="3">
        <f>IFERROR(__xludf.DUMMYFUNCTION("""COMPUTED_VALUE"""),80000.0)</f>
        <v>80000</v>
      </c>
      <c r="B1085" s="1" t="str">
        <f>IFERROR(__xludf.DUMMYFUNCTION("""COMPUTED_VALUE"""),"46")</f>
        <v>46</v>
      </c>
      <c r="D1085" s="1" t="str">
        <f>IFERROR(__xludf.DUMMYFUNCTION("""COMPUTED_VALUE"""),"21564")</f>
        <v>21564</v>
      </c>
      <c r="E1085" s="3">
        <f>IFERROR(__xludf.DUMMYFUNCTION("""COMPUTED_VALUE"""),80000.0)</f>
        <v>80000</v>
      </c>
      <c r="F1085" s="1" t="str">
        <f>IFERROR(__xludf.DUMMYFUNCTION("""COMPUTED_VALUE"""),"0")</f>
        <v>0</v>
      </c>
      <c r="G1085" s="1" t="str">
        <f>IFERROR(__xludf.DUMMYFUNCTION("""COMPUTED_VALUE"""),"4")</f>
        <v>4</v>
      </c>
      <c r="H1085" s="1" t="str">
        <f>IFERROR(__xludf.DUMMYFUNCTION("""COMPUTED_VALUE"""),"35")</f>
        <v>35</v>
      </c>
    </row>
    <row r="1086" ht="15.75" customHeight="1">
      <c r="A1086" s="3">
        <f>IFERROR(__xludf.DUMMYFUNCTION("""COMPUTED_VALUE"""),60000.0)</f>
        <v>60000</v>
      </c>
      <c r="B1086" s="1" t="str">
        <f>IFERROR(__xludf.DUMMYFUNCTION("""COMPUTED_VALUE"""),"54")</f>
        <v>54</v>
      </c>
      <c r="D1086" s="1" t="str">
        <f>IFERROR(__xludf.DUMMYFUNCTION("""COMPUTED_VALUE"""),"19193")</f>
        <v>19193</v>
      </c>
      <c r="E1086" s="3">
        <f>IFERROR(__xludf.DUMMYFUNCTION("""COMPUTED_VALUE"""),40000.0)</f>
        <v>40000</v>
      </c>
      <c r="F1086" s="1" t="str">
        <f>IFERROR(__xludf.DUMMYFUNCTION("""COMPUTED_VALUE"""),"2")</f>
        <v>2</v>
      </c>
      <c r="G1086" s="1" t="str">
        <f>IFERROR(__xludf.DUMMYFUNCTION("""COMPUTED_VALUE"""),"0")</f>
        <v>0</v>
      </c>
      <c r="H1086" s="1" t="str">
        <f>IFERROR(__xludf.DUMMYFUNCTION("""COMPUTED_VALUE"""),"35")</f>
        <v>35</v>
      </c>
    </row>
    <row r="1087" ht="15.75" customHeight="1">
      <c r="A1087" s="3">
        <f>IFERROR(__xludf.DUMMYFUNCTION("""COMPUTED_VALUE"""),70000.0)</f>
        <v>70000</v>
      </c>
      <c r="B1087" s="1" t="str">
        <f>IFERROR(__xludf.DUMMYFUNCTION("""COMPUTED_VALUE"""),"35")</f>
        <v>35</v>
      </c>
      <c r="D1087" s="1" t="str">
        <f>IFERROR(__xludf.DUMMYFUNCTION("""COMPUTED_VALUE"""),"26412")</f>
        <v>26412</v>
      </c>
      <c r="E1087" s="3">
        <f>IFERROR(__xludf.DUMMYFUNCTION("""COMPUTED_VALUE"""),80000.0)</f>
        <v>80000</v>
      </c>
      <c r="F1087" s="1" t="str">
        <f>IFERROR(__xludf.DUMMYFUNCTION("""COMPUTED_VALUE"""),"5")</f>
        <v>5</v>
      </c>
      <c r="G1087" s="1" t="str">
        <f>IFERROR(__xludf.DUMMYFUNCTION("""COMPUTED_VALUE"""),"3")</f>
        <v>3</v>
      </c>
      <c r="H1087" s="1" t="str">
        <f>IFERROR(__xludf.DUMMYFUNCTION("""COMPUTED_VALUE"""),"56")</f>
        <v>56</v>
      </c>
    </row>
    <row r="1088" ht="15.75" customHeight="1">
      <c r="A1088" s="3">
        <f>IFERROR(__xludf.DUMMYFUNCTION("""COMPUTED_VALUE"""),60000.0)</f>
        <v>60000</v>
      </c>
      <c r="B1088" s="1" t="str">
        <f>IFERROR(__xludf.DUMMYFUNCTION("""COMPUTED_VALUE"""),"38")</f>
        <v>38</v>
      </c>
      <c r="D1088" s="1" t="str">
        <f>IFERROR(__xludf.DUMMYFUNCTION("""COMPUTED_VALUE"""),"27184")</f>
        <v>27184</v>
      </c>
      <c r="E1088" s="3">
        <f>IFERROR(__xludf.DUMMYFUNCTION("""COMPUTED_VALUE"""),40000.0)</f>
        <v>40000</v>
      </c>
      <c r="F1088" s="1" t="str">
        <f>IFERROR(__xludf.DUMMYFUNCTION("""COMPUTED_VALUE"""),"2")</f>
        <v>2</v>
      </c>
      <c r="G1088" s="1" t="str">
        <f>IFERROR(__xludf.DUMMYFUNCTION("""COMPUTED_VALUE"""),"1")</f>
        <v>1</v>
      </c>
      <c r="H1088" s="1" t="str">
        <f>IFERROR(__xludf.DUMMYFUNCTION("""COMPUTED_VALUE"""),"34")</f>
        <v>34</v>
      </c>
    </row>
    <row r="1089" ht="15.75" customHeight="1">
      <c r="A1089" s="3">
        <f>IFERROR(__xludf.DUMMYFUNCTION("""COMPUTED_VALUE"""),100000.0)</f>
        <v>100000</v>
      </c>
      <c r="B1089" s="1" t="str">
        <f>IFERROR(__xludf.DUMMYFUNCTION("""COMPUTED_VALUE"""),"38")</f>
        <v>38</v>
      </c>
      <c r="D1089" s="1" t="str">
        <f>IFERROR(__xludf.DUMMYFUNCTION("""COMPUTED_VALUE"""),"12590")</f>
        <v>12590</v>
      </c>
      <c r="E1089" s="3">
        <f>IFERROR(__xludf.DUMMYFUNCTION("""COMPUTED_VALUE"""),30000.0)</f>
        <v>30000</v>
      </c>
      <c r="F1089" s="1" t="str">
        <f>IFERROR(__xludf.DUMMYFUNCTION("""COMPUTED_VALUE"""),"1")</f>
        <v>1</v>
      </c>
      <c r="G1089" s="1" t="str">
        <f>IFERROR(__xludf.DUMMYFUNCTION("""COMPUTED_VALUE"""),"0")</f>
        <v>0</v>
      </c>
      <c r="H1089" s="1" t="str">
        <f>IFERROR(__xludf.DUMMYFUNCTION("""COMPUTED_VALUE"""),"63")</f>
        <v>63</v>
      </c>
    </row>
    <row r="1090" ht="15.75" customHeight="1">
      <c r="A1090" s="3">
        <f>IFERROR(__xludf.DUMMYFUNCTION("""COMPUTED_VALUE"""),60000.0)</f>
        <v>60000</v>
      </c>
      <c r="B1090" s="1" t="str">
        <f>IFERROR(__xludf.DUMMYFUNCTION("""COMPUTED_VALUE"""),"53")</f>
        <v>53</v>
      </c>
      <c r="D1090" s="1" t="str">
        <f>IFERROR(__xludf.DUMMYFUNCTION("""COMPUTED_VALUE"""),"17841")</f>
        <v>17841</v>
      </c>
      <c r="E1090" s="3">
        <f>IFERROR(__xludf.DUMMYFUNCTION("""COMPUTED_VALUE"""),30000.0)</f>
        <v>30000</v>
      </c>
      <c r="F1090" s="1" t="str">
        <f>IFERROR(__xludf.DUMMYFUNCTION("""COMPUTED_VALUE"""),"0")</f>
        <v>0</v>
      </c>
      <c r="G1090" s="1" t="str">
        <f>IFERROR(__xludf.DUMMYFUNCTION("""COMPUTED_VALUE"""),"1")</f>
        <v>1</v>
      </c>
      <c r="H1090" s="1" t="str">
        <f>IFERROR(__xludf.DUMMYFUNCTION("""COMPUTED_VALUE"""),"29")</f>
        <v>29</v>
      </c>
    </row>
    <row r="1091" ht="15.75" customHeight="1">
      <c r="D1091" s="1" t="str">
        <f>IFERROR(__xludf.DUMMYFUNCTION("""COMPUTED_VALUE"""),"18283")</f>
        <v>18283</v>
      </c>
      <c r="E1091" s="3">
        <f>IFERROR(__xludf.DUMMYFUNCTION("""COMPUTED_VALUE"""),100000.0)</f>
        <v>100000</v>
      </c>
      <c r="F1091" s="1" t="str">
        <f>IFERROR(__xludf.DUMMYFUNCTION("""COMPUTED_VALUE"""),"0")</f>
        <v>0</v>
      </c>
      <c r="G1091" s="1" t="str">
        <f>IFERROR(__xludf.DUMMYFUNCTION("""COMPUTED_VALUE"""),"1")</f>
        <v>1</v>
      </c>
      <c r="H1091" s="1" t="str">
        <f>IFERROR(__xludf.DUMMYFUNCTION("""COMPUTED_VALUE"""),"40")</f>
        <v>40</v>
      </c>
    </row>
    <row r="1092" ht="15.75" customHeight="1">
      <c r="D1092" s="1" t="str">
        <f>IFERROR(__xludf.DUMMYFUNCTION("""COMPUTED_VALUE"""),"18299")</f>
        <v>18299</v>
      </c>
      <c r="E1092" s="3">
        <f>IFERROR(__xludf.DUMMYFUNCTION("""COMPUTED_VALUE"""),70000.0)</f>
        <v>70000</v>
      </c>
      <c r="F1092" s="1" t="str">
        <f>IFERROR(__xludf.DUMMYFUNCTION("""COMPUTED_VALUE"""),"5")</f>
        <v>5</v>
      </c>
      <c r="G1092" s="1" t="str">
        <f>IFERROR(__xludf.DUMMYFUNCTION("""COMPUTED_VALUE"""),"2")</f>
        <v>2</v>
      </c>
      <c r="H1092" s="1" t="str">
        <f>IFERROR(__xludf.DUMMYFUNCTION("""COMPUTED_VALUE"""),"44")</f>
        <v>44</v>
      </c>
    </row>
    <row r="1093" ht="15.75" customHeight="1">
      <c r="D1093" s="1" t="str">
        <f>IFERROR(__xludf.DUMMYFUNCTION("""COMPUTED_VALUE"""),"16466")</f>
        <v>16466</v>
      </c>
      <c r="E1093" s="3">
        <f>IFERROR(__xludf.DUMMYFUNCTION("""COMPUTED_VALUE"""),20000.0)</f>
        <v>20000</v>
      </c>
      <c r="F1093" s="1" t="str">
        <f>IFERROR(__xludf.DUMMYFUNCTION("""COMPUTED_VALUE"""),"0")</f>
        <v>0</v>
      </c>
      <c r="G1093" s="1" t="str">
        <f>IFERROR(__xludf.DUMMYFUNCTION("""COMPUTED_VALUE"""),"2")</f>
        <v>2</v>
      </c>
      <c r="H1093" s="1" t="str">
        <f>IFERROR(__xludf.DUMMYFUNCTION("""COMPUTED_VALUE"""),"32")</f>
        <v>32</v>
      </c>
    </row>
    <row r="1094" ht="15.75" customHeight="1">
      <c r="D1094" s="1" t="str">
        <f>IFERROR(__xludf.DUMMYFUNCTION("""COMPUTED_VALUE"""),"19273")</f>
        <v>19273</v>
      </c>
      <c r="E1094" s="3">
        <f>IFERROR(__xludf.DUMMYFUNCTION("""COMPUTED_VALUE"""),20000.0)</f>
        <v>20000</v>
      </c>
      <c r="F1094" s="1" t="str">
        <f>IFERROR(__xludf.DUMMYFUNCTION("""COMPUTED_VALUE"""),"2")</f>
        <v>2</v>
      </c>
      <c r="G1094" s="1" t="str">
        <f>IFERROR(__xludf.DUMMYFUNCTION("""COMPUTED_VALUE"""),"0")</f>
        <v>0</v>
      </c>
      <c r="H1094" s="1" t="str">
        <f>IFERROR(__xludf.DUMMYFUNCTION("""COMPUTED_VALUE"""),"63")</f>
        <v>63</v>
      </c>
    </row>
    <row r="1095" ht="15.75" customHeight="1">
      <c r="D1095" s="1" t="str">
        <f>IFERROR(__xludf.DUMMYFUNCTION("""COMPUTED_VALUE"""),"22400")</f>
        <v>22400</v>
      </c>
      <c r="E1095" s="3">
        <f>IFERROR(__xludf.DUMMYFUNCTION("""COMPUTED_VALUE"""),10000.0)</f>
        <v>10000</v>
      </c>
      <c r="F1095" s="1" t="str">
        <f>IFERROR(__xludf.DUMMYFUNCTION("""COMPUTED_VALUE"""),"0")</f>
        <v>0</v>
      </c>
      <c r="G1095" s="1" t="str">
        <f>IFERROR(__xludf.DUMMYFUNCTION("""COMPUTED_VALUE"""),"1")</f>
        <v>1</v>
      </c>
      <c r="H1095" s="1" t="str">
        <f>IFERROR(__xludf.DUMMYFUNCTION("""COMPUTED_VALUE"""),"26")</f>
        <v>26</v>
      </c>
    </row>
    <row r="1096" ht="15.75" customHeight="1">
      <c r="D1096" s="1" t="str">
        <f>IFERROR(__xludf.DUMMYFUNCTION("""COMPUTED_VALUE"""),"20942")</f>
        <v>20942</v>
      </c>
      <c r="E1096" s="3">
        <f>IFERROR(__xludf.DUMMYFUNCTION("""COMPUTED_VALUE"""),20000.0)</f>
        <v>20000</v>
      </c>
      <c r="F1096" s="1" t="str">
        <f>IFERROR(__xludf.DUMMYFUNCTION("""COMPUTED_VALUE"""),"0")</f>
        <v>0</v>
      </c>
      <c r="G1096" s="1" t="str">
        <f>IFERROR(__xludf.DUMMYFUNCTION("""COMPUTED_VALUE"""),"1")</f>
        <v>1</v>
      </c>
      <c r="H1096" s="1" t="str">
        <f>IFERROR(__xludf.DUMMYFUNCTION("""COMPUTED_VALUE"""),"31")</f>
        <v>31</v>
      </c>
    </row>
    <row r="1097" ht="15.75" customHeight="1">
      <c r="D1097" s="1" t="str">
        <f>IFERROR(__xludf.DUMMYFUNCTION("""COMPUTED_VALUE"""),"18484")</f>
        <v>18484</v>
      </c>
      <c r="E1097" s="3">
        <f>IFERROR(__xludf.DUMMYFUNCTION("""COMPUTED_VALUE"""),80000.0)</f>
        <v>80000</v>
      </c>
      <c r="F1097" s="1" t="str">
        <f>IFERROR(__xludf.DUMMYFUNCTION("""COMPUTED_VALUE"""),"2")</f>
        <v>2</v>
      </c>
      <c r="G1097" s="1" t="str">
        <f>IFERROR(__xludf.DUMMYFUNCTION("""COMPUTED_VALUE"""),"2")</f>
        <v>2</v>
      </c>
      <c r="H1097" s="1" t="str">
        <f>IFERROR(__xludf.DUMMYFUNCTION("""COMPUTED_VALUE"""),"50")</f>
        <v>50</v>
      </c>
    </row>
    <row r="1098" ht="15.75" customHeight="1">
      <c r="D1098" s="1" t="str">
        <f>IFERROR(__xludf.DUMMYFUNCTION("""COMPUTED_VALUE"""),"12291")</f>
        <v>12291</v>
      </c>
      <c r="E1098" s="3">
        <f>IFERROR(__xludf.DUMMYFUNCTION("""COMPUTED_VALUE"""),90000.0)</f>
        <v>90000</v>
      </c>
      <c r="F1098" s="1" t="str">
        <f>IFERROR(__xludf.DUMMYFUNCTION("""COMPUTED_VALUE"""),"5")</f>
        <v>5</v>
      </c>
      <c r="G1098" s="1" t="str">
        <f>IFERROR(__xludf.DUMMYFUNCTION("""COMPUTED_VALUE"""),"2")</f>
        <v>2</v>
      </c>
      <c r="H1098" s="1" t="str">
        <f>IFERROR(__xludf.DUMMYFUNCTION("""COMPUTED_VALUE"""),"62")</f>
        <v>62</v>
      </c>
    </row>
    <row r="1099" ht="15.75" customHeight="1">
      <c r="D1099" s="1" t="str">
        <f>IFERROR(__xludf.DUMMYFUNCTION("""COMPUTED_VALUE"""),"28380")</f>
        <v>28380</v>
      </c>
      <c r="E1099" s="3">
        <f>IFERROR(__xludf.DUMMYFUNCTION("""COMPUTED_VALUE"""),10000.0)</f>
        <v>10000</v>
      </c>
      <c r="F1099" s="1" t="str">
        <f>IFERROR(__xludf.DUMMYFUNCTION("""COMPUTED_VALUE"""),"5")</f>
        <v>5</v>
      </c>
      <c r="G1099" s="1" t="str">
        <f>IFERROR(__xludf.DUMMYFUNCTION("""COMPUTED_VALUE"""),"2")</f>
        <v>2</v>
      </c>
      <c r="H1099" s="1" t="str">
        <f>IFERROR(__xludf.DUMMYFUNCTION("""COMPUTED_VALUE"""),"41")</f>
        <v>41</v>
      </c>
    </row>
    <row r="1100" ht="15.75" customHeight="1">
      <c r="D1100" s="1" t="str">
        <f>IFERROR(__xludf.DUMMYFUNCTION("""COMPUTED_VALUE"""),"17891")</f>
        <v>17891</v>
      </c>
      <c r="E1100" s="3">
        <f>IFERROR(__xludf.DUMMYFUNCTION("""COMPUTED_VALUE"""),10000.0)</f>
        <v>10000</v>
      </c>
      <c r="F1100" s="1" t="str">
        <f>IFERROR(__xludf.DUMMYFUNCTION("""COMPUTED_VALUE"""),"2")</f>
        <v>2</v>
      </c>
      <c r="G1100" s="1" t="str">
        <f>IFERROR(__xludf.DUMMYFUNCTION("""COMPUTED_VALUE"""),"1")</f>
        <v>1</v>
      </c>
      <c r="H1100" s="1" t="str">
        <f>IFERROR(__xludf.DUMMYFUNCTION("""COMPUTED_VALUE"""),"50")</f>
        <v>50</v>
      </c>
    </row>
    <row r="1101" ht="15.75" customHeight="1">
      <c r="D1101" s="1" t="str">
        <f>IFERROR(__xludf.DUMMYFUNCTION("""COMPUTED_VALUE"""),"27832")</f>
        <v>27832</v>
      </c>
      <c r="E1101" s="3">
        <f>IFERROR(__xludf.DUMMYFUNCTION("""COMPUTED_VALUE"""),30000.0)</f>
        <v>30000</v>
      </c>
      <c r="F1101" s="1" t="str">
        <f>IFERROR(__xludf.DUMMYFUNCTION("""COMPUTED_VALUE"""),"0")</f>
        <v>0</v>
      </c>
      <c r="G1101" s="1" t="str">
        <f>IFERROR(__xludf.DUMMYFUNCTION("""COMPUTED_VALUE"""),"1")</f>
        <v>1</v>
      </c>
      <c r="H1101" s="1" t="str">
        <f>IFERROR(__xludf.DUMMYFUNCTION("""COMPUTED_VALUE"""),"30")</f>
        <v>30</v>
      </c>
    </row>
    <row r="1102" ht="15.75" customHeight="1">
      <c r="D1102" s="1" t="str">
        <f>IFERROR(__xludf.DUMMYFUNCTION("""COMPUTED_VALUE"""),"26863")</f>
        <v>26863</v>
      </c>
      <c r="E1102" s="3">
        <f>IFERROR(__xludf.DUMMYFUNCTION("""COMPUTED_VALUE"""),20000.0)</f>
        <v>20000</v>
      </c>
      <c r="F1102" s="1" t="str">
        <f>IFERROR(__xludf.DUMMYFUNCTION("""COMPUTED_VALUE"""),"0")</f>
        <v>0</v>
      </c>
      <c r="G1102" s="1" t="str">
        <f>IFERROR(__xludf.DUMMYFUNCTION("""COMPUTED_VALUE"""),"1")</f>
        <v>1</v>
      </c>
      <c r="H1102" s="1" t="str">
        <f>IFERROR(__xludf.DUMMYFUNCTION("""COMPUTED_VALUE"""),"28")</f>
        <v>28</v>
      </c>
    </row>
    <row r="1103" ht="15.75" customHeight="1">
      <c r="D1103" s="1" t="str">
        <f>IFERROR(__xludf.DUMMYFUNCTION("""COMPUTED_VALUE"""),"16259")</f>
        <v>16259</v>
      </c>
      <c r="E1103" s="3">
        <f>IFERROR(__xludf.DUMMYFUNCTION("""COMPUTED_VALUE"""),10000.0)</f>
        <v>10000</v>
      </c>
      <c r="F1103" s="1" t="str">
        <f>IFERROR(__xludf.DUMMYFUNCTION("""COMPUTED_VALUE"""),"4")</f>
        <v>4</v>
      </c>
      <c r="G1103" s="1" t="str">
        <f>IFERROR(__xludf.DUMMYFUNCTION("""COMPUTED_VALUE"""),"2")</f>
        <v>2</v>
      </c>
      <c r="H1103" s="1" t="str">
        <f>IFERROR(__xludf.DUMMYFUNCTION("""COMPUTED_VALUE"""),"40")</f>
        <v>40</v>
      </c>
    </row>
    <row r="1104" ht="15.75" customHeight="1">
      <c r="D1104" s="1" t="str">
        <f>IFERROR(__xludf.DUMMYFUNCTION("""COMPUTED_VALUE"""),"27803")</f>
        <v>27803</v>
      </c>
      <c r="E1104" s="3">
        <f>IFERROR(__xludf.DUMMYFUNCTION("""COMPUTED_VALUE"""),30000.0)</f>
        <v>30000</v>
      </c>
      <c r="F1104" s="1" t="str">
        <f>IFERROR(__xludf.DUMMYFUNCTION("""COMPUTED_VALUE"""),"2")</f>
        <v>2</v>
      </c>
      <c r="G1104" s="1" t="str">
        <f>IFERROR(__xludf.DUMMYFUNCTION("""COMPUTED_VALUE"""),"0")</f>
        <v>0</v>
      </c>
      <c r="H1104" s="1" t="str">
        <f>IFERROR(__xludf.DUMMYFUNCTION("""COMPUTED_VALUE"""),"43")</f>
        <v>43</v>
      </c>
    </row>
    <row r="1105" ht="15.75" customHeight="1">
      <c r="D1105" s="1" t="str">
        <f>IFERROR(__xludf.DUMMYFUNCTION("""COMPUTED_VALUE"""),"14347")</f>
        <v>14347</v>
      </c>
      <c r="E1105" s="3">
        <f>IFERROR(__xludf.DUMMYFUNCTION("""COMPUTED_VALUE"""),40000.0)</f>
        <v>40000</v>
      </c>
      <c r="F1105" s="1" t="str">
        <f>IFERROR(__xludf.DUMMYFUNCTION("""COMPUTED_VALUE"""),"2")</f>
        <v>2</v>
      </c>
      <c r="G1105" s="1" t="str">
        <f>IFERROR(__xludf.DUMMYFUNCTION("""COMPUTED_VALUE"""),"2")</f>
        <v>2</v>
      </c>
      <c r="H1105" s="1" t="str">
        <f>IFERROR(__xludf.DUMMYFUNCTION("""COMPUTED_VALUE"""),"65")</f>
        <v>65</v>
      </c>
    </row>
    <row r="1106" ht="15.75" customHeight="1">
      <c r="D1106" s="1" t="str">
        <f>IFERROR(__xludf.DUMMYFUNCTION("""COMPUTED_VALUE"""),"17703")</f>
        <v>17703</v>
      </c>
      <c r="E1106" s="3">
        <f>IFERROR(__xludf.DUMMYFUNCTION("""COMPUTED_VALUE"""),10000.0)</f>
        <v>10000</v>
      </c>
      <c r="F1106" s="1" t="str">
        <f>IFERROR(__xludf.DUMMYFUNCTION("""COMPUTED_VALUE"""),"1")</f>
        <v>1</v>
      </c>
      <c r="G1106" s="1" t="str">
        <f>IFERROR(__xludf.DUMMYFUNCTION("""COMPUTED_VALUE"""),"0")</f>
        <v>0</v>
      </c>
      <c r="H1106" s="1" t="str">
        <f>IFERROR(__xludf.DUMMYFUNCTION("""COMPUTED_VALUE"""),"40")</f>
        <v>40</v>
      </c>
    </row>
    <row r="1107" ht="15.75" customHeight="1">
      <c r="D1107" s="1" t="str">
        <f>IFERROR(__xludf.DUMMYFUNCTION("""COMPUTED_VALUE"""),"17185")</f>
        <v>17185</v>
      </c>
      <c r="E1107" s="3">
        <f>IFERROR(__xludf.DUMMYFUNCTION("""COMPUTED_VALUE"""),170000.0)</f>
        <v>170000</v>
      </c>
      <c r="F1107" s="1" t="str">
        <f>IFERROR(__xludf.DUMMYFUNCTION("""COMPUTED_VALUE"""),"4")</f>
        <v>4</v>
      </c>
      <c r="G1107" s="1" t="str">
        <f>IFERROR(__xludf.DUMMYFUNCTION("""COMPUTED_VALUE"""),"3")</f>
        <v>3</v>
      </c>
      <c r="H1107" s="1" t="str">
        <f>IFERROR(__xludf.DUMMYFUNCTION("""COMPUTED_VALUE"""),"48")</f>
        <v>48</v>
      </c>
    </row>
    <row r="1108" ht="15.75" customHeight="1">
      <c r="D1108" s="1" t="str">
        <f>IFERROR(__xludf.DUMMYFUNCTION("""COMPUTED_VALUE"""),"29380")</f>
        <v>29380</v>
      </c>
      <c r="E1108" s="3">
        <f>IFERROR(__xludf.DUMMYFUNCTION("""COMPUTED_VALUE"""),20000.0)</f>
        <v>20000</v>
      </c>
      <c r="F1108" s="1" t="str">
        <f>IFERROR(__xludf.DUMMYFUNCTION("""COMPUTED_VALUE"""),"3")</f>
        <v>3</v>
      </c>
      <c r="G1108" s="1" t="str">
        <f>IFERROR(__xludf.DUMMYFUNCTION("""COMPUTED_VALUE"""),"0")</f>
        <v>0</v>
      </c>
      <c r="H1108" s="1" t="str">
        <f>IFERROR(__xludf.DUMMYFUNCTION("""COMPUTED_VALUE"""),"41")</f>
        <v>41</v>
      </c>
    </row>
    <row r="1109" ht="15.75" customHeight="1">
      <c r="D1109" s="1" t="str">
        <f>IFERROR(__xludf.DUMMYFUNCTION("""COMPUTED_VALUE"""),"23986")</f>
        <v>23986</v>
      </c>
      <c r="E1109" s="3">
        <f>IFERROR(__xludf.DUMMYFUNCTION("""COMPUTED_VALUE"""),20000.0)</f>
        <v>20000</v>
      </c>
      <c r="F1109" s="1" t="str">
        <f>IFERROR(__xludf.DUMMYFUNCTION("""COMPUTED_VALUE"""),"1")</f>
        <v>1</v>
      </c>
      <c r="G1109" s="1" t="str">
        <f>IFERROR(__xludf.DUMMYFUNCTION("""COMPUTED_VALUE"""),"0")</f>
        <v>0</v>
      </c>
      <c r="H1109" s="1" t="str">
        <f>IFERROR(__xludf.DUMMYFUNCTION("""COMPUTED_VALUE"""),"66")</f>
        <v>66</v>
      </c>
    </row>
    <row r="1110" ht="15.75" customHeight="1">
      <c r="D1110" s="1" t="str">
        <f>IFERROR(__xludf.DUMMYFUNCTION("""COMPUTED_VALUE"""),"24466")</f>
        <v>24466</v>
      </c>
      <c r="E1110" s="3">
        <f>IFERROR(__xludf.DUMMYFUNCTION("""COMPUTED_VALUE"""),60000.0)</f>
        <v>60000</v>
      </c>
      <c r="F1110" s="1" t="str">
        <f>IFERROR(__xludf.DUMMYFUNCTION("""COMPUTED_VALUE"""),"1")</f>
        <v>1</v>
      </c>
      <c r="G1110" s="1" t="str">
        <f>IFERROR(__xludf.DUMMYFUNCTION("""COMPUTED_VALUE"""),"1")</f>
        <v>1</v>
      </c>
      <c r="H1110" s="1" t="str">
        <f>IFERROR(__xludf.DUMMYFUNCTION("""COMPUTED_VALUE"""),"46")</f>
        <v>46</v>
      </c>
    </row>
    <row r="1111" ht="15.75" customHeight="1">
      <c r="D1111" s="1" t="str">
        <f>IFERROR(__xludf.DUMMYFUNCTION("""COMPUTED_VALUE"""),"29097")</f>
        <v>29097</v>
      </c>
      <c r="E1111" s="3">
        <f>IFERROR(__xludf.DUMMYFUNCTION("""COMPUTED_VALUE"""),40000.0)</f>
        <v>40000</v>
      </c>
      <c r="F1111" s="1" t="str">
        <f>IFERROR(__xludf.DUMMYFUNCTION("""COMPUTED_VALUE"""),"2")</f>
        <v>2</v>
      </c>
      <c r="G1111" s="1" t="str">
        <f>IFERROR(__xludf.DUMMYFUNCTION("""COMPUTED_VALUE"""),"2")</f>
        <v>2</v>
      </c>
      <c r="H1111" s="1" t="str">
        <f>IFERROR(__xludf.DUMMYFUNCTION("""COMPUTED_VALUE"""),"52")</f>
        <v>52</v>
      </c>
    </row>
    <row r="1112" ht="15.75" customHeight="1">
      <c r="D1112" s="1" t="str">
        <f>IFERROR(__xludf.DUMMYFUNCTION("""COMPUTED_VALUE"""),"19487")</f>
        <v>19487</v>
      </c>
      <c r="E1112" s="3">
        <f>IFERROR(__xludf.DUMMYFUNCTION("""COMPUTED_VALUE"""),30000.0)</f>
        <v>30000</v>
      </c>
      <c r="F1112" s="1" t="str">
        <f>IFERROR(__xludf.DUMMYFUNCTION("""COMPUTED_VALUE"""),"2")</f>
        <v>2</v>
      </c>
      <c r="G1112" s="1" t="str">
        <f>IFERROR(__xludf.DUMMYFUNCTION("""COMPUTED_VALUE"""),"2")</f>
        <v>2</v>
      </c>
      <c r="H1112" s="1" t="str">
        <f>IFERROR(__xludf.DUMMYFUNCTION("""COMPUTED_VALUE"""),"42")</f>
        <v>42</v>
      </c>
    </row>
    <row r="1113" ht="15.75" customHeight="1">
      <c r="D1113" s="1" t="str">
        <f>IFERROR(__xludf.DUMMYFUNCTION("""COMPUTED_VALUE"""),"14939")</f>
        <v>14939</v>
      </c>
      <c r="E1113" s="3">
        <f>IFERROR(__xludf.DUMMYFUNCTION("""COMPUTED_VALUE"""),40000.0)</f>
        <v>40000</v>
      </c>
      <c r="F1113" s="1" t="str">
        <f>IFERROR(__xludf.DUMMYFUNCTION("""COMPUTED_VALUE"""),"0")</f>
        <v>0</v>
      </c>
      <c r="G1113" s="1" t="str">
        <f>IFERROR(__xludf.DUMMYFUNCTION("""COMPUTED_VALUE"""),"0")</f>
        <v>0</v>
      </c>
      <c r="H1113" s="1" t="str">
        <f>IFERROR(__xludf.DUMMYFUNCTION("""COMPUTED_VALUE"""),"39")</f>
        <v>39</v>
      </c>
    </row>
    <row r="1114" ht="15.75" customHeight="1">
      <c r="D1114" s="1" t="str">
        <f>IFERROR(__xludf.DUMMYFUNCTION("""COMPUTED_VALUE"""),"13826")</f>
        <v>13826</v>
      </c>
      <c r="E1114" s="3">
        <f>IFERROR(__xludf.DUMMYFUNCTION("""COMPUTED_VALUE"""),30000.0)</f>
        <v>30000</v>
      </c>
      <c r="F1114" s="1" t="str">
        <f>IFERROR(__xludf.DUMMYFUNCTION("""COMPUTED_VALUE"""),"0")</f>
        <v>0</v>
      </c>
      <c r="G1114" s="1" t="str">
        <f>IFERROR(__xludf.DUMMYFUNCTION("""COMPUTED_VALUE"""),"1")</f>
        <v>1</v>
      </c>
      <c r="H1114" s="1" t="str">
        <f>IFERROR(__xludf.DUMMYFUNCTION("""COMPUTED_VALUE"""),"28")</f>
        <v>28</v>
      </c>
    </row>
    <row r="1115" ht="15.75" customHeight="1">
      <c r="D1115" s="1" t="str">
        <f>IFERROR(__xludf.DUMMYFUNCTION("""COMPUTED_VALUE"""),"20619")</f>
        <v>20619</v>
      </c>
      <c r="E1115" s="3">
        <f>IFERROR(__xludf.DUMMYFUNCTION("""COMPUTED_VALUE"""),80000.0)</f>
        <v>80000</v>
      </c>
      <c r="F1115" s="1" t="str">
        <f>IFERROR(__xludf.DUMMYFUNCTION("""COMPUTED_VALUE"""),"0")</f>
        <v>0</v>
      </c>
      <c r="G1115" s="1" t="str">
        <f>IFERROR(__xludf.DUMMYFUNCTION("""COMPUTED_VALUE"""),"4")</f>
        <v>4</v>
      </c>
      <c r="H1115" s="1" t="str">
        <f>IFERROR(__xludf.DUMMYFUNCTION("""COMPUTED_VALUE"""),"35")</f>
        <v>35</v>
      </c>
    </row>
    <row r="1116" ht="15.75" customHeight="1">
      <c r="D1116" s="1" t="str">
        <f>IFERROR(__xludf.DUMMYFUNCTION("""COMPUTED_VALUE"""),"12558")</f>
        <v>12558</v>
      </c>
      <c r="E1116" s="3">
        <f>IFERROR(__xludf.DUMMYFUNCTION("""COMPUTED_VALUE"""),20000.0)</f>
        <v>20000</v>
      </c>
      <c r="F1116" s="1" t="str">
        <f>IFERROR(__xludf.DUMMYFUNCTION("""COMPUTED_VALUE"""),"1")</f>
        <v>1</v>
      </c>
      <c r="G1116" s="1" t="str">
        <f>IFERROR(__xludf.DUMMYFUNCTION("""COMPUTED_VALUE"""),"0")</f>
        <v>0</v>
      </c>
      <c r="H1116" s="1" t="str">
        <f>IFERROR(__xludf.DUMMYFUNCTION("""COMPUTED_VALUE"""),"65")</f>
        <v>65</v>
      </c>
    </row>
    <row r="1117" ht="15.75" customHeight="1">
      <c r="D1117" s="1" t="str">
        <f>IFERROR(__xludf.DUMMYFUNCTION("""COMPUTED_VALUE"""),"24871")</f>
        <v>24871</v>
      </c>
      <c r="E1117" s="3">
        <f>IFERROR(__xludf.DUMMYFUNCTION("""COMPUTED_VALUE"""),90000.0)</f>
        <v>90000</v>
      </c>
      <c r="F1117" s="1" t="str">
        <f>IFERROR(__xludf.DUMMYFUNCTION("""COMPUTED_VALUE"""),"4")</f>
        <v>4</v>
      </c>
      <c r="G1117" s="1" t="str">
        <f>IFERROR(__xludf.DUMMYFUNCTION("""COMPUTED_VALUE"""),"3")</f>
        <v>3</v>
      </c>
      <c r="H1117" s="1" t="str">
        <f>IFERROR(__xludf.DUMMYFUNCTION("""COMPUTED_VALUE"""),"56")</f>
        <v>56</v>
      </c>
    </row>
    <row r="1118" ht="15.75" customHeight="1">
      <c r="D1118" s="1" t="str">
        <f>IFERROR(__xludf.DUMMYFUNCTION("""COMPUTED_VALUE"""),"17319")</f>
        <v>17319</v>
      </c>
      <c r="E1118" s="3">
        <f>IFERROR(__xludf.DUMMYFUNCTION("""COMPUTED_VALUE"""),70000.0)</f>
        <v>70000</v>
      </c>
      <c r="F1118" s="1" t="str">
        <f>IFERROR(__xludf.DUMMYFUNCTION("""COMPUTED_VALUE"""),"0")</f>
        <v>0</v>
      </c>
      <c r="G1118" s="1" t="str">
        <f>IFERROR(__xludf.DUMMYFUNCTION("""COMPUTED_VALUE"""),"1")</f>
        <v>1</v>
      </c>
      <c r="H1118" s="1" t="str">
        <f>IFERROR(__xludf.DUMMYFUNCTION("""COMPUTED_VALUE"""),"42")</f>
        <v>42</v>
      </c>
    </row>
    <row r="1119" ht="15.75" customHeight="1">
      <c r="D1119" s="1" t="str">
        <f>IFERROR(__xludf.DUMMYFUNCTION("""COMPUTED_VALUE"""),"28906")</f>
        <v>28906</v>
      </c>
      <c r="E1119" s="3">
        <f>IFERROR(__xludf.DUMMYFUNCTION("""COMPUTED_VALUE"""),80000.0)</f>
        <v>80000</v>
      </c>
      <c r="F1119" s="1" t="str">
        <f>IFERROR(__xludf.DUMMYFUNCTION("""COMPUTED_VALUE"""),"4")</f>
        <v>4</v>
      </c>
      <c r="G1119" s="1" t="str">
        <f>IFERROR(__xludf.DUMMYFUNCTION("""COMPUTED_VALUE"""),"2")</f>
        <v>2</v>
      </c>
      <c r="H1119" s="1" t="str">
        <f>IFERROR(__xludf.DUMMYFUNCTION("""COMPUTED_VALUE"""),"54")</f>
        <v>54</v>
      </c>
    </row>
    <row r="1120" ht="15.75" customHeight="1">
      <c r="D1120" s="1" t="str">
        <f>IFERROR(__xludf.DUMMYFUNCTION("""COMPUTED_VALUE"""),"12808")</f>
        <v>12808</v>
      </c>
      <c r="E1120" s="3">
        <f>IFERROR(__xludf.DUMMYFUNCTION("""COMPUTED_VALUE"""),40000.0)</f>
        <v>40000</v>
      </c>
      <c r="F1120" s="1" t="str">
        <f>IFERROR(__xludf.DUMMYFUNCTION("""COMPUTED_VALUE"""),"0")</f>
        <v>0</v>
      </c>
      <c r="G1120" s="1" t="str">
        <f>IFERROR(__xludf.DUMMYFUNCTION("""COMPUTED_VALUE"""),"0")</f>
        <v>0</v>
      </c>
      <c r="H1120" s="1" t="str">
        <f>IFERROR(__xludf.DUMMYFUNCTION("""COMPUTED_VALUE"""),"38")</f>
        <v>38</v>
      </c>
    </row>
    <row r="1121" ht="15.75" customHeight="1">
      <c r="D1121" s="1" t="str">
        <f>IFERROR(__xludf.DUMMYFUNCTION("""COMPUTED_VALUE"""),"20567")</f>
        <v>20567</v>
      </c>
      <c r="E1121" s="3">
        <f>IFERROR(__xludf.DUMMYFUNCTION("""COMPUTED_VALUE"""),130000.0)</f>
        <v>130000</v>
      </c>
      <c r="F1121" s="1" t="str">
        <f>IFERROR(__xludf.DUMMYFUNCTION("""COMPUTED_VALUE"""),"4")</f>
        <v>4</v>
      </c>
      <c r="G1121" s="1" t="str">
        <f>IFERROR(__xludf.DUMMYFUNCTION("""COMPUTED_VALUE"""),"4")</f>
        <v>4</v>
      </c>
      <c r="H1121" s="1" t="str">
        <f>IFERROR(__xludf.DUMMYFUNCTION("""COMPUTED_VALUE"""),"61")</f>
        <v>61</v>
      </c>
    </row>
    <row r="1122" ht="15.75" customHeight="1">
      <c r="D1122" s="1" t="str">
        <f>IFERROR(__xludf.DUMMYFUNCTION("""COMPUTED_VALUE"""),"25502")</f>
        <v>25502</v>
      </c>
      <c r="E1122" s="3">
        <f>IFERROR(__xludf.DUMMYFUNCTION("""COMPUTED_VALUE"""),40000.0)</f>
        <v>40000</v>
      </c>
      <c r="F1122" s="1" t="str">
        <f>IFERROR(__xludf.DUMMYFUNCTION("""COMPUTED_VALUE"""),"1")</f>
        <v>1</v>
      </c>
      <c r="G1122" s="1" t="str">
        <f>IFERROR(__xludf.DUMMYFUNCTION("""COMPUTED_VALUE"""),"0")</f>
        <v>0</v>
      </c>
      <c r="H1122" s="1" t="str">
        <f>IFERROR(__xludf.DUMMYFUNCTION("""COMPUTED_VALUE"""),"43")</f>
        <v>43</v>
      </c>
    </row>
    <row r="1123" ht="15.75" customHeight="1">
      <c r="D1123" s="1" t="str">
        <f>IFERROR(__xludf.DUMMYFUNCTION("""COMPUTED_VALUE"""),"15580")</f>
        <v>15580</v>
      </c>
      <c r="E1123" s="3">
        <f>IFERROR(__xludf.DUMMYFUNCTION("""COMPUTED_VALUE"""),60000.0)</f>
        <v>60000</v>
      </c>
      <c r="F1123" s="1" t="str">
        <f>IFERROR(__xludf.DUMMYFUNCTION("""COMPUTED_VALUE"""),"2")</f>
        <v>2</v>
      </c>
      <c r="G1123" s="1" t="str">
        <f>IFERROR(__xludf.DUMMYFUNCTION("""COMPUTED_VALUE"""),"1")</f>
        <v>1</v>
      </c>
      <c r="H1123" s="1" t="str">
        <f>IFERROR(__xludf.DUMMYFUNCTION("""COMPUTED_VALUE"""),"38")</f>
        <v>38</v>
      </c>
    </row>
    <row r="1124" ht="15.75" customHeight="1">
      <c r="D1124" s="1" t="str">
        <f>IFERROR(__xludf.DUMMYFUNCTION("""COMPUTED_VALUE"""),"24185")</f>
        <v>24185</v>
      </c>
      <c r="E1124" s="3">
        <f>IFERROR(__xludf.DUMMYFUNCTION("""COMPUTED_VALUE"""),10000.0)</f>
        <v>10000</v>
      </c>
      <c r="F1124" s="1" t="str">
        <f>IFERROR(__xludf.DUMMYFUNCTION("""COMPUTED_VALUE"""),"1")</f>
        <v>1</v>
      </c>
      <c r="G1124" s="1" t="str">
        <f>IFERROR(__xludf.DUMMYFUNCTION("""COMPUTED_VALUE"""),"1")</f>
        <v>1</v>
      </c>
      <c r="H1124" s="1" t="str">
        <f>IFERROR(__xludf.DUMMYFUNCTION("""COMPUTED_VALUE"""),"45")</f>
        <v>45</v>
      </c>
    </row>
    <row r="1125" ht="15.75" customHeight="1">
      <c r="D1125" s="1" t="str">
        <f>IFERROR(__xludf.DUMMYFUNCTION("""COMPUTED_VALUE"""),"19291")</f>
        <v>19291</v>
      </c>
      <c r="E1125" s="3">
        <f>IFERROR(__xludf.DUMMYFUNCTION("""COMPUTED_VALUE"""),10000.0)</f>
        <v>10000</v>
      </c>
      <c r="F1125" s="1" t="str">
        <f>IFERROR(__xludf.DUMMYFUNCTION("""COMPUTED_VALUE"""),"2")</f>
        <v>2</v>
      </c>
      <c r="G1125" s="1" t="str">
        <f>IFERROR(__xludf.DUMMYFUNCTION("""COMPUTED_VALUE"""),"0")</f>
        <v>0</v>
      </c>
      <c r="H1125" s="1" t="str">
        <f>IFERROR(__xludf.DUMMYFUNCTION("""COMPUTED_VALUE"""),"35")</f>
        <v>35</v>
      </c>
    </row>
    <row r="1126" ht="15.75" customHeight="1">
      <c r="D1126" s="1" t="str">
        <f>IFERROR(__xludf.DUMMYFUNCTION("""COMPUTED_VALUE"""),"16713")</f>
        <v>16713</v>
      </c>
      <c r="E1126" s="3">
        <f>IFERROR(__xludf.DUMMYFUNCTION("""COMPUTED_VALUE"""),40000.0)</f>
        <v>40000</v>
      </c>
      <c r="F1126" s="1" t="str">
        <f>IFERROR(__xludf.DUMMYFUNCTION("""COMPUTED_VALUE"""),"2")</f>
        <v>2</v>
      </c>
      <c r="G1126" s="1" t="str">
        <f>IFERROR(__xludf.DUMMYFUNCTION("""COMPUTED_VALUE"""),"1")</f>
        <v>1</v>
      </c>
      <c r="H1126" s="1" t="str">
        <f>IFERROR(__xludf.DUMMYFUNCTION("""COMPUTED_VALUE"""),"52")</f>
        <v>52</v>
      </c>
    </row>
    <row r="1127" ht="15.75" customHeight="1">
      <c r="D1127" s="1" t="str">
        <f>IFERROR(__xludf.DUMMYFUNCTION("""COMPUTED_VALUE"""),"16185")</f>
        <v>16185</v>
      </c>
      <c r="E1127" s="3">
        <f>IFERROR(__xludf.DUMMYFUNCTION("""COMPUTED_VALUE"""),60000.0)</f>
        <v>60000</v>
      </c>
      <c r="F1127" s="1" t="str">
        <f>IFERROR(__xludf.DUMMYFUNCTION("""COMPUTED_VALUE"""),"4")</f>
        <v>4</v>
      </c>
      <c r="G1127" s="1" t="str">
        <f>IFERROR(__xludf.DUMMYFUNCTION("""COMPUTED_VALUE"""),"3")</f>
        <v>3</v>
      </c>
      <c r="H1127" s="1" t="str">
        <f>IFERROR(__xludf.DUMMYFUNCTION("""COMPUTED_VALUE"""),"41")</f>
        <v>41</v>
      </c>
    </row>
    <row r="1128" ht="15.75" customHeight="1">
      <c r="D1128" s="1" t="str">
        <f>IFERROR(__xludf.DUMMYFUNCTION("""COMPUTED_VALUE"""),"14927")</f>
        <v>14927</v>
      </c>
      <c r="E1128" s="3">
        <f>IFERROR(__xludf.DUMMYFUNCTION("""COMPUTED_VALUE"""),30000.0)</f>
        <v>30000</v>
      </c>
      <c r="F1128" s="1" t="str">
        <f>IFERROR(__xludf.DUMMYFUNCTION("""COMPUTED_VALUE"""),"1")</f>
        <v>1</v>
      </c>
      <c r="G1128" s="1" t="str">
        <f>IFERROR(__xludf.DUMMYFUNCTION("""COMPUTED_VALUE"""),"0")</f>
        <v>0</v>
      </c>
      <c r="H1128" s="1" t="str">
        <f>IFERROR(__xludf.DUMMYFUNCTION("""COMPUTED_VALUE"""),"37")</f>
        <v>37</v>
      </c>
    </row>
    <row r="1129" ht="15.75" customHeight="1">
      <c r="D1129" s="1" t="str">
        <f>IFERROR(__xludf.DUMMYFUNCTION("""COMPUTED_VALUE"""),"29337")</f>
        <v>29337</v>
      </c>
      <c r="E1129" s="3">
        <f>IFERROR(__xludf.DUMMYFUNCTION("""COMPUTED_VALUE"""),30000.0)</f>
        <v>30000</v>
      </c>
      <c r="F1129" s="1" t="str">
        <f>IFERROR(__xludf.DUMMYFUNCTION("""COMPUTED_VALUE"""),"2")</f>
        <v>2</v>
      </c>
      <c r="G1129" s="1" t="str">
        <f>IFERROR(__xludf.DUMMYFUNCTION("""COMPUTED_VALUE"""),"2")</f>
        <v>2</v>
      </c>
      <c r="H1129" s="1" t="str">
        <f>IFERROR(__xludf.DUMMYFUNCTION("""COMPUTED_VALUE"""),"68")</f>
        <v>68</v>
      </c>
    </row>
    <row r="1130" ht="15.75" customHeight="1">
      <c r="D1130" s="1" t="str">
        <f>IFERROR(__xludf.DUMMYFUNCTION("""COMPUTED_VALUE"""),"29355")</f>
        <v>29355</v>
      </c>
      <c r="E1130" s="3">
        <f>IFERROR(__xludf.DUMMYFUNCTION("""COMPUTED_VALUE"""),40000.0)</f>
        <v>40000</v>
      </c>
      <c r="F1130" s="1" t="str">
        <f>IFERROR(__xludf.DUMMYFUNCTION("""COMPUTED_VALUE"""),"0")</f>
        <v>0</v>
      </c>
      <c r="G1130" s="1" t="str">
        <f>IFERROR(__xludf.DUMMYFUNCTION("""COMPUTED_VALUE"""),"0")</f>
        <v>0</v>
      </c>
      <c r="H1130" s="1" t="str">
        <f>IFERROR(__xludf.DUMMYFUNCTION("""COMPUTED_VALUE"""),"37")</f>
        <v>37</v>
      </c>
    </row>
    <row r="1131" ht="15.75" customHeight="1">
      <c r="D1131" s="1" t="str">
        <f>IFERROR(__xludf.DUMMYFUNCTION("""COMPUTED_VALUE"""),"25303")</f>
        <v>25303</v>
      </c>
      <c r="E1131" s="3">
        <f>IFERROR(__xludf.DUMMYFUNCTION("""COMPUTED_VALUE"""),30000.0)</f>
        <v>30000</v>
      </c>
      <c r="F1131" s="1" t="str">
        <f>IFERROR(__xludf.DUMMYFUNCTION("""COMPUTED_VALUE"""),"0")</f>
        <v>0</v>
      </c>
      <c r="G1131" s="1" t="str">
        <f>IFERROR(__xludf.DUMMYFUNCTION("""COMPUTED_VALUE"""),"1")</f>
        <v>1</v>
      </c>
      <c r="H1131" s="1" t="str">
        <f>IFERROR(__xludf.DUMMYFUNCTION("""COMPUTED_VALUE"""),"33")</f>
        <v>33</v>
      </c>
    </row>
    <row r="1132" ht="15.75" customHeight="1">
      <c r="D1132" s="1" t="str">
        <f>IFERROR(__xludf.DUMMYFUNCTION("""COMPUTED_VALUE"""),"14813")</f>
        <v>14813</v>
      </c>
      <c r="E1132" s="3">
        <f>IFERROR(__xludf.DUMMYFUNCTION("""COMPUTED_VALUE"""),20000.0)</f>
        <v>20000</v>
      </c>
      <c r="F1132" s="1" t="str">
        <f>IFERROR(__xludf.DUMMYFUNCTION("""COMPUTED_VALUE"""),"4")</f>
        <v>4</v>
      </c>
      <c r="G1132" s="1" t="str">
        <f>IFERROR(__xludf.DUMMYFUNCTION("""COMPUTED_VALUE"""),"1")</f>
        <v>1</v>
      </c>
      <c r="H1132" s="1" t="str">
        <f>IFERROR(__xludf.DUMMYFUNCTION("""COMPUTED_VALUE"""),"43")</f>
        <v>43</v>
      </c>
    </row>
    <row r="1133" ht="15.75" customHeight="1">
      <c r="D1133" s="1" t="str">
        <f>IFERROR(__xludf.DUMMYFUNCTION("""COMPUTED_VALUE"""),"16438")</f>
        <v>16438</v>
      </c>
      <c r="E1133" s="3">
        <f>IFERROR(__xludf.DUMMYFUNCTION("""COMPUTED_VALUE"""),10000.0)</f>
        <v>10000</v>
      </c>
      <c r="F1133" s="1" t="str">
        <f>IFERROR(__xludf.DUMMYFUNCTION("""COMPUTED_VALUE"""),"0")</f>
        <v>0</v>
      </c>
      <c r="G1133" s="1" t="str">
        <f>IFERROR(__xludf.DUMMYFUNCTION("""COMPUTED_VALUE"""),"2")</f>
        <v>2</v>
      </c>
      <c r="H1133" s="1" t="str">
        <f>IFERROR(__xludf.DUMMYFUNCTION("""COMPUTED_VALUE"""),"30")</f>
        <v>30</v>
      </c>
    </row>
    <row r="1134" ht="15.75" customHeight="1">
      <c r="D1134" s="1" t="str">
        <f>IFERROR(__xludf.DUMMYFUNCTION("""COMPUTED_VALUE"""),"14238")</f>
        <v>14238</v>
      </c>
      <c r="E1134" s="3">
        <f>IFERROR(__xludf.DUMMYFUNCTION("""COMPUTED_VALUE"""),120000.0)</f>
        <v>120000</v>
      </c>
      <c r="F1134" s="1" t="str">
        <f>IFERROR(__xludf.DUMMYFUNCTION("""COMPUTED_VALUE"""),"0")</f>
        <v>0</v>
      </c>
      <c r="G1134" s="1" t="str">
        <f>IFERROR(__xludf.DUMMYFUNCTION("""COMPUTED_VALUE"""),"4")</f>
        <v>4</v>
      </c>
      <c r="H1134" s="1" t="str">
        <f>IFERROR(__xludf.DUMMYFUNCTION("""COMPUTED_VALUE"""),"36")</f>
        <v>36</v>
      </c>
    </row>
    <row r="1135" ht="15.75" customHeight="1">
      <c r="D1135" s="1" t="str">
        <f>IFERROR(__xludf.DUMMYFUNCTION("""COMPUTED_VALUE"""),"16200")</f>
        <v>16200</v>
      </c>
      <c r="E1135" s="3">
        <f>IFERROR(__xludf.DUMMYFUNCTION("""COMPUTED_VALUE"""),10000.0)</f>
        <v>10000</v>
      </c>
      <c r="F1135" s="1" t="str">
        <f>IFERROR(__xludf.DUMMYFUNCTION("""COMPUTED_VALUE"""),"0")</f>
        <v>0</v>
      </c>
      <c r="G1135" s="1" t="str">
        <f>IFERROR(__xludf.DUMMYFUNCTION("""COMPUTED_VALUE"""),"2")</f>
        <v>2</v>
      </c>
      <c r="H1135" s="1" t="str">
        <f>IFERROR(__xludf.DUMMYFUNCTION("""COMPUTED_VALUE"""),"35")</f>
        <v>35</v>
      </c>
    </row>
    <row r="1136" ht="15.75" customHeight="1">
      <c r="D1136" s="1" t="str">
        <f>IFERROR(__xludf.DUMMYFUNCTION("""COMPUTED_VALUE"""),"24857")</f>
        <v>24857</v>
      </c>
      <c r="E1136" s="3">
        <f>IFERROR(__xludf.DUMMYFUNCTION("""COMPUTED_VALUE"""),130000.0)</f>
        <v>130000</v>
      </c>
      <c r="F1136" s="1" t="str">
        <f>IFERROR(__xludf.DUMMYFUNCTION("""COMPUTED_VALUE"""),"3")</f>
        <v>3</v>
      </c>
      <c r="G1136" s="1" t="str">
        <f>IFERROR(__xludf.DUMMYFUNCTION("""COMPUTED_VALUE"""),"4")</f>
        <v>4</v>
      </c>
      <c r="H1136" s="1" t="str">
        <f>IFERROR(__xludf.DUMMYFUNCTION("""COMPUTED_VALUE"""),"52")</f>
        <v>52</v>
      </c>
    </row>
    <row r="1137" ht="15.75" customHeight="1">
      <c r="D1137" s="1" t="str">
        <f>IFERROR(__xludf.DUMMYFUNCTION("""COMPUTED_VALUE"""),"26956")</f>
        <v>26956</v>
      </c>
      <c r="E1137" s="3">
        <f>IFERROR(__xludf.DUMMYFUNCTION("""COMPUTED_VALUE"""),20000.0)</f>
        <v>20000</v>
      </c>
      <c r="F1137" s="1" t="str">
        <f>IFERROR(__xludf.DUMMYFUNCTION("""COMPUTED_VALUE"""),"0")</f>
        <v>0</v>
      </c>
      <c r="G1137" s="1" t="str">
        <f>IFERROR(__xludf.DUMMYFUNCTION("""COMPUTED_VALUE"""),"1")</f>
        <v>1</v>
      </c>
      <c r="H1137" s="1" t="str">
        <f>IFERROR(__xludf.DUMMYFUNCTION("""COMPUTED_VALUE"""),"36")</f>
        <v>36</v>
      </c>
    </row>
    <row r="1138" ht="15.75" customHeight="1">
      <c r="D1138" s="1" t="str">
        <f>IFERROR(__xludf.DUMMYFUNCTION("""COMPUTED_VALUE"""),"14517")</f>
        <v>14517</v>
      </c>
      <c r="E1138" s="3">
        <f>IFERROR(__xludf.DUMMYFUNCTION("""COMPUTED_VALUE"""),20000.0)</f>
        <v>20000</v>
      </c>
      <c r="F1138" s="1" t="str">
        <f>IFERROR(__xludf.DUMMYFUNCTION("""COMPUTED_VALUE"""),"3")</f>
        <v>3</v>
      </c>
      <c r="G1138" s="1" t="str">
        <f>IFERROR(__xludf.DUMMYFUNCTION("""COMPUTED_VALUE"""),"2")</f>
        <v>2</v>
      </c>
      <c r="H1138" s="1" t="str">
        <f>IFERROR(__xludf.DUMMYFUNCTION("""COMPUTED_VALUE"""),"62")</f>
        <v>62</v>
      </c>
    </row>
    <row r="1139" ht="15.75" customHeight="1">
      <c r="D1139" s="1" t="str">
        <f>IFERROR(__xludf.DUMMYFUNCTION("""COMPUTED_VALUE"""),"12678")</f>
        <v>12678</v>
      </c>
      <c r="E1139" s="3">
        <f>IFERROR(__xludf.DUMMYFUNCTION("""COMPUTED_VALUE"""),130000.0)</f>
        <v>130000</v>
      </c>
      <c r="F1139" s="1" t="str">
        <f>IFERROR(__xludf.DUMMYFUNCTION("""COMPUTED_VALUE"""),"4")</f>
        <v>4</v>
      </c>
      <c r="G1139" s="1" t="str">
        <f>IFERROR(__xludf.DUMMYFUNCTION("""COMPUTED_VALUE"""),"4")</f>
        <v>4</v>
      </c>
      <c r="H1139" s="1" t="str">
        <f>IFERROR(__xludf.DUMMYFUNCTION("""COMPUTED_VALUE"""),"31")</f>
        <v>31</v>
      </c>
    </row>
    <row r="1140" ht="15.75" customHeight="1">
      <c r="D1140" s="1" t="str">
        <f>IFERROR(__xludf.DUMMYFUNCTION("""COMPUTED_VALUE"""),"16188")</f>
        <v>16188</v>
      </c>
      <c r="E1140" s="3">
        <f>IFERROR(__xludf.DUMMYFUNCTION("""COMPUTED_VALUE"""),20000.0)</f>
        <v>20000</v>
      </c>
      <c r="F1140" s="1" t="str">
        <f>IFERROR(__xludf.DUMMYFUNCTION("""COMPUTED_VALUE"""),"0")</f>
        <v>0</v>
      </c>
      <c r="G1140" s="1" t="str">
        <f>IFERROR(__xludf.DUMMYFUNCTION("""COMPUTED_VALUE"""),"2")</f>
        <v>2</v>
      </c>
      <c r="H1140" s="1" t="str">
        <f>IFERROR(__xludf.DUMMYFUNCTION("""COMPUTED_VALUE"""),"26")</f>
        <v>26</v>
      </c>
    </row>
    <row r="1141" ht="15.75" customHeight="1">
      <c r="D1141" s="1" t="str">
        <f>IFERROR(__xludf.DUMMYFUNCTION("""COMPUTED_VALUE"""),"27969")</f>
        <v>27969</v>
      </c>
      <c r="E1141" s="3">
        <f>IFERROR(__xludf.DUMMYFUNCTION("""COMPUTED_VALUE"""),80000.0)</f>
        <v>80000</v>
      </c>
      <c r="F1141" s="1" t="str">
        <f>IFERROR(__xludf.DUMMYFUNCTION("""COMPUTED_VALUE"""),"0")</f>
        <v>0</v>
      </c>
      <c r="G1141" s="1" t="str">
        <f>IFERROR(__xludf.DUMMYFUNCTION("""COMPUTED_VALUE"""),"2")</f>
        <v>2</v>
      </c>
      <c r="H1141" s="1" t="str">
        <f>IFERROR(__xludf.DUMMYFUNCTION("""COMPUTED_VALUE"""),"29")</f>
        <v>29</v>
      </c>
    </row>
    <row r="1142" ht="15.75" customHeight="1">
      <c r="D1142" s="1" t="str">
        <f>IFERROR(__xludf.DUMMYFUNCTION("""COMPUTED_VALUE"""),"15752")</f>
        <v>15752</v>
      </c>
      <c r="E1142" s="3">
        <f>IFERROR(__xludf.DUMMYFUNCTION("""COMPUTED_VALUE"""),80000.0)</f>
        <v>80000</v>
      </c>
      <c r="F1142" s="1" t="str">
        <f>IFERROR(__xludf.DUMMYFUNCTION("""COMPUTED_VALUE"""),"2")</f>
        <v>2</v>
      </c>
      <c r="G1142" s="1" t="str">
        <f>IFERROR(__xludf.DUMMYFUNCTION("""COMPUTED_VALUE"""),"2")</f>
        <v>2</v>
      </c>
      <c r="H1142" s="1" t="str">
        <f>IFERROR(__xludf.DUMMYFUNCTION("""COMPUTED_VALUE"""),"50")</f>
        <v>50</v>
      </c>
    </row>
    <row r="1143" ht="15.75" customHeight="1">
      <c r="D1143" s="1" t="str">
        <f>IFERROR(__xludf.DUMMYFUNCTION("""COMPUTED_VALUE"""),"27745")</f>
        <v>27745</v>
      </c>
      <c r="E1143" s="3">
        <f>IFERROR(__xludf.DUMMYFUNCTION("""COMPUTED_VALUE"""),40000.0)</f>
        <v>40000</v>
      </c>
      <c r="F1143" s="1" t="str">
        <f>IFERROR(__xludf.DUMMYFUNCTION("""COMPUTED_VALUE"""),"2")</f>
        <v>2</v>
      </c>
      <c r="G1143" s="1" t="str">
        <f>IFERROR(__xludf.DUMMYFUNCTION("""COMPUTED_VALUE"""),"2")</f>
        <v>2</v>
      </c>
      <c r="H1143" s="1" t="str">
        <f>IFERROR(__xludf.DUMMYFUNCTION("""COMPUTED_VALUE"""),"63")</f>
        <v>63</v>
      </c>
    </row>
    <row r="1144" ht="15.75" customHeight="1">
      <c r="D1144" s="1" t="str">
        <f>IFERROR(__xludf.DUMMYFUNCTION("""COMPUTED_VALUE"""),"20828")</f>
        <v>20828</v>
      </c>
      <c r="E1144" s="3">
        <f>IFERROR(__xludf.DUMMYFUNCTION("""COMPUTED_VALUE"""),30000.0)</f>
        <v>30000</v>
      </c>
      <c r="F1144" s="1" t="str">
        <f>IFERROR(__xludf.DUMMYFUNCTION("""COMPUTED_VALUE"""),"4")</f>
        <v>4</v>
      </c>
      <c r="G1144" s="1" t="str">
        <f>IFERROR(__xludf.DUMMYFUNCTION("""COMPUTED_VALUE"""),"0")</f>
        <v>0</v>
      </c>
      <c r="H1144" s="1" t="str">
        <f>IFERROR(__xludf.DUMMYFUNCTION("""COMPUTED_VALUE"""),"45")</f>
        <v>45</v>
      </c>
    </row>
    <row r="1145" ht="15.75" customHeight="1">
      <c r="D1145" s="1" t="str">
        <f>IFERROR(__xludf.DUMMYFUNCTION("""COMPUTED_VALUE"""),"19461")</f>
        <v>19461</v>
      </c>
      <c r="E1145" s="3">
        <f>IFERROR(__xludf.DUMMYFUNCTION("""COMPUTED_VALUE"""),10000.0)</f>
        <v>10000</v>
      </c>
      <c r="F1145" s="1" t="str">
        <f>IFERROR(__xludf.DUMMYFUNCTION("""COMPUTED_VALUE"""),"4")</f>
        <v>4</v>
      </c>
      <c r="G1145" s="1" t="str">
        <f>IFERROR(__xludf.DUMMYFUNCTION("""COMPUTED_VALUE"""),"2")</f>
        <v>2</v>
      </c>
      <c r="H1145" s="1" t="str">
        <f>IFERROR(__xludf.DUMMYFUNCTION("""COMPUTED_VALUE"""),"40")</f>
        <v>40</v>
      </c>
    </row>
    <row r="1146" ht="15.75" customHeight="1">
      <c r="D1146" s="1" t="str">
        <f>IFERROR(__xludf.DUMMYFUNCTION("""COMPUTED_VALUE"""),"26941")</f>
        <v>26941</v>
      </c>
      <c r="E1146" s="3">
        <f>IFERROR(__xludf.DUMMYFUNCTION("""COMPUTED_VALUE"""),30000.0)</f>
        <v>30000</v>
      </c>
      <c r="F1146" s="1" t="str">
        <f>IFERROR(__xludf.DUMMYFUNCTION("""COMPUTED_VALUE"""),"0")</f>
        <v>0</v>
      </c>
      <c r="G1146" s="1" t="str">
        <f>IFERROR(__xludf.DUMMYFUNCTION("""COMPUTED_VALUE"""),"0")</f>
        <v>0</v>
      </c>
      <c r="H1146" s="1" t="str">
        <f>IFERROR(__xludf.DUMMYFUNCTION("""COMPUTED_VALUE"""),"47")</f>
        <v>47</v>
      </c>
    </row>
    <row r="1147" ht="15.75" customHeight="1">
      <c r="D1147" s="1" t="str">
        <f>IFERROR(__xludf.DUMMYFUNCTION("""COMPUTED_VALUE"""),"28412")</f>
        <v>28412</v>
      </c>
      <c r="E1147" s="3">
        <f>IFERROR(__xludf.DUMMYFUNCTION("""COMPUTED_VALUE"""),20000.0)</f>
        <v>20000</v>
      </c>
      <c r="F1147" s="1" t="str">
        <f>IFERROR(__xludf.DUMMYFUNCTION("""COMPUTED_VALUE"""),"0")</f>
        <v>0</v>
      </c>
      <c r="G1147" s="1" t="str">
        <f>IFERROR(__xludf.DUMMYFUNCTION("""COMPUTED_VALUE"""),"1")</f>
        <v>1</v>
      </c>
      <c r="H1147" s="1" t="str">
        <f>IFERROR(__xludf.DUMMYFUNCTION("""COMPUTED_VALUE"""),"29")</f>
        <v>29</v>
      </c>
    </row>
    <row r="1148" ht="15.75" customHeight="1">
      <c r="D1148" s="1" t="str">
        <f>IFERROR(__xludf.DUMMYFUNCTION("""COMPUTED_VALUE"""),"24485")</f>
        <v>24485</v>
      </c>
      <c r="E1148" s="3">
        <f>IFERROR(__xludf.DUMMYFUNCTION("""COMPUTED_VALUE"""),40000.0)</f>
        <v>40000</v>
      </c>
      <c r="F1148" s="1" t="str">
        <f>IFERROR(__xludf.DUMMYFUNCTION("""COMPUTED_VALUE"""),"2")</f>
        <v>2</v>
      </c>
      <c r="G1148" s="1" t="str">
        <f>IFERROR(__xludf.DUMMYFUNCTION("""COMPUTED_VALUE"""),"1")</f>
        <v>1</v>
      </c>
      <c r="H1148" s="1" t="str">
        <f>IFERROR(__xludf.DUMMYFUNCTION("""COMPUTED_VALUE"""),"52")</f>
        <v>52</v>
      </c>
    </row>
    <row r="1149" ht="15.75" customHeight="1">
      <c r="D1149" s="1" t="str">
        <f>IFERROR(__xludf.DUMMYFUNCTION("""COMPUTED_VALUE"""),"16514")</f>
        <v>16514</v>
      </c>
      <c r="E1149" s="3">
        <f>IFERROR(__xludf.DUMMYFUNCTION("""COMPUTED_VALUE"""),10000.0)</f>
        <v>10000</v>
      </c>
      <c r="F1149" s="1" t="str">
        <f>IFERROR(__xludf.DUMMYFUNCTION("""COMPUTED_VALUE"""),"0")</f>
        <v>0</v>
      </c>
      <c r="G1149" s="1" t="str">
        <f>IFERROR(__xludf.DUMMYFUNCTION("""COMPUTED_VALUE"""),"1")</f>
        <v>1</v>
      </c>
      <c r="H1149" s="1" t="str">
        <f>IFERROR(__xludf.DUMMYFUNCTION("""COMPUTED_VALUE"""),"26")</f>
        <v>26</v>
      </c>
    </row>
    <row r="1150" ht="15.75" customHeight="1">
      <c r="D1150" s="1" t="str">
        <f>IFERROR(__xludf.DUMMYFUNCTION("""COMPUTED_VALUE"""),"17191")</f>
        <v>17191</v>
      </c>
      <c r="E1150" s="3">
        <f>IFERROR(__xludf.DUMMYFUNCTION("""COMPUTED_VALUE"""),130000.0)</f>
        <v>130000</v>
      </c>
      <c r="F1150" s="1" t="str">
        <f>IFERROR(__xludf.DUMMYFUNCTION("""COMPUTED_VALUE"""),"3")</f>
        <v>3</v>
      </c>
      <c r="G1150" s="1" t="str">
        <f>IFERROR(__xludf.DUMMYFUNCTION("""COMPUTED_VALUE"""),"3")</f>
        <v>3</v>
      </c>
      <c r="H1150" s="1" t="str">
        <f>IFERROR(__xludf.DUMMYFUNCTION("""COMPUTED_VALUE"""),"51")</f>
        <v>51</v>
      </c>
    </row>
    <row r="1151" ht="15.75" customHeight="1">
      <c r="D1151" s="1" t="str">
        <f>IFERROR(__xludf.DUMMYFUNCTION("""COMPUTED_VALUE"""),"19608")</f>
        <v>19608</v>
      </c>
      <c r="E1151" s="3">
        <f>IFERROR(__xludf.DUMMYFUNCTION("""COMPUTED_VALUE"""),80000.0)</f>
        <v>80000</v>
      </c>
      <c r="F1151" s="1" t="str">
        <f>IFERROR(__xludf.DUMMYFUNCTION("""COMPUTED_VALUE"""),"5")</f>
        <v>5</v>
      </c>
      <c r="G1151" s="1" t="str">
        <f>IFERROR(__xludf.DUMMYFUNCTION("""COMPUTED_VALUE"""),"4")</f>
        <v>4</v>
      </c>
      <c r="H1151" s="1" t="str">
        <f>IFERROR(__xludf.DUMMYFUNCTION("""COMPUTED_VALUE"""),"40")</f>
        <v>40</v>
      </c>
    </row>
    <row r="1152" ht="15.75" customHeight="1">
      <c r="D1152" s="1" t="str">
        <f>IFERROR(__xludf.DUMMYFUNCTION("""COMPUTED_VALUE"""),"24119")</f>
        <v>24119</v>
      </c>
      <c r="E1152" s="3">
        <f>IFERROR(__xludf.DUMMYFUNCTION("""COMPUTED_VALUE"""),30000.0)</f>
        <v>30000</v>
      </c>
      <c r="F1152" s="1" t="str">
        <f>IFERROR(__xludf.DUMMYFUNCTION("""COMPUTED_VALUE"""),"0")</f>
        <v>0</v>
      </c>
      <c r="G1152" s="1" t="str">
        <f>IFERROR(__xludf.DUMMYFUNCTION("""COMPUTED_VALUE"""),"1")</f>
        <v>1</v>
      </c>
      <c r="H1152" s="1" t="str">
        <f>IFERROR(__xludf.DUMMYFUNCTION("""COMPUTED_VALUE"""),"29")</f>
        <v>29</v>
      </c>
    </row>
    <row r="1153" ht="15.75" customHeight="1">
      <c r="D1153" s="1" t="str">
        <f>IFERROR(__xludf.DUMMYFUNCTION("""COMPUTED_VALUE"""),"25458")</f>
        <v>25458</v>
      </c>
      <c r="E1153" s="3">
        <f>IFERROR(__xludf.DUMMYFUNCTION("""COMPUTED_VALUE"""),20000.0)</f>
        <v>20000</v>
      </c>
      <c r="F1153" s="1" t="str">
        <f>IFERROR(__xludf.DUMMYFUNCTION("""COMPUTED_VALUE"""),"1")</f>
        <v>1</v>
      </c>
      <c r="G1153" s="1" t="str">
        <f>IFERROR(__xludf.DUMMYFUNCTION("""COMPUTED_VALUE"""),"1")</f>
        <v>1</v>
      </c>
      <c r="H1153" s="1" t="str">
        <f>IFERROR(__xludf.DUMMYFUNCTION("""COMPUTED_VALUE"""),"40")</f>
        <v>40</v>
      </c>
    </row>
    <row r="1154" ht="15.75" customHeight="1">
      <c r="D1154" s="1" t="str">
        <f>IFERROR(__xludf.DUMMYFUNCTION("""COMPUTED_VALUE"""),"26886")</f>
        <v>26886</v>
      </c>
      <c r="E1154" s="3">
        <f>IFERROR(__xludf.DUMMYFUNCTION("""COMPUTED_VALUE"""),30000.0)</f>
        <v>30000</v>
      </c>
      <c r="F1154" s="1" t="str">
        <f>IFERROR(__xludf.DUMMYFUNCTION("""COMPUTED_VALUE"""),"0")</f>
        <v>0</v>
      </c>
      <c r="G1154" s="1" t="str">
        <f>IFERROR(__xludf.DUMMYFUNCTION("""COMPUTED_VALUE"""),"1")</f>
        <v>1</v>
      </c>
      <c r="H1154" s="1" t="str">
        <f>IFERROR(__xludf.DUMMYFUNCTION("""COMPUTED_VALUE"""),"29")</f>
        <v>29</v>
      </c>
    </row>
    <row r="1155" ht="15.75" customHeight="1">
      <c r="D1155" s="1" t="str">
        <f>IFERROR(__xludf.DUMMYFUNCTION("""COMPUTED_VALUE"""),"28436")</f>
        <v>28436</v>
      </c>
      <c r="E1155" s="3">
        <f>IFERROR(__xludf.DUMMYFUNCTION("""COMPUTED_VALUE"""),30000.0)</f>
        <v>30000</v>
      </c>
      <c r="F1155" s="1" t="str">
        <f>IFERROR(__xludf.DUMMYFUNCTION("""COMPUTED_VALUE"""),"0")</f>
        <v>0</v>
      </c>
      <c r="G1155" s="1" t="str">
        <f>IFERROR(__xludf.DUMMYFUNCTION("""COMPUTED_VALUE"""),"1")</f>
        <v>1</v>
      </c>
      <c r="H1155" s="1" t="str">
        <f>IFERROR(__xludf.DUMMYFUNCTION("""COMPUTED_VALUE"""),"30")</f>
        <v>30</v>
      </c>
    </row>
    <row r="1156" ht="15.75" customHeight="1">
      <c r="D1156" s="1" t="str">
        <f>IFERROR(__xludf.DUMMYFUNCTION("""COMPUTED_VALUE"""),"19562")</f>
        <v>19562</v>
      </c>
      <c r="E1156" s="3">
        <f>IFERROR(__xludf.DUMMYFUNCTION("""COMPUTED_VALUE"""),60000.0)</f>
        <v>60000</v>
      </c>
      <c r="F1156" s="1" t="str">
        <f>IFERROR(__xludf.DUMMYFUNCTION("""COMPUTED_VALUE"""),"2")</f>
        <v>2</v>
      </c>
      <c r="G1156" s="1" t="str">
        <f>IFERROR(__xludf.DUMMYFUNCTION("""COMPUTED_VALUE"""),"1")</f>
        <v>1</v>
      </c>
      <c r="H1156" s="1" t="str">
        <f>IFERROR(__xludf.DUMMYFUNCTION("""COMPUTED_VALUE"""),"37")</f>
        <v>37</v>
      </c>
    </row>
    <row r="1157" ht="15.75" customHeight="1">
      <c r="D1157" s="1" t="str">
        <f>IFERROR(__xludf.DUMMYFUNCTION("""COMPUTED_VALUE"""),"15608")</f>
        <v>15608</v>
      </c>
      <c r="E1157" s="3">
        <f>IFERROR(__xludf.DUMMYFUNCTION("""COMPUTED_VALUE"""),30000.0)</f>
        <v>30000</v>
      </c>
      <c r="F1157" s="1" t="str">
        <f>IFERROR(__xludf.DUMMYFUNCTION("""COMPUTED_VALUE"""),"0")</f>
        <v>0</v>
      </c>
      <c r="G1157" s="1" t="str">
        <f>IFERROR(__xludf.DUMMYFUNCTION("""COMPUTED_VALUE"""),"1")</f>
        <v>1</v>
      </c>
      <c r="H1157" s="1" t="str">
        <f>IFERROR(__xludf.DUMMYFUNCTION("""COMPUTED_VALUE"""),"33")</f>
        <v>33</v>
      </c>
    </row>
    <row r="1158" ht="15.75" customHeight="1">
      <c r="D1158" s="1" t="str">
        <f>IFERROR(__xludf.DUMMYFUNCTION("""COMPUTED_VALUE"""),"16487")</f>
        <v>16487</v>
      </c>
      <c r="E1158" s="3">
        <f>IFERROR(__xludf.DUMMYFUNCTION("""COMPUTED_VALUE"""),30000.0)</f>
        <v>30000</v>
      </c>
      <c r="F1158" s="1" t="str">
        <f>IFERROR(__xludf.DUMMYFUNCTION("""COMPUTED_VALUE"""),"3")</f>
        <v>3</v>
      </c>
      <c r="G1158" s="1" t="str">
        <f>IFERROR(__xludf.DUMMYFUNCTION("""COMPUTED_VALUE"""),"2")</f>
        <v>2</v>
      </c>
      <c r="H1158" s="1" t="str">
        <f>IFERROR(__xludf.DUMMYFUNCTION("""COMPUTED_VALUE"""),"55")</f>
        <v>55</v>
      </c>
    </row>
    <row r="1159" ht="15.75" customHeight="1">
      <c r="D1159" s="1" t="str">
        <f>IFERROR(__xludf.DUMMYFUNCTION("""COMPUTED_VALUE"""),"17197")</f>
        <v>17197</v>
      </c>
      <c r="E1159" s="3">
        <f>IFERROR(__xludf.DUMMYFUNCTION("""COMPUTED_VALUE"""),90000.0)</f>
        <v>90000</v>
      </c>
      <c r="F1159" s="1" t="str">
        <f>IFERROR(__xludf.DUMMYFUNCTION("""COMPUTED_VALUE"""),"5")</f>
        <v>5</v>
      </c>
      <c r="G1159" s="1" t="str">
        <f>IFERROR(__xludf.DUMMYFUNCTION("""COMPUTED_VALUE"""),"2")</f>
        <v>2</v>
      </c>
      <c r="H1159" s="1" t="str">
        <f>IFERROR(__xludf.DUMMYFUNCTION("""COMPUTED_VALUE"""),"62")</f>
        <v>62</v>
      </c>
    </row>
    <row r="1160" ht="15.75" customHeight="1">
      <c r="D1160" s="1" t="str">
        <f>IFERROR(__xludf.DUMMYFUNCTION("""COMPUTED_VALUE"""),"12507")</f>
        <v>12507</v>
      </c>
      <c r="E1160" s="3">
        <f>IFERROR(__xludf.DUMMYFUNCTION("""COMPUTED_VALUE"""),30000.0)</f>
        <v>30000</v>
      </c>
      <c r="F1160" s="1" t="str">
        <f>IFERROR(__xludf.DUMMYFUNCTION("""COMPUTED_VALUE"""),"1")</f>
        <v>1</v>
      </c>
      <c r="G1160" s="1" t="str">
        <f>IFERROR(__xludf.DUMMYFUNCTION("""COMPUTED_VALUE"""),"1")</f>
        <v>1</v>
      </c>
      <c r="H1160" s="1" t="str">
        <f>IFERROR(__xludf.DUMMYFUNCTION("""COMPUTED_VALUE"""),"43")</f>
        <v>43</v>
      </c>
    </row>
    <row r="1161" ht="15.75" customHeight="1">
      <c r="D1161" s="1" t="str">
        <f>IFERROR(__xludf.DUMMYFUNCTION("""COMPUTED_VALUE"""),"23940")</f>
        <v>23940</v>
      </c>
      <c r="E1161" s="3">
        <f>IFERROR(__xludf.DUMMYFUNCTION("""COMPUTED_VALUE"""),40000.0)</f>
        <v>40000</v>
      </c>
      <c r="F1161" s="1" t="str">
        <f>IFERROR(__xludf.DUMMYFUNCTION("""COMPUTED_VALUE"""),"1")</f>
        <v>1</v>
      </c>
      <c r="G1161" s="1" t="str">
        <f>IFERROR(__xludf.DUMMYFUNCTION("""COMPUTED_VALUE"""),"1")</f>
        <v>1</v>
      </c>
      <c r="H1161" s="1" t="str">
        <f>IFERROR(__xludf.DUMMYFUNCTION("""COMPUTED_VALUE"""),"44")</f>
        <v>44</v>
      </c>
    </row>
    <row r="1162" ht="15.75" customHeight="1">
      <c r="D1162" s="1" t="str">
        <f>IFERROR(__xludf.DUMMYFUNCTION("""COMPUTED_VALUE"""),"26852")</f>
        <v>26852</v>
      </c>
      <c r="E1162" s="3">
        <f>IFERROR(__xludf.DUMMYFUNCTION("""COMPUTED_VALUE"""),20000.0)</f>
        <v>20000</v>
      </c>
      <c r="F1162" s="1" t="str">
        <f>IFERROR(__xludf.DUMMYFUNCTION("""COMPUTED_VALUE"""),"3")</f>
        <v>3</v>
      </c>
      <c r="G1162" s="1" t="str">
        <f>IFERROR(__xludf.DUMMYFUNCTION("""COMPUTED_VALUE"""),"2")</f>
        <v>2</v>
      </c>
      <c r="H1162" s="1" t="str">
        <f>IFERROR(__xludf.DUMMYFUNCTION("""COMPUTED_VALUE"""),"43")</f>
        <v>43</v>
      </c>
    </row>
    <row r="1163" ht="15.75" customHeight="1">
      <c r="D1163" s="1" t="str">
        <f>IFERROR(__xludf.DUMMYFUNCTION("""COMPUTED_VALUE"""),"12274")</f>
        <v>12274</v>
      </c>
      <c r="E1163" s="3">
        <f>IFERROR(__xludf.DUMMYFUNCTION("""COMPUTED_VALUE"""),10000.0)</f>
        <v>10000</v>
      </c>
      <c r="F1163" s="1" t="str">
        <f>IFERROR(__xludf.DUMMYFUNCTION("""COMPUTED_VALUE"""),"2")</f>
        <v>2</v>
      </c>
      <c r="G1163" s="1" t="str">
        <f>IFERROR(__xludf.DUMMYFUNCTION("""COMPUTED_VALUE"""),"0")</f>
        <v>0</v>
      </c>
      <c r="H1163" s="1" t="str">
        <f>IFERROR(__xludf.DUMMYFUNCTION("""COMPUTED_VALUE"""),"35")</f>
        <v>35</v>
      </c>
    </row>
    <row r="1164" ht="15.75" customHeight="1">
      <c r="D1164" s="1" t="str">
        <f>IFERROR(__xludf.DUMMYFUNCTION("""COMPUTED_VALUE"""),"20236")</f>
        <v>20236</v>
      </c>
      <c r="E1164" s="3">
        <f>IFERROR(__xludf.DUMMYFUNCTION("""COMPUTED_VALUE"""),60000.0)</f>
        <v>60000</v>
      </c>
      <c r="F1164" s="1" t="str">
        <f>IFERROR(__xludf.DUMMYFUNCTION("""COMPUTED_VALUE"""),"3")</f>
        <v>3</v>
      </c>
      <c r="G1164" s="1" t="str">
        <f>IFERROR(__xludf.DUMMYFUNCTION("""COMPUTED_VALUE"""),"2")</f>
        <v>2</v>
      </c>
      <c r="H1164" s="1" t="str">
        <f>IFERROR(__xludf.DUMMYFUNCTION("""COMPUTED_VALUE"""),"43")</f>
        <v>43</v>
      </c>
    </row>
    <row r="1165" ht="15.75" customHeight="1">
      <c r="D1165" s="1" t="str">
        <f>IFERROR(__xludf.DUMMYFUNCTION("""COMPUTED_VALUE"""),"24149")</f>
        <v>24149</v>
      </c>
      <c r="E1165" s="3">
        <f>IFERROR(__xludf.DUMMYFUNCTION("""COMPUTED_VALUE"""),10000.0)</f>
        <v>10000</v>
      </c>
      <c r="F1165" s="1" t="str">
        <f>IFERROR(__xludf.DUMMYFUNCTION("""COMPUTED_VALUE"""),"2")</f>
        <v>2</v>
      </c>
      <c r="G1165" s="1" t="str">
        <f>IFERROR(__xludf.DUMMYFUNCTION("""COMPUTED_VALUE"""),"0")</f>
        <v>0</v>
      </c>
      <c r="H1165" s="1" t="str">
        <f>IFERROR(__xludf.DUMMYFUNCTION("""COMPUTED_VALUE"""),"49")</f>
        <v>49</v>
      </c>
    </row>
    <row r="1166" ht="15.75" customHeight="1">
      <c r="D1166" s="1" t="str">
        <f>IFERROR(__xludf.DUMMYFUNCTION("""COMPUTED_VALUE"""),"26139")</f>
        <v>26139</v>
      </c>
      <c r="E1166" s="3">
        <f>IFERROR(__xludf.DUMMYFUNCTION("""COMPUTED_VALUE"""),60000.0)</f>
        <v>60000</v>
      </c>
      <c r="F1166" s="1" t="str">
        <f>IFERROR(__xludf.DUMMYFUNCTION("""COMPUTED_VALUE"""),"1")</f>
        <v>1</v>
      </c>
      <c r="G1166" s="1" t="str">
        <f>IFERROR(__xludf.DUMMYFUNCTION("""COMPUTED_VALUE"""),"1")</f>
        <v>1</v>
      </c>
      <c r="H1166" s="1" t="str">
        <f>IFERROR(__xludf.DUMMYFUNCTION("""COMPUTED_VALUE"""),"45")</f>
        <v>45</v>
      </c>
    </row>
    <row r="1167" ht="15.75" customHeight="1">
      <c r="D1167" s="1" t="str">
        <f>IFERROR(__xludf.DUMMYFUNCTION("""COMPUTED_VALUE"""),"18491")</f>
        <v>18491</v>
      </c>
      <c r="E1167" s="3">
        <f>IFERROR(__xludf.DUMMYFUNCTION("""COMPUTED_VALUE"""),70000.0)</f>
        <v>70000</v>
      </c>
      <c r="F1167" s="1" t="str">
        <f>IFERROR(__xludf.DUMMYFUNCTION("""COMPUTED_VALUE"""),"2")</f>
        <v>2</v>
      </c>
      <c r="G1167" s="1" t="str">
        <f>IFERROR(__xludf.DUMMYFUNCTION("""COMPUTED_VALUE"""),"2")</f>
        <v>2</v>
      </c>
      <c r="H1167" s="1" t="str">
        <f>IFERROR(__xludf.DUMMYFUNCTION("""COMPUTED_VALUE"""),"49")</f>
        <v>49</v>
      </c>
    </row>
    <row r="1168" ht="15.75" customHeight="1">
      <c r="D1168" s="1" t="str">
        <f>IFERROR(__xludf.DUMMYFUNCTION("""COMPUTED_VALUE"""),"22707")</f>
        <v>22707</v>
      </c>
      <c r="E1168" s="3">
        <f>IFERROR(__xludf.DUMMYFUNCTION("""COMPUTED_VALUE"""),30000.0)</f>
        <v>30000</v>
      </c>
      <c r="F1168" s="1" t="str">
        <f>IFERROR(__xludf.DUMMYFUNCTION("""COMPUTED_VALUE"""),"0")</f>
        <v>0</v>
      </c>
      <c r="G1168" s="1" t="str">
        <f>IFERROR(__xludf.DUMMYFUNCTION("""COMPUTED_VALUE"""),"1")</f>
        <v>1</v>
      </c>
      <c r="H1168" s="1" t="str">
        <f>IFERROR(__xludf.DUMMYFUNCTION("""COMPUTED_VALUE"""),"30")</f>
        <v>30</v>
      </c>
    </row>
    <row r="1169" ht="15.75" customHeight="1">
      <c r="D1169" s="1" t="str">
        <f>IFERROR(__xludf.DUMMYFUNCTION("""COMPUTED_VALUE"""),"20430")</f>
        <v>20430</v>
      </c>
      <c r="E1169" s="3">
        <f>IFERROR(__xludf.DUMMYFUNCTION("""COMPUTED_VALUE"""),70000.0)</f>
        <v>70000</v>
      </c>
      <c r="F1169" s="1" t="str">
        <f>IFERROR(__xludf.DUMMYFUNCTION("""COMPUTED_VALUE"""),"2")</f>
        <v>2</v>
      </c>
      <c r="G1169" s="1" t="str">
        <f>IFERROR(__xludf.DUMMYFUNCTION("""COMPUTED_VALUE"""),"2")</f>
        <v>2</v>
      </c>
      <c r="H1169" s="1" t="str">
        <f>IFERROR(__xludf.DUMMYFUNCTION("""COMPUTED_VALUE"""),"52")</f>
        <v>52</v>
      </c>
    </row>
    <row r="1170" ht="15.75" customHeight="1">
      <c r="D1170" s="1" t="str">
        <f>IFERROR(__xludf.DUMMYFUNCTION("""COMPUTED_VALUE"""),"27494")</f>
        <v>27494</v>
      </c>
      <c r="E1170" s="3">
        <f>IFERROR(__xludf.DUMMYFUNCTION("""COMPUTED_VALUE"""),40000.0)</f>
        <v>40000</v>
      </c>
      <c r="F1170" s="1" t="str">
        <f>IFERROR(__xludf.DUMMYFUNCTION("""COMPUTED_VALUE"""),"2")</f>
        <v>2</v>
      </c>
      <c r="G1170" s="1" t="str">
        <f>IFERROR(__xludf.DUMMYFUNCTION("""COMPUTED_VALUE"""),"2")</f>
        <v>2</v>
      </c>
      <c r="H1170" s="1" t="str">
        <f>IFERROR(__xludf.DUMMYFUNCTION("""COMPUTED_VALUE"""),"53")</f>
        <v>53</v>
      </c>
    </row>
    <row r="1171" ht="15.75" customHeight="1">
      <c r="D1171" s="1" t="str">
        <f>IFERROR(__xludf.DUMMYFUNCTION("""COMPUTED_VALUE"""),"26829")</f>
        <v>26829</v>
      </c>
      <c r="E1171" s="3">
        <f>IFERROR(__xludf.DUMMYFUNCTION("""COMPUTED_VALUE"""),40000.0)</f>
        <v>40000</v>
      </c>
      <c r="F1171" s="1" t="str">
        <f>IFERROR(__xludf.DUMMYFUNCTION("""COMPUTED_VALUE"""),"0")</f>
        <v>0</v>
      </c>
      <c r="G1171" s="1" t="str">
        <f>IFERROR(__xludf.DUMMYFUNCTION("""COMPUTED_VALUE"""),"0")</f>
        <v>0</v>
      </c>
      <c r="H1171" s="1" t="str">
        <f>IFERROR(__xludf.DUMMYFUNCTION("""COMPUTED_VALUE"""),"38")</f>
        <v>38</v>
      </c>
    </row>
    <row r="1172" ht="15.75" customHeight="1">
      <c r="D1172" s="1" t="str">
        <f>IFERROR(__xludf.DUMMYFUNCTION("""COMPUTED_VALUE"""),"28395")</f>
        <v>28395</v>
      </c>
      <c r="E1172" s="3">
        <f>IFERROR(__xludf.DUMMYFUNCTION("""COMPUTED_VALUE"""),40000.0)</f>
        <v>40000</v>
      </c>
      <c r="F1172" s="1" t="str">
        <f>IFERROR(__xludf.DUMMYFUNCTION("""COMPUTED_VALUE"""),"0")</f>
        <v>0</v>
      </c>
      <c r="G1172" s="1" t="str">
        <f>IFERROR(__xludf.DUMMYFUNCTION("""COMPUTED_VALUE"""),"0")</f>
        <v>0</v>
      </c>
      <c r="H1172" s="1" t="str">
        <f>IFERROR(__xludf.DUMMYFUNCTION("""COMPUTED_VALUE"""),"39")</f>
        <v>39</v>
      </c>
    </row>
    <row r="1173" ht="15.75" customHeight="1">
      <c r="D1173" s="1" t="str">
        <f>IFERROR(__xludf.DUMMYFUNCTION("""COMPUTED_VALUE"""),"14682")</f>
        <v>14682</v>
      </c>
      <c r="E1173" s="3">
        <f>IFERROR(__xludf.DUMMYFUNCTION("""COMPUTED_VALUE"""),70000.0)</f>
        <v>70000</v>
      </c>
      <c r="F1173" s="1" t="str">
        <f>IFERROR(__xludf.DUMMYFUNCTION("""COMPUTED_VALUE"""),"0")</f>
        <v>0</v>
      </c>
      <c r="G1173" s="1" t="str">
        <f>IFERROR(__xludf.DUMMYFUNCTION("""COMPUTED_VALUE"""),"1")</f>
        <v>1</v>
      </c>
      <c r="H1173" s="1" t="str">
        <f>IFERROR(__xludf.DUMMYFUNCTION("""COMPUTED_VALUE"""),"38")</f>
        <v>38</v>
      </c>
    </row>
    <row r="1174" ht="15.75" customHeight="1">
      <c r="D1174" s="1" t="str">
        <f>IFERROR(__xludf.DUMMYFUNCTION("""COMPUTED_VALUE"""),"17650")</f>
        <v>17650</v>
      </c>
      <c r="E1174" s="3">
        <f>IFERROR(__xludf.DUMMYFUNCTION("""COMPUTED_VALUE"""),40000.0)</f>
        <v>40000</v>
      </c>
      <c r="F1174" s="1" t="str">
        <f>IFERROR(__xludf.DUMMYFUNCTION("""COMPUTED_VALUE"""),"2")</f>
        <v>2</v>
      </c>
      <c r="G1174" s="1" t="str">
        <f>IFERROR(__xludf.DUMMYFUNCTION("""COMPUTED_VALUE"""),"2")</f>
        <v>2</v>
      </c>
      <c r="H1174" s="1" t="str">
        <f>IFERROR(__xludf.DUMMYFUNCTION("""COMPUTED_VALUE"""),"35")</f>
        <v>35</v>
      </c>
    </row>
    <row r="1175" ht="15.75" customHeight="1">
      <c r="D1175" s="1" t="str">
        <f>IFERROR(__xludf.DUMMYFUNCTION("""COMPUTED_VALUE"""),"29191")</f>
        <v>29191</v>
      </c>
      <c r="E1175" s="3">
        <f>IFERROR(__xludf.DUMMYFUNCTION("""COMPUTED_VALUE"""),130000.0)</f>
        <v>130000</v>
      </c>
      <c r="F1175" s="1" t="str">
        <f>IFERROR(__xludf.DUMMYFUNCTION("""COMPUTED_VALUE"""),"1")</f>
        <v>1</v>
      </c>
      <c r="G1175" s="1" t="str">
        <f>IFERROR(__xludf.DUMMYFUNCTION("""COMPUTED_VALUE"""),"1")</f>
        <v>1</v>
      </c>
      <c r="H1175" s="1" t="str">
        <f>IFERROR(__xludf.DUMMYFUNCTION("""COMPUTED_VALUE"""),"36")</f>
        <v>36</v>
      </c>
    </row>
    <row r="1176" ht="15.75" customHeight="1">
      <c r="D1176" s="1" t="str">
        <f>IFERROR(__xludf.DUMMYFUNCTION("""COMPUTED_VALUE"""),"15030")</f>
        <v>15030</v>
      </c>
      <c r="E1176" s="3">
        <f>IFERROR(__xludf.DUMMYFUNCTION("""COMPUTED_VALUE"""),20000.0)</f>
        <v>20000</v>
      </c>
      <c r="F1176" s="1" t="str">
        <f>IFERROR(__xludf.DUMMYFUNCTION("""COMPUTED_VALUE"""),"0")</f>
        <v>0</v>
      </c>
      <c r="G1176" s="1" t="str">
        <f>IFERROR(__xludf.DUMMYFUNCTION("""COMPUTED_VALUE"""),"0")</f>
        <v>0</v>
      </c>
      <c r="H1176" s="1" t="str">
        <f>IFERROR(__xludf.DUMMYFUNCTION("""COMPUTED_VALUE"""),"26")</f>
        <v>26</v>
      </c>
    </row>
    <row r="1177" ht="15.75" customHeight="1">
      <c r="D1177" s="1" t="str">
        <f>IFERROR(__xludf.DUMMYFUNCTION("""COMPUTED_VALUE"""),"24140")</f>
        <v>24140</v>
      </c>
      <c r="E1177" s="3">
        <f>IFERROR(__xludf.DUMMYFUNCTION("""COMPUTED_VALUE"""),10000.0)</f>
        <v>10000</v>
      </c>
      <c r="F1177" s="1" t="str">
        <f>IFERROR(__xludf.DUMMYFUNCTION("""COMPUTED_VALUE"""),"0")</f>
        <v>0</v>
      </c>
      <c r="G1177" s="1" t="str">
        <f>IFERROR(__xludf.DUMMYFUNCTION("""COMPUTED_VALUE"""),"0")</f>
        <v>0</v>
      </c>
      <c r="H1177" s="1" t="str">
        <f>IFERROR(__xludf.DUMMYFUNCTION("""COMPUTED_VALUE"""),"30")</f>
        <v>30</v>
      </c>
    </row>
    <row r="1178" ht="15.75" customHeight="1">
      <c r="D1178" s="1" t="str">
        <f>IFERROR(__xludf.DUMMYFUNCTION("""COMPUTED_VALUE"""),"22496")</f>
        <v>22496</v>
      </c>
      <c r="E1178" s="3">
        <f>IFERROR(__xludf.DUMMYFUNCTION("""COMPUTED_VALUE"""),30000.0)</f>
        <v>30000</v>
      </c>
      <c r="F1178" s="1" t="str">
        <f>IFERROR(__xludf.DUMMYFUNCTION("""COMPUTED_VALUE"""),"1")</f>
        <v>1</v>
      </c>
      <c r="G1178" s="1" t="str">
        <f>IFERROR(__xludf.DUMMYFUNCTION("""COMPUTED_VALUE"""),"2")</f>
        <v>2</v>
      </c>
      <c r="H1178" s="1" t="str">
        <f>IFERROR(__xludf.DUMMYFUNCTION("""COMPUTED_VALUE"""),"42")</f>
        <v>42</v>
      </c>
    </row>
    <row r="1179" ht="15.75" customHeight="1">
      <c r="D1179" s="1" t="str">
        <f>IFERROR(__xludf.DUMMYFUNCTION("""COMPUTED_VALUE"""),"19914")</f>
        <v>19914</v>
      </c>
      <c r="E1179" s="3">
        <f>IFERROR(__xludf.DUMMYFUNCTION("""COMPUTED_VALUE"""),80000.0)</f>
        <v>80000</v>
      </c>
      <c r="F1179" s="1" t="str">
        <f>IFERROR(__xludf.DUMMYFUNCTION("""COMPUTED_VALUE"""),"5")</f>
        <v>5</v>
      </c>
      <c r="G1179" s="1" t="str">
        <f>IFERROR(__xludf.DUMMYFUNCTION("""COMPUTED_VALUE"""),"2")</f>
        <v>2</v>
      </c>
      <c r="H1179" s="1" t="str">
        <f>IFERROR(__xludf.DUMMYFUNCTION("""COMPUTED_VALUE"""),"62")</f>
        <v>62</v>
      </c>
    </row>
    <row r="1180" ht="15.75" customHeight="1">
      <c r="D1180" s="1" t="str">
        <f>IFERROR(__xludf.DUMMYFUNCTION("""COMPUTED_VALUE"""),"12871")</f>
        <v>12871</v>
      </c>
      <c r="E1180" s="3">
        <f>IFERROR(__xludf.DUMMYFUNCTION("""COMPUTED_VALUE"""),30000.0)</f>
        <v>30000</v>
      </c>
      <c r="F1180" s="1" t="str">
        <f>IFERROR(__xludf.DUMMYFUNCTION("""COMPUTED_VALUE"""),"0")</f>
        <v>0</v>
      </c>
      <c r="G1180" s="1" t="str">
        <f>IFERROR(__xludf.DUMMYFUNCTION("""COMPUTED_VALUE"""),"1")</f>
        <v>1</v>
      </c>
      <c r="H1180" s="1" t="str">
        <f>IFERROR(__xludf.DUMMYFUNCTION("""COMPUTED_VALUE"""),"29")</f>
        <v>29</v>
      </c>
    </row>
    <row r="1181" ht="15.75" customHeight="1">
      <c r="D1181" s="1" t="str">
        <f>IFERROR(__xludf.DUMMYFUNCTION("""COMPUTED_VALUE"""),"22988")</f>
        <v>22988</v>
      </c>
      <c r="E1181" s="3">
        <f>IFERROR(__xludf.DUMMYFUNCTION("""COMPUTED_VALUE"""),40000.0)</f>
        <v>40000</v>
      </c>
      <c r="F1181" s="1" t="str">
        <f>IFERROR(__xludf.DUMMYFUNCTION("""COMPUTED_VALUE"""),"2")</f>
        <v>2</v>
      </c>
      <c r="G1181" s="1" t="str">
        <f>IFERROR(__xludf.DUMMYFUNCTION("""COMPUTED_VALUE"""),"2")</f>
        <v>2</v>
      </c>
      <c r="H1181" s="1" t="str">
        <f>IFERROR(__xludf.DUMMYFUNCTION("""COMPUTED_VALUE"""),"66")</f>
        <v>66</v>
      </c>
    </row>
    <row r="1182" ht="15.75" customHeight="1">
      <c r="D1182" s="1" t="str">
        <f>IFERROR(__xludf.DUMMYFUNCTION("""COMPUTED_VALUE"""),"15922")</f>
        <v>15922</v>
      </c>
      <c r="E1182" s="3">
        <f>IFERROR(__xludf.DUMMYFUNCTION("""COMPUTED_VALUE"""),150000.0)</f>
        <v>150000</v>
      </c>
      <c r="F1182" s="1" t="str">
        <f>IFERROR(__xludf.DUMMYFUNCTION("""COMPUTED_VALUE"""),"2")</f>
        <v>2</v>
      </c>
      <c r="G1182" s="1" t="str">
        <f>IFERROR(__xludf.DUMMYFUNCTION("""COMPUTED_VALUE"""),"4")</f>
        <v>4</v>
      </c>
      <c r="H1182" s="1" t="str">
        <f>IFERROR(__xludf.DUMMYFUNCTION("""COMPUTED_VALUE"""),"48")</f>
        <v>48</v>
      </c>
    </row>
    <row r="1183" ht="15.75" customHeight="1">
      <c r="D1183" s="1" t="str">
        <f>IFERROR(__xludf.DUMMYFUNCTION("""COMPUTED_VALUE"""),"12344")</f>
        <v>12344</v>
      </c>
      <c r="E1183" s="3">
        <f>IFERROR(__xludf.DUMMYFUNCTION("""COMPUTED_VALUE"""),80000.0)</f>
        <v>80000</v>
      </c>
      <c r="F1183" s="1" t="str">
        <f>IFERROR(__xludf.DUMMYFUNCTION("""COMPUTED_VALUE"""),"0")</f>
        <v>0</v>
      </c>
      <c r="G1183" s="1" t="str">
        <f>IFERROR(__xludf.DUMMYFUNCTION("""COMPUTED_VALUE"""),"3")</f>
        <v>3</v>
      </c>
      <c r="H1183" s="1" t="str">
        <f>IFERROR(__xludf.DUMMYFUNCTION("""COMPUTED_VALUE"""),"31")</f>
        <v>31</v>
      </c>
    </row>
    <row r="1184" ht="15.75" customHeight="1">
      <c r="D1184" s="1" t="str">
        <f>IFERROR(__xludf.DUMMYFUNCTION("""COMPUTED_VALUE"""),"23627")</f>
        <v>23627</v>
      </c>
      <c r="E1184" s="3">
        <f>IFERROR(__xludf.DUMMYFUNCTION("""COMPUTED_VALUE"""),100000.0)</f>
        <v>100000</v>
      </c>
      <c r="F1184" s="1" t="str">
        <f>IFERROR(__xludf.DUMMYFUNCTION("""COMPUTED_VALUE"""),"3")</f>
        <v>3</v>
      </c>
      <c r="G1184" s="1" t="str">
        <f>IFERROR(__xludf.DUMMYFUNCTION("""COMPUTED_VALUE"""),"4")</f>
        <v>4</v>
      </c>
      <c r="H1184" s="1" t="str">
        <f>IFERROR(__xludf.DUMMYFUNCTION("""COMPUTED_VALUE"""),"56")</f>
        <v>56</v>
      </c>
    </row>
    <row r="1185" ht="15.75" customHeight="1">
      <c r="D1185" s="1" t="str">
        <f>IFERROR(__xludf.DUMMYFUNCTION("""COMPUTED_VALUE"""),"27775")</f>
        <v>27775</v>
      </c>
      <c r="E1185" s="3">
        <f>IFERROR(__xludf.DUMMYFUNCTION("""COMPUTED_VALUE"""),40000.0)</f>
        <v>40000</v>
      </c>
      <c r="F1185" s="1" t="str">
        <f>IFERROR(__xludf.DUMMYFUNCTION("""COMPUTED_VALUE"""),"0")</f>
        <v>0</v>
      </c>
      <c r="G1185" s="1" t="str">
        <f>IFERROR(__xludf.DUMMYFUNCTION("""COMPUTED_VALUE"""),"0")</f>
        <v>0</v>
      </c>
      <c r="H1185" s="1" t="str">
        <f>IFERROR(__xludf.DUMMYFUNCTION("""COMPUTED_VALUE"""),"38")</f>
        <v>38</v>
      </c>
    </row>
    <row r="1186" ht="15.75" customHeight="1">
      <c r="D1186" s="1" t="str">
        <f>IFERROR(__xludf.DUMMYFUNCTION("""COMPUTED_VALUE"""),"29301")</f>
        <v>29301</v>
      </c>
      <c r="E1186" s="3">
        <f>IFERROR(__xludf.DUMMYFUNCTION("""COMPUTED_VALUE"""),80000.0)</f>
        <v>80000</v>
      </c>
      <c r="F1186" s="1" t="str">
        <f>IFERROR(__xludf.DUMMYFUNCTION("""COMPUTED_VALUE"""),"5")</f>
        <v>5</v>
      </c>
      <c r="G1186" s="1" t="str">
        <f>IFERROR(__xludf.DUMMYFUNCTION("""COMPUTED_VALUE"""),"4")</f>
        <v>4</v>
      </c>
      <c r="H1186" s="1" t="str">
        <f>IFERROR(__xludf.DUMMYFUNCTION("""COMPUTED_VALUE"""),"40")</f>
        <v>40</v>
      </c>
    </row>
    <row r="1187" ht="15.75" customHeight="1">
      <c r="D1187" s="1" t="str">
        <f>IFERROR(__xludf.DUMMYFUNCTION("""COMPUTED_VALUE"""),"12716")</f>
        <v>12716</v>
      </c>
      <c r="E1187" s="3">
        <f>IFERROR(__xludf.DUMMYFUNCTION("""COMPUTED_VALUE"""),30000.0)</f>
        <v>30000</v>
      </c>
      <c r="F1187" s="1" t="str">
        <f>IFERROR(__xludf.DUMMYFUNCTION("""COMPUTED_VALUE"""),"0")</f>
        <v>0</v>
      </c>
      <c r="G1187" s="1" t="str">
        <f>IFERROR(__xludf.DUMMYFUNCTION("""COMPUTED_VALUE"""),"1")</f>
        <v>1</v>
      </c>
      <c r="H1187" s="1" t="str">
        <f>IFERROR(__xludf.DUMMYFUNCTION("""COMPUTED_VALUE"""),"32")</f>
        <v>32</v>
      </c>
    </row>
    <row r="1188" ht="15.75" customHeight="1">
      <c r="D1188" s="1" t="str">
        <f>IFERROR(__xludf.DUMMYFUNCTION("""COMPUTED_VALUE"""),"12472")</f>
        <v>12472</v>
      </c>
      <c r="E1188" s="3">
        <f>IFERROR(__xludf.DUMMYFUNCTION("""COMPUTED_VALUE"""),30000.0)</f>
        <v>30000</v>
      </c>
      <c r="F1188" s="1" t="str">
        <f>IFERROR(__xludf.DUMMYFUNCTION("""COMPUTED_VALUE"""),"1")</f>
        <v>1</v>
      </c>
      <c r="G1188" s="1" t="str">
        <f>IFERROR(__xludf.DUMMYFUNCTION("""COMPUTED_VALUE"""),"1")</f>
        <v>1</v>
      </c>
      <c r="H1188" s="1" t="str">
        <f>IFERROR(__xludf.DUMMYFUNCTION("""COMPUTED_VALUE"""),"39")</f>
        <v>39</v>
      </c>
    </row>
    <row r="1189" ht="15.75" customHeight="1">
      <c r="D1189" s="1" t="str">
        <f>IFERROR(__xludf.DUMMYFUNCTION("""COMPUTED_VALUE"""),"20970")</f>
        <v>20970</v>
      </c>
      <c r="E1189" s="3">
        <f>IFERROR(__xludf.DUMMYFUNCTION("""COMPUTED_VALUE"""),10000.0)</f>
        <v>10000</v>
      </c>
      <c r="F1189" s="1" t="str">
        <f>IFERROR(__xludf.DUMMYFUNCTION("""COMPUTED_VALUE"""),"2")</f>
        <v>2</v>
      </c>
      <c r="G1189" s="1" t="str">
        <f>IFERROR(__xludf.DUMMYFUNCTION("""COMPUTED_VALUE"""),"1")</f>
        <v>1</v>
      </c>
      <c r="H1189" s="1" t="str">
        <f>IFERROR(__xludf.DUMMYFUNCTION("""COMPUTED_VALUE"""),"52")</f>
        <v>52</v>
      </c>
    </row>
    <row r="1190" ht="15.75" customHeight="1">
      <c r="D1190" s="1" t="str">
        <f>IFERROR(__xludf.DUMMYFUNCTION("""COMPUTED_VALUE"""),"26818")</f>
        <v>26818</v>
      </c>
      <c r="E1190" s="3">
        <f>IFERROR(__xludf.DUMMYFUNCTION("""COMPUTED_VALUE"""),10000.0)</f>
        <v>10000</v>
      </c>
      <c r="F1190" s="1" t="str">
        <f>IFERROR(__xludf.DUMMYFUNCTION("""COMPUTED_VALUE"""),"3")</f>
        <v>3</v>
      </c>
      <c r="G1190" s="1" t="str">
        <f>IFERROR(__xludf.DUMMYFUNCTION("""COMPUTED_VALUE"""),"1")</f>
        <v>1</v>
      </c>
      <c r="H1190" s="1" t="str">
        <f>IFERROR(__xludf.DUMMYFUNCTION("""COMPUTED_VALUE"""),"39")</f>
        <v>39</v>
      </c>
    </row>
    <row r="1191" ht="15.75" customHeight="1">
      <c r="D1191" s="1" t="str">
        <f>IFERROR(__xludf.DUMMYFUNCTION("""COMPUTED_VALUE"""),"12993")</f>
        <v>12993</v>
      </c>
      <c r="E1191" s="3">
        <f>IFERROR(__xludf.DUMMYFUNCTION("""COMPUTED_VALUE"""),60000.0)</f>
        <v>60000</v>
      </c>
      <c r="F1191" s="1" t="str">
        <f>IFERROR(__xludf.DUMMYFUNCTION("""COMPUTED_VALUE"""),"2")</f>
        <v>2</v>
      </c>
      <c r="G1191" s="1" t="str">
        <f>IFERROR(__xludf.DUMMYFUNCTION("""COMPUTED_VALUE"""),"1")</f>
        <v>1</v>
      </c>
      <c r="H1191" s="1" t="str">
        <f>IFERROR(__xludf.DUMMYFUNCTION("""COMPUTED_VALUE"""),"37")</f>
        <v>37</v>
      </c>
    </row>
    <row r="1192" ht="15.75" customHeight="1">
      <c r="D1192" s="1" t="str">
        <f>IFERROR(__xludf.DUMMYFUNCTION("""COMPUTED_VALUE"""),"14192")</f>
        <v>14192</v>
      </c>
      <c r="E1192" s="3">
        <f>IFERROR(__xludf.DUMMYFUNCTION("""COMPUTED_VALUE"""),90000.0)</f>
        <v>90000</v>
      </c>
      <c r="F1192" s="1" t="str">
        <f>IFERROR(__xludf.DUMMYFUNCTION("""COMPUTED_VALUE"""),"4")</f>
        <v>4</v>
      </c>
      <c r="G1192" s="1" t="str">
        <f>IFERROR(__xludf.DUMMYFUNCTION("""COMPUTED_VALUE"""),"3")</f>
        <v>3</v>
      </c>
      <c r="H1192" s="1" t="str">
        <f>IFERROR(__xludf.DUMMYFUNCTION("""COMPUTED_VALUE"""),"56")</f>
        <v>56</v>
      </c>
    </row>
    <row r="1193" ht="15.75" customHeight="1">
      <c r="D1193" s="1" t="str">
        <f>IFERROR(__xludf.DUMMYFUNCTION("""COMPUTED_VALUE"""),"19477")</f>
        <v>19477</v>
      </c>
      <c r="E1193" s="3">
        <f>IFERROR(__xludf.DUMMYFUNCTION("""COMPUTED_VALUE"""),40000.0)</f>
        <v>40000</v>
      </c>
      <c r="F1193" s="1" t="str">
        <f>IFERROR(__xludf.DUMMYFUNCTION("""COMPUTED_VALUE"""),"0")</f>
        <v>0</v>
      </c>
      <c r="G1193" s="1" t="str">
        <f>IFERROR(__xludf.DUMMYFUNCTION("""COMPUTED_VALUE"""),"0")</f>
        <v>0</v>
      </c>
      <c r="H1193" s="1" t="str">
        <f>IFERROR(__xludf.DUMMYFUNCTION("""COMPUTED_VALUE"""),"40")</f>
        <v>40</v>
      </c>
    </row>
    <row r="1194" ht="15.75" customHeight="1">
      <c r="D1194" s="1" t="str">
        <f>IFERROR(__xludf.DUMMYFUNCTION("""COMPUTED_VALUE"""),"26796")</f>
        <v>26796</v>
      </c>
      <c r="E1194" s="3">
        <f>IFERROR(__xludf.DUMMYFUNCTION("""COMPUTED_VALUE"""),40000.0)</f>
        <v>40000</v>
      </c>
      <c r="F1194" s="1" t="str">
        <f>IFERROR(__xludf.DUMMYFUNCTION("""COMPUTED_VALUE"""),"2")</f>
        <v>2</v>
      </c>
      <c r="G1194" s="1" t="str">
        <f>IFERROR(__xludf.DUMMYFUNCTION("""COMPUTED_VALUE"""),"2")</f>
        <v>2</v>
      </c>
      <c r="H1194" s="1" t="str">
        <f>IFERROR(__xludf.DUMMYFUNCTION("""COMPUTED_VALUE"""),"65")</f>
        <v>65</v>
      </c>
    </row>
    <row r="1195" ht="15.75" customHeight="1">
      <c r="D1195" s="1" t="str">
        <f>IFERROR(__xludf.DUMMYFUNCTION("""COMPUTED_VALUE"""),"21094")</f>
        <v>21094</v>
      </c>
      <c r="E1195" s="3">
        <f>IFERROR(__xludf.DUMMYFUNCTION("""COMPUTED_VALUE"""),30000.0)</f>
        <v>30000</v>
      </c>
      <c r="F1195" s="1" t="str">
        <f>IFERROR(__xludf.DUMMYFUNCTION("""COMPUTED_VALUE"""),"2")</f>
        <v>2</v>
      </c>
      <c r="G1195" s="1" t="str">
        <f>IFERROR(__xludf.DUMMYFUNCTION("""COMPUTED_VALUE"""),"2")</f>
        <v>2</v>
      </c>
      <c r="H1195" s="1" t="str">
        <f>IFERROR(__xludf.DUMMYFUNCTION("""COMPUTED_VALUE"""),"42")</f>
        <v>42</v>
      </c>
    </row>
    <row r="1196" ht="15.75" customHeight="1">
      <c r="D1196" s="1" t="str">
        <f>IFERROR(__xludf.DUMMYFUNCTION("""COMPUTED_VALUE"""),"12234")</f>
        <v>12234</v>
      </c>
      <c r="E1196" s="3">
        <f>IFERROR(__xludf.DUMMYFUNCTION("""COMPUTED_VALUE"""),10000.0)</f>
        <v>10000</v>
      </c>
      <c r="F1196" s="1" t="str">
        <f>IFERROR(__xludf.DUMMYFUNCTION("""COMPUTED_VALUE"""),"2")</f>
        <v>2</v>
      </c>
      <c r="G1196" s="1" t="str">
        <f>IFERROR(__xludf.DUMMYFUNCTION("""COMPUTED_VALUE"""),"1")</f>
        <v>1</v>
      </c>
      <c r="H1196" s="1" t="str">
        <f>IFERROR(__xludf.DUMMYFUNCTION("""COMPUTED_VALUE"""),"52")</f>
        <v>52</v>
      </c>
    </row>
    <row r="1197" ht="15.75" customHeight="1">
      <c r="D1197" s="1" t="str">
        <f>IFERROR(__xludf.DUMMYFUNCTION("""COMPUTED_VALUE"""),"28683")</f>
        <v>28683</v>
      </c>
      <c r="E1197" s="3">
        <f>IFERROR(__xludf.DUMMYFUNCTION("""COMPUTED_VALUE"""),10000.0)</f>
        <v>10000</v>
      </c>
      <c r="F1197" s="1" t="str">
        <f>IFERROR(__xludf.DUMMYFUNCTION("""COMPUTED_VALUE"""),"1")</f>
        <v>1</v>
      </c>
      <c r="G1197" s="1" t="str">
        <f>IFERROR(__xludf.DUMMYFUNCTION("""COMPUTED_VALUE"""),"1")</f>
        <v>1</v>
      </c>
      <c r="H1197" s="1" t="str">
        <f>IFERROR(__xludf.DUMMYFUNCTION("""COMPUTED_VALUE"""),"35")</f>
        <v>35</v>
      </c>
    </row>
    <row r="1198" ht="15.75" customHeight="1">
      <c r="D1198" s="1" t="str">
        <f>IFERROR(__xludf.DUMMYFUNCTION("""COMPUTED_VALUE"""),"17994")</f>
        <v>17994</v>
      </c>
      <c r="E1198" s="3">
        <f>IFERROR(__xludf.DUMMYFUNCTION("""COMPUTED_VALUE"""),20000.0)</f>
        <v>20000</v>
      </c>
      <c r="F1198" s="1" t="str">
        <f>IFERROR(__xludf.DUMMYFUNCTION("""COMPUTED_VALUE"""),"2")</f>
        <v>2</v>
      </c>
      <c r="G1198" s="1" t="str">
        <f>IFERROR(__xludf.DUMMYFUNCTION("""COMPUTED_VALUE"""),"2")</f>
        <v>2</v>
      </c>
      <c r="H1198" s="1" t="str">
        <f>IFERROR(__xludf.DUMMYFUNCTION("""COMPUTED_VALUE"""),"42")</f>
        <v>42</v>
      </c>
    </row>
    <row r="1199" ht="15.75" customHeight="1">
      <c r="D1199" s="1" t="str">
        <f>IFERROR(__xludf.DUMMYFUNCTION("""COMPUTED_VALUE"""),"24273")</f>
        <v>24273</v>
      </c>
      <c r="E1199" s="3">
        <f>IFERROR(__xludf.DUMMYFUNCTION("""COMPUTED_VALUE"""),20000.0)</f>
        <v>20000</v>
      </c>
      <c r="F1199" s="1" t="str">
        <f>IFERROR(__xludf.DUMMYFUNCTION("""COMPUTED_VALUE"""),"2")</f>
        <v>2</v>
      </c>
      <c r="G1199" s="1" t="str">
        <f>IFERROR(__xludf.DUMMYFUNCTION("""COMPUTED_VALUE"""),"2")</f>
        <v>2</v>
      </c>
      <c r="H1199" s="1" t="str">
        <f>IFERROR(__xludf.DUMMYFUNCTION("""COMPUTED_VALUE"""),"55")</f>
        <v>55</v>
      </c>
    </row>
    <row r="1200" ht="15.75" customHeight="1">
      <c r="D1200" s="1" t="str">
        <f>IFERROR(__xludf.DUMMYFUNCTION("""COMPUTED_VALUE"""),"26547")</f>
        <v>26547</v>
      </c>
      <c r="E1200" s="3">
        <f>IFERROR(__xludf.DUMMYFUNCTION("""COMPUTED_VALUE"""),30000.0)</f>
        <v>30000</v>
      </c>
      <c r="F1200" s="1" t="str">
        <f>IFERROR(__xludf.DUMMYFUNCTION("""COMPUTED_VALUE"""),"2")</f>
        <v>2</v>
      </c>
      <c r="G1200" s="1" t="str">
        <f>IFERROR(__xludf.DUMMYFUNCTION("""COMPUTED_VALUE"""),"2")</f>
        <v>2</v>
      </c>
      <c r="H1200" s="1" t="str">
        <f>IFERROR(__xludf.DUMMYFUNCTION("""COMPUTED_VALUE"""),"60")</f>
        <v>60</v>
      </c>
    </row>
    <row r="1201" ht="15.75" customHeight="1">
      <c r="D1201" s="1" t="str">
        <f>IFERROR(__xludf.DUMMYFUNCTION("""COMPUTED_VALUE"""),"22500")</f>
        <v>22500</v>
      </c>
      <c r="E1201" s="3">
        <f>IFERROR(__xludf.DUMMYFUNCTION("""COMPUTED_VALUE"""),40000.0)</f>
        <v>40000</v>
      </c>
      <c r="F1201" s="1" t="str">
        <f>IFERROR(__xludf.DUMMYFUNCTION("""COMPUTED_VALUE"""),"0")</f>
        <v>0</v>
      </c>
      <c r="G1201" s="1" t="str">
        <f>IFERROR(__xludf.DUMMYFUNCTION("""COMPUTED_VALUE"""),"0")</f>
        <v>0</v>
      </c>
      <c r="H1201" s="1" t="str">
        <f>IFERROR(__xludf.DUMMYFUNCTION("""COMPUTED_VALUE"""),"40")</f>
        <v>40</v>
      </c>
    </row>
    <row r="1202" ht="15.75" customHeight="1">
      <c r="D1202" s="1" t="str">
        <f>IFERROR(__xludf.DUMMYFUNCTION("""COMPUTED_VALUE"""),"23993")</f>
        <v>23993</v>
      </c>
      <c r="E1202" s="3">
        <f>IFERROR(__xludf.DUMMYFUNCTION("""COMPUTED_VALUE"""),10000.0)</f>
        <v>10000</v>
      </c>
      <c r="F1202" s="1" t="str">
        <f>IFERROR(__xludf.DUMMYFUNCTION("""COMPUTED_VALUE"""),"0")</f>
        <v>0</v>
      </c>
      <c r="G1202" s="1" t="str">
        <f>IFERROR(__xludf.DUMMYFUNCTION("""COMPUTED_VALUE"""),"1")</f>
        <v>1</v>
      </c>
      <c r="H1202" s="1" t="str">
        <f>IFERROR(__xludf.DUMMYFUNCTION("""COMPUTED_VALUE"""),"26")</f>
        <v>26</v>
      </c>
    </row>
    <row r="1203" ht="15.75" customHeight="1">
      <c r="D1203" s="1" t="str">
        <f>IFERROR(__xludf.DUMMYFUNCTION("""COMPUTED_VALUE"""),"14832")</f>
        <v>14832</v>
      </c>
      <c r="E1203" s="3">
        <f>IFERROR(__xludf.DUMMYFUNCTION("""COMPUTED_VALUE"""),40000.0)</f>
        <v>40000</v>
      </c>
      <c r="F1203" s="1" t="str">
        <f>IFERROR(__xludf.DUMMYFUNCTION("""COMPUTED_VALUE"""),"1")</f>
        <v>1</v>
      </c>
      <c r="G1203" s="1" t="str">
        <f>IFERROR(__xludf.DUMMYFUNCTION("""COMPUTED_VALUE"""),"0")</f>
        <v>0</v>
      </c>
      <c r="H1203" s="1" t="str">
        <f>IFERROR(__xludf.DUMMYFUNCTION("""COMPUTED_VALUE"""),"42")</f>
        <v>42</v>
      </c>
    </row>
    <row r="1204" ht="15.75" customHeight="1">
      <c r="D1204" s="1" t="str">
        <f>IFERROR(__xludf.DUMMYFUNCTION("""COMPUTED_VALUE"""),"16614")</f>
        <v>16614</v>
      </c>
      <c r="E1204" s="3">
        <f>IFERROR(__xludf.DUMMYFUNCTION("""COMPUTED_VALUE"""),80000.0)</f>
        <v>80000</v>
      </c>
      <c r="F1204" s="1" t="str">
        <f>IFERROR(__xludf.DUMMYFUNCTION("""COMPUTED_VALUE"""),"0")</f>
        <v>0</v>
      </c>
      <c r="G1204" s="1" t="str">
        <f>IFERROR(__xludf.DUMMYFUNCTION("""COMPUTED_VALUE"""),"3")</f>
        <v>3</v>
      </c>
      <c r="H1204" s="1" t="str">
        <f>IFERROR(__xludf.DUMMYFUNCTION("""COMPUTED_VALUE"""),"32")</f>
        <v>32</v>
      </c>
    </row>
    <row r="1205" ht="15.75" customHeight="1">
      <c r="D1205" s="1" t="str">
        <f>IFERROR(__xludf.DUMMYFUNCTION("""COMPUTED_VALUE"""),"20877")</f>
        <v>20877</v>
      </c>
      <c r="E1205" s="3">
        <f>IFERROR(__xludf.DUMMYFUNCTION("""COMPUTED_VALUE"""),30000.0)</f>
        <v>30000</v>
      </c>
      <c r="F1205" s="1" t="str">
        <f>IFERROR(__xludf.DUMMYFUNCTION("""COMPUTED_VALUE"""),"1")</f>
        <v>1</v>
      </c>
      <c r="G1205" s="1" t="str">
        <f>IFERROR(__xludf.DUMMYFUNCTION("""COMPUTED_VALUE"""),"0")</f>
        <v>0</v>
      </c>
      <c r="H1205" s="1" t="str">
        <f>IFERROR(__xludf.DUMMYFUNCTION("""COMPUTED_VALUE"""),"37")</f>
        <v>37</v>
      </c>
    </row>
    <row r="1206" ht="15.75" customHeight="1">
      <c r="D1206" s="1" t="str">
        <f>IFERROR(__xludf.DUMMYFUNCTION("""COMPUTED_VALUE"""),"20729")</f>
        <v>20729</v>
      </c>
      <c r="E1206" s="3">
        <f>IFERROR(__xludf.DUMMYFUNCTION("""COMPUTED_VALUE"""),40000.0)</f>
        <v>40000</v>
      </c>
      <c r="F1206" s="1" t="str">
        <f>IFERROR(__xludf.DUMMYFUNCTION("""COMPUTED_VALUE"""),"2")</f>
        <v>2</v>
      </c>
      <c r="G1206" s="1" t="str">
        <f>IFERROR(__xludf.DUMMYFUNCTION("""COMPUTED_VALUE"""),"1")</f>
        <v>1</v>
      </c>
      <c r="H1206" s="1" t="str">
        <f>IFERROR(__xludf.DUMMYFUNCTION("""COMPUTED_VALUE"""),"34")</f>
        <v>34</v>
      </c>
    </row>
    <row r="1207" ht="15.75" customHeight="1">
      <c r="D1207" s="1" t="str">
        <f>IFERROR(__xludf.DUMMYFUNCTION("""COMPUTED_VALUE"""),"22464")</f>
        <v>22464</v>
      </c>
      <c r="E1207" s="3">
        <f>IFERROR(__xludf.DUMMYFUNCTION("""COMPUTED_VALUE"""),40000.0)</f>
        <v>40000</v>
      </c>
      <c r="F1207" s="1" t="str">
        <f>IFERROR(__xludf.DUMMYFUNCTION("""COMPUTED_VALUE"""),"0")</f>
        <v>0</v>
      </c>
      <c r="G1207" s="1" t="str">
        <f>IFERROR(__xludf.DUMMYFUNCTION("""COMPUTED_VALUE"""),"0")</f>
        <v>0</v>
      </c>
      <c r="H1207" s="1" t="str">
        <f>IFERROR(__xludf.DUMMYFUNCTION("""COMPUTED_VALUE"""),"37")</f>
        <v>37</v>
      </c>
    </row>
    <row r="1208" ht="15.75" customHeight="1">
      <c r="D1208" s="1" t="str">
        <f>IFERROR(__xludf.DUMMYFUNCTION("""COMPUTED_VALUE"""),"19475")</f>
        <v>19475</v>
      </c>
      <c r="E1208" s="3">
        <f>IFERROR(__xludf.DUMMYFUNCTION("""COMPUTED_VALUE"""),40000.0)</f>
        <v>40000</v>
      </c>
      <c r="F1208" s="1" t="str">
        <f>IFERROR(__xludf.DUMMYFUNCTION("""COMPUTED_VALUE"""),"0")</f>
        <v>0</v>
      </c>
      <c r="G1208" s="1" t="str">
        <f>IFERROR(__xludf.DUMMYFUNCTION("""COMPUTED_VALUE"""),"0")</f>
        <v>0</v>
      </c>
      <c r="H1208" s="1" t="str">
        <f>IFERROR(__xludf.DUMMYFUNCTION("""COMPUTED_VALUE"""),"40")</f>
        <v>40</v>
      </c>
    </row>
    <row r="1209" ht="15.75" customHeight="1">
      <c r="D1209" s="1" t="str">
        <f>IFERROR(__xludf.DUMMYFUNCTION("""COMPUTED_VALUE"""),"19675")</f>
        <v>19675</v>
      </c>
      <c r="E1209" s="3">
        <f>IFERROR(__xludf.DUMMYFUNCTION("""COMPUTED_VALUE"""),20000.0)</f>
        <v>20000</v>
      </c>
      <c r="F1209" s="1" t="str">
        <f>IFERROR(__xludf.DUMMYFUNCTION("""COMPUTED_VALUE"""),"4")</f>
        <v>4</v>
      </c>
      <c r="G1209" s="1" t="str">
        <f>IFERROR(__xludf.DUMMYFUNCTION("""COMPUTED_VALUE"""),"2")</f>
        <v>2</v>
      </c>
      <c r="H1209" s="1" t="str">
        <f>IFERROR(__xludf.DUMMYFUNCTION("""COMPUTED_VALUE"""),"60")</f>
        <v>60</v>
      </c>
    </row>
    <row r="1210" ht="15.75" customHeight="1">
      <c r="D1210" s="1" t="str">
        <f>IFERROR(__xludf.DUMMYFUNCTION("""COMPUTED_VALUE"""),"12728")</f>
        <v>12728</v>
      </c>
      <c r="E1210" s="3">
        <f>IFERROR(__xludf.DUMMYFUNCTION("""COMPUTED_VALUE"""),30000.0)</f>
        <v>30000</v>
      </c>
      <c r="F1210" s="1" t="str">
        <f>IFERROR(__xludf.DUMMYFUNCTION("""COMPUTED_VALUE"""),"0")</f>
        <v>0</v>
      </c>
      <c r="G1210" s="1" t="str">
        <f>IFERROR(__xludf.DUMMYFUNCTION("""COMPUTED_VALUE"""),"1")</f>
        <v>1</v>
      </c>
      <c r="H1210" s="1" t="str">
        <f>IFERROR(__xludf.DUMMYFUNCTION("""COMPUTED_VALUE"""),"27")</f>
        <v>27</v>
      </c>
    </row>
    <row r="1211" ht="15.75" customHeight="1">
      <c r="D1211" s="1" t="str">
        <f>IFERROR(__xludf.DUMMYFUNCTION("""COMPUTED_VALUE"""),"26154")</f>
        <v>26154</v>
      </c>
      <c r="E1211" s="3">
        <f>IFERROR(__xludf.DUMMYFUNCTION("""COMPUTED_VALUE"""),60000.0)</f>
        <v>60000</v>
      </c>
      <c r="F1211" s="1" t="str">
        <f>IFERROR(__xludf.DUMMYFUNCTION("""COMPUTED_VALUE"""),"1")</f>
        <v>1</v>
      </c>
      <c r="G1211" s="1" t="str">
        <f>IFERROR(__xludf.DUMMYFUNCTION("""COMPUTED_VALUE"""),"1")</f>
        <v>1</v>
      </c>
      <c r="H1211" s="1" t="str">
        <f>IFERROR(__xludf.DUMMYFUNCTION("""COMPUTED_VALUE"""),"43")</f>
        <v>43</v>
      </c>
    </row>
    <row r="1212" ht="15.75" customHeight="1">
      <c r="D1212" s="1" t="str">
        <f>IFERROR(__xludf.DUMMYFUNCTION("""COMPUTED_VALUE"""),"29117")</f>
        <v>29117</v>
      </c>
      <c r="E1212" s="3">
        <f>IFERROR(__xludf.DUMMYFUNCTION("""COMPUTED_VALUE"""),100000.0)</f>
        <v>100000</v>
      </c>
      <c r="F1212" s="1" t="str">
        <f>IFERROR(__xludf.DUMMYFUNCTION("""COMPUTED_VALUE"""),"1")</f>
        <v>1</v>
      </c>
      <c r="G1212" s="1" t="str">
        <f>IFERROR(__xludf.DUMMYFUNCTION("""COMPUTED_VALUE"""),"3")</f>
        <v>3</v>
      </c>
      <c r="H1212" s="1" t="str">
        <f>IFERROR(__xludf.DUMMYFUNCTION("""COMPUTED_VALUE"""),"48")</f>
        <v>48</v>
      </c>
    </row>
    <row r="1213" ht="15.75" customHeight="1">
      <c r="D1213" s="1" t="str">
        <f>IFERROR(__xludf.DUMMYFUNCTION("""COMPUTED_VALUE"""),"17845")</f>
        <v>17845</v>
      </c>
      <c r="E1213" s="3">
        <f>IFERROR(__xludf.DUMMYFUNCTION("""COMPUTED_VALUE"""),20000.0)</f>
        <v>20000</v>
      </c>
      <c r="F1213" s="1" t="str">
        <f>IFERROR(__xludf.DUMMYFUNCTION("""COMPUTED_VALUE"""),"0")</f>
        <v>0</v>
      </c>
      <c r="G1213" s="1" t="str">
        <f>IFERROR(__xludf.DUMMYFUNCTION("""COMPUTED_VALUE"""),"2")</f>
        <v>2</v>
      </c>
      <c r="H1213" s="1" t="str">
        <f>IFERROR(__xludf.DUMMYFUNCTION("""COMPUTED_VALUE"""),"32")</f>
        <v>32</v>
      </c>
    </row>
    <row r="1214" ht="15.75" customHeight="1">
      <c r="D1214" s="1" t="str">
        <f>IFERROR(__xludf.DUMMYFUNCTION("""COMPUTED_VALUE"""),"25058")</f>
        <v>25058</v>
      </c>
      <c r="E1214" s="3">
        <f>IFERROR(__xludf.DUMMYFUNCTION("""COMPUTED_VALUE"""),100000.0)</f>
        <v>100000</v>
      </c>
      <c r="F1214" s="1" t="str">
        <f>IFERROR(__xludf.DUMMYFUNCTION("""COMPUTED_VALUE"""),"1")</f>
        <v>1</v>
      </c>
      <c r="G1214" s="1" t="str">
        <f>IFERROR(__xludf.DUMMYFUNCTION("""COMPUTED_VALUE"""),"3")</f>
        <v>3</v>
      </c>
      <c r="H1214" s="1" t="str">
        <f>IFERROR(__xludf.DUMMYFUNCTION("""COMPUTED_VALUE"""),"47")</f>
        <v>47</v>
      </c>
    </row>
    <row r="1215" ht="15.75" customHeight="1">
      <c r="D1215" s="1" t="str">
        <f>IFERROR(__xludf.DUMMYFUNCTION("""COMPUTED_VALUE"""),"23426")</f>
        <v>23426</v>
      </c>
      <c r="E1215" s="3">
        <f>IFERROR(__xludf.DUMMYFUNCTION("""COMPUTED_VALUE"""),80000.0)</f>
        <v>80000</v>
      </c>
      <c r="F1215" s="1" t="str">
        <f>IFERROR(__xludf.DUMMYFUNCTION("""COMPUTED_VALUE"""),"5")</f>
        <v>5</v>
      </c>
      <c r="G1215" s="1" t="str">
        <f>IFERROR(__xludf.DUMMYFUNCTION("""COMPUTED_VALUE"""),"3")</f>
        <v>3</v>
      </c>
      <c r="H1215" s="1" t="str">
        <f>IFERROR(__xludf.DUMMYFUNCTION("""COMPUTED_VALUE"""),"40")</f>
        <v>40</v>
      </c>
    </row>
    <row r="1216" ht="15.75" customHeight="1">
      <c r="D1216" s="1" t="str">
        <f>IFERROR(__xludf.DUMMYFUNCTION("""COMPUTED_VALUE"""),"14798")</f>
        <v>14798</v>
      </c>
      <c r="E1216" s="3">
        <f>IFERROR(__xludf.DUMMYFUNCTION("""COMPUTED_VALUE"""),10000.0)</f>
        <v>10000</v>
      </c>
      <c r="F1216" s="1" t="str">
        <f>IFERROR(__xludf.DUMMYFUNCTION("""COMPUTED_VALUE"""),"4")</f>
        <v>4</v>
      </c>
      <c r="G1216" s="1" t="str">
        <f>IFERROR(__xludf.DUMMYFUNCTION("""COMPUTED_VALUE"""),"2")</f>
        <v>2</v>
      </c>
      <c r="H1216" s="1" t="str">
        <f>IFERROR(__xludf.DUMMYFUNCTION("""COMPUTED_VALUE"""),"41")</f>
        <v>41</v>
      </c>
    </row>
    <row r="1217" ht="15.75" customHeight="1">
      <c r="D1217" s="1" t="str">
        <f>IFERROR(__xludf.DUMMYFUNCTION("""COMPUTED_VALUE"""),"12664")</f>
        <v>12664</v>
      </c>
      <c r="E1217" s="3">
        <f>IFERROR(__xludf.DUMMYFUNCTION("""COMPUTED_VALUE"""),130000.0)</f>
        <v>130000</v>
      </c>
      <c r="F1217" s="1" t="str">
        <f>IFERROR(__xludf.DUMMYFUNCTION("""COMPUTED_VALUE"""),"5")</f>
        <v>5</v>
      </c>
      <c r="G1217" s="1" t="str">
        <f>IFERROR(__xludf.DUMMYFUNCTION("""COMPUTED_VALUE"""),"4")</f>
        <v>4</v>
      </c>
      <c r="H1217" s="1" t="str">
        <f>IFERROR(__xludf.DUMMYFUNCTION("""COMPUTED_VALUE"""),"59")</f>
        <v>59</v>
      </c>
    </row>
    <row r="1218" ht="15.75" customHeight="1">
      <c r="D1218" s="1" t="str">
        <f>IFERROR(__xludf.DUMMYFUNCTION("""COMPUTED_VALUE"""),"23979")</f>
        <v>23979</v>
      </c>
      <c r="E1218" s="3">
        <f>IFERROR(__xludf.DUMMYFUNCTION("""COMPUTED_VALUE"""),10000.0)</f>
        <v>10000</v>
      </c>
      <c r="F1218" s="1" t="str">
        <f>IFERROR(__xludf.DUMMYFUNCTION("""COMPUTED_VALUE"""),"2")</f>
        <v>2</v>
      </c>
      <c r="G1218" s="1" t="str">
        <f>IFERROR(__xludf.DUMMYFUNCTION("""COMPUTED_VALUE"""),"0")</f>
        <v>0</v>
      </c>
      <c r="H1218" s="1" t="str">
        <f>IFERROR(__xludf.DUMMYFUNCTION("""COMPUTED_VALUE"""),"50")</f>
        <v>50</v>
      </c>
    </row>
    <row r="1219" ht="15.75" customHeight="1">
      <c r="D1219" s="1" t="str">
        <f>IFERROR(__xludf.DUMMYFUNCTION("""COMPUTED_VALUE"""),"25605")</f>
        <v>25605</v>
      </c>
      <c r="E1219" s="3">
        <f>IFERROR(__xludf.DUMMYFUNCTION("""COMPUTED_VALUE"""),20000.0)</f>
        <v>20000</v>
      </c>
      <c r="F1219" s="1" t="str">
        <f>IFERROR(__xludf.DUMMYFUNCTION("""COMPUTED_VALUE"""),"2")</f>
        <v>2</v>
      </c>
      <c r="G1219" s="1" t="str">
        <f>IFERROR(__xludf.DUMMYFUNCTION("""COMPUTED_VALUE"""),"1")</f>
        <v>1</v>
      </c>
      <c r="H1219" s="1" t="str">
        <f>IFERROR(__xludf.DUMMYFUNCTION("""COMPUTED_VALUE"""),"54")</f>
        <v>54</v>
      </c>
    </row>
    <row r="1220" ht="15.75" customHeight="1">
      <c r="D1220" s="1" t="str">
        <f>IFERROR(__xludf.DUMMYFUNCTION("""COMPUTED_VALUE"""),"20797")</f>
        <v>20797</v>
      </c>
      <c r="E1220" s="3">
        <f>IFERROR(__xludf.DUMMYFUNCTION("""COMPUTED_VALUE"""),10000.0)</f>
        <v>10000</v>
      </c>
      <c r="F1220" s="1" t="str">
        <f>IFERROR(__xludf.DUMMYFUNCTION("""COMPUTED_VALUE"""),"1")</f>
        <v>1</v>
      </c>
      <c r="G1220" s="1" t="str">
        <f>IFERROR(__xludf.DUMMYFUNCTION("""COMPUTED_VALUE"""),"0")</f>
        <v>0</v>
      </c>
      <c r="H1220" s="1" t="str">
        <f>IFERROR(__xludf.DUMMYFUNCTION("""COMPUTED_VALUE"""),"48")</f>
        <v>48</v>
      </c>
    </row>
    <row r="1221" ht="15.75" customHeight="1">
      <c r="D1221" s="1" t="str">
        <f>IFERROR(__xludf.DUMMYFUNCTION("""COMPUTED_VALUE"""),"21980")</f>
        <v>21980</v>
      </c>
      <c r="E1221" s="3">
        <f>IFERROR(__xludf.DUMMYFUNCTION("""COMPUTED_VALUE"""),60000.0)</f>
        <v>60000</v>
      </c>
      <c r="F1221" s="1" t="str">
        <f>IFERROR(__xludf.DUMMYFUNCTION("""COMPUTED_VALUE"""),"1")</f>
        <v>1</v>
      </c>
      <c r="G1221" s="1" t="str">
        <f>IFERROR(__xludf.DUMMYFUNCTION("""COMPUTED_VALUE"""),"1")</f>
        <v>1</v>
      </c>
      <c r="H1221" s="1" t="str">
        <f>IFERROR(__xludf.DUMMYFUNCTION("""COMPUTED_VALUE"""),"44")</f>
        <v>44</v>
      </c>
    </row>
    <row r="1222" ht="15.75" customHeight="1">
      <c r="D1222" s="1" t="str">
        <f>IFERROR(__xludf.DUMMYFUNCTION("""COMPUTED_VALUE"""),"25460")</f>
        <v>25460</v>
      </c>
      <c r="E1222" s="3">
        <f>IFERROR(__xludf.DUMMYFUNCTION("""COMPUTED_VALUE"""),20000.0)</f>
        <v>20000</v>
      </c>
      <c r="F1222" s="1" t="str">
        <f>IFERROR(__xludf.DUMMYFUNCTION("""COMPUTED_VALUE"""),"2")</f>
        <v>2</v>
      </c>
      <c r="G1222" s="1" t="str">
        <f>IFERROR(__xludf.DUMMYFUNCTION("""COMPUTED_VALUE"""),"0")</f>
        <v>0</v>
      </c>
      <c r="H1222" s="1" t="str">
        <f>IFERROR(__xludf.DUMMYFUNCTION("""COMPUTED_VALUE"""),"40")</f>
        <v>40</v>
      </c>
    </row>
    <row r="1223" ht="15.75" customHeight="1">
      <c r="D1223" s="1" t="str">
        <f>IFERROR(__xludf.DUMMYFUNCTION("""COMPUTED_VALUE"""),"29181")</f>
        <v>29181</v>
      </c>
      <c r="E1223" s="3">
        <f>IFERROR(__xludf.DUMMYFUNCTION("""COMPUTED_VALUE"""),60000.0)</f>
        <v>60000</v>
      </c>
      <c r="F1223" s="1" t="str">
        <f>IFERROR(__xludf.DUMMYFUNCTION("""COMPUTED_VALUE"""),"2")</f>
        <v>2</v>
      </c>
      <c r="G1223" s="1" t="str">
        <f>IFERROR(__xludf.DUMMYFUNCTION("""COMPUTED_VALUE"""),"1")</f>
        <v>1</v>
      </c>
      <c r="H1223" s="1" t="str">
        <f>IFERROR(__xludf.DUMMYFUNCTION("""COMPUTED_VALUE"""),"38")</f>
        <v>38</v>
      </c>
    </row>
    <row r="1224" ht="15.75" customHeight="1">
      <c r="D1224" s="1" t="str">
        <f>IFERROR(__xludf.DUMMYFUNCTION("""COMPUTED_VALUE"""),"24279")</f>
        <v>24279</v>
      </c>
      <c r="E1224" s="3">
        <f>IFERROR(__xludf.DUMMYFUNCTION("""COMPUTED_VALUE"""),40000.0)</f>
        <v>40000</v>
      </c>
      <c r="F1224" s="1" t="str">
        <f>IFERROR(__xludf.DUMMYFUNCTION("""COMPUTED_VALUE"""),"2")</f>
        <v>2</v>
      </c>
      <c r="G1224" s="1" t="str">
        <f>IFERROR(__xludf.DUMMYFUNCTION("""COMPUTED_VALUE"""),"2")</f>
        <v>2</v>
      </c>
      <c r="H1224" s="1" t="str">
        <f>IFERROR(__xludf.DUMMYFUNCTION("""COMPUTED_VALUE"""),"52")</f>
        <v>52</v>
      </c>
    </row>
    <row r="1225" ht="15.75" customHeight="1">
      <c r="D1225" s="1" t="str">
        <f>IFERROR(__xludf.DUMMYFUNCTION("""COMPUTED_VALUE"""),"22402")</f>
        <v>22402</v>
      </c>
      <c r="E1225" s="3">
        <f>IFERROR(__xludf.DUMMYFUNCTION("""COMPUTED_VALUE"""),10000.0)</f>
        <v>10000</v>
      </c>
      <c r="F1225" s="1" t="str">
        <f>IFERROR(__xludf.DUMMYFUNCTION("""COMPUTED_VALUE"""),"0")</f>
        <v>0</v>
      </c>
      <c r="G1225" s="1" t="str">
        <f>IFERROR(__xludf.DUMMYFUNCTION("""COMPUTED_VALUE"""),"1")</f>
        <v>1</v>
      </c>
      <c r="H1225" s="1" t="str">
        <f>IFERROR(__xludf.DUMMYFUNCTION("""COMPUTED_VALUE"""),"25")</f>
        <v>25</v>
      </c>
    </row>
    <row r="1226" ht="15.75" customHeight="1">
      <c r="D1226" s="1" t="str">
        <f>IFERROR(__xludf.DUMMYFUNCTION("""COMPUTED_VALUE"""),"15465")</f>
        <v>15465</v>
      </c>
      <c r="E1226" s="3">
        <f>IFERROR(__xludf.DUMMYFUNCTION("""COMPUTED_VALUE"""),10000.0)</f>
        <v>10000</v>
      </c>
      <c r="F1226" s="1" t="str">
        <f>IFERROR(__xludf.DUMMYFUNCTION("""COMPUTED_VALUE"""),"0")</f>
        <v>0</v>
      </c>
      <c r="G1226" s="1" t="str">
        <f>IFERROR(__xludf.DUMMYFUNCTION("""COMPUTED_VALUE"""),"1")</f>
        <v>1</v>
      </c>
      <c r="H1226" s="1" t="str">
        <f>IFERROR(__xludf.DUMMYFUNCTION("""COMPUTED_VALUE"""),"25")</f>
        <v>25</v>
      </c>
    </row>
    <row r="1227" ht="15.75" customHeight="1">
      <c r="D1227" s="1" t="str">
        <f>IFERROR(__xludf.DUMMYFUNCTION("""COMPUTED_VALUE"""),"26757")</f>
        <v>26757</v>
      </c>
      <c r="E1227" s="3">
        <f>IFERROR(__xludf.DUMMYFUNCTION("""COMPUTED_VALUE"""),90000.0)</f>
        <v>90000</v>
      </c>
      <c r="F1227" s="1" t="str">
        <f>IFERROR(__xludf.DUMMYFUNCTION("""COMPUTED_VALUE"""),"1")</f>
        <v>1</v>
      </c>
      <c r="G1227" s="1" t="str">
        <f>IFERROR(__xludf.DUMMYFUNCTION("""COMPUTED_VALUE"""),"1")</f>
        <v>1</v>
      </c>
      <c r="H1227" s="1" t="str">
        <f>IFERROR(__xludf.DUMMYFUNCTION("""COMPUTED_VALUE"""),"47")</f>
        <v>47</v>
      </c>
    </row>
    <row r="1228" ht="15.75" customHeight="1">
      <c r="D1228" s="1" t="str">
        <f>IFERROR(__xludf.DUMMYFUNCTION("""COMPUTED_VALUE"""),"14233")</f>
        <v>14233</v>
      </c>
      <c r="E1228" s="3">
        <f>IFERROR(__xludf.DUMMYFUNCTION("""COMPUTED_VALUE"""),100000.0)</f>
        <v>100000</v>
      </c>
      <c r="F1228" s="1" t="str">
        <f>IFERROR(__xludf.DUMMYFUNCTION("""COMPUTED_VALUE"""),"0")</f>
        <v>0</v>
      </c>
      <c r="G1228" s="1" t="str">
        <f>IFERROR(__xludf.DUMMYFUNCTION("""COMPUTED_VALUE"""),"3")</f>
        <v>3</v>
      </c>
      <c r="H1228" s="1" t="str">
        <f>IFERROR(__xludf.DUMMYFUNCTION("""COMPUTED_VALUE"""),"35")</f>
        <v>35</v>
      </c>
    </row>
    <row r="1229" ht="15.75" customHeight="1">
      <c r="D1229" s="1" t="str">
        <f>IFERROR(__xludf.DUMMYFUNCTION("""COMPUTED_VALUE"""),"14058")</f>
        <v>14058</v>
      </c>
      <c r="E1229" s="3">
        <f>IFERROR(__xludf.DUMMYFUNCTION("""COMPUTED_VALUE"""),70000.0)</f>
        <v>70000</v>
      </c>
      <c r="F1229" s="1" t="str">
        <f>IFERROR(__xludf.DUMMYFUNCTION("""COMPUTED_VALUE"""),"0")</f>
        <v>0</v>
      </c>
      <c r="G1229" s="1" t="str">
        <f>IFERROR(__xludf.DUMMYFUNCTION("""COMPUTED_VALUE"""),"1")</f>
        <v>1</v>
      </c>
      <c r="H1229" s="1" t="str">
        <f>IFERROR(__xludf.DUMMYFUNCTION("""COMPUTED_VALUE"""),"41")</f>
        <v>41</v>
      </c>
    </row>
    <row r="1230" ht="15.75" customHeight="1">
      <c r="D1230" s="1" t="str">
        <f>IFERROR(__xludf.DUMMYFUNCTION("""COMPUTED_VALUE"""),"12273")</f>
        <v>12273</v>
      </c>
      <c r="E1230" s="3">
        <f>IFERROR(__xludf.DUMMYFUNCTION("""COMPUTED_VALUE"""),30000.0)</f>
        <v>30000</v>
      </c>
      <c r="F1230" s="1" t="str">
        <f>IFERROR(__xludf.DUMMYFUNCTION("""COMPUTED_VALUE"""),"1")</f>
        <v>1</v>
      </c>
      <c r="G1230" s="1" t="str">
        <f>IFERROR(__xludf.DUMMYFUNCTION("""COMPUTED_VALUE"""),"0")</f>
        <v>0</v>
      </c>
      <c r="H1230" s="1" t="str">
        <f>IFERROR(__xludf.DUMMYFUNCTION("""COMPUTED_VALUE"""),"47")</f>
        <v>47</v>
      </c>
    </row>
    <row r="1231" ht="15.75" customHeight="1">
      <c r="D1231" s="1" t="str">
        <f>IFERROR(__xludf.DUMMYFUNCTION("""COMPUTED_VALUE"""),"17203")</f>
        <v>17203</v>
      </c>
      <c r="E1231" s="3">
        <f>IFERROR(__xludf.DUMMYFUNCTION("""COMPUTED_VALUE"""),130000.0)</f>
        <v>130000</v>
      </c>
      <c r="F1231" s="1" t="str">
        <f>IFERROR(__xludf.DUMMYFUNCTION("""COMPUTED_VALUE"""),"4")</f>
        <v>4</v>
      </c>
      <c r="G1231" s="1" t="str">
        <f>IFERROR(__xludf.DUMMYFUNCTION("""COMPUTED_VALUE"""),"4")</f>
        <v>4</v>
      </c>
      <c r="H1231" s="1" t="str">
        <f>IFERROR(__xludf.DUMMYFUNCTION("""COMPUTED_VALUE"""),"61")</f>
        <v>61</v>
      </c>
    </row>
    <row r="1232" ht="15.75" customHeight="1">
      <c r="D1232" s="1" t="str">
        <f>IFERROR(__xludf.DUMMYFUNCTION("""COMPUTED_VALUE"""),"18144")</f>
        <v>18144</v>
      </c>
      <c r="E1232" s="3">
        <f>IFERROR(__xludf.DUMMYFUNCTION("""COMPUTED_VALUE"""),80000.0)</f>
        <v>80000</v>
      </c>
      <c r="F1232" s="1" t="str">
        <f>IFERROR(__xludf.DUMMYFUNCTION("""COMPUTED_VALUE"""),"5")</f>
        <v>5</v>
      </c>
      <c r="G1232" s="1" t="str">
        <f>IFERROR(__xludf.DUMMYFUNCTION("""COMPUTED_VALUE"""),"2")</f>
        <v>2</v>
      </c>
      <c r="H1232" s="1" t="str">
        <f>IFERROR(__xludf.DUMMYFUNCTION("""COMPUTED_VALUE"""),"61")</f>
        <v>61</v>
      </c>
    </row>
    <row r="1233" ht="15.75" customHeight="1">
      <c r="D1233" s="1" t="str">
        <f>IFERROR(__xludf.DUMMYFUNCTION("""COMPUTED_VALUE"""),"23963")</f>
        <v>23963</v>
      </c>
      <c r="E1233" s="3">
        <f>IFERROR(__xludf.DUMMYFUNCTION("""COMPUTED_VALUE"""),10000.0)</f>
        <v>10000</v>
      </c>
      <c r="F1233" s="1" t="str">
        <f>IFERROR(__xludf.DUMMYFUNCTION("""COMPUTED_VALUE"""),"0")</f>
        <v>0</v>
      </c>
      <c r="G1233" s="1" t="str">
        <f>IFERROR(__xludf.DUMMYFUNCTION("""COMPUTED_VALUE"""),"2")</f>
        <v>2</v>
      </c>
      <c r="H1233" s="1" t="str">
        <f>IFERROR(__xludf.DUMMYFUNCTION("""COMPUTED_VALUE"""),"33")</f>
        <v>33</v>
      </c>
    </row>
    <row r="1234" ht="15.75" customHeight="1">
      <c r="D1234" s="1" t="str">
        <f>IFERROR(__xludf.DUMMYFUNCTION("""COMPUTED_VALUE"""),"17907")</f>
        <v>17907</v>
      </c>
      <c r="E1234" s="3">
        <f>IFERROR(__xludf.DUMMYFUNCTION("""COMPUTED_VALUE"""),10000.0)</f>
        <v>10000</v>
      </c>
      <c r="F1234" s="1" t="str">
        <f>IFERROR(__xludf.DUMMYFUNCTION("""COMPUTED_VALUE"""),"0")</f>
        <v>0</v>
      </c>
      <c r="G1234" s="1" t="str">
        <f>IFERROR(__xludf.DUMMYFUNCTION("""COMPUTED_VALUE"""),"1")</f>
        <v>1</v>
      </c>
      <c r="H1234" s="1" t="str">
        <f>IFERROR(__xludf.DUMMYFUNCTION("""COMPUTED_VALUE"""),"27")</f>
        <v>27</v>
      </c>
    </row>
    <row r="1235" ht="15.75" customHeight="1">
      <c r="D1235" s="1" t="str">
        <f>IFERROR(__xludf.DUMMYFUNCTION("""COMPUTED_VALUE"""),"19442")</f>
        <v>19442</v>
      </c>
      <c r="E1235" s="3">
        <f>IFERROR(__xludf.DUMMYFUNCTION("""COMPUTED_VALUE"""),50000.0)</f>
        <v>50000</v>
      </c>
      <c r="F1235" s="1" t="str">
        <f>IFERROR(__xludf.DUMMYFUNCTION("""COMPUTED_VALUE"""),"0")</f>
        <v>0</v>
      </c>
      <c r="G1235" s="1" t="str">
        <f>IFERROR(__xludf.DUMMYFUNCTION("""COMPUTED_VALUE"""),"0")</f>
        <v>0</v>
      </c>
      <c r="H1235" s="1" t="str">
        <f>IFERROR(__xludf.DUMMYFUNCTION("""COMPUTED_VALUE"""),"37")</f>
        <v>37</v>
      </c>
    </row>
    <row r="1236" ht="15.75" customHeight="1">
      <c r="D1236" s="1" t="str">
        <f>IFERROR(__xludf.DUMMYFUNCTION("""COMPUTED_VALUE"""),"17504")</f>
        <v>17504</v>
      </c>
      <c r="E1236" s="3">
        <f>IFERROR(__xludf.DUMMYFUNCTION("""COMPUTED_VALUE"""),80000.0)</f>
        <v>80000</v>
      </c>
      <c r="F1236" s="1" t="str">
        <f>IFERROR(__xludf.DUMMYFUNCTION("""COMPUTED_VALUE"""),"2")</f>
        <v>2</v>
      </c>
      <c r="G1236" s="1" t="str">
        <f>IFERROR(__xludf.DUMMYFUNCTION("""COMPUTED_VALUE"""),"2")</f>
        <v>2</v>
      </c>
      <c r="H1236" s="1" t="str">
        <f>IFERROR(__xludf.DUMMYFUNCTION("""COMPUTED_VALUE"""),"52")</f>
        <v>52</v>
      </c>
    </row>
    <row r="1237" ht="15.75" customHeight="1">
      <c r="D1237" s="1" t="str">
        <f>IFERROR(__xludf.DUMMYFUNCTION("""COMPUTED_VALUE"""),"12253")</f>
        <v>12253</v>
      </c>
      <c r="E1237" s="3">
        <f>IFERROR(__xludf.DUMMYFUNCTION("""COMPUTED_VALUE"""),20000.0)</f>
        <v>20000</v>
      </c>
      <c r="F1237" s="1" t="str">
        <f>IFERROR(__xludf.DUMMYFUNCTION("""COMPUTED_VALUE"""),"0")</f>
        <v>0</v>
      </c>
      <c r="G1237" s="1" t="str">
        <f>IFERROR(__xludf.DUMMYFUNCTION("""COMPUTED_VALUE"""),"0")</f>
        <v>0</v>
      </c>
      <c r="H1237" s="1" t="str">
        <f>IFERROR(__xludf.DUMMYFUNCTION("""COMPUTED_VALUE"""),"29")</f>
        <v>29</v>
      </c>
    </row>
    <row r="1238" ht="15.75" customHeight="1">
      <c r="D1238" s="1" t="str">
        <f>IFERROR(__xludf.DUMMYFUNCTION("""COMPUTED_VALUE"""),"27304")</f>
        <v>27304</v>
      </c>
      <c r="E1238" s="3">
        <f>IFERROR(__xludf.DUMMYFUNCTION("""COMPUTED_VALUE"""),110000.0)</f>
        <v>110000</v>
      </c>
      <c r="F1238" s="1" t="str">
        <f>IFERROR(__xludf.DUMMYFUNCTION("""COMPUTED_VALUE"""),"2")</f>
        <v>2</v>
      </c>
      <c r="G1238" s="1" t="str">
        <f>IFERROR(__xludf.DUMMYFUNCTION("""COMPUTED_VALUE"""),"3")</f>
        <v>3</v>
      </c>
      <c r="H1238" s="1" t="str">
        <f>IFERROR(__xludf.DUMMYFUNCTION("""COMPUTED_VALUE"""),"48")</f>
        <v>48</v>
      </c>
    </row>
    <row r="1239" ht="15.75" customHeight="1">
      <c r="D1239" s="1" t="str">
        <f>IFERROR(__xludf.DUMMYFUNCTION("""COMPUTED_VALUE"""),"14191")</f>
        <v>14191</v>
      </c>
      <c r="E1239" s="3">
        <f>IFERROR(__xludf.DUMMYFUNCTION("""COMPUTED_VALUE"""),160000.0)</f>
        <v>160000</v>
      </c>
      <c r="F1239" s="1" t="str">
        <f>IFERROR(__xludf.DUMMYFUNCTION("""COMPUTED_VALUE"""),"4")</f>
        <v>4</v>
      </c>
      <c r="G1239" s="1" t="str">
        <f>IFERROR(__xludf.DUMMYFUNCTION("""COMPUTED_VALUE"""),"2")</f>
        <v>2</v>
      </c>
      <c r="H1239" s="1" t="str">
        <f>IFERROR(__xludf.DUMMYFUNCTION("""COMPUTED_VALUE"""),"55")</f>
        <v>55</v>
      </c>
    </row>
    <row r="1240" ht="15.75" customHeight="1">
      <c r="D1240" s="1" t="str">
        <f>IFERROR(__xludf.DUMMYFUNCTION("""COMPUTED_VALUE"""),"12212")</f>
        <v>12212</v>
      </c>
      <c r="E1240" s="3">
        <f>IFERROR(__xludf.DUMMYFUNCTION("""COMPUTED_VALUE"""),10000.0)</f>
        <v>10000</v>
      </c>
      <c r="F1240" s="1" t="str">
        <f>IFERROR(__xludf.DUMMYFUNCTION("""COMPUTED_VALUE"""),"0")</f>
        <v>0</v>
      </c>
      <c r="G1240" s="1" t="str">
        <f>IFERROR(__xludf.DUMMYFUNCTION("""COMPUTED_VALUE"""),"0")</f>
        <v>0</v>
      </c>
      <c r="H1240" s="1" t="str">
        <f>IFERROR(__xludf.DUMMYFUNCTION("""COMPUTED_VALUE"""),"37")</f>
        <v>37</v>
      </c>
    </row>
    <row r="1241" ht="15.75" customHeight="1">
      <c r="D1241" s="1" t="str">
        <f>IFERROR(__xludf.DUMMYFUNCTION("""COMPUTED_VALUE"""),"25529")</f>
        <v>25529</v>
      </c>
      <c r="E1241" s="3">
        <f>IFERROR(__xludf.DUMMYFUNCTION("""COMPUTED_VALUE"""),10000.0)</f>
        <v>10000</v>
      </c>
      <c r="F1241" s="1" t="str">
        <f>IFERROR(__xludf.DUMMYFUNCTION("""COMPUTED_VALUE"""),"1")</f>
        <v>1</v>
      </c>
      <c r="G1241" s="1" t="str">
        <f>IFERROR(__xludf.DUMMYFUNCTION("""COMPUTED_VALUE"""),"0")</f>
        <v>0</v>
      </c>
      <c r="H1241" s="1" t="str">
        <f>IFERROR(__xludf.DUMMYFUNCTION("""COMPUTED_VALUE"""),"44")</f>
        <v>44</v>
      </c>
    </row>
    <row r="1242" ht="15.75" customHeight="1">
      <c r="D1242" s="1" t="str">
        <f>IFERROR(__xludf.DUMMYFUNCTION("""COMPUTED_VALUE"""),"22170")</f>
        <v>22170</v>
      </c>
      <c r="E1242" s="3">
        <f>IFERROR(__xludf.DUMMYFUNCTION("""COMPUTED_VALUE"""),30000.0)</f>
        <v>30000</v>
      </c>
      <c r="F1242" s="1" t="str">
        <f>IFERROR(__xludf.DUMMYFUNCTION("""COMPUTED_VALUE"""),"3")</f>
        <v>3</v>
      </c>
      <c r="G1242" s="1" t="str">
        <f>IFERROR(__xludf.DUMMYFUNCTION("""COMPUTED_VALUE"""),"2")</f>
        <v>2</v>
      </c>
      <c r="H1242" s="1" t="str">
        <f>IFERROR(__xludf.DUMMYFUNCTION("""COMPUTED_VALUE"""),"55")</f>
        <v>55</v>
      </c>
    </row>
    <row r="1243" ht="15.75" customHeight="1">
      <c r="D1243" s="1" t="str">
        <f>IFERROR(__xludf.DUMMYFUNCTION("""COMPUTED_VALUE"""),"19445")</f>
        <v>19445</v>
      </c>
      <c r="E1243" s="3">
        <f>IFERROR(__xludf.DUMMYFUNCTION("""COMPUTED_VALUE"""),10000.0)</f>
        <v>10000</v>
      </c>
      <c r="F1243" s="1" t="str">
        <f>IFERROR(__xludf.DUMMYFUNCTION("""COMPUTED_VALUE"""),"2")</f>
        <v>2</v>
      </c>
      <c r="G1243" s="1" t="str">
        <f>IFERROR(__xludf.DUMMYFUNCTION("""COMPUTED_VALUE"""),"1")</f>
        <v>1</v>
      </c>
      <c r="H1243" s="1" t="str">
        <f>IFERROR(__xludf.DUMMYFUNCTION("""COMPUTED_VALUE"""),"38")</f>
        <v>38</v>
      </c>
    </row>
    <row r="1244" ht="15.75" customHeight="1">
      <c r="D1244" s="1" t="str">
        <f>IFERROR(__xludf.DUMMYFUNCTION("""COMPUTED_VALUE"""),"15265")</f>
        <v>15265</v>
      </c>
      <c r="E1244" s="3">
        <f>IFERROR(__xludf.DUMMYFUNCTION("""COMPUTED_VALUE"""),40000.0)</f>
        <v>40000</v>
      </c>
      <c r="F1244" s="1" t="str">
        <f>IFERROR(__xludf.DUMMYFUNCTION("""COMPUTED_VALUE"""),"2")</f>
        <v>2</v>
      </c>
      <c r="G1244" s="1" t="str">
        <f>IFERROR(__xludf.DUMMYFUNCTION("""COMPUTED_VALUE"""),"2")</f>
        <v>2</v>
      </c>
      <c r="H1244" s="1" t="str">
        <f>IFERROR(__xludf.DUMMYFUNCTION("""COMPUTED_VALUE"""),"66")</f>
        <v>66</v>
      </c>
    </row>
    <row r="1245" ht="15.75" customHeight="1">
      <c r="D1245" s="1" t="str">
        <f>IFERROR(__xludf.DUMMYFUNCTION("""COMPUTED_VALUE"""),"28918")</f>
        <v>28918</v>
      </c>
      <c r="E1245" s="3">
        <f>IFERROR(__xludf.DUMMYFUNCTION("""COMPUTED_VALUE"""),130000.0)</f>
        <v>130000</v>
      </c>
      <c r="F1245" s="1" t="str">
        <f>IFERROR(__xludf.DUMMYFUNCTION("""COMPUTED_VALUE"""),"4")</f>
        <v>4</v>
      </c>
      <c r="G1245" s="1" t="str">
        <f>IFERROR(__xludf.DUMMYFUNCTION("""COMPUTED_VALUE"""),"4")</f>
        <v>4</v>
      </c>
      <c r="H1245" s="1" t="str">
        <f>IFERROR(__xludf.DUMMYFUNCTION("""COMPUTED_VALUE"""),"58")</f>
        <v>58</v>
      </c>
    </row>
    <row r="1246" ht="15.75" customHeight="1">
      <c r="D1246" s="1" t="str">
        <f>IFERROR(__xludf.DUMMYFUNCTION("""COMPUTED_VALUE"""),"15799")</f>
        <v>15799</v>
      </c>
      <c r="E1246" s="3">
        <f>IFERROR(__xludf.DUMMYFUNCTION("""COMPUTED_VALUE"""),90000.0)</f>
        <v>90000</v>
      </c>
      <c r="F1246" s="1" t="str">
        <f>IFERROR(__xludf.DUMMYFUNCTION("""COMPUTED_VALUE"""),"1")</f>
        <v>1</v>
      </c>
      <c r="G1246" s="1" t="str">
        <f>IFERROR(__xludf.DUMMYFUNCTION("""COMPUTED_VALUE"""),"1")</f>
        <v>1</v>
      </c>
      <c r="H1246" s="1" t="str">
        <f>IFERROR(__xludf.DUMMYFUNCTION("""COMPUTED_VALUE"""),"47")</f>
        <v>47</v>
      </c>
    </row>
    <row r="1247" ht="15.75" customHeight="1">
      <c r="D1247" s="1" t="str">
        <f>IFERROR(__xludf.DUMMYFUNCTION("""COMPUTED_VALUE"""),"11047")</f>
        <v>11047</v>
      </c>
      <c r="E1247" s="3">
        <f>IFERROR(__xludf.DUMMYFUNCTION("""COMPUTED_VALUE"""),30000.0)</f>
        <v>30000</v>
      </c>
      <c r="F1247" s="1" t="str">
        <f>IFERROR(__xludf.DUMMYFUNCTION("""COMPUTED_VALUE"""),"3")</f>
        <v>3</v>
      </c>
      <c r="G1247" s="1" t="str">
        <f>IFERROR(__xludf.DUMMYFUNCTION("""COMPUTED_VALUE"""),"2")</f>
        <v>2</v>
      </c>
      <c r="H1247" s="1" t="str">
        <f>IFERROR(__xludf.DUMMYFUNCTION("""COMPUTED_VALUE"""),"56")</f>
        <v>56</v>
      </c>
    </row>
    <row r="1248" ht="15.75" customHeight="1">
      <c r="D1248" s="1" t="str">
        <f>IFERROR(__xludf.DUMMYFUNCTION("""COMPUTED_VALUE"""),"18151")</f>
        <v>18151</v>
      </c>
      <c r="E1248" s="3">
        <f>IFERROR(__xludf.DUMMYFUNCTION("""COMPUTED_VALUE"""),80000.0)</f>
        <v>80000</v>
      </c>
      <c r="F1248" s="1" t="str">
        <f>IFERROR(__xludf.DUMMYFUNCTION("""COMPUTED_VALUE"""),"5")</f>
        <v>5</v>
      </c>
      <c r="G1248" s="1" t="str">
        <f>IFERROR(__xludf.DUMMYFUNCTION("""COMPUTED_VALUE"""),"2")</f>
        <v>2</v>
      </c>
      <c r="H1248" s="1" t="str">
        <f>IFERROR(__xludf.DUMMYFUNCTION("""COMPUTED_VALUE"""),"59")</f>
        <v>59</v>
      </c>
    </row>
    <row r="1249" ht="15.75" customHeight="1">
      <c r="D1249" s="1" t="str">
        <f>IFERROR(__xludf.DUMMYFUNCTION("""COMPUTED_VALUE"""),"20606")</f>
        <v>20606</v>
      </c>
      <c r="E1249" s="3">
        <f>IFERROR(__xludf.DUMMYFUNCTION("""COMPUTED_VALUE"""),70000.0)</f>
        <v>70000</v>
      </c>
      <c r="F1249" s="1" t="str">
        <f>IFERROR(__xludf.DUMMYFUNCTION("""COMPUTED_VALUE"""),"0")</f>
        <v>0</v>
      </c>
      <c r="G1249" s="1" t="str">
        <f>IFERROR(__xludf.DUMMYFUNCTION("""COMPUTED_VALUE"""),"4")</f>
        <v>4</v>
      </c>
      <c r="H1249" s="1" t="str">
        <f>IFERROR(__xludf.DUMMYFUNCTION("""COMPUTED_VALUE"""),"32")</f>
        <v>32</v>
      </c>
    </row>
    <row r="1250" ht="15.75" customHeight="1">
      <c r="D1250" s="1" t="str">
        <f>IFERROR(__xludf.DUMMYFUNCTION("""COMPUTED_VALUE"""),"19482")</f>
        <v>19482</v>
      </c>
      <c r="E1250" s="3">
        <f>IFERROR(__xludf.DUMMYFUNCTION("""COMPUTED_VALUE"""),30000.0)</f>
        <v>30000</v>
      </c>
      <c r="F1250" s="1" t="str">
        <f>IFERROR(__xludf.DUMMYFUNCTION("""COMPUTED_VALUE"""),"1")</f>
        <v>1</v>
      </c>
      <c r="G1250" s="1" t="str">
        <f>IFERROR(__xludf.DUMMYFUNCTION("""COMPUTED_VALUE"""),"1")</f>
        <v>1</v>
      </c>
      <c r="H1250" s="1" t="str">
        <f>IFERROR(__xludf.DUMMYFUNCTION("""COMPUTED_VALUE"""),"44")</f>
        <v>44</v>
      </c>
    </row>
    <row r="1251" ht="15.75" customHeight="1">
      <c r="D1251" s="1" t="str">
        <f>IFERROR(__xludf.DUMMYFUNCTION("""COMPUTED_VALUE"""),"16489")</f>
        <v>16489</v>
      </c>
      <c r="E1251" s="3">
        <f>IFERROR(__xludf.DUMMYFUNCTION("""COMPUTED_VALUE"""),30000.0)</f>
        <v>30000</v>
      </c>
      <c r="F1251" s="1" t="str">
        <f>IFERROR(__xludf.DUMMYFUNCTION("""COMPUTED_VALUE"""),"3")</f>
        <v>3</v>
      </c>
      <c r="G1251" s="1" t="str">
        <f>IFERROR(__xludf.DUMMYFUNCTION("""COMPUTED_VALUE"""),"2")</f>
        <v>2</v>
      </c>
      <c r="H1251" s="1" t="str">
        <f>IFERROR(__xludf.DUMMYFUNCTION("""COMPUTED_VALUE"""),"55")</f>
        <v>55</v>
      </c>
    </row>
    <row r="1252" ht="15.75" customHeight="1">
      <c r="D1252" s="1" t="str">
        <f>IFERROR(__xludf.DUMMYFUNCTION("""COMPUTED_VALUE"""),"15682")</f>
        <v>15682</v>
      </c>
      <c r="E1252" s="3">
        <f>IFERROR(__xludf.DUMMYFUNCTION("""COMPUTED_VALUE"""),80000.0)</f>
        <v>80000</v>
      </c>
      <c r="F1252" s="1" t="str">
        <f>IFERROR(__xludf.DUMMYFUNCTION("""COMPUTED_VALUE"""),"5")</f>
        <v>5</v>
      </c>
      <c r="G1252" s="1" t="str">
        <f>IFERROR(__xludf.DUMMYFUNCTION("""COMPUTED_VALUE"""),"2")</f>
        <v>2</v>
      </c>
      <c r="H1252" s="1" t="str">
        <f>IFERROR(__xludf.DUMMYFUNCTION("""COMPUTED_VALUE"""),"62")</f>
        <v>62</v>
      </c>
    </row>
    <row r="1253" ht="15.75" customHeight="1">
      <c r="D1253" s="1" t="str">
        <f>IFERROR(__xludf.DUMMYFUNCTION("""COMPUTED_VALUE"""),"26032")</f>
        <v>26032</v>
      </c>
      <c r="E1253" s="3">
        <f>IFERROR(__xludf.DUMMYFUNCTION("""COMPUTED_VALUE"""),70000.0)</f>
        <v>70000</v>
      </c>
      <c r="F1253" s="1" t="str">
        <f>IFERROR(__xludf.DUMMYFUNCTION("""COMPUTED_VALUE"""),"5")</f>
        <v>5</v>
      </c>
      <c r="G1253" s="1" t="str">
        <f>IFERROR(__xludf.DUMMYFUNCTION("""COMPUTED_VALUE"""),"4")</f>
        <v>4</v>
      </c>
      <c r="H1253" s="1" t="str">
        <f>IFERROR(__xludf.DUMMYFUNCTION("""COMPUTED_VALUE"""),"41")</f>
        <v>41</v>
      </c>
    </row>
    <row r="1254" ht="15.75" customHeight="1">
      <c r="D1254" s="1" t="str">
        <f>IFERROR(__xludf.DUMMYFUNCTION("""COMPUTED_VALUE"""),"17843")</f>
        <v>17843</v>
      </c>
      <c r="E1254" s="3">
        <f>IFERROR(__xludf.DUMMYFUNCTION("""COMPUTED_VALUE"""),10000.0)</f>
        <v>10000</v>
      </c>
      <c r="F1254" s="1" t="str">
        <f>IFERROR(__xludf.DUMMYFUNCTION("""COMPUTED_VALUE"""),"0")</f>
        <v>0</v>
      </c>
      <c r="G1254" s="1" t="str">
        <f>IFERROR(__xludf.DUMMYFUNCTION("""COMPUTED_VALUE"""),"2")</f>
        <v>2</v>
      </c>
      <c r="H1254" s="1" t="str">
        <f>IFERROR(__xludf.DUMMYFUNCTION("""COMPUTED_VALUE"""),"32")</f>
        <v>32</v>
      </c>
    </row>
    <row r="1255" ht="15.75" customHeight="1">
      <c r="D1255" s="1" t="str">
        <f>IFERROR(__xludf.DUMMYFUNCTION("""COMPUTED_VALUE"""),"25559")</f>
        <v>25559</v>
      </c>
      <c r="E1255" s="3">
        <f>IFERROR(__xludf.DUMMYFUNCTION("""COMPUTED_VALUE"""),20000.0)</f>
        <v>20000</v>
      </c>
      <c r="F1255" s="1" t="str">
        <f>IFERROR(__xludf.DUMMYFUNCTION("""COMPUTED_VALUE"""),"0")</f>
        <v>0</v>
      </c>
      <c r="G1255" s="1" t="str">
        <f>IFERROR(__xludf.DUMMYFUNCTION("""COMPUTED_VALUE"""),"0")</f>
        <v>0</v>
      </c>
      <c r="H1255" s="1" t="str">
        <f>IFERROR(__xludf.DUMMYFUNCTION("""COMPUTED_VALUE"""),"25")</f>
        <v>25</v>
      </c>
    </row>
    <row r="1256" ht="15.75" customHeight="1">
      <c r="D1256" s="1" t="str">
        <f>IFERROR(__xludf.DUMMYFUNCTION("""COMPUTED_VALUE"""),"11147")</f>
        <v>11147</v>
      </c>
      <c r="E1256" s="3">
        <f>IFERROR(__xludf.DUMMYFUNCTION("""COMPUTED_VALUE"""),60000.0)</f>
        <v>60000</v>
      </c>
      <c r="F1256" s="1" t="str">
        <f>IFERROR(__xludf.DUMMYFUNCTION("""COMPUTED_VALUE"""),"2")</f>
        <v>2</v>
      </c>
      <c r="G1256" s="1" t="str">
        <f>IFERROR(__xludf.DUMMYFUNCTION("""COMPUTED_VALUE"""),"1")</f>
        <v>1</v>
      </c>
      <c r="H1256" s="1" t="str">
        <f>IFERROR(__xludf.DUMMYFUNCTION("""COMPUTED_VALUE"""),"67")</f>
        <v>67</v>
      </c>
    </row>
    <row r="1257" ht="15.75" customHeight="1">
      <c r="D1257" s="1" t="str">
        <f>IFERROR(__xludf.DUMMYFUNCTION("""COMPUTED_VALUE"""),"15214")</f>
        <v>15214</v>
      </c>
      <c r="E1257" s="3">
        <f>IFERROR(__xludf.DUMMYFUNCTION("""COMPUTED_VALUE"""),100000.0)</f>
        <v>100000</v>
      </c>
      <c r="F1257" s="1" t="str">
        <f>IFERROR(__xludf.DUMMYFUNCTION("""COMPUTED_VALUE"""),"0")</f>
        <v>0</v>
      </c>
      <c r="G1257" s="1" t="str">
        <f>IFERROR(__xludf.DUMMYFUNCTION("""COMPUTED_VALUE"""),"1")</f>
        <v>1</v>
      </c>
      <c r="H1257" s="1" t="str">
        <f>IFERROR(__xludf.DUMMYFUNCTION("""COMPUTED_VALUE"""),"39")</f>
        <v>39</v>
      </c>
    </row>
    <row r="1258" ht="15.75" customHeight="1">
      <c r="D1258" s="1" t="str">
        <f>IFERROR(__xludf.DUMMYFUNCTION("""COMPUTED_VALUE"""),"11453")</f>
        <v>11453</v>
      </c>
      <c r="E1258" s="3">
        <f>IFERROR(__xludf.DUMMYFUNCTION("""COMPUTED_VALUE"""),80000.0)</f>
        <v>80000</v>
      </c>
      <c r="F1258" s="1" t="str">
        <f>IFERROR(__xludf.DUMMYFUNCTION("""COMPUTED_VALUE"""),"0")</f>
        <v>0</v>
      </c>
      <c r="G1258" s="1" t="str">
        <f>IFERROR(__xludf.DUMMYFUNCTION("""COMPUTED_VALUE"""),"3")</f>
        <v>3</v>
      </c>
      <c r="H1258" s="1" t="str">
        <f>IFERROR(__xludf.DUMMYFUNCTION("""COMPUTED_VALUE"""),"33")</f>
        <v>33</v>
      </c>
    </row>
    <row r="1259" ht="15.75" customHeight="1">
      <c r="D1259" s="1" t="str">
        <f>IFERROR(__xludf.DUMMYFUNCTION("""COMPUTED_VALUE"""),"24584")</f>
        <v>24584</v>
      </c>
      <c r="E1259" s="3">
        <f>IFERROR(__xludf.DUMMYFUNCTION("""COMPUTED_VALUE"""),60000.0)</f>
        <v>60000</v>
      </c>
      <c r="F1259" s="1" t="str">
        <f>IFERROR(__xludf.DUMMYFUNCTION("""COMPUTED_VALUE"""),"0")</f>
        <v>0</v>
      </c>
      <c r="G1259" s="1" t="str">
        <f>IFERROR(__xludf.DUMMYFUNCTION("""COMPUTED_VALUE"""),"3")</f>
        <v>3</v>
      </c>
      <c r="H1259" s="1" t="str">
        <f>IFERROR(__xludf.DUMMYFUNCTION("""COMPUTED_VALUE"""),"31")</f>
        <v>31</v>
      </c>
    </row>
    <row r="1260" ht="15.75" customHeight="1">
      <c r="D1260" s="1" t="str">
        <f>IFERROR(__xludf.DUMMYFUNCTION("""COMPUTED_VALUE"""),"12585")</f>
        <v>12585</v>
      </c>
      <c r="E1260" s="3">
        <f>IFERROR(__xludf.DUMMYFUNCTION("""COMPUTED_VALUE"""),10000.0)</f>
        <v>10000</v>
      </c>
      <c r="F1260" s="1" t="str">
        <f>IFERROR(__xludf.DUMMYFUNCTION("""COMPUTED_VALUE"""),"1")</f>
        <v>1</v>
      </c>
      <c r="G1260" s="1" t="str">
        <f>IFERROR(__xludf.DUMMYFUNCTION("""COMPUTED_VALUE"""),"0")</f>
        <v>0</v>
      </c>
      <c r="H1260" s="1" t="str">
        <f>IFERROR(__xludf.DUMMYFUNCTION("""COMPUTED_VALUE"""),"27")</f>
        <v>27</v>
      </c>
    </row>
    <row r="1261" ht="15.75" customHeight="1">
      <c r="D1261" s="1" t="str">
        <f>IFERROR(__xludf.DUMMYFUNCTION("""COMPUTED_VALUE"""),"29298")</f>
        <v>29298</v>
      </c>
      <c r="E1261" s="3">
        <f>IFERROR(__xludf.DUMMYFUNCTION("""COMPUTED_VALUE"""),60000.0)</f>
        <v>60000</v>
      </c>
      <c r="F1261" s="1" t="str">
        <f>IFERROR(__xludf.DUMMYFUNCTION("""COMPUTED_VALUE"""),"1")</f>
        <v>1</v>
      </c>
      <c r="G1261" s="1" t="str">
        <f>IFERROR(__xludf.DUMMYFUNCTION("""COMPUTED_VALUE"""),"1")</f>
        <v>1</v>
      </c>
      <c r="H1261" s="1" t="str">
        <f>IFERROR(__xludf.DUMMYFUNCTION("""COMPUTED_VALUE"""),"46")</f>
        <v>46</v>
      </c>
    </row>
    <row r="1262" ht="15.75" customHeight="1">
      <c r="D1262" s="1" t="str">
        <f>IFERROR(__xludf.DUMMYFUNCTION("""COMPUTED_VALUE"""),"24842")</f>
        <v>24842</v>
      </c>
      <c r="E1262" s="3">
        <f>IFERROR(__xludf.DUMMYFUNCTION("""COMPUTED_VALUE"""),90000.0)</f>
        <v>90000</v>
      </c>
      <c r="F1262" s="1" t="str">
        <f>IFERROR(__xludf.DUMMYFUNCTION("""COMPUTED_VALUE"""),"3")</f>
        <v>3</v>
      </c>
      <c r="G1262" s="1" t="str">
        <f>IFERROR(__xludf.DUMMYFUNCTION("""COMPUTED_VALUE"""),"1")</f>
        <v>1</v>
      </c>
      <c r="H1262" s="1" t="str">
        <f>IFERROR(__xludf.DUMMYFUNCTION("""COMPUTED_VALUE"""),"51")</f>
        <v>51</v>
      </c>
    </row>
    <row r="1263" ht="15.75" customHeight="1">
      <c r="D1263" s="1" t="str">
        <f>IFERROR(__xludf.DUMMYFUNCTION("""COMPUTED_VALUE"""),"15657")</f>
        <v>15657</v>
      </c>
      <c r="E1263" s="3">
        <f>IFERROR(__xludf.DUMMYFUNCTION("""COMPUTED_VALUE"""),30000.0)</f>
        <v>30000</v>
      </c>
      <c r="F1263" s="1" t="str">
        <f>IFERROR(__xludf.DUMMYFUNCTION("""COMPUTED_VALUE"""),"3")</f>
        <v>3</v>
      </c>
      <c r="G1263" s="1" t="str">
        <f>IFERROR(__xludf.DUMMYFUNCTION("""COMPUTED_VALUE"""),"0")</f>
        <v>0</v>
      </c>
      <c r="H1263" s="1" t="str">
        <f>IFERROR(__xludf.DUMMYFUNCTION("""COMPUTED_VALUE"""),"46")</f>
        <v>46</v>
      </c>
    </row>
    <row r="1264" ht="15.75" customHeight="1">
      <c r="D1264" s="1" t="str">
        <f>IFERROR(__xludf.DUMMYFUNCTION("""COMPUTED_VALUE"""),"11415")</f>
        <v>11415</v>
      </c>
      <c r="E1264" s="3">
        <f>IFERROR(__xludf.DUMMYFUNCTION("""COMPUTED_VALUE"""),90000.0)</f>
        <v>90000</v>
      </c>
      <c r="F1264" s="1" t="str">
        <f>IFERROR(__xludf.DUMMYFUNCTION("""COMPUTED_VALUE"""),"5")</f>
        <v>5</v>
      </c>
      <c r="G1264" s="1" t="str">
        <f>IFERROR(__xludf.DUMMYFUNCTION("""COMPUTED_VALUE"""),"2")</f>
        <v>2</v>
      </c>
      <c r="H1264" s="1" t="str">
        <f>IFERROR(__xludf.DUMMYFUNCTION("""COMPUTED_VALUE"""),"62")</f>
        <v>62</v>
      </c>
    </row>
    <row r="1265" ht="15.75" customHeight="1">
      <c r="D1265" s="1" t="str">
        <f>IFERROR(__xludf.DUMMYFUNCTION("""COMPUTED_VALUE"""),"28729")</f>
        <v>28729</v>
      </c>
      <c r="E1265" s="3">
        <f>IFERROR(__xludf.DUMMYFUNCTION("""COMPUTED_VALUE"""),20000.0)</f>
        <v>20000</v>
      </c>
      <c r="F1265" s="1" t="str">
        <f>IFERROR(__xludf.DUMMYFUNCTION("""COMPUTED_VALUE"""),"0")</f>
        <v>0</v>
      </c>
      <c r="G1265" s="1" t="str">
        <f>IFERROR(__xludf.DUMMYFUNCTION("""COMPUTED_VALUE"""),"2")</f>
        <v>2</v>
      </c>
      <c r="H1265" s="1" t="str">
        <f>IFERROR(__xludf.DUMMYFUNCTION("""COMPUTED_VALUE"""),"26")</f>
        <v>26</v>
      </c>
    </row>
    <row r="1266" ht="15.75" customHeight="1">
      <c r="D1266" s="1" t="str">
        <f>IFERROR(__xludf.DUMMYFUNCTION("""COMPUTED_VALUE"""),"22633")</f>
        <v>22633</v>
      </c>
      <c r="E1266" s="3">
        <f>IFERROR(__xludf.DUMMYFUNCTION("""COMPUTED_VALUE"""),40000.0)</f>
        <v>40000</v>
      </c>
      <c r="F1266" s="1" t="str">
        <f>IFERROR(__xludf.DUMMYFUNCTION("""COMPUTED_VALUE"""),"0")</f>
        <v>0</v>
      </c>
      <c r="G1266" s="1" t="str">
        <f>IFERROR(__xludf.DUMMYFUNCTION("""COMPUTED_VALUE"""),"0")</f>
        <v>0</v>
      </c>
      <c r="H1266" s="1" t="str">
        <f>IFERROR(__xludf.DUMMYFUNCTION("""COMPUTED_VALUE"""),"37")</f>
        <v>37</v>
      </c>
    </row>
    <row r="1267" ht="15.75" customHeight="1">
      <c r="D1267" s="1" t="str">
        <f>IFERROR(__xludf.DUMMYFUNCTION("""COMPUTED_VALUE"""),"25649")</f>
        <v>25649</v>
      </c>
      <c r="E1267" s="3">
        <f>IFERROR(__xludf.DUMMYFUNCTION("""COMPUTED_VALUE"""),30000.0)</f>
        <v>30000</v>
      </c>
      <c r="F1267" s="1" t="str">
        <f>IFERROR(__xludf.DUMMYFUNCTION("""COMPUTED_VALUE"""),"3")</f>
        <v>3</v>
      </c>
      <c r="G1267" s="1" t="str">
        <f>IFERROR(__xludf.DUMMYFUNCTION("""COMPUTED_VALUE"""),"0")</f>
        <v>0</v>
      </c>
      <c r="H1267" s="1" t="str">
        <f>IFERROR(__xludf.DUMMYFUNCTION("""COMPUTED_VALUE"""),"42")</f>
        <v>42</v>
      </c>
    </row>
    <row r="1268" ht="15.75" customHeight="1">
      <c r="D1268" s="1" t="str">
        <f>IFERROR(__xludf.DUMMYFUNCTION("""COMPUTED_VALUE"""),"14669")</f>
        <v>14669</v>
      </c>
      <c r="E1268" s="3">
        <f>IFERROR(__xludf.DUMMYFUNCTION("""COMPUTED_VALUE"""),80000.0)</f>
        <v>80000</v>
      </c>
      <c r="F1268" s="1" t="str">
        <f>IFERROR(__xludf.DUMMYFUNCTION("""COMPUTED_VALUE"""),"4")</f>
        <v>4</v>
      </c>
      <c r="G1268" s="1" t="str">
        <f>IFERROR(__xludf.DUMMYFUNCTION("""COMPUTED_VALUE"""),"1")</f>
        <v>1</v>
      </c>
      <c r="H1268" s="1" t="str">
        <f>IFERROR(__xludf.DUMMYFUNCTION("""COMPUTED_VALUE"""),"36")</f>
        <v>36</v>
      </c>
    </row>
    <row r="1269" ht="15.75" customHeight="1">
      <c r="D1269" s="1" t="str">
        <f>IFERROR(__xludf.DUMMYFUNCTION("""COMPUTED_VALUE"""),"19299")</f>
        <v>19299</v>
      </c>
      <c r="E1269" s="3">
        <f>IFERROR(__xludf.DUMMYFUNCTION("""COMPUTED_VALUE"""),50000.0)</f>
        <v>50000</v>
      </c>
      <c r="F1269" s="1" t="str">
        <f>IFERROR(__xludf.DUMMYFUNCTION("""COMPUTED_VALUE"""),"0")</f>
        <v>0</v>
      </c>
      <c r="G1269" s="1" t="str">
        <f>IFERROR(__xludf.DUMMYFUNCTION("""COMPUTED_VALUE"""),"0")</f>
        <v>0</v>
      </c>
      <c r="H1269" s="1" t="str">
        <f>IFERROR(__xludf.DUMMYFUNCTION("""COMPUTED_VALUE"""),"36")</f>
        <v>36</v>
      </c>
    </row>
    <row r="1270" ht="15.75" customHeight="1">
      <c r="D1270" s="1" t="str">
        <f>IFERROR(__xludf.DUMMYFUNCTION("""COMPUTED_VALUE"""),"20946")</f>
        <v>20946</v>
      </c>
      <c r="E1270" s="3">
        <f>IFERROR(__xludf.DUMMYFUNCTION("""COMPUTED_VALUE"""),30000.0)</f>
        <v>30000</v>
      </c>
      <c r="F1270" s="1" t="str">
        <f>IFERROR(__xludf.DUMMYFUNCTION("""COMPUTED_VALUE"""),"0")</f>
        <v>0</v>
      </c>
      <c r="G1270" s="1" t="str">
        <f>IFERROR(__xludf.DUMMYFUNCTION("""COMPUTED_VALUE"""),"1")</f>
        <v>1</v>
      </c>
      <c r="H1270" s="1" t="str">
        <f>IFERROR(__xludf.DUMMYFUNCTION("""COMPUTED_VALUE"""),"30")</f>
        <v>30</v>
      </c>
    </row>
    <row r="1271" ht="15.75" customHeight="1">
      <c r="D1271" s="1" t="str">
        <f>IFERROR(__xludf.DUMMYFUNCTION("""COMPUTED_VALUE"""),"11451")</f>
        <v>11451</v>
      </c>
      <c r="E1271" s="3">
        <f>IFERROR(__xludf.DUMMYFUNCTION("""COMPUTED_VALUE"""),70000.0)</f>
        <v>70000</v>
      </c>
      <c r="F1271" s="1" t="str">
        <f>IFERROR(__xludf.DUMMYFUNCTION("""COMPUTED_VALUE"""),"0")</f>
        <v>0</v>
      </c>
      <c r="G1271" s="1" t="str">
        <f>IFERROR(__xludf.DUMMYFUNCTION("""COMPUTED_VALUE"""),"4")</f>
        <v>4</v>
      </c>
      <c r="H1271" s="1" t="str">
        <f>IFERROR(__xludf.DUMMYFUNCTION("""COMPUTED_VALUE"""),"31")</f>
        <v>31</v>
      </c>
    </row>
    <row r="1272" ht="15.75" customHeight="1">
      <c r="D1272" s="1" t="str">
        <f>IFERROR(__xludf.DUMMYFUNCTION("""COMPUTED_VALUE"""),"25553")</f>
        <v>25553</v>
      </c>
      <c r="E1272" s="3">
        <f>IFERROR(__xludf.DUMMYFUNCTION("""COMPUTED_VALUE"""),30000.0)</f>
        <v>30000</v>
      </c>
      <c r="F1272" s="1" t="str">
        <f>IFERROR(__xludf.DUMMYFUNCTION("""COMPUTED_VALUE"""),"1")</f>
        <v>1</v>
      </c>
      <c r="G1272" s="1" t="str">
        <f>IFERROR(__xludf.DUMMYFUNCTION("""COMPUTED_VALUE"""),"0")</f>
        <v>0</v>
      </c>
      <c r="H1272" s="1" t="str">
        <f>IFERROR(__xludf.DUMMYFUNCTION("""COMPUTED_VALUE"""),"65")</f>
        <v>65</v>
      </c>
    </row>
    <row r="1273" ht="15.75" customHeight="1">
      <c r="D1273" s="1" t="str">
        <f>IFERROR(__xludf.DUMMYFUNCTION("""COMPUTED_VALUE"""),"27951")</f>
        <v>27951</v>
      </c>
      <c r="E1273" s="3">
        <f>IFERROR(__xludf.DUMMYFUNCTION("""COMPUTED_VALUE"""),80000.0)</f>
        <v>80000</v>
      </c>
      <c r="F1273" s="1" t="str">
        <f>IFERROR(__xludf.DUMMYFUNCTION("""COMPUTED_VALUE"""),"4")</f>
        <v>4</v>
      </c>
      <c r="G1273" s="1" t="str">
        <f>IFERROR(__xludf.DUMMYFUNCTION("""COMPUTED_VALUE"""),"2")</f>
        <v>2</v>
      </c>
      <c r="H1273" s="1" t="str">
        <f>IFERROR(__xludf.DUMMYFUNCTION("""COMPUTED_VALUE"""),"54")</f>
        <v>54</v>
      </c>
    </row>
    <row r="1274" ht="15.75" customHeight="1">
      <c r="D1274" s="1" t="str">
        <f>IFERROR(__xludf.DUMMYFUNCTION("""COMPUTED_VALUE"""),"25026")</f>
        <v>25026</v>
      </c>
      <c r="E1274" s="3">
        <f>IFERROR(__xludf.DUMMYFUNCTION("""COMPUTED_VALUE"""),20000.0)</f>
        <v>20000</v>
      </c>
      <c r="F1274" s="1" t="str">
        <f>IFERROR(__xludf.DUMMYFUNCTION("""COMPUTED_VALUE"""),"2")</f>
        <v>2</v>
      </c>
      <c r="G1274" s="1" t="str">
        <f>IFERROR(__xludf.DUMMYFUNCTION("""COMPUTED_VALUE"""),"3")</f>
        <v>3</v>
      </c>
      <c r="H1274" s="1" t="str">
        <f>IFERROR(__xludf.DUMMYFUNCTION("""COMPUTED_VALUE"""),"54")</f>
        <v>54</v>
      </c>
    </row>
    <row r="1275" ht="15.75" customHeight="1">
      <c r="D1275" s="1" t="str">
        <f>IFERROR(__xludf.DUMMYFUNCTION("""COMPUTED_VALUE"""),"13673")</f>
        <v>13673</v>
      </c>
      <c r="E1275" s="3">
        <f>IFERROR(__xludf.DUMMYFUNCTION("""COMPUTED_VALUE"""),20000.0)</f>
        <v>20000</v>
      </c>
      <c r="F1275" s="1" t="str">
        <f>IFERROR(__xludf.DUMMYFUNCTION("""COMPUTED_VALUE"""),"0")</f>
        <v>0</v>
      </c>
      <c r="G1275" s="1" t="str">
        <f>IFERROR(__xludf.DUMMYFUNCTION("""COMPUTED_VALUE"""),"2")</f>
        <v>2</v>
      </c>
      <c r="H1275" s="1" t="str">
        <f>IFERROR(__xludf.DUMMYFUNCTION("""COMPUTED_VALUE"""),"25")</f>
        <v>25</v>
      </c>
    </row>
    <row r="1276" ht="15.75" customHeight="1">
      <c r="D1276" s="1" t="str">
        <f>IFERROR(__xludf.DUMMYFUNCTION("""COMPUTED_VALUE"""),"16043")</f>
        <v>16043</v>
      </c>
      <c r="E1276" s="3">
        <f>IFERROR(__xludf.DUMMYFUNCTION("""COMPUTED_VALUE"""),10000.0)</f>
        <v>10000</v>
      </c>
      <c r="F1276" s="1" t="str">
        <f>IFERROR(__xludf.DUMMYFUNCTION("""COMPUTED_VALUE"""),"1")</f>
        <v>1</v>
      </c>
      <c r="G1276" s="1" t="str">
        <f>IFERROR(__xludf.DUMMYFUNCTION("""COMPUTED_VALUE"""),"0")</f>
        <v>0</v>
      </c>
      <c r="H1276" s="1" t="str">
        <f>IFERROR(__xludf.DUMMYFUNCTION("""COMPUTED_VALUE"""),"48")</f>
        <v>48</v>
      </c>
    </row>
    <row r="1277" ht="15.75" customHeight="1">
      <c r="D1277" s="1" t="str">
        <f>IFERROR(__xludf.DUMMYFUNCTION("""COMPUTED_VALUE"""),"22399")</f>
        <v>22399</v>
      </c>
      <c r="E1277" s="3">
        <f>IFERROR(__xludf.DUMMYFUNCTION("""COMPUTED_VALUE"""),10000.0)</f>
        <v>10000</v>
      </c>
      <c r="F1277" s="1" t="str">
        <f>IFERROR(__xludf.DUMMYFUNCTION("""COMPUTED_VALUE"""),"0")</f>
        <v>0</v>
      </c>
      <c r="G1277" s="1" t="str">
        <f>IFERROR(__xludf.DUMMYFUNCTION("""COMPUTED_VALUE"""),"1")</f>
        <v>1</v>
      </c>
      <c r="H1277" s="1" t="str">
        <f>IFERROR(__xludf.DUMMYFUNCTION("""COMPUTED_VALUE"""),"26")</f>
        <v>26</v>
      </c>
    </row>
    <row r="1278" ht="15.75" customHeight="1">
      <c r="D1278" s="1" t="str">
        <f>IFERROR(__xludf.DUMMYFUNCTION("""COMPUTED_VALUE"""),"27696")</f>
        <v>27696</v>
      </c>
      <c r="E1278" s="3">
        <f>IFERROR(__xludf.DUMMYFUNCTION("""COMPUTED_VALUE"""),60000.0)</f>
        <v>60000</v>
      </c>
      <c r="F1278" s="1" t="str">
        <f>IFERROR(__xludf.DUMMYFUNCTION("""COMPUTED_VALUE"""),"1")</f>
        <v>1</v>
      </c>
      <c r="G1278" s="1" t="str">
        <f>IFERROR(__xludf.DUMMYFUNCTION("""COMPUTED_VALUE"""),"1")</f>
        <v>1</v>
      </c>
      <c r="H1278" s="1" t="str">
        <f>IFERROR(__xludf.DUMMYFUNCTION("""COMPUTED_VALUE"""),"43")</f>
        <v>43</v>
      </c>
    </row>
    <row r="1279" ht="15.75" customHeight="1">
      <c r="D1279" s="1" t="str">
        <f>IFERROR(__xludf.DUMMYFUNCTION("""COMPUTED_VALUE"""),"25313")</f>
        <v>25313</v>
      </c>
      <c r="E1279" s="3">
        <f>IFERROR(__xludf.DUMMYFUNCTION("""COMPUTED_VALUE"""),10000.0)</f>
        <v>10000</v>
      </c>
      <c r="F1279" s="1" t="str">
        <f>IFERROR(__xludf.DUMMYFUNCTION("""COMPUTED_VALUE"""),"0")</f>
        <v>0</v>
      </c>
      <c r="G1279" s="1" t="str">
        <f>IFERROR(__xludf.DUMMYFUNCTION("""COMPUTED_VALUE"""),"2")</f>
        <v>2</v>
      </c>
      <c r="H1279" s="1" t="str">
        <f>IFERROR(__xludf.DUMMYFUNCTION("""COMPUTED_VALUE"""),"35")</f>
        <v>35</v>
      </c>
    </row>
    <row r="1280" ht="15.75" customHeight="1">
      <c r="D1280" s="1" t="str">
        <f>IFERROR(__xludf.DUMMYFUNCTION("""COMPUTED_VALUE"""),"13813")</f>
        <v>13813</v>
      </c>
      <c r="E1280" s="3">
        <f>IFERROR(__xludf.DUMMYFUNCTION("""COMPUTED_VALUE"""),30000.0)</f>
        <v>30000</v>
      </c>
      <c r="F1280" s="1" t="str">
        <f>IFERROR(__xludf.DUMMYFUNCTION("""COMPUTED_VALUE"""),"3")</f>
        <v>3</v>
      </c>
      <c r="G1280" s="1" t="str">
        <f>IFERROR(__xludf.DUMMYFUNCTION("""COMPUTED_VALUE"""),"0")</f>
        <v>0</v>
      </c>
      <c r="H1280" s="1" t="str">
        <f>IFERROR(__xludf.DUMMYFUNCTION("""COMPUTED_VALUE"""),"42")</f>
        <v>42</v>
      </c>
    </row>
    <row r="1281" ht="15.75" customHeight="1">
      <c r="D1281" s="1" t="str">
        <f>IFERROR(__xludf.DUMMYFUNCTION("""COMPUTED_VALUE"""),"18711")</f>
        <v>18711</v>
      </c>
      <c r="E1281" s="3">
        <f>IFERROR(__xludf.DUMMYFUNCTION("""COMPUTED_VALUE"""),70000.0)</f>
        <v>70000</v>
      </c>
      <c r="F1281" s="1" t="str">
        <f>IFERROR(__xludf.DUMMYFUNCTION("""COMPUTED_VALUE"""),"5")</f>
        <v>5</v>
      </c>
      <c r="G1281" s="1" t="str">
        <f>IFERROR(__xludf.DUMMYFUNCTION("""COMPUTED_VALUE"""),"4")</f>
        <v>4</v>
      </c>
      <c r="H1281" s="1" t="str">
        <f>IFERROR(__xludf.DUMMYFUNCTION("""COMPUTED_VALUE"""),"39")</f>
        <v>39</v>
      </c>
    </row>
    <row r="1282" ht="15.75" customHeight="1">
      <c r="D1282" s="1" t="str">
        <f>IFERROR(__xludf.DUMMYFUNCTION("""COMPUTED_VALUE"""),"19650")</f>
        <v>19650</v>
      </c>
      <c r="E1282" s="3">
        <f>IFERROR(__xludf.DUMMYFUNCTION("""COMPUTED_VALUE"""),30000.0)</f>
        <v>30000</v>
      </c>
      <c r="F1282" s="1" t="str">
        <f>IFERROR(__xludf.DUMMYFUNCTION("""COMPUTED_VALUE"""),"2")</f>
        <v>2</v>
      </c>
      <c r="G1282" s="1" t="str">
        <f>IFERROR(__xludf.DUMMYFUNCTION("""COMPUTED_VALUE"""),"2")</f>
        <v>2</v>
      </c>
      <c r="H1282" s="1" t="str">
        <f>IFERROR(__xludf.DUMMYFUNCTION("""COMPUTED_VALUE"""),"67")</f>
        <v>67</v>
      </c>
    </row>
    <row r="1283" ht="15.75" customHeight="1">
      <c r="D1283" s="1" t="str">
        <f>IFERROR(__xludf.DUMMYFUNCTION("""COMPUTED_VALUE"""),"12833")</f>
        <v>12833</v>
      </c>
      <c r="E1283" s="3">
        <f>IFERROR(__xludf.DUMMYFUNCTION("""COMPUTED_VALUE"""),20000.0)</f>
        <v>20000</v>
      </c>
      <c r="F1283" s="1" t="str">
        <f>IFERROR(__xludf.DUMMYFUNCTION("""COMPUTED_VALUE"""),"3")</f>
        <v>3</v>
      </c>
      <c r="G1283" s="1" t="str">
        <f>IFERROR(__xludf.DUMMYFUNCTION("""COMPUTED_VALUE"""),"1")</f>
        <v>1</v>
      </c>
      <c r="H1283" s="1" t="str">
        <f>IFERROR(__xludf.DUMMYFUNCTION("""COMPUTED_VALUE"""),"42")</f>
        <v>42</v>
      </c>
    </row>
    <row r="1284" ht="15.75" customHeight="1">
      <c r="D1284" s="1" t="str">
        <f>IFERROR(__xludf.DUMMYFUNCTION("""COMPUTED_VALUE"""),"26849")</f>
        <v>26849</v>
      </c>
      <c r="E1284" s="3">
        <f>IFERROR(__xludf.DUMMYFUNCTION("""COMPUTED_VALUE"""),10000.0)</f>
        <v>10000</v>
      </c>
      <c r="F1284" s="1" t="str">
        <f>IFERROR(__xludf.DUMMYFUNCTION("""COMPUTED_VALUE"""),"3")</f>
        <v>3</v>
      </c>
      <c r="G1284" s="1" t="str">
        <f>IFERROR(__xludf.DUMMYFUNCTION("""COMPUTED_VALUE"""),"2")</f>
        <v>2</v>
      </c>
      <c r="H1284" s="1" t="str">
        <f>IFERROR(__xludf.DUMMYFUNCTION("""COMPUTED_VALUE"""),"43")</f>
        <v>43</v>
      </c>
    </row>
    <row r="1285" ht="15.75" customHeight="1">
      <c r="D1285" s="1" t="str">
        <f>IFERROR(__xludf.DUMMYFUNCTION("""COMPUTED_VALUE"""),"20962")</f>
        <v>20962</v>
      </c>
      <c r="E1285" s="3">
        <f>IFERROR(__xludf.DUMMYFUNCTION("""COMPUTED_VALUE"""),20000.0)</f>
        <v>20000</v>
      </c>
      <c r="F1285" s="1" t="str">
        <f>IFERROR(__xludf.DUMMYFUNCTION("""COMPUTED_VALUE"""),"1")</f>
        <v>1</v>
      </c>
      <c r="G1285" s="1" t="str">
        <f>IFERROR(__xludf.DUMMYFUNCTION("""COMPUTED_VALUE"""),"0")</f>
        <v>0</v>
      </c>
      <c r="H1285" s="1" t="str">
        <f>IFERROR(__xludf.DUMMYFUNCTION("""COMPUTED_VALUE"""),"45")</f>
        <v>45</v>
      </c>
    </row>
    <row r="1286" ht="15.75" customHeight="1">
      <c r="D1286" s="1" t="str">
        <f>IFERROR(__xludf.DUMMYFUNCTION("""COMPUTED_VALUE"""),"28915")</f>
        <v>28915</v>
      </c>
      <c r="E1286" s="3">
        <f>IFERROR(__xludf.DUMMYFUNCTION("""COMPUTED_VALUE"""),80000.0)</f>
        <v>80000</v>
      </c>
      <c r="F1286" s="1" t="str">
        <f>IFERROR(__xludf.DUMMYFUNCTION("""COMPUTED_VALUE"""),"5")</f>
        <v>5</v>
      </c>
      <c r="G1286" s="1" t="str">
        <f>IFERROR(__xludf.DUMMYFUNCTION("""COMPUTED_VALUE"""),"3")</f>
        <v>3</v>
      </c>
      <c r="H1286" s="1" t="str">
        <f>IFERROR(__xludf.DUMMYFUNCTION("""COMPUTED_VALUE"""),"57")</f>
        <v>57</v>
      </c>
    </row>
    <row r="1287" ht="15.75" customHeight="1">
      <c r="D1287" s="1" t="str">
        <f>IFERROR(__xludf.DUMMYFUNCTION("""COMPUTED_VALUE"""),"22830")</f>
        <v>22830</v>
      </c>
      <c r="E1287" s="3">
        <f>IFERROR(__xludf.DUMMYFUNCTION("""COMPUTED_VALUE"""),120000.0)</f>
        <v>120000</v>
      </c>
      <c r="F1287" s="1" t="str">
        <f>IFERROR(__xludf.DUMMYFUNCTION("""COMPUTED_VALUE"""),"4")</f>
        <v>4</v>
      </c>
      <c r="G1287" s="1" t="str">
        <f>IFERROR(__xludf.DUMMYFUNCTION("""COMPUTED_VALUE"""),"3")</f>
        <v>3</v>
      </c>
      <c r="H1287" s="1" t="str">
        <f>IFERROR(__xludf.DUMMYFUNCTION("""COMPUTED_VALUE"""),"56")</f>
        <v>56</v>
      </c>
    </row>
    <row r="1288" ht="15.75" customHeight="1">
      <c r="D1288" s="1" t="str">
        <f>IFERROR(__xludf.DUMMYFUNCTION("""COMPUTED_VALUE"""),"14777")</f>
        <v>14777</v>
      </c>
      <c r="E1288" s="3">
        <f>IFERROR(__xludf.DUMMYFUNCTION("""COMPUTED_VALUE"""),40000.0)</f>
        <v>40000</v>
      </c>
      <c r="F1288" s="1" t="str">
        <f>IFERROR(__xludf.DUMMYFUNCTION("""COMPUTED_VALUE"""),"0")</f>
        <v>0</v>
      </c>
      <c r="G1288" s="1" t="str">
        <f>IFERROR(__xludf.DUMMYFUNCTION("""COMPUTED_VALUE"""),"0")</f>
        <v>0</v>
      </c>
      <c r="H1288" s="1" t="str">
        <f>IFERROR(__xludf.DUMMYFUNCTION("""COMPUTED_VALUE"""),"38")</f>
        <v>38</v>
      </c>
    </row>
    <row r="1289" ht="15.75" customHeight="1">
      <c r="D1289" s="1" t="str">
        <f>IFERROR(__xludf.DUMMYFUNCTION("""COMPUTED_VALUE"""),"12591")</f>
        <v>12591</v>
      </c>
      <c r="E1289" s="3">
        <f>IFERROR(__xludf.DUMMYFUNCTION("""COMPUTED_VALUE"""),30000.0)</f>
        <v>30000</v>
      </c>
      <c r="F1289" s="1" t="str">
        <f>IFERROR(__xludf.DUMMYFUNCTION("""COMPUTED_VALUE"""),"4")</f>
        <v>4</v>
      </c>
      <c r="G1289" s="1" t="str">
        <f>IFERROR(__xludf.DUMMYFUNCTION("""COMPUTED_VALUE"""),"0")</f>
        <v>0</v>
      </c>
      <c r="H1289" s="1" t="str">
        <f>IFERROR(__xludf.DUMMYFUNCTION("""COMPUTED_VALUE"""),"45")</f>
        <v>45</v>
      </c>
    </row>
    <row r="1290" ht="15.75" customHeight="1">
      <c r="D1290" s="1" t="str">
        <f>IFERROR(__xludf.DUMMYFUNCTION("""COMPUTED_VALUE"""),"24174")</f>
        <v>24174</v>
      </c>
      <c r="E1290" s="3">
        <f>IFERROR(__xludf.DUMMYFUNCTION("""COMPUTED_VALUE"""),20000.0)</f>
        <v>20000</v>
      </c>
      <c r="F1290" s="1" t="str">
        <f>IFERROR(__xludf.DUMMYFUNCTION("""COMPUTED_VALUE"""),"0")</f>
        <v>0</v>
      </c>
      <c r="G1290" s="1" t="str">
        <f>IFERROR(__xludf.DUMMYFUNCTION("""COMPUTED_VALUE"""),"0")</f>
        <v>0</v>
      </c>
      <c r="H1290" s="1" t="str">
        <f>IFERROR(__xludf.DUMMYFUNCTION("""COMPUTED_VALUE"""),"27")</f>
        <v>27</v>
      </c>
    </row>
    <row r="1291" ht="15.75" customHeight="1">
      <c r="D1291" s="1" t="str">
        <f>IFERROR(__xludf.DUMMYFUNCTION("""COMPUTED_VALUE"""),"24611")</f>
        <v>24611</v>
      </c>
      <c r="E1291" s="3">
        <f>IFERROR(__xludf.DUMMYFUNCTION("""COMPUTED_VALUE"""),90000.0)</f>
        <v>90000</v>
      </c>
      <c r="F1291" s="1" t="str">
        <f>IFERROR(__xludf.DUMMYFUNCTION("""COMPUTED_VALUE"""),"0")</f>
        <v>0</v>
      </c>
      <c r="G1291" s="1" t="str">
        <f>IFERROR(__xludf.DUMMYFUNCTION("""COMPUTED_VALUE"""),"4")</f>
        <v>4</v>
      </c>
      <c r="H1291" s="1" t="str">
        <f>IFERROR(__xludf.DUMMYFUNCTION("""COMPUTED_VALUE"""),"35")</f>
        <v>35</v>
      </c>
    </row>
    <row r="1292" ht="15.75" customHeight="1">
      <c r="D1292" s="1" t="str">
        <f>IFERROR(__xludf.DUMMYFUNCTION("""COMPUTED_VALUE"""),"11340")</f>
        <v>11340</v>
      </c>
      <c r="E1292" s="3">
        <f>IFERROR(__xludf.DUMMYFUNCTION("""COMPUTED_VALUE"""),10000.0)</f>
        <v>10000</v>
      </c>
      <c r="F1292" s="1" t="str">
        <f>IFERROR(__xludf.DUMMYFUNCTION("""COMPUTED_VALUE"""),"1")</f>
        <v>1</v>
      </c>
      <c r="G1292" s="1" t="str">
        <f>IFERROR(__xludf.DUMMYFUNCTION("""COMPUTED_VALUE"""),"0")</f>
        <v>0</v>
      </c>
      <c r="H1292" s="1" t="str">
        <f>IFERROR(__xludf.DUMMYFUNCTION("""COMPUTED_VALUE"""),"70")</f>
        <v>70</v>
      </c>
    </row>
    <row r="1293" ht="15.75" customHeight="1">
      <c r="D1293" s="1" t="str">
        <f>IFERROR(__xludf.DUMMYFUNCTION("""COMPUTED_VALUE"""),"25693")</f>
        <v>25693</v>
      </c>
      <c r="E1293" s="3">
        <f>IFERROR(__xludf.DUMMYFUNCTION("""COMPUTED_VALUE"""),30000.0)</f>
        <v>30000</v>
      </c>
      <c r="F1293" s="1" t="str">
        <f>IFERROR(__xludf.DUMMYFUNCTION("""COMPUTED_VALUE"""),"5")</f>
        <v>5</v>
      </c>
      <c r="G1293" s="1" t="str">
        <f>IFERROR(__xludf.DUMMYFUNCTION("""COMPUTED_VALUE"""),"0")</f>
        <v>0</v>
      </c>
      <c r="H1293" s="1" t="str">
        <f>IFERROR(__xludf.DUMMYFUNCTION("""COMPUTED_VALUE"""),"44")</f>
        <v>44</v>
      </c>
    </row>
    <row r="1294" ht="15.75" customHeight="1">
      <c r="D1294" s="1" t="str">
        <f>IFERROR(__xludf.DUMMYFUNCTION("""COMPUTED_VALUE"""),"25555")</f>
        <v>25555</v>
      </c>
      <c r="E1294" s="3">
        <f>IFERROR(__xludf.DUMMYFUNCTION("""COMPUTED_VALUE"""),10000.0)</f>
        <v>10000</v>
      </c>
      <c r="F1294" s="1" t="str">
        <f>IFERROR(__xludf.DUMMYFUNCTION("""COMPUTED_VALUE"""),"0")</f>
        <v>0</v>
      </c>
      <c r="G1294" s="1" t="str">
        <f>IFERROR(__xludf.DUMMYFUNCTION("""COMPUTED_VALUE"""),"1")</f>
        <v>1</v>
      </c>
      <c r="H1294" s="1" t="str">
        <f>IFERROR(__xludf.DUMMYFUNCTION("""COMPUTED_VALUE"""),"26")</f>
        <v>26</v>
      </c>
    </row>
    <row r="1295" ht="15.75" customHeight="1">
      <c r="D1295" s="1" t="str">
        <f>IFERROR(__xludf.DUMMYFUNCTION("""COMPUTED_VALUE"""),"22006")</f>
        <v>22006</v>
      </c>
      <c r="E1295" s="3">
        <f>IFERROR(__xludf.DUMMYFUNCTION("""COMPUTED_VALUE"""),70000.0)</f>
        <v>70000</v>
      </c>
      <c r="F1295" s="1" t="str">
        <f>IFERROR(__xludf.DUMMYFUNCTION("""COMPUTED_VALUE"""),"5")</f>
        <v>5</v>
      </c>
      <c r="G1295" s="1" t="str">
        <f>IFERROR(__xludf.DUMMYFUNCTION("""COMPUTED_VALUE"""),"3")</f>
        <v>3</v>
      </c>
      <c r="H1295" s="1" t="str">
        <f>IFERROR(__xludf.DUMMYFUNCTION("""COMPUTED_VALUE"""),"46")</f>
        <v>46</v>
      </c>
    </row>
    <row r="1296" ht="15.75" customHeight="1">
      <c r="D1296" s="1" t="str">
        <f>IFERROR(__xludf.DUMMYFUNCTION("""COMPUTED_VALUE"""),"20060")</f>
        <v>20060</v>
      </c>
      <c r="E1296" s="3">
        <f>IFERROR(__xludf.DUMMYFUNCTION("""COMPUTED_VALUE"""),30000.0)</f>
        <v>30000</v>
      </c>
      <c r="F1296" s="1" t="str">
        <f>IFERROR(__xludf.DUMMYFUNCTION("""COMPUTED_VALUE"""),"0")</f>
        <v>0</v>
      </c>
      <c r="G1296" s="1" t="str">
        <f>IFERROR(__xludf.DUMMYFUNCTION("""COMPUTED_VALUE"""),"1")</f>
        <v>1</v>
      </c>
      <c r="H1296" s="1" t="str">
        <f>IFERROR(__xludf.DUMMYFUNCTION("""COMPUTED_VALUE"""),"34")</f>
        <v>34</v>
      </c>
    </row>
    <row r="1297" ht="15.75" customHeight="1">
      <c r="D1297" s="1" t="str">
        <f>IFERROR(__xludf.DUMMYFUNCTION("""COMPUTED_VALUE"""),"17702")</f>
        <v>17702</v>
      </c>
      <c r="E1297" s="3">
        <f>IFERROR(__xludf.DUMMYFUNCTION("""COMPUTED_VALUE"""),10000.0)</f>
        <v>10000</v>
      </c>
      <c r="F1297" s="1" t="str">
        <f>IFERROR(__xludf.DUMMYFUNCTION("""COMPUTED_VALUE"""),"1")</f>
        <v>1</v>
      </c>
      <c r="G1297" s="1" t="str">
        <f>IFERROR(__xludf.DUMMYFUNCTION("""COMPUTED_VALUE"""),"0")</f>
        <v>0</v>
      </c>
      <c r="H1297" s="1" t="str">
        <f>IFERROR(__xludf.DUMMYFUNCTION("""COMPUTED_VALUE"""),"37")</f>
        <v>37</v>
      </c>
    </row>
    <row r="1298" ht="15.75" customHeight="1">
      <c r="D1298" s="1" t="str">
        <f>IFERROR(__xludf.DUMMYFUNCTION("""COMPUTED_VALUE"""),"12503")</f>
        <v>12503</v>
      </c>
      <c r="E1298" s="3">
        <f>IFERROR(__xludf.DUMMYFUNCTION("""COMPUTED_VALUE"""),30000.0)</f>
        <v>30000</v>
      </c>
      <c r="F1298" s="1" t="str">
        <f>IFERROR(__xludf.DUMMYFUNCTION("""COMPUTED_VALUE"""),"3")</f>
        <v>3</v>
      </c>
      <c r="G1298" s="1" t="str">
        <f>IFERROR(__xludf.DUMMYFUNCTION("""COMPUTED_VALUE"""),"2")</f>
        <v>2</v>
      </c>
      <c r="H1298" s="1" t="str">
        <f>IFERROR(__xludf.DUMMYFUNCTION("""COMPUTED_VALUE"""),"27")</f>
        <v>27</v>
      </c>
    </row>
    <row r="1299" ht="15.75" customHeight="1">
      <c r="D1299" s="1" t="str">
        <f>IFERROR(__xludf.DUMMYFUNCTION("""COMPUTED_VALUE"""),"23908")</f>
        <v>23908</v>
      </c>
      <c r="E1299" s="3">
        <f>IFERROR(__xludf.DUMMYFUNCTION("""COMPUTED_VALUE"""),30000.0)</f>
        <v>30000</v>
      </c>
      <c r="F1299" s="1" t="str">
        <f>IFERROR(__xludf.DUMMYFUNCTION("""COMPUTED_VALUE"""),"1")</f>
        <v>1</v>
      </c>
      <c r="G1299" s="1" t="str">
        <f>IFERROR(__xludf.DUMMYFUNCTION("""COMPUTED_VALUE"""),"1")</f>
        <v>1</v>
      </c>
      <c r="H1299" s="1" t="str">
        <f>IFERROR(__xludf.DUMMYFUNCTION("""COMPUTED_VALUE"""),"39")</f>
        <v>39</v>
      </c>
    </row>
    <row r="1300" ht="15.75" customHeight="1">
      <c r="D1300" s="1" t="str">
        <f>IFERROR(__xludf.DUMMYFUNCTION("""COMPUTED_VALUE"""),"22527")</f>
        <v>22527</v>
      </c>
      <c r="E1300" s="3">
        <f>IFERROR(__xludf.DUMMYFUNCTION("""COMPUTED_VALUE"""),20000.0)</f>
        <v>20000</v>
      </c>
      <c r="F1300" s="1" t="str">
        <f>IFERROR(__xludf.DUMMYFUNCTION("""COMPUTED_VALUE"""),"0")</f>
        <v>0</v>
      </c>
      <c r="G1300" s="1" t="str">
        <f>IFERROR(__xludf.DUMMYFUNCTION("""COMPUTED_VALUE"""),"1")</f>
        <v>1</v>
      </c>
      <c r="H1300" s="1" t="str">
        <f>IFERROR(__xludf.DUMMYFUNCTION("""COMPUTED_VALUE"""),"29")</f>
        <v>29</v>
      </c>
    </row>
    <row r="1301" ht="15.75" customHeight="1">
      <c r="D1301" s="1" t="str">
        <f>IFERROR(__xludf.DUMMYFUNCTION("""COMPUTED_VALUE"""),"19057")</f>
        <v>19057</v>
      </c>
      <c r="E1301" s="3">
        <f>IFERROR(__xludf.DUMMYFUNCTION("""COMPUTED_VALUE"""),120000.0)</f>
        <v>120000</v>
      </c>
      <c r="F1301" s="1" t="str">
        <f>IFERROR(__xludf.DUMMYFUNCTION("""COMPUTED_VALUE"""),"3")</f>
        <v>3</v>
      </c>
      <c r="G1301" s="1" t="str">
        <f>IFERROR(__xludf.DUMMYFUNCTION("""COMPUTED_VALUE"""),"2")</f>
        <v>2</v>
      </c>
      <c r="H1301" s="1" t="str">
        <f>IFERROR(__xludf.DUMMYFUNCTION("""COMPUTED_VALUE"""),"52")</f>
        <v>52</v>
      </c>
    </row>
    <row r="1302" ht="15.75" customHeight="1">
      <c r="D1302" s="1" t="str">
        <f>IFERROR(__xludf.DUMMYFUNCTION("""COMPUTED_VALUE"""),"18494")</f>
        <v>18494</v>
      </c>
      <c r="E1302" s="3">
        <f>IFERROR(__xludf.DUMMYFUNCTION("""COMPUTED_VALUE"""),110000.0)</f>
        <v>110000</v>
      </c>
      <c r="F1302" s="1" t="str">
        <f>IFERROR(__xludf.DUMMYFUNCTION("""COMPUTED_VALUE"""),"5")</f>
        <v>5</v>
      </c>
      <c r="G1302" s="1" t="str">
        <f>IFERROR(__xludf.DUMMYFUNCTION("""COMPUTED_VALUE"""),"4")</f>
        <v>4</v>
      </c>
      <c r="H1302" s="1" t="str">
        <f>IFERROR(__xludf.DUMMYFUNCTION("""COMPUTED_VALUE"""),"48")</f>
        <v>48</v>
      </c>
    </row>
    <row r="1303" ht="15.75" customHeight="1">
      <c r="D1303" s="1" t="str">
        <f>IFERROR(__xludf.DUMMYFUNCTION("""COMPUTED_VALUE"""),"11249")</f>
        <v>11249</v>
      </c>
      <c r="E1303" s="3">
        <f>IFERROR(__xludf.DUMMYFUNCTION("""COMPUTED_VALUE"""),130000.0)</f>
        <v>130000</v>
      </c>
      <c r="F1303" s="1" t="str">
        <f>IFERROR(__xludf.DUMMYFUNCTION("""COMPUTED_VALUE"""),"3")</f>
        <v>3</v>
      </c>
      <c r="G1303" s="1" t="str">
        <f>IFERROR(__xludf.DUMMYFUNCTION("""COMPUTED_VALUE"""),"3")</f>
        <v>3</v>
      </c>
      <c r="H1303" s="1" t="str">
        <f>IFERROR(__xludf.DUMMYFUNCTION("""COMPUTED_VALUE"""),"51")</f>
        <v>51</v>
      </c>
    </row>
    <row r="1304" ht="15.75" customHeight="1">
      <c r="D1304" s="1" t="str">
        <f>IFERROR(__xludf.DUMMYFUNCTION("""COMPUTED_VALUE"""),"21568")</f>
        <v>21568</v>
      </c>
      <c r="E1304" s="3">
        <f>IFERROR(__xludf.DUMMYFUNCTION("""COMPUTED_VALUE"""),100000.0)</f>
        <v>100000</v>
      </c>
      <c r="F1304" s="1" t="str">
        <f>IFERROR(__xludf.DUMMYFUNCTION("""COMPUTED_VALUE"""),"0")</f>
        <v>0</v>
      </c>
      <c r="G1304" s="1" t="str">
        <f>IFERROR(__xludf.DUMMYFUNCTION("""COMPUTED_VALUE"""),"4")</f>
        <v>4</v>
      </c>
      <c r="H1304" s="1" t="str">
        <f>IFERROR(__xludf.DUMMYFUNCTION("""COMPUTED_VALUE"""),"34")</f>
        <v>34</v>
      </c>
    </row>
    <row r="1305" ht="15.75" customHeight="1">
      <c r="D1305" s="1" t="str">
        <f>IFERROR(__xludf.DUMMYFUNCTION("""COMPUTED_VALUE"""),"13981")</f>
        <v>13981</v>
      </c>
      <c r="E1305" s="3">
        <f>IFERROR(__xludf.DUMMYFUNCTION("""COMPUTED_VALUE"""),10000.0)</f>
        <v>10000</v>
      </c>
      <c r="F1305" s="1" t="str">
        <f>IFERROR(__xludf.DUMMYFUNCTION("""COMPUTED_VALUE"""),"5")</f>
        <v>5</v>
      </c>
      <c r="G1305" s="1" t="str">
        <f>IFERROR(__xludf.DUMMYFUNCTION("""COMPUTED_VALUE"""),"3")</f>
        <v>3</v>
      </c>
      <c r="H1305" s="1" t="str">
        <f>IFERROR(__xludf.DUMMYFUNCTION("""COMPUTED_VALUE"""),"62")</f>
        <v>62</v>
      </c>
    </row>
    <row r="1306" ht="15.75" customHeight="1">
      <c r="D1306" s="1" t="str">
        <f>IFERROR(__xludf.DUMMYFUNCTION("""COMPUTED_VALUE"""),"23432")</f>
        <v>23432</v>
      </c>
      <c r="E1306" s="3">
        <f>IFERROR(__xludf.DUMMYFUNCTION("""COMPUTED_VALUE"""),70000.0)</f>
        <v>70000</v>
      </c>
      <c r="F1306" s="1" t="str">
        <f>IFERROR(__xludf.DUMMYFUNCTION("""COMPUTED_VALUE"""),"0")</f>
        <v>0</v>
      </c>
      <c r="G1306" s="1" t="str">
        <f>IFERROR(__xludf.DUMMYFUNCTION("""COMPUTED_VALUE"""),"1")</f>
        <v>1</v>
      </c>
      <c r="H1306" s="1" t="str">
        <f>IFERROR(__xludf.DUMMYFUNCTION("""COMPUTED_VALUE"""),"37")</f>
        <v>37</v>
      </c>
    </row>
    <row r="1307" ht="15.75" customHeight="1">
      <c r="D1307" s="1" t="str">
        <f>IFERROR(__xludf.DUMMYFUNCTION("""COMPUTED_VALUE"""),"22931")</f>
        <v>22931</v>
      </c>
      <c r="E1307" s="3">
        <f>IFERROR(__xludf.DUMMYFUNCTION("""COMPUTED_VALUE"""),100000.0)</f>
        <v>100000</v>
      </c>
      <c r="F1307" s="1" t="str">
        <f>IFERROR(__xludf.DUMMYFUNCTION("""COMPUTED_VALUE"""),"5")</f>
        <v>5</v>
      </c>
      <c r="G1307" s="1" t="str">
        <f>IFERROR(__xludf.DUMMYFUNCTION("""COMPUTED_VALUE"""),"1")</f>
        <v>1</v>
      </c>
      <c r="H1307" s="1" t="str">
        <f>IFERROR(__xludf.DUMMYFUNCTION("""COMPUTED_VALUE"""),"78")</f>
        <v>78</v>
      </c>
    </row>
    <row r="1308" ht="15.75" customHeight="1">
      <c r="D1308" s="1" t="str">
        <f>IFERROR(__xludf.DUMMYFUNCTION("""COMPUTED_VALUE"""),"18172")</f>
        <v>18172</v>
      </c>
      <c r="E1308" s="3">
        <f>IFERROR(__xludf.DUMMYFUNCTION("""COMPUTED_VALUE"""),130000.0)</f>
        <v>130000</v>
      </c>
      <c r="F1308" s="1" t="str">
        <f>IFERROR(__xludf.DUMMYFUNCTION("""COMPUTED_VALUE"""),"4")</f>
        <v>4</v>
      </c>
      <c r="G1308" s="1" t="str">
        <f>IFERROR(__xludf.DUMMYFUNCTION("""COMPUTED_VALUE"""),"3")</f>
        <v>3</v>
      </c>
      <c r="H1308" s="1" t="str">
        <f>IFERROR(__xludf.DUMMYFUNCTION("""COMPUTED_VALUE"""),"55")</f>
        <v>55</v>
      </c>
    </row>
    <row r="1309" ht="15.75" customHeight="1">
      <c r="D1309" s="1" t="str">
        <f>IFERROR(__xludf.DUMMYFUNCTION("""COMPUTED_VALUE"""),"12666")</f>
        <v>12666</v>
      </c>
      <c r="E1309" s="3">
        <f>IFERROR(__xludf.DUMMYFUNCTION("""COMPUTED_VALUE"""),60000.0)</f>
        <v>60000</v>
      </c>
      <c r="F1309" s="1" t="str">
        <f>IFERROR(__xludf.DUMMYFUNCTION("""COMPUTED_VALUE"""),"0")</f>
        <v>0</v>
      </c>
      <c r="G1309" s="1" t="str">
        <f>IFERROR(__xludf.DUMMYFUNCTION("""COMPUTED_VALUE"""),"4")</f>
        <v>4</v>
      </c>
      <c r="H1309" s="1" t="str">
        <f>IFERROR(__xludf.DUMMYFUNCTION("""COMPUTED_VALUE"""),"31")</f>
        <v>31</v>
      </c>
    </row>
    <row r="1310" ht="15.75" customHeight="1">
      <c r="D1310" s="1" t="str">
        <f>IFERROR(__xludf.DUMMYFUNCTION("""COMPUTED_VALUE"""),"20598")</f>
        <v>20598</v>
      </c>
      <c r="E1310" s="3">
        <f>IFERROR(__xludf.DUMMYFUNCTION("""COMPUTED_VALUE"""),100000.0)</f>
        <v>100000</v>
      </c>
      <c r="F1310" s="1" t="str">
        <f>IFERROR(__xludf.DUMMYFUNCTION("""COMPUTED_VALUE"""),"3")</f>
        <v>3</v>
      </c>
      <c r="G1310" s="1" t="str">
        <f>IFERROR(__xludf.DUMMYFUNCTION("""COMPUTED_VALUE"""),"0")</f>
        <v>0</v>
      </c>
      <c r="H1310" s="1" t="str">
        <f>IFERROR(__xludf.DUMMYFUNCTION("""COMPUTED_VALUE"""),"59")</f>
        <v>59</v>
      </c>
    </row>
    <row r="1311" ht="15.75" customHeight="1">
      <c r="D1311" s="1" t="str">
        <f>IFERROR(__xludf.DUMMYFUNCTION("""COMPUTED_VALUE"""),"21375")</f>
        <v>21375</v>
      </c>
      <c r="E1311" s="3">
        <f>IFERROR(__xludf.DUMMYFUNCTION("""COMPUTED_VALUE"""),20000.0)</f>
        <v>20000</v>
      </c>
      <c r="F1311" s="1" t="str">
        <f>IFERROR(__xludf.DUMMYFUNCTION("""COMPUTED_VALUE"""),"2")</f>
        <v>2</v>
      </c>
      <c r="G1311" s="1" t="str">
        <f>IFERROR(__xludf.DUMMYFUNCTION("""COMPUTED_VALUE"""),"2")</f>
        <v>2</v>
      </c>
      <c r="H1311" s="1" t="str">
        <f>IFERROR(__xludf.DUMMYFUNCTION("""COMPUTED_VALUE"""),"57")</f>
        <v>57</v>
      </c>
    </row>
    <row r="1312" ht="15.75" customHeight="1">
      <c r="D1312" s="1" t="str">
        <f>IFERROR(__xludf.DUMMYFUNCTION("""COMPUTED_VALUE"""),"20839")</f>
        <v>20839</v>
      </c>
      <c r="E1312" s="3">
        <f>IFERROR(__xludf.DUMMYFUNCTION("""COMPUTED_VALUE"""),30000.0)</f>
        <v>30000</v>
      </c>
      <c r="F1312" s="1" t="str">
        <f>IFERROR(__xludf.DUMMYFUNCTION("""COMPUTED_VALUE"""),"3")</f>
        <v>3</v>
      </c>
      <c r="G1312" s="1" t="str">
        <f>IFERROR(__xludf.DUMMYFUNCTION("""COMPUTED_VALUE"""),"0")</f>
        <v>0</v>
      </c>
      <c r="H1312" s="1" t="str">
        <f>IFERROR(__xludf.DUMMYFUNCTION("""COMPUTED_VALUE"""),"47")</f>
        <v>47</v>
      </c>
    </row>
    <row r="1313" ht="15.75" customHeight="1">
      <c r="D1313" s="1" t="str">
        <f>IFERROR(__xludf.DUMMYFUNCTION("""COMPUTED_VALUE"""),"21738")</f>
        <v>21738</v>
      </c>
      <c r="E1313" s="3">
        <f>IFERROR(__xludf.DUMMYFUNCTION("""COMPUTED_VALUE"""),20000.0)</f>
        <v>20000</v>
      </c>
      <c r="F1313" s="1" t="str">
        <f>IFERROR(__xludf.DUMMYFUNCTION("""COMPUTED_VALUE"""),"1")</f>
        <v>1</v>
      </c>
      <c r="G1313" s="1" t="str">
        <f>IFERROR(__xludf.DUMMYFUNCTION("""COMPUTED_VALUE"""),"0")</f>
        <v>0</v>
      </c>
      <c r="H1313" s="1" t="str">
        <f>IFERROR(__xludf.DUMMYFUNCTION("""COMPUTED_VALUE"""),"43")</f>
        <v>43</v>
      </c>
    </row>
    <row r="1314" ht="15.75" customHeight="1">
      <c r="D1314" s="1" t="str">
        <f>IFERROR(__xludf.DUMMYFUNCTION("""COMPUTED_VALUE"""),"14164")</f>
        <v>14164</v>
      </c>
      <c r="E1314" s="3">
        <f>IFERROR(__xludf.DUMMYFUNCTION("""COMPUTED_VALUE"""),50000.0)</f>
        <v>50000</v>
      </c>
      <c r="F1314" s="1" t="str">
        <f>IFERROR(__xludf.DUMMYFUNCTION("""COMPUTED_VALUE"""),"0")</f>
        <v>0</v>
      </c>
      <c r="G1314" s="1" t="str">
        <f>IFERROR(__xludf.DUMMYFUNCTION("""COMPUTED_VALUE"""),"0")</f>
        <v>0</v>
      </c>
      <c r="H1314" s="1" t="str">
        <f>IFERROR(__xludf.DUMMYFUNCTION("""COMPUTED_VALUE"""),"36")</f>
        <v>36</v>
      </c>
    </row>
    <row r="1315" ht="15.75" customHeight="1">
      <c r="D1315" s="1" t="str">
        <f>IFERROR(__xludf.DUMMYFUNCTION("""COMPUTED_VALUE"""),"14193")</f>
        <v>14193</v>
      </c>
      <c r="E1315" s="3">
        <f>IFERROR(__xludf.DUMMYFUNCTION("""COMPUTED_VALUE"""),100000.0)</f>
        <v>100000</v>
      </c>
      <c r="F1315" s="1" t="str">
        <f>IFERROR(__xludf.DUMMYFUNCTION("""COMPUTED_VALUE"""),"3")</f>
        <v>3</v>
      </c>
      <c r="G1315" s="1" t="str">
        <f>IFERROR(__xludf.DUMMYFUNCTION("""COMPUTED_VALUE"""),"4")</f>
        <v>4</v>
      </c>
      <c r="H1315" s="1" t="str">
        <f>IFERROR(__xludf.DUMMYFUNCTION("""COMPUTED_VALUE"""),"56")</f>
        <v>56</v>
      </c>
    </row>
    <row r="1316" ht="15.75" customHeight="1">
      <c r="D1316" s="1" t="str">
        <f>IFERROR(__xludf.DUMMYFUNCTION("""COMPUTED_VALUE"""),"12705")</f>
        <v>12705</v>
      </c>
      <c r="E1316" s="3">
        <f>IFERROR(__xludf.DUMMYFUNCTION("""COMPUTED_VALUE"""),150000.0)</f>
        <v>150000</v>
      </c>
      <c r="F1316" s="1" t="str">
        <f>IFERROR(__xludf.DUMMYFUNCTION("""COMPUTED_VALUE"""),"0")</f>
        <v>0</v>
      </c>
      <c r="G1316" s="1" t="str">
        <f>IFERROR(__xludf.DUMMYFUNCTION("""COMPUTED_VALUE"""),"4")</f>
        <v>4</v>
      </c>
      <c r="H1316" s="1" t="str">
        <f>IFERROR(__xludf.DUMMYFUNCTION("""COMPUTED_VALUE"""),"37")</f>
        <v>37</v>
      </c>
    </row>
    <row r="1317" ht="15.75" customHeight="1">
      <c r="D1317" s="1" t="str">
        <f>IFERROR(__xludf.DUMMYFUNCTION("""COMPUTED_VALUE"""),"22672")</f>
        <v>22672</v>
      </c>
      <c r="E1317" s="3">
        <f>IFERROR(__xludf.DUMMYFUNCTION("""COMPUTED_VALUE"""),30000.0)</f>
        <v>30000</v>
      </c>
      <c r="F1317" s="1" t="str">
        <f>IFERROR(__xludf.DUMMYFUNCTION("""COMPUTED_VALUE"""),"2")</f>
        <v>2</v>
      </c>
      <c r="G1317" s="1" t="str">
        <f>IFERROR(__xludf.DUMMYFUNCTION("""COMPUTED_VALUE"""),"0")</f>
        <v>0</v>
      </c>
      <c r="H1317" s="1" t="str">
        <f>IFERROR(__xludf.DUMMYFUNCTION("""COMPUTED_VALUE"""),"43")</f>
        <v>43</v>
      </c>
    </row>
    <row r="1318" ht="15.75" customHeight="1">
      <c r="D1318" s="1" t="str">
        <f>IFERROR(__xludf.DUMMYFUNCTION("""COMPUTED_VALUE"""),"26219")</f>
        <v>26219</v>
      </c>
      <c r="E1318" s="3">
        <f>IFERROR(__xludf.DUMMYFUNCTION("""COMPUTED_VALUE"""),40000.0)</f>
        <v>40000</v>
      </c>
      <c r="F1318" s="1" t="str">
        <f>IFERROR(__xludf.DUMMYFUNCTION("""COMPUTED_VALUE"""),"1")</f>
        <v>1</v>
      </c>
      <c r="G1318" s="1" t="str">
        <f>IFERROR(__xludf.DUMMYFUNCTION("""COMPUTED_VALUE"""),"1")</f>
        <v>1</v>
      </c>
      <c r="H1318" s="1" t="str">
        <f>IFERROR(__xludf.DUMMYFUNCTION("""COMPUTED_VALUE"""),"33")</f>
        <v>33</v>
      </c>
    </row>
    <row r="1319" ht="15.75" customHeight="1">
      <c r="D1319" s="1" t="str">
        <f>IFERROR(__xludf.DUMMYFUNCTION("""COMPUTED_VALUE"""),"28468")</f>
        <v>28468</v>
      </c>
      <c r="E1319" s="3">
        <f>IFERROR(__xludf.DUMMYFUNCTION("""COMPUTED_VALUE"""),10000.0)</f>
        <v>10000</v>
      </c>
      <c r="F1319" s="1" t="str">
        <f>IFERROR(__xludf.DUMMYFUNCTION("""COMPUTED_VALUE"""),"2")</f>
        <v>2</v>
      </c>
      <c r="G1319" s="1" t="str">
        <f>IFERROR(__xludf.DUMMYFUNCTION("""COMPUTED_VALUE"""),"0")</f>
        <v>0</v>
      </c>
      <c r="H1319" s="1" t="str">
        <f>IFERROR(__xludf.DUMMYFUNCTION("""COMPUTED_VALUE"""),"51")</f>
        <v>51</v>
      </c>
    </row>
    <row r="1320" ht="15.75" customHeight="1">
      <c r="D1320" s="1" t="str">
        <f>IFERROR(__xludf.DUMMYFUNCTION("""COMPUTED_VALUE"""),"23419")</f>
        <v>23419</v>
      </c>
      <c r="E1320" s="3">
        <f>IFERROR(__xludf.DUMMYFUNCTION("""COMPUTED_VALUE"""),70000.0)</f>
        <v>70000</v>
      </c>
      <c r="F1320" s="1" t="str">
        <f>IFERROR(__xludf.DUMMYFUNCTION("""COMPUTED_VALUE"""),"5")</f>
        <v>5</v>
      </c>
      <c r="G1320" s="1" t="str">
        <f>IFERROR(__xludf.DUMMYFUNCTION("""COMPUTED_VALUE"""),"3")</f>
        <v>3</v>
      </c>
      <c r="H1320" s="1" t="str">
        <f>IFERROR(__xludf.DUMMYFUNCTION("""COMPUTED_VALUE"""),"39")</f>
        <v>39</v>
      </c>
    </row>
    <row r="1321" ht="15.75" customHeight="1">
      <c r="D1321" s="1" t="str">
        <f>IFERROR(__xludf.DUMMYFUNCTION("""COMPUTED_VALUE"""),"17964")</f>
        <v>17964</v>
      </c>
      <c r="E1321" s="3">
        <f>IFERROR(__xludf.DUMMYFUNCTION("""COMPUTED_VALUE"""),40000.0)</f>
        <v>40000</v>
      </c>
      <c r="F1321" s="1" t="str">
        <f>IFERROR(__xludf.DUMMYFUNCTION("""COMPUTED_VALUE"""),"0")</f>
        <v>0</v>
      </c>
      <c r="G1321" s="1" t="str">
        <f>IFERROR(__xludf.DUMMYFUNCTION("""COMPUTED_VALUE"""),"0")</f>
        <v>0</v>
      </c>
      <c r="H1321" s="1" t="str">
        <f>IFERROR(__xludf.DUMMYFUNCTION("""COMPUTED_VALUE"""),"37")</f>
        <v>37</v>
      </c>
    </row>
    <row r="1322" ht="15.75" customHeight="1">
      <c r="D1322" s="1" t="str">
        <f>IFERROR(__xludf.DUMMYFUNCTION("""COMPUTED_VALUE"""),"20919")</f>
        <v>20919</v>
      </c>
      <c r="E1322" s="3">
        <f>IFERROR(__xludf.DUMMYFUNCTION("""COMPUTED_VALUE"""),30000.0)</f>
        <v>30000</v>
      </c>
      <c r="F1322" s="1" t="str">
        <f>IFERROR(__xludf.DUMMYFUNCTION("""COMPUTED_VALUE"""),"2")</f>
        <v>2</v>
      </c>
      <c r="G1322" s="1" t="str">
        <f>IFERROR(__xludf.DUMMYFUNCTION("""COMPUTED_VALUE"""),"2")</f>
        <v>2</v>
      </c>
      <c r="H1322" s="1" t="str">
        <f>IFERROR(__xludf.DUMMYFUNCTION("""COMPUTED_VALUE"""),"42")</f>
        <v>42</v>
      </c>
    </row>
    <row r="1323" ht="15.75" customHeight="1">
      <c r="D1323" s="1" t="str">
        <f>IFERROR(__xludf.DUMMYFUNCTION("""COMPUTED_VALUE"""),"20927")</f>
        <v>20927</v>
      </c>
      <c r="E1323" s="3">
        <f>IFERROR(__xludf.DUMMYFUNCTION("""COMPUTED_VALUE"""),20000.0)</f>
        <v>20000</v>
      </c>
      <c r="F1323" s="1" t="str">
        <f>IFERROR(__xludf.DUMMYFUNCTION("""COMPUTED_VALUE"""),"5")</f>
        <v>5</v>
      </c>
      <c r="G1323" s="1" t="str">
        <f>IFERROR(__xludf.DUMMYFUNCTION("""COMPUTED_VALUE"""),"2")</f>
        <v>2</v>
      </c>
      <c r="H1323" s="1" t="str">
        <f>IFERROR(__xludf.DUMMYFUNCTION("""COMPUTED_VALUE"""),"27")</f>
        <v>27</v>
      </c>
    </row>
    <row r="1324" ht="15.75" customHeight="1">
      <c r="D1324" s="1" t="str">
        <f>IFERROR(__xludf.DUMMYFUNCTION("""COMPUTED_VALUE"""),"13133")</f>
        <v>13133</v>
      </c>
      <c r="E1324" s="3">
        <f>IFERROR(__xludf.DUMMYFUNCTION("""COMPUTED_VALUE"""),100000.0)</f>
        <v>100000</v>
      </c>
      <c r="F1324" s="1" t="str">
        <f>IFERROR(__xludf.DUMMYFUNCTION("""COMPUTED_VALUE"""),"5")</f>
        <v>5</v>
      </c>
      <c r="G1324" s="1" t="str">
        <f>IFERROR(__xludf.DUMMYFUNCTION("""COMPUTED_VALUE"""),"1")</f>
        <v>1</v>
      </c>
      <c r="H1324" s="1" t="str">
        <f>IFERROR(__xludf.DUMMYFUNCTION("""COMPUTED_VALUE"""),"47")</f>
        <v>47</v>
      </c>
    </row>
    <row r="1325" ht="15.75" customHeight="1">
      <c r="D1325" s="1" t="str">
        <f>IFERROR(__xludf.DUMMYFUNCTION("""COMPUTED_VALUE"""),"19626")</f>
        <v>19626</v>
      </c>
      <c r="E1325" s="3">
        <f>IFERROR(__xludf.DUMMYFUNCTION("""COMPUTED_VALUE"""),70000.0)</f>
        <v>70000</v>
      </c>
      <c r="F1325" s="1" t="str">
        <f>IFERROR(__xludf.DUMMYFUNCTION("""COMPUTED_VALUE"""),"5")</f>
        <v>5</v>
      </c>
      <c r="G1325" s="1" t="str">
        <f>IFERROR(__xludf.DUMMYFUNCTION("""COMPUTED_VALUE"""),"3")</f>
        <v>3</v>
      </c>
      <c r="H1325" s="1" t="str">
        <f>IFERROR(__xludf.DUMMYFUNCTION("""COMPUTED_VALUE"""),"45")</f>
        <v>45</v>
      </c>
    </row>
    <row r="1326" ht="15.75" customHeight="1">
      <c r="D1326" s="1" t="str">
        <f>IFERROR(__xludf.DUMMYFUNCTION("""COMPUTED_VALUE"""),"21039")</f>
        <v>21039</v>
      </c>
      <c r="E1326" s="3">
        <f>IFERROR(__xludf.DUMMYFUNCTION("""COMPUTED_VALUE"""),50000.0)</f>
        <v>50000</v>
      </c>
      <c r="F1326" s="1" t="str">
        <f>IFERROR(__xludf.DUMMYFUNCTION("""COMPUTED_VALUE"""),"0")</f>
        <v>0</v>
      </c>
      <c r="G1326" s="1" t="str">
        <f>IFERROR(__xludf.DUMMYFUNCTION("""COMPUTED_VALUE"""),"0")</f>
        <v>0</v>
      </c>
      <c r="H1326" s="1" t="str">
        <f>IFERROR(__xludf.DUMMYFUNCTION("""COMPUTED_VALUE"""),"37")</f>
        <v>37</v>
      </c>
    </row>
    <row r="1327" ht="15.75" customHeight="1">
      <c r="D1327" s="1" t="str">
        <f>IFERROR(__xludf.DUMMYFUNCTION("""COMPUTED_VALUE"""),"12231")</f>
        <v>12231</v>
      </c>
      <c r="E1327" s="3">
        <f>IFERROR(__xludf.DUMMYFUNCTION("""COMPUTED_VALUE"""),10000.0)</f>
        <v>10000</v>
      </c>
      <c r="F1327" s="1" t="str">
        <f>IFERROR(__xludf.DUMMYFUNCTION("""COMPUTED_VALUE"""),"2")</f>
        <v>2</v>
      </c>
      <c r="G1327" s="1" t="str">
        <f>IFERROR(__xludf.DUMMYFUNCTION("""COMPUTED_VALUE"""),"0")</f>
        <v>0</v>
      </c>
      <c r="H1327" s="1" t="str">
        <f>IFERROR(__xludf.DUMMYFUNCTION("""COMPUTED_VALUE"""),"51")</f>
        <v>51</v>
      </c>
    </row>
    <row r="1328" ht="15.75" customHeight="1">
      <c r="D1328" s="1" t="str">
        <f>IFERROR(__xludf.DUMMYFUNCTION("""COMPUTED_VALUE"""),"25665")</f>
        <v>25665</v>
      </c>
      <c r="E1328" s="3">
        <f>IFERROR(__xludf.DUMMYFUNCTION("""COMPUTED_VALUE"""),20000.0)</f>
        <v>20000</v>
      </c>
      <c r="F1328" s="1" t="str">
        <f>IFERROR(__xludf.DUMMYFUNCTION("""COMPUTED_VALUE"""),"0")</f>
        <v>0</v>
      </c>
      <c r="G1328" s="1" t="str">
        <f>IFERROR(__xludf.DUMMYFUNCTION("""COMPUTED_VALUE"""),"1")</f>
        <v>1</v>
      </c>
      <c r="H1328" s="1" t="str">
        <f>IFERROR(__xludf.DUMMYFUNCTION("""COMPUTED_VALUE"""),"28")</f>
        <v>28</v>
      </c>
    </row>
    <row r="1329" ht="15.75" customHeight="1">
      <c r="D1329" s="1" t="str">
        <f>IFERROR(__xludf.DUMMYFUNCTION("""COMPUTED_VALUE"""),"24061")</f>
        <v>24061</v>
      </c>
      <c r="E1329" s="3">
        <f>IFERROR(__xludf.DUMMYFUNCTION("""COMPUTED_VALUE"""),10000.0)</f>
        <v>10000</v>
      </c>
      <c r="F1329" s="1" t="str">
        <f>IFERROR(__xludf.DUMMYFUNCTION("""COMPUTED_VALUE"""),"4")</f>
        <v>4</v>
      </c>
      <c r="G1329" s="1" t="str">
        <f>IFERROR(__xludf.DUMMYFUNCTION("""COMPUTED_VALUE"""),"1")</f>
        <v>1</v>
      </c>
      <c r="H1329" s="1" t="str">
        <f>IFERROR(__xludf.DUMMYFUNCTION("""COMPUTED_VALUE"""),"40")</f>
        <v>40</v>
      </c>
    </row>
    <row r="1330" ht="15.75" customHeight="1">
      <c r="D1330" s="1" t="str">
        <f>IFERROR(__xludf.DUMMYFUNCTION("""COMPUTED_VALUE"""),"26879")</f>
        <v>26879</v>
      </c>
      <c r="E1330" s="3">
        <f>IFERROR(__xludf.DUMMYFUNCTION("""COMPUTED_VALUE"""),20000.0)</f>
        <v>20000</v>
      </c>
      <c r="F1330" s="1" t="str">
        <f>IFERROR(__xludf.DUMMYFUNCTION("""COMPUTED_VALUE"""),"0")</f>
        <v>0</v>
      </c>
      <c r="G1330" s="1" t="str">
        <f>IFERROR(__xludf.DUMMYFUNCTION("""COMPUTED_VALUE"""),"1")</f>
        <v>1</v>
      </c>
      <c r="H1330" s="1" t="str">
        <f>IFERROR(__xludf.DUMMYFUNCTION("""COMPUTED_VALUE"""),"30")</f>
        <v>30</v>
      </c>
    </row>
    <row r="1331" ht="15.75" customHeight="1">
      <c r="D1331" s="1" t="str">
        <f>IFERROR(__xludf.DUMMYFUNCTION("""COMPUTED_VALUE"""),"12284")</f>
        <v>12284</v>
      </c>
      <c r="E1331" s="3">
        <f>IFERROR(__xludf.DUMMYFUNCTION("""COMPUTED_VALUE"""),30000.0)</f>
        <v>30000</v>
      </c>
      <c r="F1331" s="1" t="str">
        <f>IFERROR(__xludf.DUMMYFUNCTION("""COMPUTED_VALUE"""),"0")</f>
        <v>0</v>
      </c>
      <c r="G1331" s="1" t="str">
        <f>IFERROR(__xludf.DUMMYFUNCTION("""COMPUTED_VALUE"""),"0")</f>
        <v>0</v>
      </c>
      <c r="H1331" s="1" t="str">
        <f>IFERROR(__xludf.DUMMYFUNCTION("""COMPUTED_VALUE"""),"36")</f>
        <v>36</v>
      </c>
    </row>
    <row r="1332" ht="15.75" customHeight="1">
      <c r="D1332" s="1" t="str">
        <f>IFERROR(__xludf.DUMMYFUNCTION("""COMPUTED_VALUE"""),"26654")</f>
        <v>26654</v>
      </c>
      <c r="E1332" s="3">
        <f>IFERROR(__xludf.DUMMYFUNCTION("""COMPUTED_VALUE"""),90000.0)</f>
        <v>90000</v>
      </c>
      <c r="F1332" s="1" t="str">
        <f>IFERROR(__xludf.DUMMYFUNCTION("""COMPUTED_VALUE"""),"1")</f>
        <v>1</v>
      </c>
      <c r="G1332" s="1" t="str">
        <f>IFERROR(__xludf.DUMMYFUNCTION("""COMPUTED_VALUE"""),"0")</f>
        <v>0</v>
      </c>
      <c r="H1332" s="1" t="str">
        <f>IFERROR(__xludf.DUMMYFUNCTION("""COMPUTED_VALUE"""),"37")</f>
        <v>37</v>
      </c>
    </row>
    <row r="1333" ht="15.75" customHeight="1">
      <c r="D1333" s="1" t="str">
        <f>IFERROR(__xludf.DUMMYFUNCTION("""COMPUTED_VALUE"""),"14545")</f>
        <v>14545</v>
      </c>
      <c r="E1333" s="3">
        <f>IFERROR(__xludf.DUMMYFUNCTION("""COMPUTED_VALUE"""),10000.0)</f>
        <v>10000</v>
      </c>
      <c r="F1333" s="1" t="str">
        <f>IFERROR(__xludf.DUMMYFUNCTION("""COMPUTED_VALUE"""),"2")</f>
        <v>2</v>
      </c>
      <c r="G1333" s="1" t="str">
        <f>IFERROR(__xludf.DUMMYFUNCTION("""COMPUTED_VALUE"""),"0")</f>
        <v>0</v>
      </c>
      <c r="H1333" s="1" t="str">
        <f>IFERROR(__xludf.DUMMYFUNCTION("""COMPUTED_VALUE"""),"49")</f>
        <v>49</v>
      </c>
    </row>
    <row r="1334" ht="15.75" customHeight="1">
      <c r="D1334" s="1" t="str">
        <f>IFERROR(__xludf.DUMMYFUNCTION("""COMPUTED_VALUE"""),"24201")</f>
        <v>24201</v>
      </c>
      <c r="E1334" s="3">
        <f>IFERROR(__xludf.DUMMYFUNCTION("""COMPUTED_VALUE"""),10000.0)</f>
        <v>10000</v>
      </c>
      <c r="F1334" s="1" t="str">
        <f>IFERROR(__xludf.DUMMYFUNCTION("""COMPUTED_VALUE"""),"2")</f>
        <v>2</v>
      </c>
      <c r="G1334" s="1" t="str">
        <f>IFERROR(__xludf.DUMMYFUNCTION("""COMPUTED_VALUE"""),"0")</f>
        <v>0</v>
      </c>
      <c r="H1334" s="1" t="str">
        <f>IFERROR(__xludf.DUMMYFUNCTION("""COMPUTED_VALUE"""),"37")</f>
        <v>37</v>
      </c>
    </row>
    <row r="1335" ht="15.75" customHeight="1">
      <c r="D1335" s="1" t="str">
        <f>IFERROR(__xludf.DUMMYFUNCTION("""COMPUTED_VALUE"""),"20625")</f>
        <v>20625</v>
      </c>
      <c r="E1335" s="3">
        <f>IFERROR(__xludf.DUMMYFUNCTION("""COMPUTED_VALUE"""),100000.0)</f>
        <v>100000</v>
      </c>
      <c r="F1335" s="1" t="str">
        <f>IFERROR(__xludf.DUMMYFUNCTION("""COMPUTED_VALUE"""),"0")</f>
        <v>0</v>
      </c>
      <c r="G1335" s="1" t="str">
        <f>IFERROR(__xludf.DUMMYFUNCTION("""COMPUTED_VALUE"""),"3")</f>
        <v>3</v>
      </c>
      <c r="H1335" s="1" t="str">
        <f>IFERROR(__xludf.DUMMYFUNCTION("""COMPUTED_VALUE"""),"35")</f>
        <v>35</v>
      </c>
    </row>
    <row r="1336" ht="15.75" customHeight="1">
      <c r="D1336" s="1" t="str">
        <f>IFERROR(__xludf.DUMMYFUNCTION("""COMPUTED_VALUE"""),"16390")</f>
        <v>16390</v>
      </c>
      <c r="E1336" s="3">
        <f>IFERROR(__xludf.DUMMYFUNCTION("""COMPUTED_VALUE"""),30000.0)</f>
        <v>30000</v>
      </c>
      <c r="F1336" s="1" t="str">
        <f>IFERROR(__xludf.DUMMYFUNCTION("""COMPUTED_VALUE"""),"1")</f>
        <v>1</v>
      </c>
      <c r="G1336" s="1" t="str">
        <f>IFERROR(__xludf.DUMMYFUNCTION("""COMPUTED_VALUE"""),"0")</f>
        <v>0</v>
      </c>
      <c r="H1336" s="1" t="str">
        <f>IFERROR(__xludf.DUMMYFUNCTION("""COMPUTED_VALUE"""),"38")</f>
        <v>38</v>
      </c>
    </row>
    <row r="1337" ht="15.75" customHeight="1">
      <c r="D1337" s="1" t="str">
        <f>IFERROR(__xludf.DUMMYFUNCTION("""COMPUTED_VALUE"""),"14804")</f>
        <v>14804</v>
      </c>
      <c r="E1337" s="3">
        <f>IFERROR(__xludf.DUMMYFUNCTION("""COMPUTED_VALUE"""),10000.0)</f>
        <v>10000</v>
      </c>
      <c r="F1337" s="1" t="str">
        <f>IFERROR(__xludf.DUMMYFUNCTION("""COMPUTED_VALUE"""),"3")</f>
        <v>3</v>
      </c>
      <c r="G1337" s="1" t="str">
        <f>IFERROR(__xludf.DUMMYFUNCTION("""COMPUTED_VALUE"""),"2")</f>
        <v>2</v>
      </c>
      <c r="H1337" s="1" t="str">
        <f>IFERROR(__xludf.DUMMYFUNCTION("""COMPUTED_VALUE"""),"43")</f>
        <v>43</v>
      </c>
    </row>
    <row r="1338" ht="15.75" customHeight="1">
      <c r="D1338" s="1" t="str">
        <f>IFERROR(__xludf.DUMMYFUNCTION("""COMPUTED_VALUE"""),"12629")</f>
        <v>12629</v>
      </c>
      <c r="E1338" s="3">
        <f>IFERROR(__xludf.DUMMYFUNCTION("""COMPUTED_VALUE"""),20000.0)</f>
        <v>20000</v>
      </c>
      <c r="F1338" s="1" t="str">
        <f>IFERROR(__xludf.DUMMYFUNCTION("""COMPUTED_VALUE"""),"1")</f>
        <v>1</v>
      </c>
      <c r="G1338" s="1" t="str">
        <f>IFERROR(__xludf.DUMMYFUNCTION("""COMPUTED_VALUE"""),"0")</f>
        <v>0</v>
      </c>
      <c r="H1338" s="1" t="str">
        <f>IFERROR(__xludf.DUMMYFUNCTION("""COMPUTED_VALUE"""),"37")</f>
        <v>37</v>
      </c>
    </row>
    <row r="1339" ht="15.75" customHeight="1">
      <c r="D1339" s="1" t="str">
        <f>IFERROR(__xludf.DUMMYFUNCTION("""COMPUTED_VALUE"""),"14696")</f>
        <v>14696</v>
      </c>
      <c r="E1339" s="3">
        <f>IFERROR(__xludf.DUMMYFUNCTION("""COMPUTED_VALUE"""),10000.0)</f>
        <v>10000</v>
      </c>
      <c r="F1339" s="1" t="str">
        <f>IFERROR(__xludf.DUMMYFUNCTION("""COMPUTED_VALUE"""),"0")</f>
        <v>0</v>
      </c>
      <c r="G1339" s="1" t="str">
        <f>IFERROR(__xludf.DUMMYFUNCTION("""COMPUTED_VALUE"""),"2")</f>
        <v>2</v>
      </c>
      <c r="H1339" s="1" t="str">
        <f>IFERROR(__xludf.DUMMYFUNCTION("""COMPUTED_VALUE"""),"34")</f>
        <v>34</v>
      </c>
    </row>
    <row r="1340" ht="15.75" customHeight="1">
      <c r="D1340" s="1" t="str">
        <f>IFERROR(__xludf.DUMMYFUNCTION("""COMPUTED_VALUE"""),"22005")</f>
        <v>22005</v>
      </c>
      <c r="E1340" s="3">
        <f>IFERROR(__xludf.DUMMYFUNCTION("""COMPUTED_VALUE"""),70000.0)</f>
        <v>70000</v>
      </c>
      <c r="F1340" s="1" t="str">
        <f>IFERROR(__xludf.DUMMYFUNCTION("""COMPUTED_VALUE"""),"5")</f>
        <v>5</v>
      </c>
      <c r="G1340" s="1" t="str">
        <f>IFERROR(__xludf.DUMMYFUNCTION("""COMPUTED_VALUE"""),"3")</f>
        <v>3</v>
      </c>
      <c r="H1340" s="1" t="str">
        <f>IFERROR(__xludf.DUMMYFUNCTION("""COMPUTED_VALUE"""),"46")</f>
        <v>46</v>
      </c>
    </row>
    <row r="1341" ht="15.75" customHeight="1">
      <c r="D1341" s="1" t="str">
        <f>IFERROR(__xludf.DUMMYFUNCTION("""COMPUTED_VALUE"""),"14544")</f>
        <v>14544</v>
      </c>
      <c r="E1341" s="3">
        <f>IFERROR(__xludf.DUMMYFUNCTION("""COMPUTED_VALUE"""),10000.0)</f>
        <v>10000</v>
      </c>
      <c r="F1341" s="1" t="str">
        <f>IFERROR(__xludf.DUMMYFUNCTION("""COMPUTED_VALUE"""),"1")</f>
        <v>1</v>
      </c>
      <c r="G1341" s="1" t="str">
        <f>IFERROR(__xludf.DUMMYFUNCTION("""COMPUTED_VALUE"""),"0")</f>
        <v>0</v>
      </c>
      <c r="H1341" s="1" t="str">
        <f>IFERROR(__xludf.DUMMYFUNCTION("""COMPUTED_VALUE"""),"49")</f>
        <v>49</v>
      </c>
    </row>
    <row r="1342" ht="15.75" customHeight="1">
      <c r="D1342" s="1" t="str">
        <f>IFERROR(__xludf.DUMMYFUNCTION("""COMPUTED_VALUE"""),"14312")</f>
        <v>14312</v>
      </c>
      <c r="E1342" s="3">
        <f>IFERROR(__xludf.DUMMYFUNCTION("""COMPUTED_VALUE"""),60000.0)</f>
        <v>60000</v>
      </c>
      <c r="F1342" s="1" t="str">
        <f>IFERROR(__xludf.DUMMYFUNCTION("""COMPUTED_VALUE"""),"1")</f>
        <v>1</v>
      </c>
      <c r="G1342" s="1" t="str">
        <f>IFERROR(__xludf.DUMMYFUNCTION("""COMPUTED_VALUE"""),"1")</f>
        <v>1</v>
      </c>
      <c r="H1342" s="1" t="str">
        <f>IFERROR(__xludf.DUMMYFUNCTION("""COMPUTED_VALUE"""),"45")</f>
        <v>45</v>
      </c>
    </row>
    <row r="1343" ht="15.75" customHeight="1">
      <c r="D1343" s="1" t="str">
        <f>IFERROR(__xludf.DUMMYFUNCTION("""COMPUTED_VALUE"""),"29120")</f>
        <v>29120</v>
      </c>
      <c r="E1343" s="3">
        <f>IFERROR(__xludf.DUMMYFUNCTION("""COMPUTED_VALUE"""),100000.0)</f>
        <v>100000</v>
      </c>
      <c r="F1343" s="1" t="str">
        <f>IFERROR(__xludf.DUMMYFUNCTION("""COMPUTED_VALUE"""),"1")</f>
        <v>1</v>
      </c>
      <c r="G1343" s="1" t="str">
        <f>IFERROR(__xludf.DUMMYFUNCTION("""COMPUTED_VALUE"""),"4")</f>
        <v>4</v>
      </c>
      <c r="H1343" s="1" t="str">
        <f>IFERROR(__xludf.DUMMYFUNCTION("""COMPUTED_VALUE"""),"48")</f>
        <v>48</v>
      </c>
    </row>
    <row r="1344" ht="15.75" customHeight="1">
      <c r="D1344" s="1" t="str">
        <f>IFERROR(__xludf.DUMMYFUNCTION("""COMPUTED_VALUE"""),"24187")</f>
        <v>24187</v>
      </c>
      <c r="E1344" s="3">
        <f>IFERROR(__xludf.DUMMYFUNCTION("""COMPUTED_VALUE"""),30000.0)</f>
        <v>30000</v>
      </c>
      <c r="F1344" s="1" t="str">
        <f>IFERROR(__xludf.DUMMYFUNCTION("""COMPUTED_VALUE"""),"3")</f>
        <v>3</v>
      </c>
      <c r="G1344" s="1" t="str">
        <f>IFERROR(__xludf.DUMMYFUNCTION("""COMPUTED_VALUE"""),"0")</f>
        <v>0</v>
      </c>
      <c r="H1344" s="1" t="str">
        <f>IFERROR(__xludf.DUMMYFUNCTION("""COMPUTED_VALUE"""),"46")</f>
        <v>46</v>
      </c>
    </row>
    <row r="1345" ht="15.75" customHeight="1">
      <c r="D1345" s="1" t="str">
        <f>IFERROR(__xludf.DUMMYFUNCTION("""COMPUTED_VALUE"""),"15758")</f>
        <v>15758</v>
      </c>
      <c r="E1345" s="3">
        <f>IFERROR(__xludf.DUMMYFUNCTION("""COMPUTED_VALUE"""),130000.0)</f>
        <v>130000</v>
      </c>
      <c r="F1345" s="1" t="str">
        <f>IFERROR(__xludf.DUMMYFUNCTION("""COMPUTED_VALUE"""),"0")</f>
        <v>0</v>
      </c>
      <c r="G1345" s="1" t="str">
        <f>IFERROR(__xludf.DUMMYFUNCTION("""COMPUTED_VALUE"""),"0")</f>
        <v>0</v>
      </c>
      <c r="H1345" s="1" t="str">
        <f>IFERROR(__xludf.DUMMYFUNCTION("""COMPUTED_VALUE"""),"48")</f>
        <v>48</v>
      </c>
    </row>
    <row r="1346" ht="15.75" customHeight="1">
      <c r="D1346" s="1" t="str">
        <f>IFERROR(__xludf.DUMMYFUNCTION("""COMPUTED_VALUE"""),"29094")</f>
        <v>29094</v>
      </c>
      <c r="E1346" s="3">
        <f>IFERROR(__xludf.DUMMYFUNCTION("""COMPUTED_VALUE"""),30000.0)</f>
        <v>30000</v>
      </c>
      <c r="F1346" s="1" t="str">
        <f>IFERROR(__xludf.DUMMYFUNCTION("""COMPUTED_VALUE"""),"3")</f>
        <v>3</v>
      </c>
      <c r="G1346" s="1" t="str">
        <f>IFERROR(__xludf.DUMMYFUNCTION("""COMPUTED_VALUE"""),"2")</f>
        <v>2</v>
      </c>
      <c r="H1346" s="1" t="str">
        <f>IFERROR(__xludf.DUMMYFUNCTION("""COMPUTED_VALUE"""),"54")</f>
        <v>54</v>
      </c>
    </row>
    <row r="1347" ht="15.75" customHeight="1">
      <c r="D1347" s="1" t="str">
        <f>IFERROR(__xludf.DUMMYFUNCTION("""COMPUTED_VALUE"""),"28319")</f>
        <v>28319</v>
      </c>
      <c r="E1347" s="3">
        <f>IFERROR(__xludf.DUMMYFUNCTION("""COMPUTED_VALUE"""),60000.0)</f>
        <v>60000</v>
      </c>
      <c r="F1347" s="1" t="str">
        <f>IFERROR(__xludf.DUMMYFUNCTION("""COMPUTED_VALUE"""),"1")</f>
        <v>1</v>
      </c>
      <c r="G1347" s="1" t="str">
        <f>IFERROR(__xludf.DUMMYFUNCTION("""COMPUTED_VALUE"""),"1")</f>
        <v>1</v>
      </c>
      <c r="H1347" s="1" t="str">
        <f>IFERROR(__xludf.DUMMYFUNCTION("""COMPUTED_VALUE"""),"46")</f>
        <v>46</v>
      </c>
    </row>
    <row r="1348" ht="15.75" customHeight="1">
      <c r="D1348" s="1" t="str">
        <f>IFERROR(__xludf.DUMMYFUNCTION("""COMPUTED_VALUE"""),"16406")</f>
        <v>16406</v>
      </c>
      <c r="E1348" s="3">
        <f>IFERROR(__xludf.DUMMYFUNCTION("""COMPUTED_VALUE"""),40000.0)</f>
        <v>40000</v>
      </c>
      <c r="F1348" s="1" t="str">
        <f>IFERROR(__xludf.DUMMYFUNCTION("""COMPUTED_VALUE"""),"0")</f>
        <v>0</v>
      </c>
      <c r="G1348" s="1" t="str">
        <f>IFERROR(__xludf.DUMMYFUNCTION("""COMPUTED_VALUE"""),"0")</f>
        <v>0</v>
      </c>
      <c r="H1348" s="1" t="str">
        <f>IFERROR(__xludf.DUMMYFUNCTION("""COMPUTED_VALUE"""),"38")</f>
        <v>38</v>
      </c>
    </row>
    <row r="1349" ht="15.75" customHeight="1">
      <c r="D1349" s="1" t="str">
        <f>IFERROR(__xludf.DUMMYFUNCTION("""COMPUTED_VALUE"""),"20923")</f>
        <v>20923</v>
      </c>
      <c r="E1349" s="3">
        <f>IFERROR(__xludf.DUMMYFUNCTION("""COMPUTED_VALUE"""),40000.0)</f>
        <v>40000</v>
      </c>
      <c r="F1349" s="1" t="str">
        <f>IFERROR(__xludf.DUMMYFUNCTION("""COMPUTED_VALUE"""),"1")</f>
        <v>1</v>
      </c>
      <c r="G1349" s="1" t="str">
        <f>IFERROR(__xludf.DUMMYFUNCTION("""COMPUTED_VALUE"""),"0")</f>
        <v>0</v>
      </c>
      <c r="H1349" s="1" t="str">
        <f>IFERROR(__xludf.DUMMYFUNCTION("""COMPUTED_VALUE"""),"42")</f>
        <v>42</v>
      </c>
    </row>
    <row r="1350" ht="15.75" customHeight="1">
      <c r="D1350" s="1" t="str">
        <f>IFERROR(__xludf.DUMMYFUNCTION("""COMPUTED_VALUE"""),"11378")</f>
        <v>11378</v>
      </c>
      <c r="E1350" s="3">
        <f>IFERROR(__xludf.DUMMYFUNCTION("""COMPUTED_VALUE"""),10000.0)</f>
        <v>10000</v>
      </c>
      <c r="F1350" s="1" t="str">
        <f>IFERROR(__xludf.DUMMYFUNCTION("""COMPUTED_VALUE"""),"1")</f>
        <v>1</v>
      </c>
      <c r="G1350" s="1" t="str">
        <f>IFERROR(__xludf.DUMMYFUNCTION("""COMPUTED_VALUE"""),"1")</f>
        <v>1</v>
      </c>
      <c r="H1350" s="1" t="str">
        <f>IFERROR(__xludf.DUMMYFUNCTION("""COMPUTED_VALUE"""),"46")</f>
        <v>46</v>
      </c>
    </row>
    <row r="1351" ht="15.75" customHeight="1">
      <c r="D1351" s="1" t="str">
        <f>IFERROR(__xludf.DUMMYFUNCTION("""COMPUTED_VALUE"""),"20851")</f>
        <v>20851</v>
      </c>
      <c r="E1351" s="3">
        <f>IFERROR(__xludf.DUMMYFUNCTION("""COMPUTED_VALUE"""),20000.0)</f>
        <v>20000</v>
      </c>
      <c r="F1351" s="1" t="str">
        <f>IFERROR(__xludf.DUMMYFUNCTION("""COMPUTED_VALUE"""),"0")</f>
        <v>0</v>
      </c>
      <c r="G1351" s="1" t="str">
        <f>IFERROR(__xludf.DUMMYFUNCTION("""COMPUTED_VALUE"""),"1")</f>
        <v>1</v>
      </c>
      <c r="H1351" s="1" t="str">
        <f>IFERROR(__xludf.DUMMYFUNCTION("""COMPUTED_VALUE"""),"36")</f>
        <v>36</v>
      </c>
    </row>
    <row r="1352" ht="15.75" customHeight="1">
      <c r="D1352" s="1" t="str">
        <f>IFERROR(__xludf.DUMMYFUNCTION("""COMPUTED_VALUE"""),"21557")</f>
        <v>21557</v>
      </c>
      <c r="E1352" s="3">
        <f>IFERROR(__xludf.DUMMYFUNCTION("""COMPUTED_VALUE"""),110000.0)</f>
        <v>110000</v>
      </c>
      <c r="F1352" s="1" t="str">
        <f>IFERROR(__xludf.DUMMYFUNCTION("""COMPUTED_VALUE"""),"0")</f>
        <v>0</v>
      </c>
      <c r="G1352" s="1" t="str">
        <f>IFERROR(__xludf.DUMMYFUNCTION("""COMPUTED_VALUE"""),"3")</f>
        <v>3</v>
      </c>
      <c r="H1352" s="1" t="str">
        <f>IFERROR(__xludf.DUMMYFUNCTION("""COMPUTED_VALUE"""),"32")</f>
        <v>32</v>
      </c>
    </row>
    <row r="1353" ht="15.75" customHeight="1">
      <c r="D1353" s="1" t="str">
        <f>IFERROR(__xludf.DUMMYFUNCTION("""COMPUTED_VALUE"""),"26663")</f>
        <v>26663</v>
      </c>
      <c r="E1353" s="3">
        <f>IFERROR(__xludf.DUMMYFUNCTION("""COMPUTED_VALUE"""),60000.0)</f>
        <v>60000</v>
      </c>
      <c r="F1353" s="1" t="str">
        <f>IFERROR(__xludf.DUMMYFUNCTION("""COMPUTED_VALUE"""),"2")</f>
        <v>2</v>
      </c>
      <c r="G1353" s="1" t="str">
        <f>IFERROR(__xludf.DUMMYFUNCTION("""COMPUTED_VALUE"""),"1")</f>
        <v>1</v>
      </c>
      <c r="H1353" s="1" t="str">
        <f>IFERROR(__xludf.DUMMYFUNCTION("""COMPUTED_VALUE"""),"39")</f>
        <v>39</v>
      </c>
    </row>
    <row r="1354" ht="15.75" customHeight="1">
      <c r="D1354" s="1" t="str">
        <f>IFERROR(__xludf.DUMMYFUNCTION("""COMPUTED_VALUE"""),"11896")</f>
        <v>11896</v>
      </c>
      <c r="E1354" s="3">
        <f>IFERROR(__xludf.DUMMYFUNCTION("""COMPUTED_VALUE"""),100000.0)</f>
        <v>100000</v>
      </c>
      <c r="F1354" s="1" t="str">
        <f>IFERROR(__xludf.DUMMYFUNCTION("""COMPUTED_VALUE"""),"1")</f>
        <v>1</v>
      </c>
      <c r="G1354" s="1" t="str">
        <f>IFERROR(__xludf.DUMMYFUNCTION("""COMPUTED_VALUE"""),"0")</f>
        <v>0</v>
      </c>
      <c r="H1354" s="1" t="str">
        <f>IFERROR(__xludf.DUMMYFUNCTION("""COMPUTED_VALUE"""),"36")</f>
        <v>36</v>
      </c>
    </row>
    <row r="1355" ht="15.75" customHeight="1">
      <c r="D1355" s="1" t="str">
        <f>IFERROR(__xludf.DUMMYFUNCTION("""COMPUTED_VALUE"""),"14189")</f>
        <v>14189</v>
      </c>
      <c r="E1355" s="3">
        <f>IFERROR(__xludf.DUMMYFUNCTION("""COMPUTED_VALUE"""),90000.0)</f>
        <v>90000</v>
      </c>
      <c r="F1355" s="1" t="str">
        <f>IFERROR(__xludf.DUMMYFUNCTION("""COMPUTED_VALUE"""),"4")</f>
        <v>4</v>
      </c>
      <c r="G1355" s="1" t="str">
        <f>IFERROR(__xludf.DUMMYFUNCTION("""COMPUTED_VALUE"""),"2")</f>
        <v>2</v>
      </c>
      <c r="H1355" s="1" t="str">
        <f>IFERROR(__xludf.DUMMYFUNCTION("""COMPUTED_VALUE"""),"54")</f>
        <v>54</v>
      </c>
    </row>
    <row r="1356" ht="15.75" customHeight="1">
      <c r="D1356" s="1" t="str">
        <f>IFERROR(__xludf.DUMMYFUNCTION("""COMPUTED_VALUE"""),"13136")</f>
        <v>13136</v>
      </c>
      <c r="E1356" s="3">
        <f>IFERROR(__xludf.DUMMYFUNCTION("""COMPUTED_VALUE"""),30000.0)</f>
        <v>30000</v>
      </c>
      <c r="F1356" s="1" t="str">
        <f>IFERROR(__xludf.DUMMYFUNCTION("""COMPUTED_VALUE"""),"2")</f>
        <v>2</v>
      </c>
      <c r="G1356" s="1" t="str">
        <f>IFERROR(__xludf.DUMMYFUNCTION("""COMPUTED_VALUE"""),"2")</f>
        <v>2</v>
      </c>
      <c r="H1356" s="1" t="str">
        <f>IFERROR(__xludf.DUMMYFUNCTION("""COMPUTED_VALUE"""),"69")</f>
        <v>69</v>
      </c>
    </row>
    <row r="1357" ht="15.75" customHeight="1">
      <c r="D1357" s="1" t="str">
        <f>IFERROR(__xludf.DUMMYFUNCTION("""COMPUTED_VALUE"""),"25906")</f>
        <v>25906</v>
      </c>
      <c r="E1357" s="3">
        <f>IFERROR(__xludf.DUMMYFUNCTION("""COMPUTED_VALUE"""),10000.0)</f>
        <v>10000</v>
      </c>
      <c r="F1357" s="1" t="str">
        <f>IFERROR(__xludf.DUMMYFUNCTION("""COMPUTED_VALUE"""),"5")</f>
        <v>5</v>
      </c>
      <c r="G1357" s="1" t="str">
        <f>IFERROR(__xludf.DUMMYFUNCTION("""COMPUTED_VALUE"""),"2")</f>
        <v>2</v>
      </c>
      <c r="H1357" s="1" t="str">
        <f>IFERROR(__xludf.DUMMYFUNCTION("""COMPUTED_VALUE"""),"62")</f>
        <v>62</v>
      </c>
    </row>
    <row r="1358" ht="15.75" customHeight="1">
      <c r="D1358" s="1" t="str">
        <f>IFERROR(__xludf.DUMMYFUNCTION("""COMPUTED_VALUE"""),"26928")</f>
        <v>26928</v>
      </c>
      <c r="E1358" s="3">
        <f>IFERROR(__xludf.DUMMYFUNCTION("""COMPUTED_VALUE"""),30000.0)</f>
        <v>30000</v>
      </c>
      <c r="F1358" s="1" t="str">
        <f>IFERROR(__xludf.DUMMYFUNCTION("""COMPUTED_VALUE"""),"1")</f>
        <v>1</v>
      </c>
      <c r="G1358" s="1" t="str">
        <f>IFERROR(__xludf.DUMMYFUNCTION("""COMPUTED_VALUE"""),"0")</f>
        <v>0</v>
      </c>
      <c r="H1358" s="1" t="str">
        <f>IFERROR(__xludf.DUMMYFUNCTION("""COMPUTED_VALUE"""),"62")</f>
        <v>62</v>
      </c>
    </row>
    <row r="1359" ht="15.75" customHeight="1">
      <c r="D1359" s="1" t="str">
        <f>IFERROR(__xludf.DUMMYFUNCTION("""COMPUTED_VALUE"""),"20897")</f>
        <v>20897</v>
      </c>
      <c r="E1359" s="3">
        <f>IFERROR(__xludf.DUMMYFUNCTION("""COMPUTED_VALUE"""),30000.0)</f>
        <v>30000</v>
      </c>
      <c r="F1359" s="1" t="str">
        <f>IFERROR(__xludf.DUMMYFUNCTION("""COMPUTED_VALUE"""),"1")</f>
        <v>1</v>
      </c>
      <c r="G1359" s="1" t="str">
        <f>IFERROR(__xludf.DUMMYFUNCTION("""COMPUTED_VALUE"""),"2")</f>
        <v>2</v>
      </c>
      <c r="H1359" s="1" t="str">
        <f>IFERROR(__xludf.DUMMYFUNCTION("""COMPUTED_VALUE"""),"40")</f>
        <v>40</v>
      </c>
    </row>
    <row r="1360" ht="15.75" customHeight="1">
      <c r="D1360" s="1" t="str">
        <f>IFERROR(__xludf.DUMMYFUNCTION("""COMPUTED_VALUE"""),"28207")</f>
        <v>28207</v>
      </c>
      <c r="E1360" s="3">
        <f>IFERROR(__xludf.DUMMYFUNCTION("""COMPUTED_VALUE"""),80000.0)</f>
        <v>80000</v>
      </c>
      <c r="F1360" s="1" t="str">
        <f>IFERROR(__xludf.DUMMYFUNCTION("""COMPUTED_VALUE"""),"4")</f>
        <v>4</v>
      </c>
      <c r="G1360" s="1" t="str">
        <f>IFERROR(__xludf.DUMMYFUNCTION("""COMPUTED_VALUE"""),"1")</f>
        <v>1</v>
      </c>
      <c r="H1360" s="1" t="str">
        <f>IFERROR(__xludf.DUMMYFUNCTION("""COMPUTED_VALUE"""),"36")</f>
        <v>36</v>
      </c>
    </row>
    <row r="1361" ht="15.75" customHeight="1">
      <c r="D1361" s="1" t="str">
        <f>IFERROR(__xludf.DUMMYFUNCTION("""COMPUTED_VALUE"""),"25923")</f>
        <v>25923</v>
      </c>
      <c r="E1361" s="3">
        <f>IFERROR(__xludf.DUMMYFUNCTION("""COMPUTED_VALUE"""),10000.0)</f>
        <v>10000</v>
      </c>
      <c r="F1361" s="1" t="str">
        <f>IFERROR(__xludf.DUMMYFUNCTION("""COMPUTED_VALUE"""),"2")</f>
        <v>2</v>
      </c>
      <c r="G1361" s="1" t="str">
        <f>IFERROR(__xludf.DUMMYFUNCTION("""COMPUTED_VALUE"""),"2")</f>
        <v>2</v>
      </c>
      <c r="H1361" s="1" t="str">
        <f>IFERROR(__xludf.DUMMYFUNCTION("""COMPUTED_VALUE"""),"58")</f>
        <v>58</v>
      </c>
    </row>
    <row r="1362" ht="15.75" customHeight="1">
      <c r="D1362" s="1" t="str">
        <f>IFERROR(__xludf.DUMMYFUNCTION("""COMPUTED_VALUE"""),"11000")</f>
        <v>11000</v>
      </c>
      <c r="E1362" s="3">
        <f>IFERROR(__xludf.DUMMYFUNCTION("""COMPUTED_VALUE"""),90000.0)</f>
        <v>90000</v>
      </c>
      <c r="F1362" s="1" t="str">
        <f>IFERROR(__xludf.DUMMYFUNCTION("""COMPUTED_VALUE"""),"2")</f>
        <v>2</v>
      </c>
      <c r="G1362" s="1" t="str">
        <f>IFERROR(__xludf.DUMMYFUNCTION("""COMPUTED_VALUE"""),"0")</f>
        <v>0</v>
      </c>
      <c r="H1362" s="1" t="str">
        <f>IFERROR(__xludf.DUMMYFUNCTION("""COMPUTED_VALUE"""),"40")</f>
        <v>40</v>
      </c>
    </row>
    <row r="1363" ht="15.75" customHeight="1">
      <c r="D1363" s="1" t="str">
        <f>IFERROR(__xludf.DUMMYFUNCTION("""COMPUTED_VALUE"""),"20974")</f>
        <v>20974</v>
      </c>
      <c r="E1363" s="3">
        <f>IFERROR(__xludf.DUMMYFUNCTION("""COMPUTED_VALUE"""),10000.0)</f>
        <v>10000</v>
      </c>
      <c r="F1363" s="1" t="str">
        <f>IFERROR(__xludf.DUMMYFUNCTION("""COMPUTED_VALUE"""),"2")</f>
        <v>2</v>
      </c>
      <c r="G1363" s="1" t="str">
        <f>IFERROR(__xludf.DUMMYFUNCTION("""COMPUTED_VALUE"""),"1")</f>
        <v>1</v>
      </c>
      <c r="H1363" s="1" t="str">
        <f>IFERROR(__xludf.DUMMYFUNCTION("""COMPUTED_VALUE"""),"66")</f>
        <v>66</v>
      </c>
    </row>
    <row r="1364" ht="15.75" customHeight="1">
      <c r="D1364" s="1" t="str">
        <f>IFERROR(__xludf.DUMMYFUNCTION("""COMPUTED_VALUE"""),"28758")</f>
        <v>28758</v>
      </c>
      <c r="E1364" s="3">
        <f>IFERROR(__xludf.DUMMYFUNCTION("""COMPUTED_VALUE"""),40000.0)</f>
        <v>40000</v>
      </c>
      <c r="F1364" s="1" t="str">
        <f>IFERROR(__xludf.DUMMYFUNCTION("""COMPUTED_VALUE"""),"2")</f>
        <v>2</v>
      </c>
      <c r="G1364" s="1" t="str">
        <f>IFERROR(__xludf.DUMMYFUNCTION("""COMPUTED_VALUE"""),"1")</f>
        <v>1</v>
      </c>
      <c r="H1364" s="1" t="str">
        <f>IFERROR(__xludf.DUMMYFUNCTION("""COMPUTED_VALUE"""),"35")</f>
        <v>35</v>
      </c>
    </row>
    <row r="1365" ht="15.75" customHeight="1">
      <c r="D1365" s="1" t="str">
        <f>IFERROR(__xludf.DUMMYFUNCTION("""COMPUTED_VALUE"""),"11381")</f>
        <v>11381</v>
      </c>
      <c r="E1365" s="3">
        <f>IFERROR(__xludf.DUMMYFUNCTION("""COMPUTED_VALUE"""),20000.0)</f>
        <v>20000</v>
      </c>
      <c r="F1365" s="1" t="str">
        <f>IFERROR(__xludf.DUMMYFUNCTION("""COMPUTED_VALUE"""),"2")</f>
        <v>2</v>
      </c>
      <c r="G1365" s="1" t="str">
        <f>IFERROR(__xludf.DUMMYFUNCTION("""COMPUTED_VALUE"""),"1")</f>
        <v>1</v>
      </c>
      <c r="H1365" s="1" t="str">
        <f>IFERROR(__xludf.DUMMYFUNCTION("""COMPUTED_VALUE"""),"47")</f>
        <v>47</v>
      </c>
    </row>
    <row r="1366" ht="15.75" customHeight="1">
      <c r="D1366" s="1" t="str">
        <f>IFERROR(__xludf.DUMMYFUNCTION("""COMPUTED_VALUE"""),"17522")</f>
        <v>17522</v>
      </c>
      <c r="E1366" s="3">
        <f>IFERROR(__xludf.DUMMYFUNCTION("""COMPUTED_VALUE"""),120000.0)</f>
        <v>120000</v>
      </c>
      <c r="F1366" s="1" t="str">
        <f>IFERROR(__xludf.DUMMYFUNCTION("""COMPUTED_VALUE"""),"4")</f>
        <v>4</v>
      </c>
      <c r="G1366" s="1" t="str">
        <f>IFERROR(__xludf.DUMMYFUNCTION("""COMPUTED_VALUE"""),"1")</f>
        <v>1</v>
      </c>
      <c r="H1366" s="1" t="str">
        <f>IFERROR(__xludf.DUMMYFUNCTION("""COMPUTED_VALUE"""),"47")</f>
        <v>47</v>
      </c>
    </row>
    <row r="1367" ht="15.75" customHeight="1">
      <c r="D1367" s="1" t="str">
        <f>IFERROR(__xludf.DUMMYFUNCTION("""COMPUTED_VALUE"""),"21207")</f>
        <v>21207</v>
      </c>
      <c r="E1367" s="3">
        <f>IFERROR(__xludf.DUMMYFUNCTION("""COMPUTED_VALUE"""),60000.0)</f>
        <v>60000</v>
      </c>
      <c r="F1367" s="1" t="str">
        <f>IFERROR(__xludf.DUMMYFUNCTION("""COMPUTED_VALUE"""),"1")</f>
        <v>1</v>
      </c>
      <c r="G1367" s="1" t="str">
        <f>IFERROR(__xludf.DUMMYFUNCTION("""COMPUTED_VALUE"""),"1")</f>
        <v>1</v>
      </c>
      <c r="H1367" s="1" t="str">
        <f>IFERROR(__xludf.DUMMYFUNCTION("""COMPUTED_VALUE"""),"46")</f>
        <v>46</v>
      </c>
    </row>
    <row r="1368" ht="15.75" customHeight="1">
      <c r="D1368" s="1" t="str">
        <f>IFERROR(__xludf.DUMMYFUNCTION("""COMPUTED_VALUE"""),"28102")</f>
        <v>28102</v>
      </c>
      <c r="E1368" s="3">
        <f>IFERROR(__xludf.DUMMYFUNCTION("""COMPUTED_VALUE"""),20000.0)</f>
        <v>20000</v>
      </c>
      <c r="F1368" s="1" t="str">
        <f>IFERROR(__xludf.DUMMYFUNCTION("""COMPUTED_VALUE"""),"4")</f>
        <v>4</v>
      </c>
      <c r="G1368" s="1" t="str">
        <f>IFERROR(__xludf.DUMMYFUNCTION("""COMPUTED_VALUE"""),"2")</f>
        <v>2</v>
      </c>
      <c r="H1368" s="1" t="str">
        <f>IFERROR(__xludf.DUMMYFUNCTION("""COMPUTED_VALUE"""),"58")</f>
        <v>58</v>
      </c>
    </row>
    <row r="1369" ht="15.75" customHeight="1">
      <c r="D1369" s="1" t="str">
        <f>IFERROR(__xludf.DUMMYFUNCTION("""COMPUTED_VALUE"""),"23105")</f>
        <v>23105</v>
      </c>
      <c r="E1369" s="3">
        <f>IFERROR(__xludf.DUMMYFUNCTION("""COMPUTED_VALUE"""),40000.0)</f>
        <v>40000</v>
      </c>
      <c r="F1369" s="1" t="str">
        <f>IFERROR(__xludf.DUMMYFUNCTION("""COMPUTED_VALUE"""),"3")</f>
        <v>3</v>
      </c>
      <c r="G1369" s="1" t="str">
        <f>IFERROR(__xludf.DUMMYFUNCTION("""COMPUTED_VALUE"""),"2")</f>
        <v>2</v>
      </c>
      <c r="H1369" s="1" t="str">
        <f>IFERROR(__xludf.DUMMYFUNCTION("""COMPUTED_VALUE"""),"52")</f>
        <v>52</v>
      </c>
    </row>
    <row r="1370" ht="15.75" customHeight="1">
      <c r="D1370" s="1" t="str">
        <f>IFERROR(__xludf.DUMMYFUNCTION("""COMPUTED_VALUE"""),"18740")</f>
        <v>18740</v>
      </c>
      <c r="E1370" s="3">
        <f>IFERROR(__xludf.DUMMYFUNCTION("""COMPUTED_VALUE"""),80000.0)</f>
        <v>80000</v>
      </c>
      <c r="F1370" s="1" t="str">
        <f>IFERROR(__xludf.DUMMYFUNCTION("""COMPUTED_VALUE"""),"5")</f>
        <v>5</v>
      </c>
      <c r="G1370" s="1" t="str">
        <f>IFERROR(__xludf.DUMMYFUNCTION("""COMPUTED_VALUE"""),"1")</f>
        <v>1</v>
      </c>
      <c r="H1370" s="1" t="str">
        <f>IFERROR(__xludf.DUMMYFUNCTION("""COMPUTED_VALUE"""),"47")</f>
        <v>47</v>
      </c>
    </row>
    <row r="1371" ht="15.75" customHeight="1">
      <c r="D1371" s="1" t="str">
        <f>IFERROR(__xludf.DUMMYFUNCTION("""COMPUTED_VALUE"""),"21213")</f>
        <v>21213</v>
      </c>
      <c r="E1371" s="3">
        <f>IFERROR(__xludf.DUMMYFUNCTION("""COMPUTED_VALUE"""),70000.0)</f>
        <v>70000</v>
      </c>
      <c r="F1371" s="1" t="str">
        <f>IFERROR(__xludf.DUMMYFUNCTION("""COMPUTED_VALUE"""),"0")</f>
        <v>0</v>
      </c>
      <c r="G1371" s="1" t="str">
        <f>IFERROR(__xludf.DUMMYFUNCTION("""COMPUTED_VALUE"""),"1")</f>
        <v>1</v>
      </c>
      <c r="H1371" s="1" t="str">
        <f>IFERROR(__xludf.DUMMYFUNCTION("""COMPUTED_VALUE"""),"41")</f>
        <v>41</v>
      </c>
    </row>
    <row r="1372" ht="15.75" customHeight="1">
      <c r="D1372" s="1" t="str">
        <f>IFERROR(__xludf.DUMMYFUNCTION("""COMPUTED_VALUE"""),"17352")</f>
        <v>17352</v>
      </c>
      <c r="E1372" s="3">
        <f>IFERROR(__xludf.DUMMYFUNCTION("""COMPUTED_VALUE"""),50000.0)</f>
        <v>50000</v>
      </c>
      <c r="F1372" s="1" t="str">
        <f>IFERROR(__xludf.DUMMYFUNCTION("""COMPUTED_VALUE"""),"2")</f>
        <v>2</v>
      </c>
      <c r="G1372" s="1" t="str">
        <f>IFERROR(__xludf.DUMMYFUNCTION("""COMPUTED_VALUE"""),"1")</f>
        <v>1</v>
      </c>
      <c r="H1372" s="1" t="str">
        <f>IFERROR(__xludf.DUMMYFUNCTION("""COMPUTED_VALUE"""),"64")</f>
        <v>64</v>
      </c>
    </row>
    <row r="1373" ht="15.75" customHeight="1">
      <c r="D1373" s="1" t="str">
        <f>IFERROR(__xludf.DUMMYFUNCTION("""COMPUTED_VALUE"""),"14154")</f>
        <v>14154</v>
      </c>
      <c r="E1373" s="3">
        <f>IFERROR(__xludf.DUMMYFUNCTION("""COMPUTED_VALUE"""),30000.0)</f>
        <v>30000</v>
      </c>
      <c r="F1373" s="1" t="str">
        <f>IFERROR(__xludf.DUMMYFUNCTION("""COMPUTED_VALUE"""),"0")</f>
        <v>0</v>
      </c>
      <c r="G1373" s="1" t="str">
        <f>IFERROR(__xludf.DUMMYFUNCTION("""COMPUTED_VALUE"""),"0")</f>
        <v>0</v>
      </c>
      <c r="H1373" s="1" t="str">
        <f>IFERROR(__xludf.DUMMYFUNCTION("""COMPUTED_VALUE"""),"35")</f>
        <v>35</v>
      </c>
    </row>
    <row r="1374" ht="15.75" customHeight="1">
      <c r="D1374" s="1" t="str">
        <f>IFERROR(__xludf.DUMMYFUNCTION("""COMPUTED_VALUE"""),"19066")</f>
        <v>19066</v>
      </c>
      <c r="E1374" s="3">
        <f>IFERROR(__xludf.DUMMYFUNCTION("""COMPUTED_VALUE"""),130000.0)</f>
        <v>130000</v>
      </c>
      <c r="F1374" s="1" t="str">
        <f>IFERROR(__xludf.DUMMYFUNCTION("""COMPUTED_VALUE"""),"4")</f>
        <v>4</v>
      </c>
      <c r="G1374" s="1" t="str">
        <f>IFERROR(__xludf.DUMMYFUNCTION("""COMPUTED_VALUE"""),"3")</f>
        <v>3</v>
      </c>
      <c r="H1374" s="1" t="str">
        <f>IFERROR(__xludf.DUMMYFUNCTION("""COMPUTED_VALUE"""),"54")</f>
        <v>54</v>
      </c>
    </row>
    <row r="1375" ht="15.75" customHeight="1">
      <c r="D1375" s="1" t="str">
        <f>IFERROR(__xludf.DUMMYFUNCTION("""COMPUTED_VALUE"""),"11386")</f>
        <v>11386</v>
      </c>
      <c r="E1375" s="3">
        <f>IFERROR(__xludf.DUMMYFUNCTION("""COMPUTED_VALUE"""),30000.0)</f>
        <v>30000</v>
      </c>
      <c r="F1375" s="1" t="str">
        <f>IFERROR(__xludf.DUMMYFUNCTION("""COMPUTED_VALUE"""),"3")</f>
        <v>3</v>
      </c>
      <c r="G1375" s="1" t="str">
        <f>IFERROR(__xludf.DUMMYFUNCTION("""COMPUTED_VALUE"""),"0")</f>
        <v>0</v>
      </c>
      <c r="H1375" s="1" t="str">
        <f>IFERROR(__xludf.DUMMYFUNCTION("""COMPUTED_VALUE"""),"45")</f>
        <v>45</v>
      </c>
    </row>
    <row r="1376" ht="15.75" customHeight="1">
      <c r="D1376" s="1" t="str">
        <f>IFERROR(__xludf.DUMMYFUNCTION("""COMPUTED_VALUE"""),"20228")</f>
        <v>20228</v>
      </c>
      <c r="E1376" s="3">
        <f>IFERROR(__xludf.DUMMYFUNCTION("""COMPUTED_VALUE"""),100000.0)</f>
        <v>100000</v>
      </c>
      <c r="F1376" s="1" t="str">
        <f>IFERROR(__xludf.DUMMYFUNCTION("""COMPUTED_VALUE"""),"0")</f>
        <v>0</v>
      </c>
      <c r="G1376" s="1" t="str">
        <f>IFERROR(__xludf.DUMMYFUNCTION("""COMPUTED_VALUE"""),"0")</f>
        <v>0</v>
      </c>
      <c r="H1376" s="1" t="str">
        <f>IFERROR(__xludf.DUMMYFUNCTION("""COMPUTED_VALUE"""),"40")</f>
        <v>40</v>
      </c>
    </row>
    <row r="1377" ht="15.75" customHeight="1">
      <c r="D1377" s="1" t="str">
        <f>IFERROR(__xludf.DUMMYFUNCTION("""COMPUTED_VALUE"""),"16675")</f>
        <v>16675</v>
      </c>
      <c r="E1377" s="3">
        <f>IFERROR(__xludf.DUMMYFUNCTION("""COMPUTED_VALUE"""),160000.0)</f>
        <v>160000</v>
      </c>
      <c r="F1377" s="1" t="str">
        <f>IFERROR(__xludf.DUMMYFUNCTION("""COMPUTED_VALUE"""),"0")</f>
        <v>0</v>
      </c>
      <c r="G1377" s="1" t="str">
        <f>IFERROR(__xludf.DUMMYFUNCTION("""COMPUTED_VALUE"""),"3")</f>
        <v>3</v>
      </c>
      <c r="H1377" s="1" t="str">
        <f>IFERROR(__xludf.DUMMYFUNCTION("""COMPUTED_VALUE"""),"47")</f>
        <v>47</v>
      </c>
    </row>
    <row r="1378" ht="15.75" customHeight="1">
      <c r="D1378" s="1" t="str">
        <f>IFERROR(__xludf.DUMMYFUNCTION("""COMPUTED_VALUE"""),"16410")</f>
        <v>16410</v>
      </c>
      <c r="E1378" s="3">
        <f>IFERROR(__xludf.DUMMYFUNCTION("""COMPUTED_VALUE"""),10000.0)</f>
        <v>10000</v>
      </c>
      <c r="F1378" s="1" t="str">
        <f>IFERROR(__xludf.DUMMYFUNCTION("""COMPUTED_VALUE"""),"4")</f>
        <v>4</v>
      </c>
      <c r="G1378" s="1" t="str">
        <f>IFERROR(__xludf.DUMMYFUNCTION("""COMPUTED_VALUE"""),"2")</f>
        <v>2</v>
      </c>
      <c r="H1378" s="1" t="str">
        <f>IFERROR(__xludf.DUMMYFUNCTION("""COMPUTED_VALUE"""),"41")</f>
        <v>41</v>
      </c>
    </row>
    <row r="1379" ht="15.75" customHeight="1">
      <c r="D1379" s="1" t="str">
        <f>IFERROR(__xludf.DUMMYFUNCTION("""COMPUTED_VALUE"""),"27760")</f>
        <v>27760</v>
      </c>
      <c r="E1379" s="3">
        <f>IFERROR(__xludf.DUMMYFUNCTION("""COMPUTED_VALUE"""),40000.0)</f>
        <v>40000</v>
      </c>
      <c r="F1379" s="1" t="str">
        <f>IFERROR(__xludf.DUMMYFUNCTION("""COMPUTED_VALUE"""),"0")</f>
        <v>0</v>
      </c>
      <c r="G1379" s="1" t="str">
        <f>IFERROR(__xludf.DUMMYFUNCTION("""COMPUTED_VALUE"""),"0")</f>
        <v>0</v>
      </c>
      <c r="H1379" s="1" t="str">
        <f>IFERROR(__xludf.DUMMYFUNCTION("""COMPUTED_VALUE"""),"37")</f>
        <v>37</v>
      </c>
    </row>
    <row r="1380" ht="15.75" customHeight="1">
      <c r="D1380" s="1" t="str">
        <f>IFERROR(__xludf.DUMMYFUNCTION("""COMPUTED_VALUE"""),"22930")</f>
        <v>22930</v>
      </c>
      <c r="E1380" s="3">
        <f>IFERROR(__xludf.DUMMYFUNCTION("""COMPUTED_VALUE"""),90000.0)</f>
        <v>90000</v>
      </c>
      <c r="F1380" s="1" t="str">
        <f>IFERROR(__xludf.DUMMYFUNCTION("""COMPUTED_VALUE"""),"4")</f>
        <v>4</v>
      </c>
      <c r="G1380" s="1" t="str">
        <f>IFERROR(__xludf.DUMMYFUNCTION("""COMPUTED_VALUE"""),"0")</f>
        <v>0</v>
      </c>
      <c r="H1380" s="1" t="str">
        <f>IFERROR(__xludf.DUMMYFUNCTION("""COMPUTED_VALUE"""),"38")</f>
        <v>38</v>
      </c>
    </row>
    <row r="1381" ht="15.75" customHeight="1">
      <c r="D1381" s="1" t="str">
        <f>IFERROR(__xludf.DUMMYFUNCTION("""COMPUTED_VALUE"""),"23780")</f>
        <v>23780</v>
      </c>
      <c r="E1381" s="3">
        <f>IFERROR(__xludf.DUMMYFUNCTION("""COMPUTED_VALUE"""),40000.0)</f>
        <v>40000</v>
      </c>
      <c r="F1381" s="1" t="str">
        <f>IFERROR(__xludf.DUMMYFUNCTION("""COMPUTED_VALUE"""),"2")</f>
        <v>2</v>
      </c>
      <c r="G1381" s="1" t="str">
        <f>IFERROR(__xludf.DUMMYFUNCTION("""COMPUTED_VALUE"""),"2")</f>
        <v>2</v>
      </c>
      <c r="H1381" s="1" t="str">
        <f>IFERROR(__xludf.DUMMYFUNCTION("""COMPUTED_VALUE"""),"36")</f>
        <v>36</v>
      </c>
    </row>
    <row r="1382" ht="15.75" customHeight="1">
      <c r="D1382" s="1" t="str">
        <f>IFERROR(__xludf.DUMMYFUNCTION("""COMPUTED_VALUE"""),"20994")</f>
        <v>20994</v>
      </c>
      <c r="E1382" s="3">
        <f>IFERROR(__xludf.DUMMYFUNCTION("""COMPUTED_VALUE"""),20000.0)</f>
        <v>20000</v>
      </c>
      <c r="F1382" s="1" t="str">
        <f>IFERROR(__xludf.DUMMYFUNCTION("""COMPUTED_VALUE"""),"0")</f>
        <v>0</v>
      </c>
      <c r="G1382" s="1" t="str">
        <f>IFERROR(__xludf.DUMMYFUNCTION("""COMPUTED_VALUE"""),"0")</f>
        <v>0</v>
      </c>
      <c r="H1382" s="1" t="str">
        <f>IFERROR(__xludf.DUMMYFUNCTION("""COMPUTED_VALUE"""),"26")</f>
        <v>26</v>
      </c>
    </row>
    <row r="1383" ht="15.75" customHeight="1">
      <c r="D1383" s="1" t="str">
        <f>IFERROR(__xludf.DUMMYFUNCTION("""COMPUTED_VALUE"""),"28379")</f>
        <v>28379</v>
      </c>
      <c r="E1383" s="3">
        <f>IFERROR(__xludf.DUMMYFUNCTION("""COMPUTED_VALUE"""),30000.0)</f>
        <v>30000</v>
      </c>
      <c r="F1383" s="1" t="str">
        <f>IFERROR(__xludf.DUMMYFUNCTION("""COMPUTED_VALUE"""),"1")</f>
        <v>1</v>
      </c>
      <c r="G1383" s="1" t="str">
        <f>IFERROR(__xludf.DUMMYFUNCTION("""COMPUTED_VALUE"""),"2")</f>
        <v>2</v>
      </c>
      <c r="H1383" s="1" t="str">
        <f>IFERROR(__xludf.DUMMYFUNCTION("""COMPUTED_VALUE"""),"40")</f>
        <v>40</v>
      </c>
    </row>
    <row r="1384" ht="15.75" customHeight="1">
      <c r="D1384" s="1" t="str">
        <f>IFERROR(__xludf.DUMMYFUNCTION("""COMPUTED_VALUE"""),"14865")</f>
        <v>14865</v>
      </c>
      <c r="E1384" s="3">
        <f>IFERROR(__xludf.DUMMYFUNCTION("""COMPUTED_VALUE"""),40000.0)</f>
        <v>40000</v>
      </c>
      <c r="F1384" s="1" t="str">
        <f>IFERROR(__xludf.DUMMYFUNCTION("""COMPUTED_VALUE"""),"2")</f>
        <v>2</v>
      </c>
      <c r="G1384" s="1" t="str">
        <f>IFERROR(__xludf.DUMMYFUNCTION("""COMPUTED_VALUE"""),"2")</f>
        <v>2</v>
      </c>
      <c r="H1384" s="1" t="str">
        <f>IFERROR(__xludf.DUMMYFUNCTION("""COMPUTED_VALUE"""),"36")</f>
        <v>36</v>
      </c>
    </row>
    <row r="1385" ht="15.75" customHeight="1">
      <c r="D1385" s="1" t="str">
        <f>IFERROR(__xludf.DUMMYFUNCTION("""COMPUTED_VALUE"""),"12663")</f>
        <v>12663</v>
      </c>
      <c r="E1385" s="3">
        <f>IFERROR(__xludf.DUMMYFUNCTION("""COMPUTED_VALUE"""),90000.0)</f>
        <v>90000</v>
      </c>
      <c r="F1385" s="1" t="str">
        <f>IFERROR(__xludf.DUMMYFUNCTION("""COMPUTED_VALUE"""),"5")</f>
        <v>5</v>
      </c>
      <c r="G1385" s="1" t="str">
        <f>IFERROR(__xludf.DUMMYFUNCTION("""COMPUTED_VALUE"""),"2")</f>
        <v>2</v>
      </c>
      <c r="H1385" s="1" t="str">
        <f>IFERROR(__xludf.DUMMYFUNCTION("""COMPUTED_VALUE"""),"59")</f>
        <v>59</v>
      </c>
    </row>
    <row r="1386" ht="15.75" customHeight="1">
      <c r="D1386" s="1" t="str">
        <f>IFERROR(__xludf.DUMMYFUNCTION("""COMPUTED_VALUE"""),"24898")</f>
        <v>24898</v>
      </c>
      <c r="E1386" s="3">
        <f>IFERROR(__xludf.DUMMYFUNCTION("""COMPUTED_VALUE"""),80000.0)</f>
        <v>80000</v>
      </c>
      <c r="F1386" s="1" t="str">
        <f>IFERROR(__xludf.DUMMYFUNCTION("""COMPUTED_VALUE"""),"0")</f>
        <v>0</v>
      </c>
      <c r="G1386" s="1" t="str">
        <f>IFERROR(__xludf.DUMMYFUNCTION("""COMPUTED_VALUE"""),"3")</f>
        <v>3</v>
      </c>
      <c r="H1386" s="1" t="str">
        <f>IFERROR(__xludf.DUMMYFUNCTION("""COMPUTED_VALUE"""),"32")</f>
        <v>32</v>
      </c>
    </row>
    <row r="1387" ht="15.75" customHeight="1">
      <c r="D1387" s="1" t="str">
        <f>IFERROR(__xludf.DUMMYFUNCTION("""COMPUTED_VALUE"""),"19508")</f>
        <v>19508</v>
      </c>
      <c r="E1387" s="3">
        <f>IFERROR(__xludf.DUMMYFUNCTION("""COMPUTED_VALUE"""),10000.0)</f>
        <v>10000</v>
      </c>
      <c r="F1387" s="1" t="str">
        <f>IFERROR(__xludf.DUMMYFUNCTION("""COMPUTED_VALUE"""),"0")</f>
        <v>0</v>
      </c>
      <c r="G1387" s="1" t="str">
        <f>IFERROR(__xludf.DUMMYFUNCTION("""COMPUTED_VALUE"""),"2")</f>
        <v>2</v>
      </c>
      <c r="H1387" s="1" t="str">
        <f>IFERROR(__xludf.DUMMYFUNCTION("""COMPUTED_VALUE"""),"30")</f>
        <v>30</v>
      </c>
    </row>
    <row r="1388" ht="15.75" customHeight="1">
      <c r="D1388" s="1" t="str">
        <f>IFERROR(__xludf.DUMMYFUNCTION("""COMPUTED_VALUE"""),"11489")</f>
        <v>11489</v>
      </c>
      <c r="E1388" s="3">
        <f>IFERROR(__xludf.DUMMYFUNCTION("""COMPUTED_VALUE"""),20000.0)</f>
        <v>20000</v>
      </c>
      <c r="F1388" s="1" t="str">
        <f>IFERROR(__xludf.DUMMYFUNCTION("""COMPUTED_VALUE"""),"0")</f>
        <v>0</v>
      </c>
      <c r="G1388" s="1" t="str">
        <f>IFERROR(__xludf.DUMMYFUNCTION("""COMPUTED_VALUE"""),"2")</f>
        <v>2</v>
      </c>
      <c r="H1388" s="1" t="str">
        <f>IFERROR(__xludf.DUMMYFUNCTION("""COMPUTED_VALUE"""),"35")</f>
        <v>35</v>
      </c>
    </row>
    <row r="1389" ht="15.75" customHeight="1">
      <c r="D1389" s="1" t="str">
        <f>IFERROR(__xludf.DUMMYFUNCTION("""COMPUTED_VALUE"""),"18160")</f>
        <v>18160</v>
      </c>
      <c r="E1389" s="3">
        <f>IFERROR(__xludf.DUMMYFUNCTION("""COMPUTED_VALUE"""),130000.0)</f>
        <v>130000</v>
      </c>
      <c r="F1389" s="1" t="str">
        <f>IFERROR(__xludf.DUMMYFUNCTION("""COMPUTED_VALUE"""),"3")</f>
        <v>3</v>
      </c>
      <c r="G1389" s="1" t="str">
        <f>IFERROR(__xludf.DUMMYFUNCTION("""COMPUTED_VALUE"""),"4")</f>
        <v>4</v>
      </c>
      <c r="H1389" s="1" t="str">
        <f>IFERROR(__xludf.DUMMYFUNCTION("""COMPUTED_VALUE"""),"51")</f>
        <v>51</v>
      </c>
    </row>
    <row r="1390" ht="15.75" customHeight="1">
      <c r="D1390" s="1" t="str">
        <f>IFERROR(__xludf.DUMMYFUNCTION("""COMPUTED_VALUE"""),"25241")</f>
        <v>25241</v>
      </c>
      <c r="E1390" s="3">
        <f>IFERROR(__xludf.DUMMYFUNCTION("""COMPUTED_VALUE"""),90000.0)</f>
        <v>90000</v>
      </c>
      <c r="F1390" s="1" t="str">
        <f>IFERROR(__xludf.DUMMYFUNCTION("""COMPUTED_VALUE"""),"2")</f>
        <v>2</v>
      </c>
      <c r="G1390" s="1" t="str">
        <f>IFERROR(__xludf.DUMMYFUNCTION("""COMPUTED_VALUE"""),"1")</f>
        <v>1</v>
      </c>
      <c r="H1390" s="1" t="str">
        <f>IFERROR(__xludf.DUMMYFUNCTION("""COMPUTED_VALUE"""),"47")</f>
        <v>47</v>
      </c>
    </row>
    <row r="1391" ht="15.75" customHeight="1">
      <c r="D1391" s="1" t="str">
        <f>IFERROR(__xludf.DUMMYFUNCTION("""COMPUTED_VALUE"""),"24369")</f>
        <v>24369</v>
      </c>
      <c r="E1391" s="3">
        <f>IFERROR(__xludf.DUMMYFUNCTION("""COMPUTED_VALUE"""),80000.0)</f>
        <v>80000</v>
      </c>
      <c r="F1391" s="1" t="str">
        <f>IFERROR(__xludf.DUMMYFUNCTION("""COMPUTED_VALUE"""),"5")</f>
        <v>5</v>
      </c>
      <c r="G1391" s="1" t="str">
        <f>IFERROR(__xludf.DUMMYFUNCTION("""COMPUTED_VALUE"""),"2")</f>
        <v>2</v>
      </c>
      <c r="H1391" s="1" t="str">
        <f>IFERROR(__xludf.DUMMYFUNCTION("""COMPUTED_VALUE"""),"39")</f>
        <v>39</v>
      </c>
    </row>
    <row r="1392" ht="15.75" customHeight="1">
      <c r="D1392" s="1" t="str">
        <f>IFERROR(__xludf.DUMMYFUNCTION("""COMPUTED_VALUE"""),"27165")</f>
        <v>27165</v>
      </c>
      <c r="E1392" s="3">
        <f>IFERROR(__xludf.DUMMYFUNCTION("""COMPUTED_VALUE"""),20000.0)</f>
        <v>20000</v>
      </c>
      <c r="F1392" s="1" t="str">
        <f>IFERROR(__xludf.DUMMYFUNCTION("""COMPUTED_VALUE"""),"0")</f>
        <v>0</v>
      </c>
      <c r="G1392" s="1" t="str">
        <f>IFERROR(__xludf.DUMMYFUNCTION("""COMPUTED_VALUE"""),"2")</f>
        <v>2</v>
      </c>
      <c r="H1392" s="1" t="str">
        <f>IFERROR(__xludf.DUMMYFUNCTION("""COMPUTED_VALUE"""),"34")</f>
        <v>34</v>
      </c>
    </row>
    <row r="1393" ht="15.75" customHeight="1">
      <c r="D1393" s="1" t="str">
        <f>IFERROR(__xludf.DUMMYFUNCTION("""COMPUTED_VALUE"""),"29424")</f>
        <v>29424</v>
      </c>
      <c r="E1393" s="3">
        <f>IFERROR(__xludf.DUMMYFUNCTION("""COMPUTED_VALUE"""),10000.0)</f>
        <v>10000</v>
      </c>
      <c r="F1393" s="1" t="str">
        <f>IFERROR(__xludf.DUMMYFUNCTION("""COMPUTED_VALUE"""),"0")</f>
        <v>0</v>
      </c>
      <c r="G1393" s="1" t="str">
        <f>IFERROR(__xludf.DUMMYFUNCTION("""COMPUTED_VALUE"""),"2")</f>
        <v>2</v>
      </c>
      <c r="H1393" s="1" t="str">
        <f>IFERROR(__xludf.DUMMYFUNCTION("""COMPUTED_VALUE"""),"32")</f>
        <v>32</v>
      </c>
    </row>
    <row r="1394" ht="15.75" customHeight="1">
      <c r="D1394" s="1" t="str">
        <f>IFERROR(__xludf.DUMMYFUNCTION("""COMPUTED_VALUE"""),"15926")</f>
        <v>15926</v>
      </c>
      <c r="E1394" s="3">
        <f>IFERROR(__xludf.DUMMYFUNCTION("""COMPUTED_VALUE"""),120000.0)</f>
        <v>120000</v>
      </c>
      <c r="F1394" s="1" t="str">
        <f>IFERROR(__xludf.DUMMYFUNCTION("""COMPUTED_VALUE"""),"3")</f>
        <v>3</v>
      </c>
      <c r="G1394" s="1" t="str">
        <f>IFERROR(__xludf.DUMMYFUNCTION("""COMPUTED_VALUE"""),"4")</f>
        <v>4</v>
      </c>
      <c r="H1394" s="1" t="str">
        <f>IFERROR(__xludf.DUMMYFUNCTION("""COMPUTED_VALUE"""),"50")</f>
        <v>50</v>
      </c>
    </row>
    <row r="1395" ht="15.75" customHeight="1">
      <c r="D1395" s="1" t="str">
        <f>IFERROR(__xludf.DUMMYFUNCTION("""COMPUTED_VALUE"""),"14554")</f>
        <v>14554</v>
      </c>
      <c r="E1395" s="3">
        <f>IFERROR(__xludf.DUMMYFUNCTION("""COMPUTED_VALUE"""),20000.0)</f>
        <v>20000</v>
      </c>
      <c r="F1395" s="1" t="str">
        <f>IFERROR(__xludf.DUMMYFUNCTION("""COMPUTED_VALUE"""),"1")</f>
        <v>1</v>
      </c>
      <c r="G1395" s="1" t="str">
        <f>IFERROR(__xludf.DUMMYFUNCTION("""COMPUTED_VALUE"""),"0")</f>
        <v>0</v>
      </c>
      <c r="H1395" s="1" t="str">
        <f>IFERROR(__xludf.DUMMYFUNCTION("""COMPUTED_VALUE"""),"66")</f>
        <v>66</v>
      </c>
    </row>
    <row r="1396" ht="15.75" customHeight="1">
      <c r="D1396" s="1" t="str">
        <f>IFERROR(__xludf.DUMMYFUNCTION("""COMPUTED_VALUE"""),"16468")</f>
        <v>16468</v>
      </c>
      <c r="E1396" s="3">
        <f>IFERROR(__xludf.DUMMYFUNCTION("""COMPUTED_VALUE"""),30000.0)</f>
        <v>30000</v>
      </c>
      <c r="F1396" s="1" t="str">
        <f>IFERROR(__xludf.DUMMYFUNCTION("""COMPUTED_VALUE"""),"0")</f>
        <v>0</v>
      </c>
      <c r="G1396" s="1" t="str">
        <f>IFERROR(__xludf.DUMMYFUNCTION("""COMPUTED_VALUE"""),"1")</f>
        <v>1</v>
      </c>
      <c r="H1396" s="1" t="str">
        <f>IFERROR(__xludf.DUMMYFUNCTION("""COMPUTED_VALUE"""),"30")</f>
        <v>30</v>
      </c>
    </row>
    <row r="1397" ht="15.75" customHeight="1">
      <c r="D1397" s="1" t="str">
        <f>IFERROR(__xludf.DUMMYFUNCTION("""COMPUTED_VALUE"""),"19174")</f>
        <v>19174</v>
      </c>
      <c r="E1397" s="3">
        <f>IFERROR(__xludf.DUMMYFUNCTION("""COMPUTED_VALUE"""),30000.0)</f>
        <v>30000</v>
      </c>
      <c r="F1397" s="1" t="str">
        <f>IFERROR(__xludf.DUMMYFUNCTION("""COMPUTED_VALUE"""),"0")</f>
        <v>0</v>
      </c>
      <c r="G1397" s="1" t="str">
        <f>IFERROR(__xludf.DUMMYFUNCTION("""COMPUTED_VALUE"""),"1")</f>
        <v>1</v>
      </c>
      <c r="H1397" s="1" t="str">
        <f>IFERROR(__xludf.DUMMYFUNCTION("""COMPUTED_VALUE"""),"32")</f>
        <v>32</v>
      </c>
    </row>
    <row r="1398" ht="15.75" customHeight="1">
      <c r="D1398" s="1" t="str">
        <f>IFERROR(__xludf.DUMMYFUNCTION("""COMPUTED_VALUE"""),"19183")</f>
        <v>19183</v>
      </c>
      <c r="E1398" s="3">
        <f>IFERROR(__xludf.DUMMYFUNCTION("""COMPUTED_VALUE"""),10000.0)</f>
        <v>10000</v>
      </c>
      <c r="F1398" s="1" t="str">
        <f>IFERROR(__xludf.DUMMYFUNCTION("""COMPUTED_VALUE"""),"0")</f>
        <v>0</v>
      </c>
      <c r="G1398" s="1" t="str">
        <f>IFERROR(__xludf.DUMMYFUNCTION("""COMPUTED_VALUE"""),"2")</f>
        <v>2</v>
      </c>
      <c r="H1398" s="1" t="str">
        <f>IFERROR(__xludf.DUMMYFUNCTION("""COMPUTED_VALUE"""),"35")</f>
        <v>35</v>
      </c>
    </row>
    <row r="1399" ht="15.75" customHeight="1">
      <c r="D1399" s="1" t="str">
        <f>IFERROR(__xludf.DUMMYFUNCTION("""COMPUTED_VALUE"""),"13683")</f>
        <v>13683</v>
      </c>
      <c r="E1399" s="3">
        <f>IFERROR(__xludf.DUMMYFUNCTION("""COMPUTED_VALUE"""),30000.0)</f>
        <v>30000</v>
      </c>
      <c r="F1399" s="1" t="str">
        <f>IFERROR(__xludf.DUMMYFUNCTION("""COMPUTED_VALUE"""),"0")</f>
        <v>0</v>
      </c>
      <c r="G1399" s="1" t="str">
        <f>IFERROR(__xludf.DUMMYFUNCTION("""COMPUTED_VALUE"""),"1")</f>
        <v>1</v>
      </c>
      <c r="H1399" s="1" t="str">
        <f>IFERROR(__xludf.DUMMYFUNCTION("""COMPUTED_VALUE"""),"32")</f>
        <v>32</v>
      </c>
    </row>
    <row r="1400" ht="15.75" customHeight="1">
      <c r="D1400" s="1" t="str">
        <f>IFERROR(__xludf.DUMMYFUNCTION("""COMPUTED_VALUE"""),"17848")</f>
        <v>17848</v>
      </c>
      <c r="E1400" s="3">
        <f>IFERROR(__xludf.DUMMYFUNCTION("""COMPUTED_VALUE"""),30000.0)</f>
        <v>30000</v>
      </c>
      <c r="F1400" s="1" t="str">
        <f>IFERROR(__xludf.DUMMYFUNCTION("""COMPUTED_VALUE"""),"0")</f>
        <v>0</v>
      </c>
      <c r="G1400" s="1" t="str">
        <f>IFERROR(__xludf.DUMMYFUNCTION("""COMPUTED_VALUE"""),"1")</f>
        <v>1</v>
      </c>
      <c r="H1400" s="1" t="str">
        <f>IFERROR(__xludf.DUMMYFUNCTION("""COMPUTED_VALUE"""),"31")</f>
        <v>31</v>
      </c>
    </row>
    <row r="1401" ht="15.75" customHeight="1">
      <c r="D1401" s="1" t="str">
        <f>IFERROR(__xludf.DUMMYFUNCTION("""COMPUTED_VALUE"""),"17894")</f>
        <v>17894</v>
      </c>
      <c r="E1401" s="3">
        <f>IFERROR(__xludf.DUMMYFUNCTION("""COMPUTED_VALUE"""),20000.0)</f>
        <v>20000</v>
      </c>
      <c r="F1401" s="1" t="str">
        <f>IFERROR(__xludf.DUMMYFUNCTION("""COMPUTED_VALUE"""),"1")</f>
        <v>1</v>
      </c>
      <c r="G1401" s="1" t="str">
        <f>IFERROR(__xludf.DUMMYFUNCTION("""COMPUTED_VALUE"""),"0")</f>
        <v>0</v>
      </c>
      <c r="H1401" s="1" t="str">
        <f>IFERROR(__xludf.DUMMYFUNCTION("""COMPUTED_VALUE"""),"50")</f>
        <v>50</v>
      </c>
    </row>
    <row r="1402" ht="15.75" customHeight="1">
      <c r="D1402" s="1" t="str">
        <f>IFERROR(__xludf.DUMMYFUNCTION("""COMPUTED_VALUE"""),"25651")</f>
        <v>25651</v>
      </c>
      <c r="E1402" s="3">
        <f>IFERROR(__xludf.DUMMYFUNCTION("""COMPUTED_VALUE"""),40000.0)</f>
        <v>40000</v>
      </c>
      <c r="F1402" s="1" t="str">
        <f>IFERROR(__xludf.DUMMYFUNCTION("""COMPUTED_VALUE"""),"1")</f>
        <v>1</v>
      </c>
      <c r="G1402" s="1" t="str">
        <f>IFERROR(__xludf.DUMMYFUNCTION("""COMPUTED_VALUE"""),"0")</f>
        <v>0</v>
      </c>
      <c r="H1402" s="1" t="str">
        <f>IFERROR(__xludf.DUMMYFUNCTION("""COMPUTED_VALUE"""),"43")</f>
        <v>43</v>
      </c>
    </row>
    <row r="1403" ht="15.75" customHeight="1">
      <c r="D1403" s="1" t="str">
        <f>IFERROR(__xludf.DUMMYFUNCTION("""COMPUTED_VALUE"""),"22936")</f>
        <v>22936</v>
      </c>
      <c r="E1403" s="3">
        <f>IFERROR(__xludf.DUMMYFUNCTION("""COMPUTED_VALUE"""),60000.0)</f>
        <v>60000</v>
      </c>
      <c r="F1403" s="1" t="str">
        <f>IFERROR(__xludf.DUMMYFUNCTION("""COMPUTED_VALUE"""),"1")</f>
        <v>1</v>
      </c>
      <c r="G1403" s="1" t="str">
        <f>IFERROR(__xludf.DUMMYFUNCTION("""COMPUTED_VALUE"""),"1")</f>
        <v>1</v>
      </c>
      <c r="H1403" s="1" t="str">
        <f>IFERROR(__xludf.DUMMYFUNCTION("""COMPUTED_VALUE"""),"45")</f>
        <v>45</v>
      </c>
    </row>
    <row r="1404" ht="15.75" customHeight="1">
      <c r="D1404" s="1" t="str">
        <f>IFERROR(__xludf.DUMMYFUNCTION("""COMPUTED_VALUE"""),"23915")</f>
        <v>23915</v>
      </c>
      <c r="E1404" s="3">
        <f>IFERROR(__xludf.DUMMYFUNCTION("""COMPUTED_VALUE"""),20000.0)</f>
        <v>20000</v>
      </c>
      <c r="F1404" s="1" t="str">
        <f>IFERROR(__xludf.DUMMYFUNCTION("""COMPUTED_VALUE"""),"2")</f>
        <v>2</v>
      </c>
      <c r="G1404" s="1" t="str">
        <f>IFERROR(__xludf.DUMMYFUNCTION("""COMPUTED_VALUE"""),"2")</f>
        <v>2</v>
      </c>
      <c r="H1404" s="1" t="str">
        <f>IFERROR(__xludf.DUMMYFUNCTION("""COMPUTED_VALUE"""),"42")</f>
        <v>42</v>
      </c>
    </row>
    <row r="1405" ht="15.75" customHeight="1">
      <c r="D1405" s="1" t="str">
        <f>IFERROR(__xludf.DUMMYFUNCTION("""COMPUTED_VALUE"""),"24121")</f>
        <v>24121</v>
      </c>
      <c r="E1405" s="3">
        <f>IFERROR(__xludf.DUMMYFUNCTION("""COMPUTED_VALUE"""),30000.0)</f>
        <v>30000</v>
      </c>
      <c r="F1405" s="1" t="str">
        <f>IFERROR(__xludf.DUMMYFUNCTION("""COMPUTED_VALUE"""),"0")</f>
        <v>0</v>
      </c>
      <c r="G1405" s="1" t="str">
        <f>IFERROR(__xludf.DUMMYFUNCTION("""COMPUTED_VALUE"""),"1")</f>
        <v>1</v>
      </c>
      <c r="H1405" s="1" t="str">
        <f>IFERROR(__xludf.DUMMYFUNCTION("""COMPUTED_VALUE"""),"29")</f>
        <v>29</v>
      </c>
    </row>
    <row r="1406" ht="15.75" customHeight="1">
      <c r="D1406" s="1" t="str">
        <f>IFERROR(__xludf.DUMMYFUNCTION("""COMPUTED_VALUE"""),"27878")</f>
        <v>27878</v>
      </c>
      <c r="E1406" s="3">
        <f>IFERROR(__xludf.DUMMYFUNCTION("""COMPUTED_VALUE"""),20000.0)</f>
        <v>20000</v>
      </c>
      <c r="F1406" s="1" t="str">
        <f>IFERROR(__xludf.DUMMYFUNCTION("""COMPUTED_VALUE"""),"0")</f>
        <v>0</v>
      </c>
      <c r="G1406" s="1" t="str">
        <f>IFERROR(__xludf.DUMMYFUNCTION("""COMPUTED_VALUE"""),"0")</f>
        <v>0</v>
      </c>
      <c r="H1406" s="1" t="str">
        <f>IFERROR(__xludf.DUMMYFUNCTION("""COMPUTED_VALUE"""),"28")</f>
        <v>28</v>
      </c>
    </row>
    <row r="1407" ht="15.75" customHeight="1">
      <c r="D1407" s="1" t="str">
        <f>IFERROR(__xludf.DUMMYFUNCTION("""COMPUTED_VALUE"""),"27941")</f>
        <v>27941</v>
      </c>
      <c r="E1407" s="3">
        <f>IFERROR(__xludf.DUMMYFUNCTION("""COMPUTED_VALUE"""),80000.0)</f>
        <v>80000</v>
      </c>
      <c r="F1407" s="1" t="str">
        <f>IFERROR(__xludf.DUMMYFUNCTION("""COMPUTED_VALUE"""),"4")</f>
        <v>4</v>
      </c>
      <c r="G1407" s="1" t="str">
        <f>IFERROR(__xludf.DUMMYFUNCTION("""COMPUTED_VALUE"""),"2")</f>
        <v>2</v>
      </c>
      <c r="H1407" s="1" t="str">
        <f>IFERROR(__xludf.DUMMYFUNCTION("""COMPUTED_VALUE"""),"53")</f>
        <v>53</v>
      </c>
    </row>
    <row r="1408" ht="15.75" customHeight="1">
      <c r="D1408" s="1" t="str">
        <f>IFERROR(__xludf.DUMMYFUNCTION("""COMPUTED_VALUE"""),"26354")</f>
        <v>26354</v>
      </c>
      <c r="E1408" s="3">
        <f>IFERROR(__xludf.DUMMYFUNCTION("""COMPUTED_VALUE"""),40000.0)</f>
        <v>40000</v>
      </c>
      <c r="F1408" s="1" t="str">
        <f>IFERROR(__xludf.DUMMYFUNCTION("""COMPUTED_VALUE"""),"0")</f>
        <v>0</v>
      </c>
      <c r="G1408" s="1" t="str">
        <f>IFERROR(__xludf.DUMMYFUNCTION("""COMPUTED_VALUE"""),"0")</f>
        <v>0</v>
      </c>
      <c r="H1408" s="1" t="str">
        <f>IFERROR(__xludf.DUMMYFUNCTION("""COMPUTED_VALUE"""),"38")</f>
        <v>38</v>
      </c>
    </row>
    <row r="1409" ht="15.75" customHeight="1">
      <c r="D1409" s="1" t="str">
        <f>IFERROR(__xludf.DUMMYFUNCTION("""COMPUTED_VALUE"""),"14785")</f>
        <v>14785</v>
      </c>
      <c r="E1409" s="3">
        <f>IFERROR(__xludf.DUMMYFUNCTION("""COMPUTED_VALUE"""),30000.0)</f>
        <v>30000</v>
      </c>
      <c r="F1409" s="1" t="str">
        <f>IFERROR(__xludf.DUMMYFUNCTION("""COMPUTED_VALUE"""),"1")</f>
        <v>1</v>
      </c>
      <c r="G1409" s="1" t="str">
        <f>IFERROR(__xludf.DUMMYFUNCTION("""COMPUTED_VALUE"""),"1")</f>
        <v>1</v>
      </c>
      <c r="H1409" s="1" t="str">
        <f>IFERROR(__xludf.DUMMYFUNCTION("""COMPUTED_VALUE"""),"39")</f>
        <v>39</v>
      </c>
    </row>
    <row r="1410" ht="15.75" customHeight="1">
      <c r="D1410" s="1" t="str">
        <f>IFERROR(__xludf.DUMMYFUNCTION("""COMPUTED_VALUE"""),"17238")</f>
        <v>17238</v>
      </c>
      <c r="E1410" s="3">
        <f>IFERROR(__xludf.DUMMYFUNCTION("""COMPUTED_VALUE"""),80000.0)</f>
        <v>80000</v>
      </c>
      <c r="F1410" s="1" t="str">
        <f>IFERROR(__xludf.DUMMYFUNCTION("""COMPUTED_VALUE"""),"0")</f>
        <v>0</v>
      </c>
      <c r="G1410" s="1" t="str">
        <f>IFERROR(__xludf.DUMMYFUNCTION("""COMPUTED_VALUE"""),"3")</f>
        <v>3</v>
      </c>
      <c r="H1410" s="1" t="str">
        <f>IFERROR(__xludf.DUMMYFUNCTION("""COMPUTED_VALUE"""),"32")</f>
        <v>32</v>
      </c>
    </row>
    <row r="1411" ht="15.75" customHeight="1">
      <c r="D1411" s="1" t="str">
        <f>IFERROR(__xludf.DUMMYFUNCTION("""COMPUTED_VALUE"""),"23608")</f>
        <v>23608</v>
      </c>
      <c r="E1411" s="3">
        <f>IFERROR(__xludf.DUMMYFUNCTION("""COMPUTED_VALUE"""),150000.0)</f>
        <v>150000</v>
      </c>
      <c r="F1411" s="1" t="str">
        <f>IFERROR(__xludf.DUMMYFUNCTION("""COMPUTED_VALUE"""),"3")</f>
        <v>3</v>
      </c>
      <c r="G1411" s="1" t="str">
        <f>IFERROR(__xludf.DUMMYFUNCTION("""COMPUTED_VALUE"""),"3")</f>
        <v>3</v>
      </c>
      <c r="H1411" s="1" t="str">
        <f>IFERROR(__xludf.DUMMYFUNCTION("""COMPUTED_VALUE"""),"51")</f>
        <v>51</v>
      </c>
    </row>
    <row r="1412" ht="15.75" customHeight="1">
      <c r="D1412" s="1" t="str">
        <f>IFERROR(__xludf.DUMMYFUNCTION("""COMPUTED_VALUE"""),"22538")</f>
        <v>22538</v>
      </c>
      <c r="E1412" s="3">
        <f>IFERROR(__xludf.DUMMYFUNCTION("""COMPUTED_VALUE"""),10000.0)</f>
        <v>10000</v>
      </c>
      <c r="F1412" s="1" t="str">
        <f>IFERROR(__xludf.DUMMYFUNCTION("""COMPUTED_VALUE"""),"0")</f>
        <v>0</v>
      </c>
      <c r="G1412" s="1" t="str">
        <f>IFERROR(__xludf.DUMMYFUNCTION("""COMPUTED_VALUE"""),"2")</f>
        <v>2</v>
      </c>
      <c r="H1412" s="1" t="str">
        <f>IFERROR(__xludf.DUMMYFUNCTION("""COMPUTED_VALUE"""),"33")</f>
        <v>33</v>
      </c>
    </row>
    <row r="1413" ht="15.75" customHeight="1">
      <c r="D1413" s="1" t="str">
        <f>IFERROR(__xludf.DUMMYFUNCTION("""COMPUTED_VALUE"""),"12332")</f>
        <v>12332</v>
      </c>
      <c r="E1413" s="3">
        <f>IFERROR(__xludf.DUMMYFUNCTION("""COMPUTED_VALUE"""),90000.0)</f>
        <v>90000</v>
      </c>
      <c r="F1413" s="1" t="str">
        <f>IFERROR(__xludf.DUMMYFUNCTION("""COMPUTED_VALUE"""),"4")</f>
        <v>4</v>
      </c>
      <c r="G1413" s="1" t="str">
        <f>IFERROR(__xludf.DUMMYFUNCTION("""COMPUTED_VALUE"""),"3")</f>
        <v>3</v>
      </c>
      <c r="H1413" s="1" t="str">
        <f>IFERROR(__xludf.DUMMYFUNCTION("""COMPUTED_VALUE"""),"58")</f>
        <v>58</v>
      </c>
    </row>
    <row r="1414" ht="15.75" customHeight="1">
      <c r="D1414" s="1" t="str">
        <f>IFERROR(__xludf.DUMMYFUNCTION("""COMPUTED_VALUE"""),"17230")</f>
        <v>17230</v>
      </c>
      <c r="E1414" s="3">
        <f>IFERROR(__xludf.DUMMYFUNCTION("""COMPUTED_VALUE"""),80000.0)</f>
        <v>80000</v>
      </c>
      <c r="F1414" s="1" t="str">
        <f>IFERROR(__xludf.DUMMYFUNCTION("""COMPUTED_VALUE"""),"0")</f>
        <v>0</v>
      </c>
      <c r="G1414" s="1" t="str">
        <f>IFERROR(__xludf.DUMMYFUNCTION("""COMPUTED_VALUE"""),"3")</f>
        <v>3</v>
      </c>
      <c r="H1414" s="1" t="str">
        <f>IFERROR(__xludf.DUMMYFUNCTION("""COMPUTED_VALUE"""),"30")</f>
        <v>30</v>
      </c>
    </row>
    <row r="1415" ht="15.75" customHeight="1">
      <c r="D1415" s="1" t="str">
        <f>IFERROR(__xludf.DUMMYFUNCTION("""COMPUTED_VALUE"""),"13082")</f>
        <v>13082</v>
      </c>
      <c r="E1415" s="3">
        <f>IFERROR(__xludf.DUMMYFUNCTION("""COMPUTED_VALUE"""),130000.0)</f>
        <v>130000</v>
      </c>
      <c r="F1415" s="1" t="str">
        <f>IFERROR(__xludf.DUMMYFUNCTION("""COMPUTED_VALUE"""),"0")</f>
        <v>0</v>
      </c>
      <c r="G1415" s="1" t="str">
        <f>IFERROR(__xludf.DUMMYFUNCTION("""COMPUTED_VALUE"""),"0")</f>
        <v>0</v>
      </c>
      <c r="H1415" s="1" t="str">
        <f>IFERROR(__xludf.DUMMYFUNCTION("""COMPUTED_VALUE"""),"48")</f>
        <v>48</v>
      </c>
    </row>
    <row r="1416" ht="15.75" customHeight="1">
      <c r="D1416" s="1" t="str">
        <f>IFERROR(__xludf.DUMMYFUNCTION("""COMPUTED_VALUE"""),"22518")</f>
        <v>22518</v>
      </c>
      <c r="E1416" s="3">
        <f>IFERROR(__xludf.DUMMYFUNCTION("""COMPUTED_VALUE"""),30000.0)</f>
        <v>30000</v>
      </c>
      <c r="F1416" s="1" t="str">
        <f>IFERROR(__xludf.DUMMYFUNCTION("""COMPUTED_VALUE"""),"3")</f>
        <v>3</v>
      </c>
      <c r="G1416" s="1" t="str">
        <f>IFERROR(__xludf.DUMMYFUNCTION("""COMPUTED_VALUE"""),"2")</f>
        <v>2</v>
      </c>
      <c r="H1416" s="1" t="str">
        <f>IFERROR(__xludf.DUMMYFUNCTION("""COMPUTED_VALUE"""),"27")</f>
        <v>27</v>
      </c>
    </row>
    <row r="1417" ht="15.75" customHeight="1">
      <c r="D1417" s="1" t="str">
        <f>IFERROR(__xludf.DUMMYFUNCTION("""COMPUTED_VALUE"""),"13687")</f>
        <v>13687</v>
      </c>
      <c r="E1417" s="3">
        <f>IFERROR(__xludf.DUMMYFUNCTION("""COMPUTED_VALUE"""),40000.0)</f>
        <v>40000</v>
      </c>
      <c r="F1417" s="1" t="str">
        <f>IFERROR(__xludf.DUMMYFUNCTION("""COMPUTED_VALUE"""),"1")</f>
        <v>1</v>
      </c>
      <c r="G1417" s="1" t="str">
        <f>IFERROR(__xludf.DUMMYFUNCTION("""COMPUTED_VALUE"""),"1")</f>
        <v>1</v>
      </c>
      <c r="H1417" s="1" t="str">
        <f>IFERROR(__xludf.DUMMYFUNCTION("""COMPUTED_VALUE"""),"33")</f>
        <v>33</v>
      </c>
    </row>
    <row r="1418" ht="15.75" customHeight="1">
      <c r="D1418" s="1" t="str">
        <f>IFERROR(__xludf.DUMMYFUNCTION("""COMPUTED_VALUE"""),"23571")</f>
        <v>23571</v>
      </c>
      <c r="E1418" s="3">
        <f>IFERROR(__xludf.DUMMYFUNCTION("""COMPUTED_VALUE"""),40000.0)</f>
        <v>40000</v>
      </c>
      <c r="F1418" s="1" t="str">
        <f>IFERROR(__xludf.DUMMYFUNCTION("""COMPUTED_VALUE"""),"2")</f>
        <v>2</v>
      </c>
      <c r="G1418" s="1" t="str">
        <f>IFERROR(__xludf.DUMMYFUNCTION("""COMPUTED_VALUE"""),"2")</f>
        <v>2</v>
      </c>
      <c r="H1418" s="1" t="str">
        <f>IFERROR(__xludf.DUMMYFUNCTION("""COMPUTED_VALUE"""),"66")</f>
        <v>66</v>
      </c>
    </row>
    <row r="1419" ht="15.75" customHeight="1">
      <c r="D1419" s="1" t="str">
        <f>IFERROR(__xludf.DUMMYFUNCTION("""COMPUTED_VALUE"""),"19305")</f>
        <v>19305</v>
      </c>
      <c r="E1419" s="3">
        <f>IFERROR(__xludf.DUMMYFUNCTION("""COMPUTED_VALUE"""),10000.0)</f>
        <v>10000</v>
      </c>
      <c r="F1419" s="1" t="str">
        <f>IFERROR(__xludf.DUMMYFUNCTION("""COMPUTED_VALUE"""),"2")</f>
        <v>2</v>
      </c>
      <c r="G1419" s="1" t="str">
        <f>IFERROR(__xludf.DUMMYFUNCTION("""COMPUTED_VALUE"""),"1")</f>
        <v>1</v>
      </c>
      <c r="H1419" s="1" t="str">
        <f>IFERROR(__xludf.DUMMYFUNCTION("""COMPUTED_VALUE"""),"38")</f>
        <v>38</v>
      </c>
    </row>
    <row r="1420" ht="15.75" customHeight="1">
      <c r="D1420" s="1" t="str">
        <f>IFERROR(__xludf.DUMMYFUNCTION("""COMPUTED_VALUE"""),"22636")</f>
        <v>22636</v>
      </c>
      <c r="E1420" s="3">
        <f>IFERROR(__xludf.DUMMYFUNCTION("""COMPUTED_VALUE"""),40000.0)</f>
        <v>40000</v>
      </c>
      <c r="F1420" s="1" t="str">
        <f>IFERROR(__xludf.DUMMYFUNCTION("""COMPUTED_VALUE"""),"0")</f>
        <v>0</v>
      </c>
      <c r="G1420" s="1" t="str">
        <f>IFERROR(__xludf.DUMMYFUNCTION("""COMPUTED_VALUE"""),"0")</f>
        <v>0</v>
      </c>
      <c r="H1420" s="1" t="str">
        <f>IFERROR(__xludf.DUMMYFUNCTION("""COMPUTED_VALUE"""),"38")</f>
        <v>38</v>
      </c>
    </row>
    <row r="1421" ht="15.75" customHeight="1">
      <c r="D1421" s="1" t="str">
        <f>IFERROR(__xludf.DUMMYFUNCTION("""COMPUTED_VALUE"""),"17310")</f>
        <v>17310</v>
      </c>
      <c r="E1421" s="3">
        <f>IFERROR(__xludf.DUMMYFUNCTION("""COMPUTED_VALUE"""),60000.0)</f>
        <v>60000</v>
      </c>
      <c r="F1421" s="1" t="str">
        <f>IFERROR(__xludf.DUMMYFUNCTION("""COMPUTED_VALUE"""),"1")</f>
        <v>1</v>
      </c>
      <c r="G1421" s="1" t="str">
        <f>IFERROR(__xludf.DUMMYFUNCTION("""COMPUTED_VALUE"""),"1")</f>
        <v>1</v>
      </c>
      <c r="H1421" s="1" t="str">
        <f>IFERROR(__xludf.DUMMYFUNCTION("""COMPUTED_VALUE"""),"45")</f>
        <v>45</v>
      </c>
    </row>
    <row r="1422" ht="15.75" customHeight="1">
      <c r="D1422" s="1" t="str">
        <f>IFERROR(__xludf.DUMMYFUNCTION("""COMPUTED_VALUE"""),"12133")</f>
        <v>12133</v>
      </c>
      <c r="E1422" s="3">
        <f>IFERROR(__xludf.DUMMYFUNCTION("""COMPUTED_VALUE"""),130000.0)</f>
        <v>130000</v>
      </c>
      <c r="F1422" s="1" t="str">
        <f>IFERROR(__xludf.DUMMYFUNCTION("""COMPUTED_VALUE"""),"3")</f>
        <v>3</v>
      </c>
      <c r="G1422" s="1" t="str">
        <f>IFERROR(__xludf.DUMMYFUNCTION("""COMPUTED_VALUE"""),"3")</f>
        <v>3</v>
      </c>
      <c r="H1422" s="1" t="str">
        <f>IFERROR(__xludf.DUMMYFUNCTION("""COMPUTED_VALUE"""),"50")</f>
        <v>50</v>
      </c>
    </row>
    <row r="1423" ht="15.75" customHeight="1">
      <c r="D1423" s="1" t="str">
        <f>IFERROR(__xludf.DUMMYFUNCTION("""COMPUTED_VALUE"""),"25918")</f>
        <v>25918</v>
      </c>
      <c r="E1423" s="3">
        <f>IFERROR(__xludf.DUMMYFUNCTION("""COMPUTED_VALUE"""),30000.0)</f>
        <v>30000</v>
      </c>
      <c r="F1423" s="1" t="str">
        <f>IFERROR(__xludf.DUMMYFUNCTION("""COMPUTED_VALUE"""),"2")</f>
        <v>2</v>
      </c>
      <c r="G1423" s="1" t="str">
        <f>IFERROR(__xludf.DUMMYFUNCTION("""COMPUTED_VALUE"""),"2")</f>
        <v>2</v>
      </c>
      <c r="H1423" s="1" t="str">
        <f>IFERROR(__xludf.DUMMYFUNCTION("""COMPUTED_VALUE"""),"60")</f>
        <v>60</v>
      </c>
    </row>
    <row r="1424" ht="15.75" customHeight="1">
      <c r="D1424" s="1" t="str">
        <f>IFERROR(__xludf.DUMMYFUNCTION("""COMPUTED_VALUE"""),"25752")</f>
        <v>25752</v>
      </c>
      <c r="E1424" s="3">
        <f>IFERROR(__xludf.DUMMYFUNCTION("""COMPUTED_VALUE"""),20000.0)</f>
        <v>20000</v>
      </c>
      <c r="F1424" s="1" t="str">
        <f>IFERROR(__xludf.DUMMYFUNCTION("""COMPUTED_VALUE"""),"2")</f>
        <v>2</v>
      </c>
      <c r="G1424" s="1" t="str">
        <f>IFERROR(__xludf.DUMMYFUNCTION("""COMPUTED_VALUE"""),"1")</f>
        <v>1</v>
      </c>
      <c r="H1424" s="1" t="str">
        <f>IFERROR(__xludf.DUMMYFUNCTION("""COMPUTED_VALUE"""),"53")</f>
        <v>53</v>
      </c>
    </row>
    <row r="1425" ht="15.75" customHeight="1">
      <c r="D1425" s="1" t="str">
        <f>IFERROR(__xludf.DUMMYFUNCTION("""COMPUTED_VALUE"""),"17324")</f>
        <v>17324</v>
      </c>
      <c r="E1425" s="3">
        <f>IFERROR(__xludf.DUMMYFUNCTION("""COMPUTED_VALUE"""),100000.0)</f>
        <v>100000</v>
      </c>
      <c r="F1425" s="1" t="str">
        <f>IFERROR(__xludf.DUMMYFUNCTION("""COMPUTED_VALUE"""),"4")</f>
        <v>4</v>
      </c>
      <c r="G1425" s="1" t="str">
        <f>IFERROR(__xludf.DUMMYFUNCTION("""COMPUTED_VALUE"""),"1")</f>
        <v>1</v>
      </c>
      <c r="H1425" s="1" t="str">
        <f>IFERROR(__xludf.DUMMYFUNCTION("""COMPUTED_VALUE"""),"46")</f>
        <v>46</v>
      </c>
    </row>
    <row r="1426" ht="15.75" customHeight="1">
      <c r="D1426" s="1" t="str">
        <f>IFERROR(__xludf.DUMMYFUNCTION("""COMPUTED_VALUE"""),"12510")</f>
        <v>12510</v>
      </c>
      <c r="E1426" s="3">
        <f>IFERROR(__xludf.DUMMYFUNCTION("""COMPUTED_VALUE"""),40000.0)</f>
        <v>40000</v>
      </c>
      <c r="F1426" s="1" t="str">
        <f>IFERROR(__xludf.DUMMYFUNCTION("""COMPUTED_VALUE"""),"1")</f>
        <v>1</v>
      </c>
      <c r="G1426" s="1" t="str">
        <f>IFERROR(__xludf.DUMMYFUNCTION("""COMPUTED_VALUE"""),"1")</f>
        <v>1</v>
      </c>
      <c r="H1426" s="1" t="str">
        <f>IFERROR(__xludf.DUMMYFUNCTION("""COMPUTED_VALUE"""),"43")</f>
        <v>43</v>
      </c>
    </row>
    <row r="1427" ht="15.75" customHeight="1">
      <c r="D1427" s="1" t="str">
        <f>IFERROR(__xludf.DUMMYFUNCTION("""COMPUTED_VALUE"""),"25512")</f>
        <v>25512</v>
      </c>
      <c r="E1427" s="3">
        <f>IFERROR(__xludf.DUMMYFUNCTION("""COMPUTED_VALUE"""),20000.0)</f>
        <v>20000</v>
      </c>
      <c r="F1427" s="1" t="str">
        <f>IFERROR(__xludf.DUMMYFUNCTION("""COMPUTED_VALUE"""),"0")</f>
        <v>0</v>
      </c>
      <c r="G1427" s="1" t="str">
        <f>IFERROR(__xludf.DUMMYFUNCTION("""COMPUTED_VALUE"""),"1")</f>
        <v>1</v>
      </c>
      <c r="H1427" s="1" t="str">
        <f>IFERROR(__xludf.DUMMYFUNCTION("""COMPUTED_VALUE"""),"30")</f>
        <v>30</v>
      </c>
    </row>
    <row r="1428" ht="15.75" customHeight="1">
      <c r="D1428" s="1" t="str">
        <f>IFERROR(__xludf.DUMMYFUNCTION("""COMPUTED_VALUE"""),"16179")</f>
        <v>16179</v>
      </c>
      <c r="E1428" s="3">
        <f>IFERROR(__xludf.DUMMYFUNCTION("""COMPUTED_VALUE"""),80000.0)</f>
        <v>80000</v>
      </c>
      <c r="F1428" s="1" t="str">
        <f>IFERROR(__xludf.DUMMYFUNCTION("""COMPUTED_VALUE"""),"5")</f>
        <v>5</v>
      </c>
      <c r="G1428" s="1" t="str">
        <f>IFERROR(__xludf.DUMMYFUNCTION("""COMPUTED_VALUE"""),"4")</f>
        <v>4</v>
      </c>
      <c r="H1428" s="1" t="str">
        <f>IFERROR(__xludf.DUMMYFUNCTION("""COMPUTED_VALUE"""),"38")</f>
        <v>38</v>
      </c>
    </row>
    <row r="1429" ht="15.75" customHeight="1">
      <c r="D1429" s="1" t="str">
        <f>IFERROR(__xludf.DUMMYFUNCTION("""COMPUTED_VALUE"""),"15628")</f>
        <v>15628</v>
      </c>
      <c r="E1429" s="3">
        <f>IFERROR(__xludf.DUMMYFUNCTION("""COMPUTED_VALUE"""),40000.0)</f>
        <v>40000</v>
      </c>
      <c r="F1429" s="1" t="str">
        <f>IFERROR(__xludf.DUMMYFUNCTION("""COMPUTED_VALUE"""),"1")</f>
        <v>1</v>
      </c>
      <c r="G1429" s="1" t="str">
        <f>IFERROR(__xludf.DUMMYFUNCTION("""COMPUTED_VALUE"""),"1")</f>
        <v>1</v>
      </c>
      <c r="H1429" s="1" t="str">
        <f>IFERROR(__xludf.DUMMYFUNCTION("""COMPUTED_VALUE"""),"89")</f>
        <v>89</v>
      </c>
    </row>
    <row r="1430" ht="15.75" customHeight="1">
      <c r="D1430" s="1" t="str">
        <f>IFERROR(__xludf.DUMMYFUNCTION("""COMPUTED_VALUE"""),"20977")</f>
        <v>20977</v>
      </c>
      <c r="E1430" s="3">
        <f>IFERROR(__xludf.DUMMYFUNCTION("""COMPUTED_VALUE"""),20000.0)</f>
        <v>20000</v>
      </c>
      <c r="F1430" s="1" t="str">
        <f>IFERROR(__xludf.DUMMYFUNCTION("""COMPUTED_VALUE"""),"1")</f>
        <v>1</v>
      </c>
      <c r="G1430" s="1" t="str">
        <f>IFERROR(__xludf.DUMMYFUNCTION("""COMPUTED_VALUE"""),"0")</f>
        <v>0</v>
      </c>
      <c r="H1430" s="1" t="str">
        <f>IFERROR(__xludf.DUMMYFUNCTION("""COMPUTED_VALUE"""),"64")</f>
        <v>64</v>
      </c>
    </row>
    <row r="1431" ht="15.75" customHeight="1">
      <c r="D1431" s="1" t="str">
        <f>IFERROR(__xludf.DUMMYFUNCTION("""COMPUTED_VALUE"""),"18140")</f>
        <v>18140</v>
      </c>
      <c r="E1431" s="3">
        <f>IFERROR(__xludf.DUMMYFUNCTION("""COMPUTED_VALUE"""),130000.0)</f>
        <v>130000</v>
      </c>
      <c r="F1431" s="1" t="str">
        <f>IFERROR(__xludf.DUMMYFUNCTION("""COMPUTED_VALUE"""),"3")</f>
        <v>3</v>
      </c>
      <c r="G1431" s="1" t="str">
        <f>IFERROR(__xludf.DUMMYFUNCTION("""COMPUTED_VALUE"""),"3")</f>
        <v>3</v>
      </c>
      <c r="H1431" s="1" t="str">
        <f>IFERROR(__xludf.DUMMYFUNCTION("""COMPUTED_VALUE"""),"51")</f>
        <v>51</v>
      </c>
    </row>
    <row r="1432" ht="15.75" customHeight="1">
      <c r="D1432" s="1" t="str">
        <f>IFERROR(__xludf.DUMMYFUNCTION("""COMPUTED_VALUE"""),"20417")</f>
        <v>20417</v>
      </c>
      <c r="E1432" s="3">
        <f>IFERROR(__xludf.DUMMYFUNCTION("""COMPUTED_VALUE"""),30000.0)</f>
        <v>30000</v>
      </c>
      <c r="F1432" s="1" t="str">
        <f>IFERROR(__xludf.DUMMYFUNCTION("""COMPUTED_VALUE"""),"3")</f>
        <v>3</v>
      </c>
      <c r="G1432" s="1" t="str">
        <f>IFERROR(__xludf.DUMMYFUNCTION("""COMPUTED_VALUE"""),"2")</f>
        <v>2</v>
      </c>
      <c r="H1432" s="1" t="str">
        <f>IFERROR(__xludf.DUMMYFUNCTION("""COMPUTED_VALUE"""),"56")</f>
        <v>56</v>
      </c>
    </row>
    <row r="1433" ht="15.75" customHeight="1">
      <c r="D1433" s="1" t="str">
        <f>IFERROR(__xludf.DUMMYFUNCTION("""COMPUTED_VALUE"""),"18267")</f>
        <v>18267</v>
      </c>
      <c r="E1433" s="3">
        <f>IFERROR(__xludf.DUMMYFUNCTION("""COMPUTED_VALUE"""),60000.0)</f>
        <v>60000</v>
      </c>
      <c r="F1433" s="1" t="str">
        <f>IFERROR(__xludf.DUMMYFUNCTION("""COMPUTED_VALUE"""),"3")</f>
        <v>3</v>
      </c>
      <c r="G1433" s="1" t="str">
        <f>IFERROR(__xludf.DUMMYFUNCTION("""COMPUTED_VALUE"""),"2")</f>
        <v>2</v>
      </c>
      <c r="H1433" s="1" t="str">
        <f>IFERROR(__xludf.DUMMYFUNCTION("""COMPUTED_VALUE"""),"43")</f>
        <v>43</v>
      </c>
    </row>
    <row r="1434" ht="15.75" customHeight="1">
      <c r="D1434" s="1" t="str">
        <f>IFERROR(__xludf.DUMMYFUNCTION("""COMPUTED_VALUE"""),"13620")</f>
        <v>13620</v>
      </c>
      <c r="E1434" s="3">
        <f>IFERROR(__xludf.DUMMYFUNCTION("""COMPUTED_VALUE"""),70000.0)</f>
        <v>70000</v>
      </c>
      <c r="F1434" s="1" t="str">
        <f>IFERROR(__xludf.DUMMYFUNCTION("""COMPUTED_VALUE"""),"0")</f>
        <v>0</v>
      </c>
      <c r="G1434" s="1" t="str">
        <f>IFERROR(__xludf.DUMMYFUNCTION("""COMPUTED_VALUE"""),"3")</f>
        <v>3</v>
      </c>
      <c r="H1434" s="1" t="str">
        <f>IFERROR(__xludf.DUMMYFUNCTION("""COMPUTED_VALUE"""),"30")</f>
        <v>30</v>
      </c>
    </row>
    <row r="1435" ht="15.75" customHeight="1">
      <c r="D1435" s="1" t="str">
        <f>IFERROR(__xludf.DUMMYFUNCTION("""COMPUTED_VALUE"""),"22974")</f>
        <v>22974</v>
      </c>
      <c r="E1435" s="3">
        <f>IFERROR(__xludf.DUMMYFUNCTION("""COMPUTED_VALUE"""),30000.0)</f>
        <v>30000</v>
      </c>
      <c r="F1435" s="1" t="str">
        <f>IFERROR(__xludf.DUMMYFUNCTION("""COMPUTED_VALUE"""),"2")</f>
        <v>2</v>
      </c>
      <c r="G1435" s="1" t="str">
        <f>IFERROR(__xludf.DUMMYFUNCTION("""COMPUTED_VALUE"""),"2")</f>
        <v>2</v>
      </c>
      <c r="H1435" s="1" t="str">
        <f>IFERROR(__xludf.DUMMYFUNCTION("""COMPUTED_VALUE"""),"69")</f>
        <v>69</v>
      </c>
    </row>
    <row r="1436" ht="15.75" customHeight="1">
      <c r="D1436" s="1" t="str">
        <f>IFERROR(__xludf.DUMMYFUNCTION("""COMPUTED_VALUE"""),"13586")</f>
        <v>13586</v>
      </c>
      <c r="E1436" s="3">
        <f>IFERROR(__xludf.DUMMYFUNCTION("""COMPUTED_VALUE"""),80000.0)</f>
        <v>80000</v>
      </c>
      <c r="F1436" s="1" t="str">
        <f>IFERROR(__xludf.DUMMYFUNCTION("""COMPUTED_VALUE"""),"4")</f>
        <v>4</v>
      </c>
      <c r="G1436" s="1" t="str">
        <f>IFERROR(__xludf.DUMMYFUNCTION("""COMPUTED_VALUE"""),"2")</f>
        <v>2</v>
      </c>
      <c r="H1436" s="1" t="str">
        <f>IFERROR(__xludf.DUMMYFUNCTION("""COMPUTED_VALUE"""),"53")</f>
        <v>53</v>
      </c>
    </row>
    <row r="1437" ht="15.75" customHeight="1">
      <c r="D1437" s="1" t="str">
        <f>IFERROR(__xludf.DUMMYFUNCTION("""COMPUTED_VALUE"""),"17978")</f>
        <v>17978</v>
      </c>
      <c r="E1437" s="3">
        <f>IFERROR(__xludf.DUMMYFUNCTION("""COMPUTED_VALUE"""),40000.0)</f>
        <v>40000</v>
      </c>
      <c r="F1437" s="1" t="str">
        <f>IFERROR(__xludf.DUMMYFUNCTION("""COMPUTED_VALUE"""),"0")</f>
        <v>0</v>
      </c>
      <c r="G1437" s="1" t="str">
        <f>IFERROR(__xludf.DUMMYFUNCTION("""COMPUTED_VALUE"""),"0")</f>
        <v>0</v>
      </c>
      <c r="H1437" s="1" t="str">
        <f>IFERROR(__xludf.DUMMYFUNCTION("""COMPUTED_VALUE"""),"37")</f>
        <v>37</v>
      </c>
    </row>
    <row r="1438" ht="15.75" customHeight="1">
      <c r="D1438" s="1" t="str">
        <f>IFERROR(__xludf.DUMMYFUNCTION("""COMPUTED_VALUE"""),"12581")</f>
        <v>12581</v>
      </c>
      <c r="E1438" s="3">
        <f>IFERROR(__xludf.DUMMYFUNCTION("""COMPUTED_VALUE"""),10000.0)</f>
        <v>10000</v>
      </c>
      <c r="F1438" s="1" t="str">
        <f>IFERROR(__xludf.DUMMYFUNCTION("""COMPUTED_VALUE"""),"0")</f>
        <v>0</v>
      </c>
      <c r="G1438" s="1" t="str">
        <f>IFERROR(__xludf.DUMMYFUNCTION("""COMPUTED_VALUE"""),"1")</f>
        <v>1</v>
      </c>
      <c r="H1438" s="1" t="str">
        <f>IFERROR(__xludf.DUMMYFUNCTION("""COMPUTED_VALUE"""),"28")</f>
        <v>28</v>
      </c>
    </row>
    <row r="1439" ht="15.75" customHeight="1">
      <c r="D1439" s="1" t="str">
        <f>IFERROR(__xludf.DUMMYFUNCTION("""COMPUTED_VALUE"""),"18018")</f>
        <v>18018</v>
      </c>
      <c r="E1439" s="3">
        <f>IFERROR(__xludf.DUMMYFUNCTION("""COMPUTED_VALUE"""),30000.0)</f>
        <v>30000</v>
      </c>
      <c r="F1439" s="1" t="str">
        <f>IFERROR(__xludf.DUMMYFUNCTION("""COMPUTED_VALUE"""),"3")</f>
        <v>3</v>
      </c>
      <c r="G1439" s="1" t="str">
        <f>IFERROR(__xludf.DUMMYFUNCTION("""COMPUTED_VALUE"""),"0")</f>
        <v>0</v>
      </c>
      <c r="H1439" s="1" t="str">
        <f>IFERROR(__xludf.DUMMYFUNCTION("""COMPUTED_VALUE"""),"43")</f>
        <v>43</v>
      </c>
    </row>
    <row r="1440" ht="15.75" customHeight="1">
      <c r="D1440" s="1" t="str">
        <f>IFERROR(__xludf.DUMMYFUNCTION("""COMPUTED_VALUE"""),"28957")</f>
        <v>28957</v>
      </c>
      <c r="E1440" s="3">
        <f>IFERROR(__xludf.DUMMYFUNCTION("""COMPUTED_VALUE"""),120000.0)</f>
        <v>120000</v>
      </c>
      <c r="F1440" s="1" t="str">
        <f>IFERROR(__xludf.DUMMYFUNCTION("""COMPUTED_VALUE"""),"0")</f>
        <v>0</v>
      </c>
      <c r="G1440" s="1" t="str">
        <f>IFERROR(__xludf.DUMMYFUNCTION("""COMPUTED_VALUE"""),"4")</f>
        <v>4</v>
      </c>
      <c r="H1440" s="1" t="str">
        <f>IFERROR(__xludf.DUMMYFUNCTION("""COMPUTED_VALUE"""),"34")</f>
        <v>34</v>
      </c>
    </row>
    <row r="1441" ht="15.75" customHeight="1">
      <c r="D1441" s="1" t="str">
        <f>IFERROR(__xludf.DUMMYFUNCTION("""COMPUTED_VALUE"""),"13690")</f>
        <v>13690</v>
      </c>
      <c r="E1441" s="3">
        <f>IFERROR(__xludf.DUMMYFUNCTION("""COMPUTED_VALUE"""),20000.0)</f>
        <v>20000</v>
      </c>
      <c r="F1441" s="1" t="str">
        <f>IFERROR(__xludf.DUMMYFUNCTION("""COMPUTED_VALUE"""),"0")</f>
        <v>0</v>
      </c>
      <c r="G1441" s="1" t="str">
        <f>IFERROR(__xludf.DUMMYFUNCTION("""COMPUTED_VALUE"""),"2")</f>
        <v>2</v>
      </c>
      <c r="H1441" s="1" t="str">
        <f>IFERROR(__xludf.DUMMYFUNCTION("""COMPUTED_VALUE"""),"34")</f>
        <v>34</v>
      </c>
    </row>
    <row r="1442" ht="15.75" customHeight="1">
      <c r="D1442" s="1" t="str">
        <f>IFERROR(__xludf.DUMMYFUNCTION("""COMPUTED_VALUE"""),"12568")</f>
        <v>12568</v>
      </c>
      <c r="E1442" s="3">
        <f>IFERROR(__xludf.DUMMYFUNCTION("""COMPUTED_VALUE"""),30000.0)</f>
        <v>30000</v>
      </c>
      <c r="F1442" s="1" t="str">
        <f>IFERROR(__xludf.DUMMYFUNCTION("""COMPUTED_VALUE"""),"1")</f>
        <v>1</v>
      </c>
      <c r="G1442" s="1" t="str">
        <f>IFERROR(__xludf.DUMMYFUNCTION("""COMPUTED_VALUE"""),"0")</f>
        <v>0</v>
      </c>
      <c r="H1442" s="1" t="str">
        <f>IFERROR(__xludf.DUMMYFUNCTION("""COMPUTED_VALUE"""),"64")</f>
        <v>64</v>
      </c>
    </row>
    <row r="1443" ht="15.75" customHeight="1">
      <c r="D1443" s="1" t="str">
        <f>IFERROR(__xludf.DUMMYFUNCTION("""COMPUTED_VALUE"""),"13122")</f>
        <v>13122</v>
      </c>
      <c r="E1443" s="3">
        <f>IFERROR(__xludf.DUMMYFUNCTION("""COMPUTED_VALUE"""),80000.0)</f>
        <v>80000</v>
      </c>
      <c r="F1443" s="1" t="str">
        <f>IFERROR(__xludf.DUMMYFUNCTION("""COMPUTED_VALUE"""),"0")</f>
        <v>0</v>
      </c>
      <c r="G1443" s="1" t="str">
        <f>IFERROR(__xludf.DUMMYFUNCTION("""COMPUTED_VALUE"""),"1")</f>
        <v>1</v>
      </c>
      <c r="H1443" s="1" t="str">
        <f>IFERROR(__xludf.DUMMYFUNCTION("""COMPUTED_VALUE"""),"41")</f>
        <v>41</v>
      </c>
    </row>
    <row r="1444" ht="15.75" customHeight="1">
      <c r="D1444" s="1" t="str">
        <f>IFERROR(__xludf.DUMMYFUNCTION("""COMPUTED_VALUE"""),"21184")</f>
        <v>21184</v>
      </c>
      <c r="E1444" s="3">
        <f>IFERROR(__xludf.DUMMYFUNCTION("""COMPUTED_VALUE"""),70000.0)</f>
        <v>70000</v>
      </c>
      <c r="F1444" s="1" t="str">
        <f>IFERROR(__xludf.DUMMYFUNCTION("""COMPUTED_VALUE"""),"0")</f>
        <v>0</v>
      </c>
      <c r="G1444" s="1" t="str">
        <f>IFERROR(__xludf.DUMMYFUNCTION("""COMPUTED_VALUE"""),"1")</f>
        <v>1</v>
      </c>
      <c r="H1444" s="1" t="str">
        <f>IFERROR(__xludf.DUMMYFUNCTION("""COMPUTED_VALUE"""),"38")</f>
        <v>38</v>
      </c>
    </row>
    <row r="1445" ht="15.75" customHeight="1">
      <c r="D1445" s="1" t="str">
        <f>IFERROR(__xludf.DUMMYFUNCTION("""COMPUTED_VALUE"""),"26150")</f>
        <v>26150</v>
      </c>
      <c r="E1445" s="3">
        <f>IFERROR(__xludf.DUMMYFUNCTION("""COMPUTED_VALUE"""),70000.0)</f>
        <v>70000</v>
      </c>
      <c r="F1445" s="1" t="str">
        <f>IFERROR(__xludf.DUMMYFUNCTION("""COMPUTED_VALUE"""),"0")</f>
        <v>0</v>
      </c>
      <c r="G1445" s="1" t="str">
        <f>IFERROR(__xludf.DUMMYFUNCTION("""COMPUTED_VALUE"""),"1")</f>
        <v>1</v>
      </c>
      <c r="H1445" s="1" t="str">
        <f>IFERROR(__xludf.DUMMYFUNCTION("""COMPUTED_VALUE"""),"41")</f>
        <v>41</v>
      </c>
    </row>
    <row r="1446" ht="15.75" customHeight="1">
      <c r="D1446" s="1" t="str">
        <f>IFERROR(__xludf.DUMMYFUNCTION("""COMPUTED_VALUE"""),"24151")</f>
        <v>24151</v>
      </c>
      <c r="E1446" s="3">
        <f>IFERROR(__xludf.DUMMYFUNCTION("""COMPUTED_VALUE"""),20000.0)</f>
        <v>20000</v>
      </c>
      <c r="F1446" s="1" t="str">
        <f>IFERROR(__xludf.DUMMYFUNCTION("""COMPUTED_VALUE"""),"1")</f>
        <v>1</v>
      </c>
      <c r="G1446" s="1" t="str">
        <f>IFERROR(__xludf.DUMMYFUNCTION("""COMPUTED_VALUE"""),"0")</f>
        <v>0</v>
      </c>
      <c r="H1446" s="1" t="str">
        <f>IFERROR(__xludf.DUMMYFUNCTION("""COMPUTED_VALUE"""),"51")</f>
        <v>51</v>
      </c>
    </row>
    <row r="1447" ht="15.75" customHeight="1">
      <c r="D1447" s="1" t="str">
        <f>IFERROR(__xludf.DUMMYFUNCTION("""COMPUTED_VALUE"""),"23962")</f>
        <v>23962</v>
      </c>
      <c r="E1447" s="3">
        <f>IFERROR(__xludf.DUMMYFUNCTION("""COMPUTED_VALUE"""),10000.0)</f>
        <v>10000</v>
      </c>
      <c r="F1447" s="1" t="str">
        <f>IFERROR(__xludf.DUMMYFUNCTION("""COMPUTED_VALUE"""),"0")</f>
        <v>0</v>
      </c>
      <c r="G1447" s="1" t="str">
        <f>IFERROR(__xludf.DUMMYFUNCTION("""COMPUTED_VALUE"""),"2")</f>
        <v>2</v>
      </c>
      <c r="H1447" s="1" t="str">
        <f>IFERROR(__xludf.DUMMYFUNCTION("""COMPUTED_VALUE"""),"32")</f>
        <v>32</v>
      </c>
    </row>
    <row r="1448" ht="15.75" customHeight="1">
      <c r="D1448" s="1" t="str">
        <f>IFERROR(__xludf.DUMMYFUNCTION("""COMPUTED_VALUE"""),"17793")</f>
        <v>17793</v>
      </c>
      <c r="E1448" s="3">
        <f>IFERROR(__xludf.DUMMYFUNCTION("""COMPUTED_VALUE"""),40000.0)</f>
        <v>40000</v>
      </c>
      <c r="F1448" s="1" t="str">
        <f>IFERROR(__xludf.DUMMYFUNCTION("""COMPUTED_VALUE"""),"0")</f>
        <v>0</v>
      </c>
      <c r="G1448" s="1" t="str">
        <f>IFERROR(__xludf.DUMMYFUNCTION("""COMPUTED_VALUE"""),"0")</f>
        <v>0</v>
      </c>
      <c r="H1448" s="1" t="str">
        <f>IFERROR(__xludf.DUMMYFUNCTION("""COMPUTED_VALUE"""),"38")</f>
        <v>38</v>
      </c>
    </row>
    <row r="1449" ht="15.75" customHeight="1">
      <c r="D1449" s="1" t="str">
        <f>IFERROR(__xludf.DUMMYFUNCTION("""COMPUTED_VALUE"""),"14926")</f>
        <v>14926</v>
      </c>
      <c r="E1449" s="3">
        <f>IFERROR(__xludf.DUMMYFUNCTION("""COMPUTED_VALUE"""),30000.0)</f>
        <v>30000</v>
      </c>
      <c r="F1449" s="1" t="str">
        <f>IFERROR(__xludf.DUMMYFUNCTION("""COMPUTED_VALUE"""),"1")</f>
        <v>1</v>
      </c>
      <c r="G1449" s="1" t="str">
        <f>IFERROR(__xludf.DUMMYFUNCTION("""COMPUTED_VALUE"""),"0")</f>
        <v>0</v>
      </c>
      <c r="H1449" s="1" t="str">
        <f>IFERROR(__xludf.DUMMYFUNCTION("""COMPUTED_VALUE"""),"38")</f>
        <v>38</v>
      </c>
    </row>
    <row r="1450" ht="15.75" customHeight="1">
      <c r="D1450" s="1" t="str">
        <f>IFERROR(__xludf.DUMMYFUNCTION("""COMPUTED_VALUE"""),"16163")</f>
        <v>16163</v>
      </c>
      <c r="E1450" s="3">
        <f>IFERROR(__xludf.DUMMYFUNCTION("""COMPUTED_VALUE"""),60000.0)</f>
        <v>60000</v>
      </c>
      <c r="F1450" s="1" t="str">
        <f>IFERROR(__xludf.DUMMYFUNCTION("""COMPUTED_VALUE"""),"2")</f>
        <v>2</v>
      </c>
      <c r="G1450" s="1" t="str">
        <f>IFERROR(__xludf.DUMMYFUNCTION("""COMPUTED_VALUE"""),"1")</f>
        <v>1</v>
      </c>
      <c r="H1450" s="1" t="str">
        <f>IFERROR(__xludf.DUMMYFUNCTION("""COMPUTED_VALUE"""),"38")</f>
        <v>38</v>
      </c>
    </row>
    <row r="1451" ht="15.75" customHeight="1">
      <c r="D1451" s="1" t="str">
        <f>IFERROR(__xludf.DUMMYFUNCTION("""COMPUTED_VALUE"""),"21365")</f>
        <v>21365</v>
      </c>
      <c r="E1451" s="3">
        <f>IFERROR(__xludf.DUMMYFUNCTION("""COMPUTED_VALUE"""),10000.0)</f>
        <v>10000</v>
      </c>
      <c r="F1451" s="1" t="str">
        <f>IFERROR(__xludf.DUMMYFUNCTION("""COMPUTED_VALUE"""),"2")</f>
        <v>2</v>
      </c>
      <c r="G1451" s="1" t="str">
        <f>IFERROR(__xludf.DUMMYFUNCTION("""COMPUTED_VALUE"""),"2")</f>
        <v>2</v>
      </c>
      <c r="H1451" s="1" t="str">
        <f>IFERROR(__xludf.DUMMYFUNCTION("""COMPUTED_VALUE"""),"58")</f>
        <v>58</v>
      </c>
    </row>
    <row r="1452" ht="15.75" customHeight="1">
      <c r="D1452" s="1" t="str">
        <f>IFERROR(__xludf.DUMMYFUNCTION("""COMPUTED_VALUE"""),"27771")</f>
        <v>27771</v>
      </c>
      <c r="E1452" s="3">
        <f>IFERROR(__xludf.DUMMYFUNCTION("""COMPUTED_VALUE"""),30000.0)</f>
        <v>30000</v>
      </c>
      <c r="F1452" s="1" t="str">
        <f>IFERROR(__xludf.DUMMYFUNCTION("""COMPUTED_VALUE"""),"1")</f>
        <v>1</v>
      </c>
      <c r="G1452" s="1" t="str">
        <f>IFERROR(__xludf.DUMMYFUNCTION("""COMPUTED_VALUE"""),"1")</f>
        <v>1</v>
      </c>
      <c r="H1452" s="1" t="str">
        <f>IFERROR(__xludf.DUMMYFUNCTION("""COMPUTED_VALUE"""),"39")</f>
        <v>39</v>
      </c>
    </row>
    <row r="1453" ht="15.75" customHeight="1">
      <c r="D1453" s="1" t="str">
        <f>IFERROR(__xludf.DUMMYFUNCTION("""COMPUTED_VALUE"""),"26167")</f>
        <v>26167</v>
      </c>
      <c r="E1453" s="3">
        <f>IFERROR(__xludf.DUMMYFUNCTION("""COMPUTED_VALUE"""),40000.0)</f>
        <v>40000</v>
      </c>
      <c r="F1453" s="1" t="str">
        <f>IFERROR(__xludf.DUMMYFUNCTION("""COMPUTED_VALUE"""),"2")</f>
        <v>2</v>
      </c>
      <c r="G1453" s="1" t="str">
        <f>IFERROR(__xludf.DUMMYFUNCTION("""COMPUTED_VALUE"""),"1")</f>
        <v>1</v>
      </c>
      <c r="H1453" s="1" t="str">
        <f>IFERROR(__xludf.DUMMYFUNCTION("""COMPUTED_VALUE"""),"53")</f>
        <v>53</v>
      </c>
    </row>
    <row r="1454" ht="15.75" customHeight="1">
      <c r="D1454" s="1" t="str">
        <f>IFERROR(__xludf.DUMMYFUNCTION("""COMPUTED_VALUE"""),"25792")</f>
        <v>25792</v>
      </c>
      <c r="E1454" s="3">
        <f>IFERROR(__xludf.DUMMYFUNCTION("""COMPUTED_VALUE"""),110000.0)</f>
        <v>110000</v>
      </c>
      <c r="F1454" s="1" t="str">
        <f>IFERROR(__xludf.DUMMYFUNCTION("""COMPUTED_VALUE"""),"3")</f>
        <v>3</v>
      </c>
      <c r="G1454" s="1" t="str">
        <f>IFERROR(__xludf.DUMMYFUNCTION("""COMPUTED_VALUE"""),"4")</f>
        <v>4</v>
      </c>
      <c r="H1454" s="1" t="str">
        <f>IFERROR(__xludf.DUMMYFUNCTION("""COMPUTED_VALUE"""),"53")</f>
        <v>53</v>
      </c>
    </row>
    <row r="1455" ht="15.75" customHeight="1">
      <c r="D1455" s="1" t="str">
        <f>IFERROR(__xludf.DUMMYFUNCTION("""COMPUTED_VALUE"""),"11555")</f>
        <v>11555</v>
      </c>
      <c r="E1455" s="3">
        <f>IFERROR(__xludf.DUMMYFUNCTION("""COMPUTED_VALUE"""),40000.0)</f>
        <v>40000</v>
      </c>
      <c r="F1455" s="1" t="str">
        <f>IFERROR(__xludf.DUMMYFUNCTION("""COMPUTED_VALUE"""),"1")</f>
        <v>1</v>
      </c>
      <c r="G1455" s="1" t="str">
        <f>IFERROR(__xludf.DUMMYFUNCTION("""COMPUTED_VALUE"""),"0")</f>
        <v>0</v>
      </c>
      <c r="H1455" s="1" t="str">
        <f>IFERROR(__xludf.DUMMYFUNCTION("""COMPUTED_VALUE"""),"80")</f>
        <v>80</v>
      </c>
    </row>
    <row r="1456" ht="15.75" customHeight="1">
      <c r="D1456" s="1" t="str">
        <f>IFERROR(__xludf.DUMMYFUNCTION("""COMPUTED_VALUE"""),"22381")</f>
        <v>22381</v>
      </c>
      <c r="E1456" s="3">
        <f>IFERROR(__xludf.DUMMYFUNCTION("""COMPUTED_VALUE"""),10000.0)</f>
        <v>10000</v>
      </c>
      <c r="F1456" s="1" t="str">
        <f>IFERROR(__xludf.DUMMYFUNCTION("""COMPUTED_VALUE"""),"1")</f>
        <v>1</v>
      </c>
      <c r="G1456" s="1" t="str">
        <f>IFERROR(__xludf.DUMMYFUNCTION("""COMPUTED_VALUE"""),"0")</f>
        <v>0</v>
      </c>
      <c r="H1456" s="1" t="str">
        <f>IFERROR(__xludf.DUMMYFUNCTION("""COMPUTED_VALUE"""),"44")</f>
        <v>44</v>
      </c>
    </row>
    <row r="1457" ht="15.75" customHeight="1">
      <c r="D1457" s="1" t="str">
        <f>IFERROR(__xludf.DUMMYFUNCTION("""COMPUTED_VALUE"""),"17882")</f>
        <v>17882</v>
      </c>
      <c r="E1457" s="3">
        <f>IFERROR(__xludf.DUMMYFUNCTION("""COMPUTED_VALUE"""),20000.0)</f>
        <v>20000</v>
      </c>
      <c r="F1457" s="1" t="str">
        <f>IFERROR(__xludf.DUMMYFUNCTION("""COMPUTED_VALUE"""),"1")</f>
        <v>1</v>
      </c>
      <c r="G1457" s="1" t="str">
        <f>IFERROR(__xludf.DUMMYFUNCTION("""COMPUTED_VALUE"""),"0")</f>
        <v>0</v>
      </c>
      <c r="H1457" s="1" t="str">
        <f>IFERROR(__xludf.DUMMYFUNCTION("""COMPUTED_VALUE"""),"44")</f>
        <v>44</v>
      </c>
    </row>
    <row r="1458" ht="15.75" customHeight="1">
      <c r="D1458" s="1" t="str">
        <f>IFERROR(__xludf.DUMMYFUNCTION("""COMPUTED_VALUE"""),"22174")</f>
        <v>22174</v>
      </c>
      <c r="E1458" s="3">
        <f>IFERROR(__xludf.DUMMYFUNCTION("""COMPUTED_VALUE"""),30000.0)</f>
        <v>30000</v>
      </c>
      <c r="F1458" s="1" t="str">
        <f>IFERROR(__xludf.DUMMYFUNCTION("""COMPUTED_VALUE"""),"3")</f>
        <v>3</v>
      </c>
      <c r="G1458" s="1" t="str">
        <f>IFERROR(__xludf.DUMMYFUNCTION("""COMPUTED_VALUE"""),"2")</f>
        <v>2</v>
      </c>
      <c r="H1458" s="1" t="str">
        <f>IFERROR(__xludf.DUMMYFUNCTION("""COMPUTED_VALUE"""),"54")</f>
        <v>54</v>
      </c>
    </row>
    <row r="1459" ht="15.75" customHeight="1">
      <c r="D1459" s="1" t="str">
        <f>IFERROR(__xludf.DUMMYFUNCTION("""COMPUTED_VALUE"""),"22439")</f>
        <v>22439</v>
      </c>
      <c r="E1459" s="3">
        <f>IFERROR(__xludf.DUMMYFUNCTION("""COMPUTED_VALUE"""),30000.0)</f>
        <v>30000</v>
      </c>
      <c r="F1459" s="1" t="str">
        <f>IFERROR(__xludf.DUMMYFUNCTION("""COMPUTED_VALUE"""),"0")</f>
        <v>0</v>
      </c>
      <c r="G1459" s="1" t="str">
        <f>IFERROR(__xludf.DUMMYFUNCTION("""COMPUTED_VALUE"""),"0")</f>
        <v>0</v>
      </c>
      <c r="H1459" s="1" t="str">
        <f>IFERROR(__xludf.DUMMYFUNCTION("""COMPUTED_VALUE"""),"37")</f>
        <v>37</v>
      </c>
    </row>
    <row r="1460" ht="15.75" customHeight="1">
      <c r="D1460" s="1" t="str">
        <f>IFERROR(__xludf.DUMMYFUNCTION("""COMPUTED_VALUE"""),"18012")</f>
        <v>18012</v>
      </c>
      <c r="E1460" s="3">
        <f>IFERROR(__xludf.DUMMYFUNCTION("""COMPUTED_VALUE"""),40000.0)</f>
        <v>40000</v>
      </c>
      <c r="F1460" s="1" t="str">
        <f>IFERROR(__xludf.DUMMYFUNCTION("""COMPUTED_VALUE"""),"1")</f>
        <v>1</v>
      </c>
      <c r="G1460" s="1" t="str">
        <f>IFERROR(__xludf.DUMMYFUNCTION("""COMPUTED_VALUE"""),"0")</f>
        <v>0</v>
      </c>
      <c r="H1460" s="1" t="str">
        <f>IFERROR(__xludf.DUMMYFUNCTION("""COMPUTED_VALUE"""),"41")</f>
        <v>41</v>
      </c>
    </row>
    <row r="1461" ht="15.75" customHeight="1">
      <c r="D1461" s="1" t="str">
        <f>IFERROR(__xludf.DUMMYFUNCTION("""COMPUTED_VALUE"""),"27582")</f>
        <v>27582</v>
      </c>
      <c r="E1461" s="3">
        <f>IFERROR(__xludf.DUMMYFUNCTION("""COMPUTED_VALUE"""),90000.0)</f>
        <v>90000</v>
      </c>
      <c r="F1461" s="1" t="str">
        <f>IFERROR(__xludf.DUMMYFUNCTION("""COMPUTED_VALUE"""),"2")</f>
        <v>2</v>
      </c>
      <c r="G1461" s="1" t="str">
        <f>IFERROR(__xludf.DUMMYFUNCTION("""COMPUTED_VALUE"""),"0")</f>
        <v>0</v>
      </c>
      <c r="H1461" s="1" t="str">
        <f>IFERROR(__xludf.DUMMYFUNCTION("""COMPUTED_VALUE"""),"36")</f>
        <v>36</v>
      </c>
    </row>
    <row r="1462" ht="15.75" customHeight="1">
      <c r="D1462" s="1" t="str">
        <f>IFERROR(__xludf.DUMMYFUNCTION("""COMPUTED_VALUE"""),"12744")</f>
        <v>12744</v>
      </c>
      <c r="E1462" s="3">
        <f>IFERROR(__xludf.DUMMYFUNCTION("""COMPUTED_VALUE"""),40000.0)</f>
        <v>40000</v>
      </c>
      <c r="F1462" s="1" t="str">
        <f>IFERROR(__xludf.DUMMYFUNCTION("""COMPUTED_VALUE"""),"2")</f>
        <v>2</v>
      </c>
      <c r="G1462" s="1" t="str">
        <f>IFERROR(__xludf.DUMMYFUNCTION("""COMPUTED_VALUE"""),"0")</f>
        <v>0</v>
      </c>
      <c r="H1462" s="1" t="str">
        <f>IFERROR(__xludf.DUMMYFUNCTION("""COMPUTED_VALUE"""),"33")</f>
        <v>33</v>
      </c>
    </row>
    <row r="1463" ht="15.75" customHeight="1">
      <c r="D1463" s="1" t="str">
        <f>IFERROR(__xludf.DUMMYFUNCTION("""COMPUTED_VALUE"""),"22821")</f>
        <v>22821</v>
      </c>
      <c r="E1463" s="3">
        <f>IFERROR(__xludf.DUMMYFUNCTION("""COMPUTED_VALUE"""),130000.0)</f>
        <v>130000</v>
      </c>
      <c r="F1463" s="1" t="str">
        <f>IFERROR(__xludf.DUMMYFUNCTION("""COMPUTED_VALUE"""),"3")</f>
        <v>3</v>
      </c>
      <c r="G1463" s="1" t="str">
        <f>IFERROR(__xludf.DUMMYFUNCTION("""COMPUTED_VALUE"""),"4")</f>
        <v>4</v>
      </c>
      <c r="H1463" s="1" t="str">
        <f>IFERROR(__xludf.DUMMYFUNCTION("""COMPUTED_VALUE"""),"52")</f>
        <v>52</v>
      </c>
    </row>
    <row r="1464" ht="15.75" customHeight="1">
      <c r="D1464" s="1" t="str">
        <f>IFERROR(__xludf.DUMMYFUNCTION("""COMPUTED_VALUE"""),"20171")</f>
        <v>20171</v>
      </c>
      <c r="E1464" s="3">
        <f>IFERROR(__xludf.DUMMYFUNCTION("""COMPUTED_VALUE"""),20000.0)</f>
        <v>20000</v>
      </c>
      <c r="F1464" s="1" t="str">
        <f>IFERROR(__xludf.DUMMYFUNCTION("""COMPUTED_VALUE"""),"2")</f>
        <v>2</v>
      </c>
      <c r="G1464" s="1" t="str">
        <f>IFERROR(__xludf.DUMMYFUNCTION("""COMPUTED_VALUE"""),"1")</f>
        <v>1</v>
      </c>
      <c r="H1464" s="1" t="str">
        <f>IFERROR(__xludf.DUMMYFUNCTION("""COMPUTED_VALUE"""),"46")</f>
        <v>46</v>
      </c>
    </row>
    <row r="1465" ht="15.75" customHeight="1">
      <c r="D1465" s="1" t="str">
        <f>IFERROR(__xludf.DUMMYFUNCTION("""COMPUTED_VALUE"""),"11116")</f>
        <v>11116</v>
      </c>
      <c r="E1465" s="3">
        <f>IFERROR(__xludf.DUMMYFUNCTION("""COMPUTED_VALUE"""),70000.0)</f>
        <v>70000</v>
      </c>
      <c r="F1465" s="1" t="str">
        <f>IFERROR(__xludf.DUMMYFUNCTION("""COMPUTED_VALUE"""),"5")</f>
        <v>5</v>
      </c>
      <c r="G1465" s="1" t="str">
        <f>IFERROR(__xludf.DUMMYFUNCTION("""COMPUTED_VALUE"""),"2")</f>
        <v>2</v>
      </c>
      <c r="H1465" s="1" t="str">
        <f>IFERROR(__xludf.DUMMYFUNCTION("""COMPUTED_VALUE"""),"43")</f>
        <v>43</v>
      </c>
    </row>
    <row r="1466" ht="15.75" customHeight="1">
      <c r="D1466" s="1" t="str">
        <f>IFERROR(__xludf.DUMMYFUNCTION("""COMPUTED_VALUE"""),"20053")</f>
        <v>20053</v>
      </c>
      <c r="E1466" s="3">
        <f>IFERROR(__xludf.DUMMYFUNCTION("""COMPUTED_VALUE"""),40000.0)</f>
        <v>40000</v>
      </c>
      <c r="F1466" s="1" t="str">
        <f>IFERROR(__xludf.DUMMYFUNCTION("""COMPUTED_VALUE"""),"2")</f>
        <v>2</v>
      </c>
      <c r="G1466" s="1" t="str">
        <f>IFERROR(__xludf.DUMMYFUNCTION("""COMPUTED_VALUE"""),"0")</f>
        <v>0</v>
      </c>
      <c r="H1466" s="1" t="str">
        <f>IFERROR(__xludf.DUMMYFUNCTION("""COMPUTED_VALUE"""),"34")</f>
        <v>34</v>
      </c>
    </row>
    <row r="1467" ht="15.75" customHeight="1">
      <c r="D1467" s="1" t="str">
        <f>IFERROR(__xludf.DUMMYFUNCTION("""COMPUTED_VALUE"""),"25266")</f>
        <v>25266</v>
      </c>
      <c r="E1467" s="3">
        <f>IFERROR(__xludf.DUMMYFUNCTION("""COMPUTED_VALUE"""),30000.0)</f>
        <v>30000</v>
      </c>
      <c r="F1467" s="1" t="str">
        <f>IFERROR(__xludf.DUMMYFUNCTION("""COMPUTED_VALUE"""),"2")</f>
        <v>2</v>
      </c>
      <c r="G1467" s="1" t="str">
        <f>IFERROR(__xludf.DUMMYFUNCTION("""COMPUTED_VALUE"""),"2")</f>
        <v>2</v>
      </c>
      <c r="H1467" s="1" t="str">
        <f>IFERROR(__xludf.DUMMYFUNCTION("""COMPUTED_VALUE"""),"67")</f>
        <v>67</v>
      </c>
    </row>
    <row r="1468" ht="15.75" customHeight="1">
      <c r="D1468" s="1" t="str">
        <f>IFERROR(__xludf.DUMMYFUNCTION("""COMPUTED_VALUE"""),"17960")</f>
        <v>17960</v>
      </c>
      <c r="E1468" s="3">
        <f>IFERROR(__xludf.DUMMYFUNCTION("""COMPUTED_VALUE"""),40000.0)</f>
        <v>40000</v>
      </c>
      <c r="F1468" s="1" t="str">
        <f>IFERROR(__xludf.DUMMYFUNCTION("""COMPUTED_VALUE"""),"0")</f>
        <v>0</v>
      </c>
      <c r="G1468" s="1" t="str">
        <f>IFERROR(__xludf.DUMMYFUNCTION("""COMPUTED_VALUE"""),"0")</f>
        <v>0</v>
      </c>
      <c r="H1468" s="1" t="str">
        <f>IFERROR(__xludf.DUMMYFUNCTION("""COMPUTED_VALUE"""),"35")</f>
        <v>35</v>
      </c>
    </row>
    <row r="1469" ht="15.75" customHeight="1">
      <c r="D1469" s="1" t="str">
        <f>IFERROR(__xludf.DUMMYFUNCTION("""COMPUTED_VALUE"""),"13961")</f>
        <v>13961</v>
      </c>
      <c r="E1469" s="3">
        <f>IFERROR(__xludf.DUMMYFUNCTION("""COMPUTED_VALUE"""),80000.0)</f>
        <v>80000</v>
      </c>
      <c r="F1469" s="1" t="str">
        <f>IFERROR(__xludf.DUMMYFUNCTION("""COMPUTED_VALUE"""),"5")</f>
        <v>5</v>
      </c>
      <c r="G1469" s="1" t="str">
        <f>IFERROR(__xludf.DUMMYFUNCTION("""COMPUTED_VALUE"""),"3")</f>
        <v>3</v>
      </c>
      <c r="H1469" s="1" t="str">
        <f>IFERROR(__xludf.DUMMYFUNCTION("""COMPUTED_VALUE"""),"40")</f>
        <v>40</v>
      </c>
    </row>
    <row r="1470" ht="15.75" customHeight="1">
      <c r="D1470" s="1" t="str">
        <f>IFERROR(__xludf.DUMMYFUNCTION("""COMPUTED_VALUE"""),"11897")</f>
        <v>11897</v>
      </c>
      <c r="E1470" s="3">
        <f>IFERROR(__xludf.DUMMYFUNCTION("""COMPUTED_VALUE"""),60000.0)</f>
        <v>60000</v>
      </c>
      <c r="F1470" s="1" t="str">
        <f>IFERROR(__xludf.DUMMYFUNCTION("""COMPUTED_VALUE"""),"2")</f>
        <v>2</v>
      </c>
      <c r="G1470" s="1" t="str">
        <f>IFERROR(__xludf.DUMMYFUNCTION("""COMPUTED_VALUE"""),"1")</f>
        <v>1</v>
      </c>
      <c r="H1470" s="1" t="str">
        <f>IFERROR(__xludf.DUMMYFUNCTION("""COMPUTED_VALUE"""),"37")</f>
        <v>37</v>
      </c>
    </row>
    <row r="1471" ht="15.75" customHeight="1">
      <c r="D1471" s="1" t="str">
        <f>IFERROR(__xludf.DUMMYFUNCTION("""COMPUTED_VALUE"""),"11139")</f>
        <v>11139</v>
      </c>
      <c r="E1471" s="3">
        <f>IFERROR(__xludf.DUMMYFUNCTION("""COMPUTED_VALUE"""),30000.0)</f>
        <v>30000</v>
      </c>
      <c r="F1471" s="1" t="str">
        <f>IFERROR(__xludf.DUMMYFUNCTION("""COMPUTED_VALUE"""),"2")</f>
        <v>2</v>
      </c>
      <c r="G1471" s="1" t="str">
        <f>IFERROR(__xludf.DUMMYFUNCTION("""COMPUTED_VALUE"""),"2")</f>
        <v>2</v>
      </c>
      <c r="H1471" s="1" t="str">
        <f>IFERROR(__xludf.DUMMYFUNCTION("""COMPUTED_VALUE"""),"67")</f>
        <v>67</v>
      </c>
    </row>
    <row r="1472" ht="15.75" customHeight="1">
      <c r="D1472" s="1" t="str">
        <f>IFERROR(__xludf.DUMMYFUNCTION("""COMPUTED_VALUE"""),"11576")</f>
        <v>11576</v>
      </c>
      <c r="E1472" s="3">
        <f>IFERROR(__xludf.DUMMYFUNCTION("""COMPUTED_VALUE"""),30000.0)</f>
        <v>30000</v>
      </c>
      <c r="F1472" s="1" t="str">
        <f>IFERROR(__xludf.DUMMYFUNCTION("""COMPUTED_VALUE"""),"1")</f>
        <v>1</v>
      </c>
      <c r="G1472" s="1" t="str">
        <f>IFERROR(__xludf.DUMMYFUNCTION("""COMPUTED_VALUE"""),"2")</f>
        <v>2</v>
      </c>
      <c r="H1472" s="1" t="str">
        <f>IFERROR(__xludf.DUMMYFUNCTION("""COMPUTED_VALUE"""),"41")</f>
        <v>41</v>
      </c>
    </row>
    <row r="1473" ht="15.75" customHeight="1">
      <c r="D1473" s="1" t="str">
        <f>IFERROR(__xludf.DUMMYFUNCTION("""COMPUTED_VALUE"""),"19255")</f>
        <v>19255</v>
      </c>
      <c r="E1473" s="3">
        <f>IFERROR(__xludf.DUMMYFUNCTION("""COMPUTED_VALUE"""),10000.0)</f>
        <v>10000</v>
      </c>
      <c r="F1473" s="1" t="str">
        <f>IFERROR(__xludf.DUMMYFUNCTION("""COMPUTED_VALUE"""),"2")</f>
        <v>2</v>
      </c>
      <c r="G1473" s="1" t="str">
        <f>IFERROR(__xludf.DUMMYFUNCTION("""COMPUTED_VALUE"""),"1")</f>
        <v>1</v>
      </c>
      <c r="H1473" s="1" t="str">
        <f>IFERROR(__xludf.DUMMYFUNCTION("""COMPUTED_VALUE"""),"51")</f>
        <v>51</v>
      </c>
    </row>
    <row r="1474" ht="15.75" customHeight="1">
      <c r="D1474" s="1" t="str">
        <f>IFERROR(__xludf.DUMMYFUNCTION("""COMPUTED_VALUE"""),"18153")</f>
        <v>18153</v>
      </c>
      <c r="E1474" s="3">
        <f>IFERROR(__xludf.DUMMYFUNCTION("""COMPUTED_VALUE"""),100000.0)</f>
        <v>100000</v>
      </c>
      <c r="F1474" s="1" t="str">
        <f>IFERROR(__xludf.DUMMYFUNCTION("""COMPUTED_VALUE"""),"2")</f>
        <v>2</v>
      </c>
      <c r="G1474" s="1" t="str">
        <f>IFERROR(__xludf.DUMMYFUNCTION("""COMPUTED_VALUE"""),"4")</f>
        <v>4</v>
      </c>
      <c r="H1474" s="1" t="str">
        <f>IFERROR(__xludf.DUMMYFUNCTION("""COMPUTED_VALUE"""),"59")</f>
        <v>59</v>
      </c>
    </row>
    <row r="1475" ht="15.75" customHeight="1">
      <c r="D1475" s="1" t="str">
        <f>IFERROR(__xludf.DUMMYFUNCTION("""COMPUTED_VALUE"""),"14547")</f>
        <v>14547</v>
      </c>
      <c r="E1475" s="3">
        <f>IFERROR(__xludf.DUMMYFUNCTION("""COMPUTED_VALUE"""),10000.0)</f>
        <v>10000</v>
      </c>
      <c r="F1475" s="1" t="str">
        <f>IFERROR(__xludf.DUMMYFUNCTION("""COMPUTED_VALUE"""),"2")</f>
        <v>2</v>
      </c>
      <c r="G1475" s="1" t="str">
        <f>IFERROR(__xludf.DUMMYFUNCTION("""COMPUTED_VALUE"""),"0")</f>
        <v>0</v>
      </c>
      <c r="H1475" s="1" t="str">
        <f>IFERROR(__xludf.DUMMYFUNCTION("""COMPUTED_VALUE"""),"51")</f>
        <v>51</v>
      </c>
    </row>
    <row r="1476" ht="15.75" customHeight="1">
      <c r="D1476" s="1" t="str">
        <f>IFERROR(__xludf.DUMMYFUNCTION("""COMPUTED_VALUE"""),"24901")</f>
        <v>24901</v>
      </c>
      <c r="E1476" s="3">
        <f>IFERROR(__xludf.DUMMYFUNCTION("""COMPUTED_VALUE"""),110000.0)</f>
        <v>110000</v>
      </c>
      <c r="F1476" s="1" t="str">
        <f>IFERROR(__xludf.DUMMYFUNCTION("""COMPUTED_VALUE"""),"0")</f>
        <v>0</v>
      </c>
      <c r="G1476" s="1" t="str">
        <f>IFERROR(__xludf.DUMMYFUNCTION("""COMPUTED_VALUE"""),"3")</f>
        <v>3</v>
      </c>
      <c r="H1476" s="1" t="str">
        <f>IFERROR(__xludf.DUMMYFUNCTION("""COMPUTED_VALUE"""),"32")</f>
        <v>32</v>
      </c>
    </row>
    <row r="1477" ht="15.75" customHeight="1">
      <c r="D1477" s="1" t="str">
        <f>IFERROR(__xludf.DUMMYFUNCTION("""COMPUTED_VALUE"""),"27169")</f>
        <v>27169</v>
      </c>
      <c r="E1477" s="3">
        <f>IFERROR(__xludf.DUMMYFUNCTION("""COMPUTED_VALUE"""),30000.0)</f>
        <v>30000</v>
      </c>
      <c r="F1477" s="1" t="str">
        <f>IFERROR(__xludf.DUMMYFUNCTION("""COMPUTED_VALUE"""),"0")</f>
        <v>0</v>
      </c>
      <c r="G1477" s="1" t="str">
        <f>IFERROR(__xludf.DUMMYFUNCTION("""COMPUTED_VALUE"""),"1")</f>
        <v>1</v>
      </c>
      <c r="H1477" s="1" t="str">
        <f>IFERROR(__xludf.DUMMYFUNCTION("""COMPUTED_VALUE"""),"34")</f>
        <v>34</v>
      </c>
    </row>
    <row r="1478" ht="15.75" customHeight="1">
      <c r="D1478" s="1" t="str">
        <f>IFERROR(__xludf.DUMMYFUNCTION("""COMPUTED_VALUE"""),"14805")</f>
        <v>14805</v>
      </c>
      <c r="E1478" s="3">
        <f>IFERROR(__xludf.DUMMYFUNCTION("""COMPUTED_VALUE"""),10000.0)</f>
        <v>10000</v>
      </c>
      <c r="F1478" s="1" t="str">
        <f>IFERROR(__xludf.DUMMYFUNCTION("""COMPUTED_VALUE"""),"3")</f>
        <v>3</v>
      </c>
      <c r="G1478" s="1" t="str">
        <f>IFERROR(__xludf.DUMMYFUNCTION("""COMPUTED_VALUE"""),"2")</f>
        <v>2</v>
      </c>
      <c r="H1478" s="1" t="str">
        <f>IFERROR(__xludf.DUMMYFUNCTION("""COMPUTED_VALUE"""),"43")</f>
        <v>43</v>
      </c>
    </row>
    <row r="1479" ht="15.75" customHeight="1">
      <c r="D1479" s="1" t="str">
        <f>IFERROR(__xludf.DUMMYFUNCTION("""COMPUTED_VALUE"""),"15822")</f>
        <v>15822</v>
      </c>
      <c r="E1479" s="3">
        <f>IFERROR(__xludf.DUMMYFUNCTION("""COMPUTED_VALUE"""),40000.0)</f>
        <v>40000</v>
      </c>
      <c r="F1479" s="1" t="str">
        <f>IFERROR(__xludf.DUMMYFUNCTION("""COMPUTED_VALUE"""),"2")</f>
        <v>2</v>
      </c>
      <c r="G1479" s="1" t="str">
        <f>IFERROR(__xludf.DUMMYFUNCTION("""COMPUTED_VALUE"""),"2")</f>
        <v>2</v>
      </c>
      <c r="H1479" s="1" t="str">
        <f>IFERROR(__xludf.DUMMYFUNCTION("""COMPUTED_VALUE"""),"67")</f>
        <v>67</v>
      </c>
    </row>
    <row r="1480" ht="15.75" customHeight="1">
      <c r="D1480" s="1" t="str">
        <f>IFERROR(__xludf.DUMMYFUNCTION("""COMPUTED_VALUE"""),"19389")</f>
        <v>19389</v>
      </c>
      <c r="E1480" s="3">
        <f>IFERROR(__xludf.DUMMYFUNCTION("""COMPUTED_VALUE"""),30000.0)</f>
        <v>30000</v>
      </c>
      <c r="F1480" s="1" t="str">
        <f>IFERROR(__xludf.DUMMYFUNCTION("""COMPUTED_VALUE"""),"0")</f>
        <v>0</v>
      </c>
      <c r="G1480" s="1" t="str">
        <f>IFERROR(__xludf.DUMMYFUNCTION("""COMPUTED_VALUE"""),"1")</f>
        <v>1</v>
      </c>
      <c r="H1480" s="1" t="str">
        <f>IFERROR(__xludf.DUMMYFUNCTION("""COMPUTED_VALUE"""),"28")</f>
        <v>28</v>
      </c>
    </row>
    <row r="1481" ht="15.75" customHeight="1">
      <c r="D1481" s="1" t="str">
        <f>IFERROR(__xludf.DUMMYFUNCTION("""COMPUTED_VALUE"""),"17048")</f>
        <v>17048</v>
      </c>
      <c r="E1481" s="3">
        <f>IFERROR(__xludf.DUMMYFUNCTION("""COMPUTED_VALUE"""),90000.0)</f>
        <v>90000</v>
      </c>
      <c r="F1481" s="1" t="str">
        <f>IFERROR(__xludf.DUMMYFUNCTION("""COMPUTED_VALUE"""),"1")</f>
        <v>1</v>
      </c>
      <c r="G1481" s="1" t="str">
        <f>IFERROR(__xludf.DUMMYFUNCTION("""COMPUTED_VALUE"""),"0")</f>
        <v>0</v>
      </c>
      <c r="H1481" s="1" t="str">
        <f>IFERROR(__xludf.DUMMYFUNCTION("""COMPUTED_VALUE"""),"36")</f>
        <v>36</v>
      </c>
    </row>
    <row r="1482" ht="15.75" customHeight="1">
      <c r="D1482" s="1" t="str">
        <f>IFERROR(__xludf.DUMMYFUNCTION("""COMPUTED_VALUE"""),"22204")</f>
        <v>22204</v>
      </c>
      <c r="E1482" s="3">
        <f>IFERROR(__xludf.DUMMYFUNCTION("""COMPUTED_VALUE"""),110000.0)</f>
        <v>110000</v>
      </c>
      <c r="F1482" s="1" t="str">
        <f>IFERROR(__xludf.DUMMYFUNCTION("""COMPUTED_VALUE"""),"4")</f>
        <v>4</v>
      </c>
      <c r="G1482" s="1" t="str">
        <f>IFERROR(__xludf.DUMMYFUNCTION("""COMPUTED_VALUE"""),"3")</f>
        <v>3</v>
      </c>
      <c r="H1482" s="1" t="str">
        <f>IFERROR(__xludf.DUMMYFUNCTION("""COMPUTED_VALUE"""),"48")</f>
        <v>48</v>
      </c>
    </row>
    <row r="1483" ht="15.75" customHeight="1">
      <c r="D1483" s="1" t="str">
        <f>IFERROR(__xludf.DUMMYFUNCTION("""COMPUTED_VALUE"""),"12718")</f>
        <v>12718</v>
      </c>
      <c r="E1483" s="3">
        <f>IFERROR(__xludf.DUMMYFUNCTION("""COMPUTED_VALUE"""),30000.0)</f>
        <v>30000</v>
      </c>
      <c r="F1483" s="1" t="str">
        <f>IFERROR(__xludf.DUMMYFUNCTION("""COMPUTED_VALUE"""),"0")</f>
        <v>0</v>
      </c>
      <c r="G1483" s="1" t="str">
        <f>IFERROR(__xludf.DUMMYFUNCTION("""COMPUTED_VALUE"""),"1")</f>
        <v>1</v>
      </c>
      <c r="H1483" s="1" t="str">
        <f>IFERROR(__xludf.DUMMYFUNCTION("""COMPUTED_VALUE"""),"31")</f>
        <v>31</v>
      </c>
    </row>
    <row r="1484" ht="15.75" customHeight="1">
      <c r="D1484" s="1" t="str">
        <f>IFERROR(__xludf.DUMMYFUNCTION("""COMPUTED_VALUE"""),"15019")</f>
        <v>15019</v>
      </c>
      <c r="E1484" s="3">
        <f>IFERROR(__xludf.DUMMYFUNCTION("""COMPUTED_VALUE"""),30000.0)</f>
        <v>30000</v>
      </c>
      <c r="F1484" s="1" t="str">
        <f>IFERROR(__xludf.DUMMYFUNCTION("""COMPUTED_VALUE"""),"3")</f>
        <v>3</v>
      </c>
      <c r="G1484" s="1" t="str">
        <f>IFERROR(__xludf.DUMMYFUNCTION("""COMPUTED_VALUE"""),"2")</f>
        <v>2</v>
      </c>
      <c r="H1484" s="1" t="str">
        <f>IFERROR(__xludf.DUMMYFUNCTION("""COMPUTED_VALUE"""),"55")</f>
        <v>55</v>
      </c>
    </row>
    <row r="1485" ht="15.75" customHeight="1">
      <c r="D1485" s="1" t="str">
        <f>IFERROR(__xludf.DUMMYFUNCTION("""COMPUTED_VALUE"""),"28488")</f>
        <v>28488</v>
      </c>
      <c r="E1485" s="3">
        <f>IFERROR(__xludf.DUMMYFUNCTION("""COMPUTED_VALUE"""),20000.0)</f>
        <v>20000</v>
      </c>
      <c r="F1485" s="1" t="str">
        <f>IFERROR(__xludf.DUMMYFUNCTION("""COMPUTED_VALUE"""),"0")</f>
        <v>0</v>
      </c>
      <c r="G1485" s="1" t="str">
        <f>IFERROR(__xludf.DUMMYFUNCTION("""COMPUTED_VALUE"""),"0")</f>
        <v>0</v>
      </c>
      <c r="H1485" s="1" t="str">
        <f>IFERROR(__xludf.DUMMYFUNCTION("""COMPUTED_VALUE"""),"28")</f>
        <v>28</v>
      </c>
    </row>
    <row r="1486" ht="15.75" customHeight="1">
      <c r="D1486" s="1" t="str">
        <f>IFERROR(__xludf.DUMMYFUNCTION("""COMPUTED_VALUE"""),"21891")</f>
        <v>21891</v>
      </c>
      <c r="E1486" s="3">
        <f>IFERROR(__xludf.DUMMYFUNCTION("""COMPUTED_VALUE"""),110000.0)</f>
        <v>110000</v>
      </c>
      <c r="F1486" s="1" t="str">
        <f>IFERROR(__xludf.DUMMYFUNCTION("""COMPUTED_VALUE"""),"0")</f>
        <v>0</v>
      </c>
      <c r="G1486" s="1" t="str">
        <f>IFERROR(__xludf.DUMMYFUNCTION("""COMPUTED_VALUE"""),"3")</f>
        <v>3</v>
      </c>
      <c r="H1486" s="1" t="str">
        <f>IFERROR(__xludf.DUMMYFUNCTION("""COMPUTED_VALUE"""),"34")</f>
        <v>34</v>
      </c>
    </row>
    <row r="1487" ht="15.75" customHeight="1">
      <c r="D1487" s="1" t="str">
        <f>IFERROR(__xludf.DUMMYFUNCTION("""COMPUTED_VALUE"""),"27814")</f>
        <v>27814</v>
      </c>
      <c r="E1487" s="3">
        <f>IFERROR(__xludf.DUMMYFUNCTION("""COMPUTED_VALUE"""),30000.0)</f>
        <v>30000</v>
      </c>
      <c r="F1487" s="1" t="str">
        <f>IFERROR(__xludf.DUMMYFUNCTION("""COMPUTED_VALUE"""),"3")</f>
        <v>3</v>
      </c>
      <c r="G1487" s="1" t="str">
        <f>IFERROR(__xludf.DUMMYFUNCTION("""COMPUTED_VALUE"""),"1")</f>
        <v>1</v>
      </c>
      <c r="H1487" s="1" t="str">
        <f>IFERROR(__xludf.DUMMYFUNCTION("""COMPUTED_VALUE"""),"26")</f>
        <v>26</v>
      </c>
    </row>
    <row r="1488" ht="15.75" customHeight="1">
      <c r="D1488" s="1" t="str">
        <f>IFERROR(__xludf.DUMMYFUNCTION("""COMPUTED_VALUE"""),"22175")</f>
        <v>22175</v>
      </c>
      <c r="E1488" s="3">
        <f>IFERROR(__xludf.DUMMYFUNCTION("""COMPUTED_VALUE"""),30000.0)</f>
        <v>30000</v>
      </c>
      <c r="F1488" s="1" t="str">
        <f>IFERROR(__xludf.DUMMYFUNCTION("""COMPUTED_VALUE"""),"3")</f>
        <v>3</v>
      </c>
      <c r="G1488" s="1" t="str">
        <f>IFERROR(__xludf.DUMMYFUNCTION("""COMPUTED_VALUE"""),"2")</f>
        <v>2</v>
      </c>
      <c r="H1488" s="1" t="str">
        <f>IFERROR(__xludf.DUMMYFUNCTION("""COMPUTED_VALUE"""),"53")</f>
        <v>53</v>
      </c>
    </row>
    <row r="1489" ht="15.75" customHeight="1">
      <c r="D1489" s="1" t="str">
        <f>IFERROR(__xludf.DUMMYFUNCTION("""COMPUTED_VALUE"""),"29447")</f>
        <v>29447</v>
      </c>
      <c r="E1489" s="3">
        <f>IFERROR(__xludf.DUMMYFUNCTION("""COMPUTED_VALUE"""),10000.0)</f>
        <v>10000</v>
      </c>
      <c r="F1489" s="1" t="str">
        <f>IFERROR(__xludf.DUMMYFUNCTION("""COMPUTED_VALUE"""),"2")</f>
        <v>2</v>
      </c>
      <c r="G1489" s="1" t="str">
        <f>IFERROR(__xludf.DUMMYFUNCTION("""COMPUTED_VALUE"""),"1")</f>
        <v>1</v>
      </c>
      <c r="H1489" s="1" t="str">
        <f>IFERROR(__xludf.DUMMYFUNCTION("""COMPUTED_VALUE"""),"68")</f>
        <v>68</v>
      </c>
    </row>
    <row r="1490" ht="15.75" customHeight="1">
      <c r="D1490" s="1" t="str">
        <f>IFERROR(__xludf.DUMMYFUNCTION("""COMPUTED_VALUE"""),"19784")</f>
        <v>19784</v>
      </c>
      <c r="E1490" s="3">
        <f>IFERROR(__xludf.DUMMYFUNCTION("""COMPUTED_VALUE"""),80000.0)</f>
        <v>80000</v>
      </c>
      <c r="F1490" s="1" t="str">
        <f>IFERROR(__xludf.DUMMYFUNCTION("""COMPUTED_VALUE"""),"2")</f>
        <v>2</v>
      </c>
      <c r="G1490" s="1" t="str">
        <f>IFERROR(__xludf.DUMMYFUNCTION("""COMPUTED_VALUE"""),"2")</f>
        <v>2</v>
      </c>
      <c r="H1490" s="1" t="str">
        <f>IFERROR(__xludf.DUMMYFUNCTION("""COMPUTED_VALUE"""),"50")</f>
        <v>50</v>
      </c>
    </row>
    <row r="1491" ht="15.75" customHeight="1">
      <c r="D1491" s="1" t="str">
        <f>IFERROR(__xludf.DUMMYFUNCTION("""COMPUTED_VALUE"""),"27824")</f>
        <v>27824</v>
      </c>
      <c r="E1491" s="3">
        <f>IFERROR(__xludf.DUMMYFUNCTION("""COMPUTED_VALUE"""),30000.0)</f>
        <v>30000</v>
      </c>
      <c r="F1491" s="1" t="str">
        <f>IFERROR(__xludf.DUMMYFUNCTION("""COMPUTED_VALUE"""),"3")</f>
        <v>3</v>
      </c>
      <c r="G1491" s="1" t="str">
        <f>IFERROR(__xludf.DUMMYFUNCTION("""COMPUTED_VALUE"""),"2")</f>
        <v>2</v>
      </c>
      <c r="H1491" s="1" t="str">
        <f>IFERROR(__xludf.DUMMYFUNCTION("""COMPUTED_VALUE"""),"28")</f>
        <v>28</v>
      </c>
    </row>
    <row r="1492" ht="15.75" customHeight="1">
      <c r="D1492" s="1" t="str">
        <f>IFERROR(__xludf.DUMMYFUNCTION("""COMPUTED_VALUE"""),"24093")</f>
        <v>24093</v>
      </c>
      <c r="E1492" s="3">
        <f>IFERROR(__xludf.DUMMYFUNCTION("""COMPUTED_VALUE"""),80000.0)</f>
        <v>80000</v>
      </c>
      <c r="F1492" s="1" t="str">
        <f>IFERROR(__xludf.DUMMYFUNCTION("""COMPUTED_VALUE"""),"0")</f>
        <v>0</v>
      </c>
      <c r="G1492" s="1" t="str">
        <f>IFERROR(__xludf.DUMMYFUNCTION("""COMPUTED_VALUE"""),"0")</f>
        <v>0</v>
      </c>
      <c r="H1492" s="1" t="str">
        <f>IFERROR(__xludf.DUMMYFUNCTION("""COMPUTED_VALUE"""),"40")</f>
        <v>40</v>
      </c>
    </row>
    <row r="1493" ht="15.75" customHeight="1">
      <c r="D1493" s="1" t="str">
        <f>IFERROR(__xludf.DUMMYFUNCTION("""COMPUTED_VALUE"""),"19618")</f>
        <v>19618</v>
      </c>
      <c r="E1493" s="3">
        <f>IFERROR(__xludf.DUMMYFUNCTION("""COMPUTED_VALUE"""),70000.0)</f>
        <v>70000</v>
      </c>
      <c r="F1493" s="1" t="str">
        <f>IFERROR(__xludf.DUMMYFUNCTION("""COMPUTED_VALUE"""),"5")</f>
        <v>5</v>
      </c>
      <c r="G1493" s="1" t="str">
        <f>IFERROR(__xludf.DUMMYFUNCTION("""COMPUTED_VALUE"""),"2")</f>
        <v>2</v>
      </c>
      <c r="H1493" s="1" t="str">
        <f>IFERROR(__xludf.DUMMYFUNCTION("""COMPUTED_VALUE"""),"44")</f>
        <v>44</v>
      </c>
    </row>
    <row r="1494" ht="15.75" customHeight="1">
      <c r="D1494" s="1" t="str">
        <f>IFERROR(__xludf.DUMMYFUNCTION("""COMPUTED_VALUE"""),"21561")</f>
        <v>21561</v>
      </c>
      <c r="E1494" s="3">
        <f>IFERROR(__xludf.DUMMYFUNCTION("""COMPUTED_VALUE"""),90000.0)</f>
        <v>90000</v>
      </c>
      <c r="F1494" s="1" t="str">
        <f>IFERROR(__xludf.DUMMYFUNCTION("""COMPUTED_VALUE"""),"0")</f>
        <v>0</v>
      </c>
      <c r="G1494" s="1" t="str">
        <f>IFERROR(__xludf.DUMMYFUNCTION("""COMPUTED_VALUE"""),"3")</f>
        <v>3</v>
      </c>
      <c r="H1494" s="1" t="str">
        <f>IFERROR(__xludf.DUMMYFUNCTION("""COMPUTED_VALUE"""),"34")</f>
        <v>34</v>
      </c>
    </row>
    <row r="1495" ht="15.75" customHeight="1">
      <c r="D1495" s="1" t="str">
        <f>IFERROR(__xludf.DUMMYFUNCTION("""COMPUTED_VALUE"""),"26651")</f>
        <v>26651</v>
      </c>
      <c r="E1495" s="3">
        <f>IFERROR(__xludf.DUMMYFUNCTION("""COMPUTED_VALUE"""),80000.0)</f>
        <v>80000</v>
      </c>
      <c r="F1495" s="1" t="str">
        <f>IFERROR(__xludf.DUMMYFUNCTION("""COMPUTED_VALUE"""),"4")</f>
        <v>4</v>
      </c>
      <c r="G1495" s="1" t="str">
        <f>IFERROR(__xludf.DUMMYFUNCTION("""COMPUTED_VALUE"""),"0")</f>
        <v>0</v>
      </c>
      <c r="H1495" s="1" t="str">
        <f>IFERROR(__xludf.DUMMYFUNCTION("""COMPUTED_VALUE"""),"36")</f>
        <v>36</v>
      </c>
    </row>
    <row r="1496" ht="15.75" customHeight="1">
      <c r="D1496" s="1" t="str">
        <f>IFERROR(__xludf.DUMMYFUNCTION("""COMPUTED_VALUE"""),"21108")</f>
        <v>21108</v>
      </c>
      <c r="E1496" s="3">
        <f>IFERROR(__xludf.DUMMYFUNCTION("""COMPUTED_VALUE"""),40000.0)</f>
        <v>40000</v>
      </c>
      <c r="F1496" s="1" t="str">
        <f>IFERROR(__xludf.DUMMYFUNCTION("""COMPUTED_VALUE"""),"1")</f>
        <v>1</v>
      </c>
      <c r="G1496" s="1" t="str">
        <f>IFERROR(__xludf.DUMMYFUNCTION("""COMPUTED_VALUE"""),"1")</f>
        <v>1</v>
      </c>
      <c r="H1496" s="1" t="str">
        <f>IFERROR(__xludf.DUMMYFUNCTION("""COMPUTED_VALUE"""),"43")</f>
        <v>43</v>
      </c>
    </row>
    <row r="1497" ht="15.75" customHeight="1">
      <c r="D1497" s="1" t="str">
        <f>IFERROR(__xludf.DUMMYFUNCTION("""COMPUTED_VALUE"""),"12731")</f>
        <v>12731</v>
      </c>
      <c r="E1497" s="3">
        <f>IFERROR(__xludf.DUMMYFUNCTION("""COMPUTED_VALUE"""),30000.0)</f>
        <v>30000</v>
      </c>
      <c r="F1497" s="1" t="str">
        <f>IFERROR(__xludf.DUMMYFUNCTION("""COMPUTED_VALUE"""),"0")</f>
        <v>0</v>
      </c>
      <c r="G1497" s="1" t="str">
        <f>IFERROR(__xludf.DUMMYFUNCTION("""COMPUTED_VALUE"""),"1")</f>
        <v>1</v>
      </c>
      <c r="H1497" s="1" t="str">
        <f>IFERROR(__xludf.DUMMYFUNCTION("""COMPUTED_VALUE"""),"32")</f>
        <v>32</v>
      </c>
    </row>
    <row r="1498" ht="15.75" customHeight="1">
      <c r="D1498" s="1" t="str">
        <f>IFERROR(__xludf.DUMMYFUNCTION("""COMPUTED_VALUE"""),"25307")</f>
        <v>25307</v>
      </c>
      <c r="E1498" s="3">
        <f>IFERROR(__xludf.DUMMYFUNCTION("""COMPUTED_VALUE"""),40000.0)</f>
        <v>40000</v>
      </c>
      <c r="F1498" s="1" t="str">
        <f>IFERROR(__xludf.DUMMYFUNCTION("""COMPUTED_VALUE"""),"1")</f>
        <v>1</v>
      </c>
      <c r="G1498" s="1" t="str">
        <f>IFERROR(__xludf.DUMMYFUNCTION("""COMPUTED_VALUE"""),"1")</f>
        <v>1</v>
      </c>
      <c r="H1498" s="1" t="str">
        <f>IFERROR(__xludf.DUMMYFUNCTION("""COMPUTED_VALUE"""),"32")</f>
        <v>32</v>
      </c>
    </row>
    <row r="1499" ht="15.75" customHeight="1">
      <c r="D1499" s="1" t="str">
        <f>IFERROR(__xludf.DUMMYFUNCTION("""COMPUTED_VALUE"""),"14278")</f>
        <v>14278</v>
      </c>
      <c r="E1499" s="3">
        <f>IFERROR(__xludf.DUMMYFUNCTION("""COMPUTED_VALUE"""),130000.0)</f>
        <v>130000</v>
      </c>
      <c r="F1499" s="1" t="str">
        <f>IFERROR(__xludf.DUMMYFUNCTION("""COMPUTED_VALUE"""),"0")</f>
        <v>0</v>
      </c>
      <c r="G1499" s="1" t="str">
        <f>IFERROR(__xludf.DUMMYFUNCTION("""COMPUTED_VALUE"""),"1")</f>
        <v>1</v>
      </c>
      <c r="H1499" s="1" t="str">
        <f>IFERROR(__xludf.DUMMYFUNCTION("""COMPUTED_VALUE"""),"48")</f>
        <v>48</v>
      </c>
    </row>
    <row r="1500" ht="15.75" customHeight="1">
      <c r="D1500" s="1" t="str">
        <f>IFERROR(__xludf.DUMMYFUNCTION("""COMPUTED_VALUE"""),"20711")</f>
        <v>20711</v>
      </c>
      <c r="E1500" s="3">
        <f>IFERROR(__xludf.DUMMYFUNCTION("""COMPUTED_VALUE"""),40000.0)</f>
        <v>40000</v>
      </c>
      <c r="F1500" s="1" t="str">
        <f>IFERROR(__xludf.DUMMYFUNCTION("""COMPUTED_VALUE"""),"1")</f>
        <v>1</v>
      </c>
      <c r="G1500" s="1" t="str">
        <f>IFERROR(__xludf.DUMMYFUNCTION("""COMPUTED_VALUE"""),"0")</f>
        <v>0</v>
      </c>
      <c r="H1500" s="1" t="str">
        <f>IFERROR(__xludf.DUMMYFUNCTION("""COMPUTED_VALUE"""),"32")</f>
        <v>32</v>
      </c>
    </row>
    <row r="1501" ht="15.75" customHeight="1">
      <c r="D1501" s="1" t="str">
        <f>IFERROR(__xludf.DUMMYFUNCTION("""COMPUTED_VALUE"""),"12497")</f>
        <v>12497</v>
      </c>
      <c r="E1501" s="3">
        <f>IFERROR(__xludf.DUMMYFUNCTION("""COMPUTED_VALUE"""),40000.0)</f>
        <v>40000</v>
      </c>
      <c r="F1501" s="1" t="str">
        <f>IFERROR(__xludf.DUMMYFUNCTION("""COMPUTED_VALUE"""),"1")</f>
        <v>1</v>
      </c>
      <c r="G1501" s="1" t="str">
        <f>IFERROR(__xludf.DUMMYFUNCTION("""COMPUTED_VALUE"""),"0")</f>
        <v>0</v>
      </c>
      <c r="H1501" s="1" t="str">
        <f>IFERROR(__xludf.DUMMYFUNCTION("""COMPUTED_VALUE"""),"42")</f>
        <v>42</v>
      </c>
    </row>
    <row r="1502" ht="15.75" customHeight="1">
      <c r="D1502" s="1" t="str">
        <f>IFERROR(__xludf.DUMMYFUNCTION("""COMPUTED_VALUE"""),"16559")</f>
        <v>16559</v>
      </c>
      <c r="E1502" s="3">
        <f>IFERROR(__xludf.DUMMYFUNCTION("""COMPUTED_VALUE"""),10000.0)</f>
        <v>10000</v>
      </c>
      <c r="F1502" s="1" t="str">
        <f>IFERROR(__xludf.DUMMYFUNCTION("""COMPUTED_VALUE"""),"2")</f>
        <v>2</v>
      </c>
      <c r="G1502" s="1" t="str">
        <f>IFERROR(__xludf.DUMMYFUNCTION("""COMPUTED_VALUE"""),"0")</f>
        <v>0</v>
      </c>
      <c r="H1502" s="1" t="str">
        <f>IFERROR(__xludf.DUMMYFUNCTION("""COMPUTED_VALUE"""),"36")</f>
        <v>36</v>
      </c>
    </row>
    <row r="1503" ht="15.75" customHeight="1">
      <c r="D1503" s="1" t="str">
        <f>IFERROR(__xludf.DUMMYFUNCTION("""COMPUTED_VALUE"""),"11585")</f>
        <v>11585</v>
      </c>
      <c r="E1503" s="3">
        <f>IFERROR(__xludf.DUMMYFUNCTION("""COMPUTED_VALUE"""),40000.0)</f>
        <v>40000</v>
      </c>
      <c r="F1503" s="1" t="str">
        <f>IFERROR(__xludf.DUMMYFUNCTION("""COMPUTED_VALUE"""),"1")</f>
        <v>1</v>
      </c>
      <c r="G1503" s="1" t="str">
        <f>IFERROR(__xludf.DUMMYFUNCTION("""COMPUTED_VALUE"""),"0")</f>
        <v>0</v>
      </c>
      <c r="H1503" s="1" t="str">
        <f>IFERROR(__xludf.DUMMYFUNCTION("""COMPUTED_VALUE"""),"41")</f>
        <v>41</v>
      </c>
    </row>
    <row r="1504" ht="15.75" customHeight="1">
      <c r="D1504" s="1" t="str">
        <f>IFERROR(__xludf.DUMMYFUNCTION("""COMPUTED_VALUE"""),"20277")</f>
        <v>20277</v>
      </c>
      <c r="E1504" s="3">
        <f>IFERROR(__xludf.DUMMYFUNCTION("""COMPUTED_VALUE"""),30000.0)</f>
        <v>30000</v>
      </c>
      <c r="F1504" s="1" t="str">
        <f>IFERROR(__xludf.DUMMYFUNCTION("""COMPUTED_VALUE"""),"2")</f>
        <v>2</v>
      </c>
      <c r="G1504" s="1" t="str">
        <f>IFERROR(__xludf.DUMMYFUNCTION("""COMPUTED_VALUE"""),"2")</f>
        <v>2</v>
      </c>
      <c r="H1504" s="1" t="str">
        <f>IFERROR(__xludf.DUMMYFUNCTION("""COMPUTED_VALUE"""),"69")</f>
        <v>69</v>
      </c>
    </row>
    <row r="1505" ht="15.75" customHeight="1">
      <c r="D1505" s="1" t="str">
        <f>IFERROR(__xludf.DUMMYFUNCTION("""COMPUTED_VALUE"""),"26765")</f>
        <v>26765</v>
      </c>
      <c r="E1505" s="3">
        <f>IFERROR(__xludf.DUMMYFUNCTION("""COMPUTED_VALUE"""),70000.0)</f>
        <v>70000</v>
      </c>
      <c r="F1505" s="1" t="str">
        <f>IFERROR(__xludf.DUMMYFUNCTION("""COMPUTED_VALUE"""),"5")</f>
        <v>5</v>
      </c>
      <c r="G1505" s="1" t="str">
        <f>IFERROR(__xludf.DUMMYFUNCTION("""COMPUTED_VALUE"""),"2")</f>
        <v>2</v>
      </c>
      <c r="H1505" s="1" t="str">
        <f>IFERROR(__xludf.DUMMYFUNCTION("""COMPUTED_VALUE"""),"45")</f>
        <v>45</v>
      </c>
    </row>
    <row r="1506" ht="15.75" customHeight="1">
      <c r="D1506" s="1" t="str">
        <f>IFERROR(__xludf.DUMMYFUNCTION("""COMPUTED_VALUE"""),"12389")</f>
        <v>12389</v>
      </c>
      <c r="E1506" s="3">
        <f>IFERROR(__xludf.DUMMYFUNCTION("""COMPUTED_VALUE"""),30000.0)</f>
        <v>30000</v>
      </c>
      <c r="F1506" s="1" t="str">
        <f>IFERROR(__xludf.DUMMYFUNCTION("""COMPUTED_VALUE"""),"0")</f>
        <v>0</v>
      </c>
      <c r="G1506" s="1" t="str">
        <f>IFERROR(__xludf.DUMMYFUNCTION("""COMPUTED_VALUE"""),"1")</f>
        <v>1</v>
      </c>
      <c r="H1506" s="1" t="str">
        <f>IFERROR(__xludf.DUMMYFUNCTION("""COMPUTED_VALUE"""),"34")</f>
        <v>34</v>
      </c>
    </row>
    <row r="1507" ht="15.75" customHeight="1">
      <c r="D1507" s="1" t="str">
        <f>IFERROR(__xludf.DUMMYFUNCTION("""COMPUTED_VALUE"""),"13585")</f>
        <v>13585</v>
      </c>
      <c r="E1507" s="3">
        <f>IFERROR(__xludf.DUMMYFUNCTION("""COMPUTED_VALUE"""),80000.0)</f>
        <v>80000</v>
      </c>
      <c r="F1507" s="1" t="str">
        <f>IFERROR(__xludf.DUMMYFUNCTION("""COMPUTED_VALUE"""),"4")</f>
        <v>4</v>
      </c>
      <c r="G1507" s="1" t="str">
        <f>IFERROR(__xludf.DUMMYFUNCTION("""COMPUTED_VALUE"""),"1")</f>
        <v>1</v>
      </c>
      <c r="H1507" s="1" t="str">
        <f>IFERROR(__xludf.DUMMYFUNCTION("""COMPUTED_VALUE"""),"53")</f>
        <v>53</v>
      </c>
    </row>
    <row r="1508" ht="15.75" customHeight="1">
      <c r="D1508" s="1" t="str">
        <f>IFERROR(__xludf.DUMMYFUNCTION("""COMPUTED_VALUE"""),"26385")</f>
        <v>26385</v>
      </c>
      <c r="E1508" s="3">
        <f>IFERROR(__xludf.DUMMYFUNCTION("""COMPUTED_VALUE"""),120000.0)</f>
        <v>120000</v>
      </c>
      <c r="F1508" s="1" t="str">
        <f>IFERROR(__xludf.DUMMYFUNCTION("""COMPUTED_VALUE"""),"3")</f>
        <v>3</v>
      </c>
      <c r="G1508" s="1" t="str">
        <f>IFERROR(__xludf.DUMMYFUNCTION("""COMPUTED_VALUE"""),"4")</f>
        <v>4</v>
      </c>
      <c r="H1508" s="1" t="str">
        <f>IFERROR(__xludf.DUMMYFUNCTION("""COMPUTED_VALUE"""),"50")</f>
        <v>50</v>
      </c>
    </row>
    <row r="1509" ht="15.75" customHeight="1">
      <c r="D1509" s="1" t="str">
        <f>IFERROR(__xludf.DUMMYFUNCTION("""COMPUTED_VALUE"""),"12236")</f>
        <v>12236</v>
      </c>
      <c r="E1509" s="3">
        <f>IFERROR(__xludf.DUMMYFUNCTION("""COMPUTED_VALUE"""),20000.0)</f>
        <v>20000</v>
      </c>
      <c r="F1509" s="1" t="str">
        <f>IFERROR(__xludf.DUMMYFUNCTION("""COMPUTED_VALUE"""),"1")</f>
        <v>1</v>
      </c>
      <c r="G1509" s="1" t="str">
        <f>IFERROR(__xludf.DUMMYFUNCTION("""COMPUTED_VALUE"""),"0")</f>
        <v>0</v>
      </c>
      <c r="H1509" s="1" t="str">
        <f>IFERROR(__xludf.DUMMYFUNCTION("""COMPUTED_VALUE"""),"65")</f>
        <v>65</v>
      </c>
    </row>
    <row r="1510" ht="15.75" customHeight="1">
      <c r="D1510" s="1" t="str">
        <f>IFERROR(__xludf.DUMMYFUNCTION("""COMPUTED_VALUE"""),"21560")</f>
        <v>21560</v>
      </c>
      <c r="E1510" s="3">
        <f>IFERROR(__xludf.DUMMYFUNCTION("""COMPUTED_VALUE"""),120000.0)</f>
        <v>120000</v>
      </c>
      <c r="F1510" s="1" t="str">
        <f>IFERROR(__xludf.DUMMYFUNCTION("""COMPUTED_VALUE"""),"0")</f>
        <v>0</v>
      </c>
      <c r="G1510" s="1" t="str">
        <f>IFERROR(__xludf.DUMMYFUNCTION("""COMPUTED_VALUE"""),"4")</f>
        <v>4</v>
      </c>
      <c r="H1510" s="1" t="str">
        <f>IFERROR(__xludf.DUMMYFUNCTION("""COMPUTED_VALUE"""),"32")</f>
        <v>32</v>
      </c>
    </row>
    <row r="1511" ht="15.75" customHeight="1">
      <c r="D1511" s="1" t="str">
        <f>IFERROR(__xludf.DUMMYFUNCTION("""COMPUTED_VALUE"""),"21554")</f>
        <v>21554</v>
      </c>
      <c r="E1511" s="3">
        <f>IFERROR(__xludf.DUMMYFUNCTION("""COMPUTED_VALUE"""),80000.0)</f>
        <v>80000</v>
      </c>
      <c r="F1511" s="1" t="str">
        <f>IFERROR(__xludf.DUMMYFUNCTION("""COMPUTED_VALUE"""),"0")</f>
        <v>0</v>
      </c>
      <c r="G1511" s="1" t="str">
        <f>IFERROR(__xludf.DUMMYFUNCTION("""COMPUTED_VALUE"""),"3")</f>
        <v>3</v>
      </c>
      <c r="H1511" s="1" t="str">
        <f>IFERROR(__xludf.DUMMYFUNCTION("""COMPUTED_VALUE"""),"33")</f>
        <v>33</v>
      </c>
    </row>
    <row r="1512" ht="15.75" customHeight="1">
      <c r="D1512" s="1" t="str">
        <f>IFERROR(__xludf.DUMMYFUNCTION("""COMPUTED_VALUE"""),"13662")</f>
        <v>13662</v>
      </c>
      <c r="E1512" s="3">
        <f>IFERROR(__xludf.DUMMYFUNCTION("""COMPUTED_VALUE"""),20000.0)</f>
        <v>20000</v>
      </c>
      <c r="F1512" s="1" t="str">
        <f>IFERROR(__xludf.DUMMYFUNCTION("""COMPUTED_VALUE"""),"0")</f>
        <v>0</v>
      </c>
      <c r="G1512" s="1" t="str">
        <f>IFERROR(__xludf.DUMMYFUNCTION("""COMPUTED_VALUE"""),"2")</f>
        <v>2</v>
      </c>
      <c r="H1512" s="1" t="str">
        <f>IFERROR(__xludf.DUMMYFUNCTION("""COMPUTED_VALUE"""),"31")</f>
        <v>31</v>
      </c>
    </row>
    <row r="1513" ht="15.75" customHeight="1">
      <c r="D1513" s="1" t="str">
        <f>IFERROR(__xludf.DUMMYFUNCTION("""COMPUTED_VALUE"""),"13089")</f>
        <v>13089</v>
      </c>
      <c r="E1513" s="3">
        <f>IFERROR(__xludf.DUMMYFUNCTION("""COMPUTED_VALUE"""),120000.0)</f>
        <v>120000</v>
      </c>
      <c r="F1513" s="1" t="str">
        <f>IFERROR(__xludf.DUMMYFUNCTION("""COMPUTED_VALUE"""),"1")</f>
        <v>1</v>
      </c>
      <c r="G1513" s="1" t="str">
        <f>IFERROR(__xludf.DUMMYFUNCTION("""COMPUTED_VALUE"""),"2")</f>
        <v>2</v>
      </c>
      <c r="H1513" s="1" t="str">
        <f>IFERROR(__xludf.DUMMYFUNCTION("""COMPUTED_VALUE"""),"46")</f>
        <v>46</v>
      </c>
    </row>
    <row r="1514" ht="15.75" customHeight="1">
      <c r="D1514" s="1" t="str">
        <f>IFERROR(__xludf.DUMMYFUNCTION("""COMPUTED_VALUE"""),"14791")</f>
        <v>14791</v>
      </c>
      <c r="E1514" s="3">
        <f>IFERROR(__xludf.DUMMYFUNCTION("""COMPUTED_VALUE"""),40000.0)</f>
        <v>40000</v>
      </c>
      <c r="F1514" s="1" t="str">
        <f>IFERROR(__xludf.DUMMYFUNCTION("""COMPUTED_VALUE"""),"0")</f>
        <v>0</v>
      </c>
      <c r="G1514" s="1" t="str">
        <f>IFERROR(__xludf.DUMMYFUNCTION("""COMPUTED_VALUE"""),"0")</f>
        <v>0</v>
      </c>
      <c r="H1514" s="1" t="str">
        <f>IFERROR(__xludf.DUMMYFUNCTION("""COMPUTED_VALUE"""),"39")</f>
        <v>39</v>
      </c>
    </row>
    <row r="1515" ht="15.75" customHeight="1">
      <c r="D1515" s="1" t="str">
        <f>IFERROR(__xludf.DUMMYFUNCTION("""COMPUTED_VALUE"""),"19331")</f>
        <v>19331</v>
      </c>
      <c r="E1515" s="3">
        <f>IFERROR(__xludf.DUMMYFUNCTION("""COMPUTED_VALUE"""),20000.0)</f>
        <v>20000</v>
      </c>
      <c r="F1515" s="1" t="str">
        <f>IFERROR(__xludf.DUMMYFUNCTION("""COMPUTED_VALUE"""),"2")</f>
        <v>2</v>
      </c>
      <c r="G1515" s="1" t="str">
        <f>IFERROR(__xludf.DUMMYFUNCTION("""COMPUTED_VALUE"""),"1")</f>
        <v>1</v>
      </c>
      <c r="H1515" s="1" t="str">
        <f>IFERROR(__xludf.DUMMYFUNCTION("""COMPUTED_VALUE"""),"40")</f>
        <v>40</v>
      </c>
    </row>
    <row r="1516" ht="15.75" customHeight="1">
      <c r="D1516" s="1" t="str">
        <f>IFERROR(__xludf.DUMMYFUNCTION("""COMPUTED_VALUE"""),"17754")</f>
        <v>17754</v>
      </c>
      <c r="E1516" s="3">
        <f>IFERROR(__xludf.DUMMYFUNCTION("""COMPUTED_VALUE"""),30000.0)</f>
        <v>30000</v>
      </c>
      <c r="F1516" s="1" t="str">
        <f>IFERROR(__xludf.DUMMYFUNCTION("""COMPUTED_VALUE"""),"3")</f>
        <v>3</v>
      </c>
      <c r="G1516" s="1" t="str">
        <f>IFERROR(__xludf.DUMMYFUNCTION("""COMPUTED_VALUE"""),"0")</f>
        <v>0</v>
      </c>
      <c r="H1516" s="1" t="str">
        <f>IFERROR(__xludf.DUMMYFUNCTION("""COMPUTED_VALUE"""),"46")</f>
        <v>46</v>
      </c>
    </row>
    <row r="1517" ht="15.75" customHeight="1">
      <c r="D1517" s="1" t="str">
        <f>IFERROR(__xludf.DUMMYFUNCTION("""COMPUTED_VALUE"""),"11149")</f>
        <v>11149</v>
      </c>
      <c r="E1517" s="3">
        <f>IFERROR(__xludf.DUMMYFUNCTION("""COMPUTED_VALUE"""),40000.0)</f>
        <v>40000</v>
      </c>
      <c r="F1517" s="1" t="str">
        <f>IFERROR(__xludf.DUMMYFUNCTION("""COMPUTED_VALUE"""),"2")</f>
        <v>2</v>
      </c>
      <c r="G1517" s="1" t="str">
        <f>IFERROR(__xludf.DUMMYFUNCTION("""COMPUTED_VALUE"""),"2")</f>
        <v>2</v>
      </c>
      <c r="H1517" s="1" t="str">
        <f>IFERROR(__xludf.DUMMYFUNCTION("""COMPUTED_VALUE"""),"65")</f>
        <v>65</v>
      </c>
    </row>
    <row r="1518" ht="15.75" customHeight="1">
      <c r="D1518" s="1" t="str">
        <f>IFERROR(__xludf.DUMMYFUNCTION("""COMPUTED_VALUE"""),"16549")</f>
        <v>16549</v>
      </c>
      <c r="E1518" s="3">
        <f>IFERROR(__xludf.DUMMYFUNCTION("""COMPUTED_VALUE"""),30000.0)</f>
        <v>30000</v>
      </c>
      <c r="F1518" s="1" t="str">
        <f>IFERROR(__xludf.DUMMYFUNCTION("""COMPUTED_VALUE"""),"3")</f>
        <v>3</v>
      </c>
      <c r="G1518" s="1" t="str">
        <f>IFERROR(__xludf.DUMMYFUNCTION("""COMPUTED_VALUE"""),"0")</f>
        <v>0</v>
      </c>
      <c r="H1518" s="1" t="str">
        <f>IFERROR(__xludf.DUMMYFUNCTION("""COMPUTED_VALUE"""),"47")</f>
        <v>47</v>
      </c>
    </row>
    <row r="1519" ht="15.75" customHeight="1">
      <c r="D1519" s="1" t="str">
        <f>IFERROR(__xludf.DUMMYFUNCTION("""COMPUTED_VALUE"""),"24305")</f>
        <v>24305</v>
      </c>
      <c r="E1519" s="3">
        <f>IFERROR(__xludf.DUMMYFUNCTION("""COMPUTED_VALUE"""),100000.0)</f>
        <v>100000</v>
      </c>
      <c r="F1519" s="1" t="str">
        <f>IFERROR(__xludf.DUMMYFUNCTION("""COMPUTED_VALUE"""),"1")</f>
        <v>1</v>
      </c>
      <c r="G1519" s="1" t="str">
        <f>IFERROR(__xludf.DUMMYFUNCTION("""COMPUTED_VALUE"""),"3")</f>
        <v>3</v>
      </c>
      <c r="H1519" s="1" t="str">
        <f>IFERROR(__xludf.DUMMYFUNCTION("""COMPUTED_VALUE"""),"46")</f>
        <v>46</v>
      </c>
    </row>
    <row r="1520" ht="15.75" customHeight="1">
      <c r="D1520" s="1" t="str">
        <f>IFERROR(__xludf.DUMMYFUNCTION("""COMPUTED_VALUE"""),"18253")</f>
        <v>18253</v>
      </c>
      <c r="E1520" s="3">
        <f>IFERROR(__xludf.DUMMYFUNCTION("""COMPUTED_VALUE"""),80000.0)</f>
        <v>80000</v>
      </c>
      <c r="F1520" s="1" t="str">
        <f>IFERROR(__xludf.DUMMYFUNCTION("""COMPUTED_VALUE"""),"5")</f>
        <v>5</v>
      </c>
      <c r="G1520" s="1" t="str">
        <f>IFERROR(__xludf.DUMMYFUNCTION("""COMPUTED_VALUE"""),"3")</f>
        <v>3</v>
      </c>
      <c r="H1520" s="1" t="str">
        <f>IFERROR(__xludf.DUMMYFUNCTION("""COMPUTED_VALUE"""),"40")</f>
        <v>40</v>
      </c>
    </row>
    <row r="1521" ht="15.75" customHeight="1">
      <c r="D1521" s="1" t="str">
        <f>IFERROR(__xludf.DUMMYFUNCTION("""COMPUTED_VALUE"""),"20147")</f>
        <v>20147</v>
      </c>
      <c r="E1521" s="3">
        <f>IFERROR(__xludf.DUMMYFUNCTION("""COMPUTED_VALUE"""),30000.0)</f>
        <v>30000</v>
      </c>
      <c r="F1521" s="1" t="str">
        <f>IFERROR(__xludf.DUMMYFUNCTION("""COMPUTED_VALUE"""),"1")</f>
        <v>1</v>
      </c>
      <c r="G1521" s="1" t="str">
        <f>IFERROR(__xludf.DUMMYFUNCTION("""COMPUTED_VALUE"""),"0")</f>
        <v>0</v>
      </c>
      <c r="H1521" s="1" t="str">
        <f>IFERROR(__xludf.DUMMYFUNCTION("""COMPUTED_VALUE"""),"65")</f>
        <v>65</v>
      </c>
    </row>
    <row r="1522" ht="15.75" customHeight="1">
      <c r="D1522" s="1" t="str">
        <f>IFERROR(__xludf.DUMMYFUNCTION("""COMPUTED_VALUE"""),"15612")</f>
        <v>15612</v>
      </c>
      <c r="E1522" s="3">
        <f>IFERROR(__xludf.DUMMYFUNCTION("""COMPUTED_VALUE"""),30000.0)</f>
        <v>30000</v>
      </c>
      <c r="F1522" s="1" t="str">
        <f>IFERROR(__xludf.DUMMYFUNCTION("""COMPUTED_VALUE"""),"0")</f>
        <v>0</v>
      </c>
      <c r="G1522" s="1" t="str">
        <f>IFERROR(__xludf.DUMMYFUNCTION("""COMPUTED_VALUE"""),"1")</f>
        <v>1</v>
      </c>
      <c r="H1522" s="1" t="str">
        <f>IFERROR(__xludf.DUMMYFUNCTION("""COMPUTED_VALUE"""),"28")</f>
        <v>28</v>
      </c>
    </row>
    <row r="1523" ht="15.75" customHeight="1">
      <c r="D1523" s="1" t="str">
        <f>IFERROR(__xludf.DUMMYFUNCTION("""COMPUTED_VALUE"""),"28323")</f>
        <v>28323</v>
      </c>
      <c r="E1523" s="3">
        <f>IFERROR(__xludf.DUMMYFUNCTION("""COMPUTED_VALUE"""),70000.0)</f>
        <v>70000</v>
      </c>
      <c r="F1523" s="1" t="str">
        <f>IFERROR(__xludf.DUMMYFUNCTION("""COMPUTED_VALUE"""),"0")</f>
        <v>0</v>
      </c>
      <c r="G1523" s="1" t="str">
        <f>IFERROR(__xludf.DUMMYFUNCTION("""COMPUTED_VALUE"""),"2")</f>
        <v>2</v>
      </c>
      <c r="H1523" s="1" t="str">
        <f>IFERROR(__xludf.DUMMYFUNCTION("""COMPUTED_VALUE"""),"43")</f>
        <v>43</v>
      </c>
    </row>
    <row r="1524" ht="15.75" customHeight="1">
      <c r="D1524" s="1" t="str">
        <f>IFERROR(__xludf.DUMMYFUNCTION("""COMPUTED_VALUE"""),"22634")</f>
        <v>22634</v>
      </c>
      <c r="E1524" s="3">
        <f>IFERROR(__xludf.DUMMYFUNCTION("""COMPUTED_VALUE"""),40000.0)</f>
        <v>40000</v>
      </c>
      <c r="F1524" s="1" t="str">
        <f>IFERROR(__xludf.DUMMYFUNCTION("""COMPUTED_VALUE"""),"0")</f>
        <v>0</v>
      </c>
      <c r="G1524" s="1" t="str">
        <f>IFERROR(__xludf.DUMMYFUNCTION("""COMPUTED_VALUE"""),"0")</f>
        <v>0</v>
      </c>
      <c r="H1524" s="1" t="str">
        <f>IFERROR(__xludf.DUMMYFUNCTION("""COMPUTED_VALUE"""),"38")</f>
        <v>38</v>
      </c>
    </row>
    <row r="1525" ht="15.75" customHeight="1">
      <c r="D1525" s="1" t="str">
        <f>IFERROR(__xludf.DUMMYFUNCTION("""COMPUTED_VALUE"""),"15665")</f>
        <v>15665</v>
      </c>
      <c r="E1525" s="3">
        <f>IFERROR(__xludf.DUMMYFUNCTION("""COMPUTED_VALUE"""),30000.0)</f>
        <v>30000</v>
      </c>
      <c r="F1525" s="1" t="str">
        <f>IFERROR(__xludf.DUMMYFUNCTION("""COMPUTED_VALUE"""),"0")</f>
        <v>0</v>
      </c>
      <c r="G1525" s="1" t="str">
        <f>IFERROR(__xludf.DUMMYFUNCTION("""COMPUTED_VALUE"""),"0")</f>
        <v>0</v>
      </c>
      <c r="H1525" s="1" t="str">
        <f>IFERROR(__xludf.DUMMYFUNCTION("""COMPUTED_VALUE"""),"47")</f>
        <v>47</v>
      </c>
    </row>
    <row r="1526" ht="15.75" customHeight="1">
      <c r="D1526" s="1" t="str">
        <f>IFERROR(__xludf.DUMMYFUNCTION("""COMPUTED_VALUE"""),"27585")</f>
        <v>27585</v>
      </c>
      <c r="E1526" s="3">
        <f>IFERROR(__xludf.DUMMYFUNCTION("""COMPUTED_VALUE"""),90000.0)</f>
        <v>90000</v>
      </c>
      <c r="F1526" s="1" t="str">
        <f>IFERROR(__xludf.DUMMYFUNCTION("""COMPUTED_VALUE"""),"2")</f>
        <v>2</v>
      </c>
      <c r="G1526" s="1" t="str">
        <f>IFERROR(__xludf.DUMMYFUNCTION("""COMPUTED_VALUE"""),"0")</f>
        <v>0</v>
      </c>
      <c r="H1526" s="1" t="str">
        <f>IFERROR(__xludf.DUMMYFUNCTION("""COMPUTED_VALUE"""),"36")</f>
        <v>36</v>
      </c>
    </row>
    <row r="1527" ht="15.75" customHeight="1">
      <c r="D1527" s="1" t="str">
        <f>IFERROR(__xludf.DUMMYFUNCTION("""COMPUTED_VALUE"""),"19748")</f>
        <v>19748</v>
      </c>
      <c r="E1527" s="3">
        <f>IFERROR(__xludf.DUMMYFUNCTION("""COMPUTED_VALUE"""),20000.0)</f>
        <v>20000</v>
      </c>
      <c r="F1527" s="1" t="str">
        <f>IFERROR(__xludf.DUMMYFUNCTION("""COMPUTED_VALUE"""),"4")</f>
        <v>4</v>
      </c>
      <c r="G1527" s="1" t="str">
        <f>IFERROR(__xludf.DUMMYFUNCTION("""COMPUTED_VALUE"""),"2")</f>
        <v>2</v>
      </c>
      <c r="H1527" s="1" t="str">
        <f>IFERROR(__xludf.DUMMYFUNCTION("""COMPUTED_VALUE"""),"60")</f>
        <v>60</v>
      </c>
    </row>
    <row r="1528" ht="15.75" customHeight="1">
      <c r="D1528" s="1" t="str">
        <f>IFERROR(__xludf.DUMMYFUNCTION("""COMPUTED_VALUE"""),"21974")</f>
        <v>21974</v>
      </c>
      <c r="E1528" s="3">
        <f>IFERROR(__xludf.DUMMYFUNCTION("""COMPUTED_VALUE"""),70000.0)</f>
        <v>70000</v>
      </c>
      <c r="F1528" s="1" t="str">
        <f>IFERROR(__xludf.DUMMYFUNCTION("""COMPUTED_VALUE"""),"0")</f>
        <v>0</v>
      </c>
      <c r="G1528" s="1" t="str">
        <f>IFERROR(__xludf.DUMMYFUNCTION("""COMPUTED_VALUE"""),"1")</f>
        <v>1</v>
      </c>
      <c r="H1528" s="1" t="str">
        <f>IFERROR(__xludf.DUMMYFUNCTION("""COMPUTED_VALUE"""),"42")</f>
        <v>42</v>
      </c>
    </row>
    <row r="1529" ht="15.75" customHeight="1">
      <c r="D1529" s="1" t="str">
        <f>IFERROR(__xludf.DUMMYFUNCTION("""COMPUTED_VALUE"""),"14032")</f>
        <v>14032</v>
      </c>
      <c r="E1529" s="3">
        <f>IFERROR(__xludf.DUMMYFUNCTION("""COMPUTED_VALUE"""),70000.0)</f>
        <v>70000</v>
      </c>
      <c r="F1529" s="1" t="str">
        <f>IFERROR(__xludf.DUMMYFUNCTION("""COMPUTED_VALUE"""),"2")</f>
        <v>2</v>
      </c>
      <c r="G1529" s="1" t="str">
        <f>IFERROR(__xludf.DUMMYFUNCTION("""COMPUTED_VALUE"""),"2")</f>
        <v>2</v>
      </c>
      <c r="H1529" s="1" t="str">
        <f>IFERROR(__xludf.DUMMYFUNCTION("""COMPUTED_VALUE"""),"50")</f>
        <v>50</v>
      </c>
    </row>
    <row r="1530" ht="15.75" customHeight="1">
      <c r="D1530" s="1" t="str">
        <f>IFERROR(__xludf.DUMMYFUNCTION("""COMPUTED_VALUE"""),"22610")</f>
        <v>22610</v>
      </c>
      <c r="E1530" s="3">
        <f>IFERROR(__xludf.DUMMYFUNCTION("""COMPUTED_VALUE"""),30000.0)</f>
        <v>30000</v>
      </c>
      <c r="F1530" s="1" t="str">
        <f>IFERROR(__xludf.DUMMYFUNCTION("""COMPUTED_VALUE"""),"0")</f>
        <v>0</v>
      </c>
      <c r="G1530" s="1" t="str">
        <f>IFERROR(__xludf.DUMMYFUNCTION("""COMPUTED_VALUE"""),"0")</f>
        <v>0</v>
      </c>
      <c r="H1530" s="1" t="str">
        <f>IFERROR(__xludf.DUMMYFUNCTION("""COMPUTED_VALUE"""),"35")</f>
        <v>35</v>
      </c>
    </row>
    <row r="1531" ht="15.75" customHeight="1">
      <c r="D1531" s="1" t="str">
        <f>IFERROR(__xludf.DUMMYFUNCTION("""COMPUTED_VALUE"""),"26984")</f>
        <v>26984</v>
      </c>
      <c r="E1531" s="3">
        <f>IFERROR(__xludf.DUMMYFUNCTION("""COMPUTED_VALUE"""),40000.0)</f>
        <v>40000</v>
      </c>
      <c r="F1531" s="1" t="str">
        <f>IFERROR(__xludf.DUMMYFUNCTION("""COMPUTED_VALUE"""),"1")</f>
        <v>1</v>
      </c>
      <c r="G1531" s="1" t="str">
        <f>IFERROR(__xludf.DUMMYFUNCTION("""COMPUTED_VALUE"""),"1")</f>
        <v>1</v>
      </c>
      <c r="H1531" s="1" t="str">
        <f>IFERROR(__xludf.DUMMYFUNCTION("""COMPUTED_VALUE"""),"32")</f>
        <v>32</v>
      </c>
    </row>
    <row r="1532" ht="15.75" customHeight="1">
      <c r="D1532" s="1" t="str">
        <f>IFERROR(__xludf.DUMMYFUNCTION("""COMPUTED_VALUE"""),"18294")</f>
        <v>18294</v>
      </c>
      <c r="E1532" s="3">
        <f>IFERROR(__xludf.DUMMYFUNCTION("""COMPUTED_VALUE"""),90000.0)</f>
        <v>90000</v>
      </c>
      <c r="F1532" s="1" t="str">
        <f>IFERROR(__xludf.DUMMYFUNCTION("""COMPUTED_VALUE"""),"1")</f>
        <v>1</v>
      </c>
      <c r="G1532" s="1" t="str">
        <f>IFERROR(__xludf.DUMMYFUNCTION("""COMPUTED_VALUE"""),"1")</f>
        <v>1</v>
      </c>
      <c r="H1532" s="1" t="str">
        <f>IFERROR(__xludf.DUMMYFUNCTION("""COMPUTED_VALUE"""),"46")</f>
        <v>46</v>
      </c>
    </row>
    <row r="1533" ht="15.75" customHeight="1">
      <c r="D1533" s="1" t="str">
        <f>IFERROR(__xludf.DUMMYFUNCTION("""COMPUTED_VALUE"""),"28564")</f>
        <v>28564</v>
      </c>
      <c r="E1533" s="3">
        <f>IFERROR(__xludf.DUMMYFUNCTION("""COMPUTED_VALUE"""),40000.0)</f>
        <v>40000</v>
      </c>
      <c r="F1533" s="1" t="str">
        <f>IFERROR(__xludf.DUMMYFUNCTION("""COMPUTED_VALUE"""),"2")</f>
        <v>2</v>
      </c>
      <c r="G1533" s="1" t="str">
        <f>IFERROR(__xludf.DUMMYFUNCTION("""COMPUTED_VALUE"""),"0")</f>
        <v>0</v>
      </c>
      <c r="H1533" s="1" t="str">
        <f>IFERROR(__xludf.DUMMYFUNCTION("""COMPUTED_VALUE"""),"33")</f>
        <v>33</v>
      </c>
    </row>
    <row r="1534" ht="15.75" customHeight="1">
      <c r="D1534" s="1" t="str">
        <f>IFERROR(__xludf.DUMMYFUNCTION("""COMPUTED_VALUE"""),"28521")</f>
        <v>28521</v>
      </c>
      <c r="E1534" s="3">
        <f>IFERROR(__xludf.DUMMYFUNCTION("""COMPUTED_VALUE"""),40000.0)</f>
        <v>40000</v>
      </c>
      <c r="F1534" s="1" t="str">
        <f>IFERROR(__xludf.DUMMYFUNCTION("""COMPUTED_VALUE"""),"0")</f>
        <v>0</v>
      </c>
      <c r="G1534" s="1" t="str">
        <f>IFERROR(__xludf.DUMMYFUNCTION("""COMPUTED_VALUE"""),"0")</f>
        <v>0</v>
      </c>
      <c r="H1534" s="1" t="str">
        <f>IFERROR(__xludf.DUMMYFUNCTION("""COMPUTED_VALUE"""),"36")</f>
        <v>36</v>
      </c>
    </row>
    <row r="1535" ht="15.75" customHeight="1">
      <c r="D1535" s="1" t="str">
        <f>IFERROR(__xludf.DUMMYFUNCTION("""COMPUTED_VALUE"""),"15450")</f>
        <v>15450</v>
      </c>
      <c r="E1535" s="3">
        <f>IFERROR(__xludf.DUMMYFUNCTION("""COMPUTED_VALUE"""),10000.0)</f>
        <v>10000</v>
      </c>
      <c r="F1535" s="1" t="str">
        <f>IFERROR(__xludf.DUMMYFUNCTION("""COMPUTED_VALUE"""),"1")</f>
        <v>1</v>
      </c>
      <c r="G1535" s="1" t="str">
        <f>IFERROR(__xludf.DUMMYFUNCTION("""COMPUTED_VALUE"""),"0")</f>
        <v>0</v>
      </c>
      <c r="H1535" s="1" t="str">
        <f>IFERROR(__xludf.DUMMYFUNCTION("""COMPUTED_VALUE"""),"70")</f>
        <v>70</v>
      </c>
    </row>
    <row r="1536" ht="15.75" customHeight="1">
      <c r="D1536" s="1" t="str">
        <f>IFERROR(__xludf.DUMMYFUNCTION("""COMPUTED_VALUE"""),"25681")</f>
        <v>25681</v>
      </c>
      <c r="E1536" s="3">
        <f>IFERROR(__xludf.DUMMYFUNCTION("""COMPUTED_VALUE"""),30000.0)</f>
        <v>30000</v>
      </c>
      <c r="F1536" s="1" t="str">
        <f>IFERROR(__xludf.DUMMYFUNCTION("""COMPUTED_VALUE"""),"0")</f>
        <v>0</v>
      </c>
      <c r="G1536" s="1" t="str">
        <f>IFERROR(__xludf.DUMMYFUNCTION("""COMPUTED_VALUE"""),"1")</f>
        <v>1</v>
      </c>
      <c r="H1536" s="1" t="str">
        <f>IFERROR(__xludf.DUMMYFUNCTION("""COMPUTED_VALUE"""),"31")</f>
        <v>31</v>
      </c>
    </row>
    <row r="1537" ht="15.75" customHeight="1">
      <c r="D1537" s="1" t="str">
        <f>IFERROR(__xludf.DUMMYFUNCTION("""COMPUTED_VALUE"""),"19491")</f>
        <v>19491</v>
      </c>
      <c r="E1537" s="3">
        <f>IFERROR(__xludf.DUMMYFUNCTION("""COMPUTED_VALUE"""),30000.0)</f>
        <v>30000</v>
      </c>
      <c r="F1537" s="1" t="str">
        <f>IFERROR(__xludf.DUMMYFUNCTION("""COMPUTED_VALUE"""),"2")</f>
        <v>2</v>
      </c>
      <c r="G1537" s="1" t="str">
        <f>IFERROR(__xludf.DUMMYFUNCTION("""COMPUTED_VALUE"""),"2")</f>
        <v>2</v>
      </c>
      <c r="H1537" s="1" t="str">
        <f>IFERROR(__xludf.DUMMYFUNCTION("""COMPUTED_VALUE"""),"42")</f>
        <v>42</v>
      </c>
    </row>
    <row r="1538" ht="15.75" customHeight="1">
      <c r="D1538" s="1" t="str">
        <f>IFERROR(__xludf.DUMMYFUNCTION("""COMPUTED_VALUE"""),"26415")</f>
        <v>26415</v>
      </c>
      <c r="E1538" s="3">
        <f>IFERROR(__xludf.DUMMYFUNCTION("""COMPUTED_VALUE"""),90000.0)</f>
        <v>90000</v>
      </c>
      <c r="F1538" s="1" t="str">
        <f>IFERROR(__xludf.DUMMYFUNCTION("""COMPUTED_VALUE"""),"4")</f>
        <v>4</v>
      </c>
      <c r="G1538" s="1" t="str">
        <f>IFERROR(__xludf.DUMMYFUNCTION("""COMPUTED_VALUE"""),"4")</f>
        <v>4</v>
      </c>
      <c r="H1538" s="1" t="str">
        <f>IFERROR(__xludf.DUMMYFUNCTION("""COMPUTED_VALUE"""),"58")</f>
        <v>58</v>
      </c>
    </row>
    <row r="1539" ht="15.75" customHeight="1">
      <c r="D1539" s="1" t="str">
        <f>IFERROR(__xludf.DUMMYFUNCTION("""COMPUTED_VALUE"""),"12821")</f>
        <v>12821</v>
      </c>
      <c r="E1539" s="3">
        <f>IFERROR(__xludf.DUMMYFUNCTION("""COMPUTED_VALUE"""),40000.0)</f>
        <v>40000</v>
      </c>
      <c r="F1539" s="1" t="str">
        <f>IFERROR(__xludf.DUMMYFUNCTION("""COMPUTED_VALUE"""),"0")</f>
        <v>0</v>
      </c>
      <c r="G1539" s="1" t="str">
        <f>IFERROR(__xludf.DUMMYFUNCTION("""COMPUTED_VALUE"""),"0")</f>
        <v>0</v>
      </c>
      <c r="H1539" s="1" t="str">
        <f>IFERROR(__xludf.DUMMYFUNCTION("""COMPUTED_VALUE"""),"39")</f>
        <v>39</v>
      </c>
    </row>
    <row r="1540" ht="15.75" customHeight="1">
      <c r="D1540" s="1" t="str">
        <f>IFERROR(__xludf.DUMMYFUNCTION("""COMPUTED_VALUE"""),"15629")</f>
        <v>15629</v>
      </c>
      <c r="E1540" s="3">
        <f>IFERROR(__xludf.DUMMYFUNCTION("""COMPUTED_VALUE"""),10000.0)</f>
        <v>10000</v>
      </c>
      <c r="F1540" s="1" t="str">
        <f>IFERROR(__xludf.DUMMYFUNCTION("""COMPUTED_VALUE"""),"0")</f>
        <v>0</v>
      </c>
      <c r="G1540" s="1" t="str">
        <f>IFERROR(__xludf.DUMMYFUNCTION("""COMPUTED_VALUE"""),"2")</f>
        <v>2</v>
      </c>
      <c r="H1540" s="1" t="str">
        <f>IFERROR(__xludf.DUMMYFUNCTION("""COMPUTED_VALUE"""),"34")</f>
        <v>34</v>
      </c>
    </row>
    <row r="1541" ht="15.75" customHeight="1">
      <c r="D1541" s="1" t="str">
        <f>IFERROR(__xludf.DUMMYFUNCTION("""COMPUTED_VALUE"""),"27835")</f>
        <v>27835</v>
      </c>
      <c r="E1541" s="3">
        <f>IFERROR(__xludf.DUMMYFUNCTION("""COMPUTED_VALUE"""),20000.0)</f>
        <v>20000</v>
      </c>
      <c r="F1541" s="1" t="str">
        <f>IFERROR(__xludf.DUMMYFUNCTION("""COMPUTED_VALUE"""),"0")</f>
        <v>0</v>
      </c>
      <c r="G1541" s="1" t="str">
        <f>IFERROR(__xludf.DUMMYFUNCTION("""COMPUTED_VALUE"""),"2")</f>
        <v>2</v>
      </c>
      <c r="H1541" s="1" t="str">
        <f>IFERROR(__xludf.DUMMYFUNCTION("""COMPUTED_VALUE"""),"32")</f>
        <v>32</v>
      </c>
    </row>
    <row r="1542" ht="15.75" customHeight="1">
      <c r="D1542" s="1" t="str">
        <f>IFERROR(__xludf.DUMMYFUNCTION("""COMPUTED_VALUE"""),"11738")</f>
        <v>11738</v>
      </c>
      <c r="E1542" s="3">
        <f>IFERROR(__xludf.DUMMYFUNCTION("""COMPUTED_VALUE"""),60000.0)</f>
        <v>60000</v>
      </c>
      <c r="F1542" s="1" t="str">
        <f>IFERROR(__xludf.DUMMYFUNCTION("""COMPUTED_VALUE"""),"4")</f>
        <v>4</v>
      </c>
      <c r="G1542" s="1" t="str">
        <f>IFERROR(__xludf.DUMMYFUNCTION("""COMPUTED_VALUE"""),"0")</f>
        <v>0</v>
      </c>
      <c r="H1542" s="1" t="str">
        <f>IFERROR(__xludf.DUMMYFUNCTION("""COMPUTED_VALUE"""),"46")</f>
        <v>46</v>
      </c>
    </row>
    <row r="1543" ht="15.75" customHeight="1">
      <c r="D1543" s="1" t="str">
        <f>IFERROR(__xludf.DUMMYFUNCTION("""COMPUTED_VALUE"""),"25065")</f>
        <v>25065</v>
      </c>
      <c r="E1543" s="3">
        <f>IFERROR(__xludf.DUMMYFUNCTION("""COMPUTED_VALUE"""),70000.0)</f>
        <v>70000</v>
      </c>
      <c r="F1543" s="1" t="str">
        <f>IFERROR(__xludf.DUMMYFUNCTION("""COMPUTED_VALUE"""),"2")</f>
        <v>2</v>
      </c>
      <c r="G1543" s="1" t="str">
        <f>IFERROR(__xludf.DUMMYFUNCTION("""COMPUTED_VALUE"""),"2")</f>
        <v>2</v>
      </c>
      <c r="H1543" s="1" t="str">
        <f>IFERROR(__xludf.DUMMYFUNCTION("""COMPUTED_VALUE"""),"48")</f>
        <v>48</v>
      </c>
    </row>
    <row r="1544" ht="15.75" customHeight="1">
      <c r="D1544" s="1" t="str">
        <f>IFERROR(__xludf.DUMMYFUNCTION("""COMPUTED_VALUE"""),"26238")</f>
        <v>26238</v>
      </c>
      <c r="E1544" s="3">
        <f>IFERROR(__xludf.DUMMYFUNCTION("""COMPUTED_VALUE"""),40000.0)</f>
        <v>40000</v>
      </c>
      <c r="F1544" s="1" t="str">
        <f>IFERROR(__xludf.DUMMYFUNCTION("""COMPUTED_VALUE"""),"3")</f>
        <v>3</v>
      </c>
      <c r="G1544" s="1" t="str">
        <f>IFERROR(__xludf.DUMMYFUNCTION("""COMPUTED_VALUE"""),"1")</f>
        <v>1</v>
      </c>
      <c r="H1544" s="1" t="str">
        <f>IFERROR(__xludf.DUMMYFUNCTION("""COMPUTED_VALUE"""),"31")</f>
        <v>31</v>
      </c>
    </row>
    <row r="1545" ht="15.75" customHeight="1">
      <c r="D1545" s="1" t="str">
        <f>IFERROR(__xludf.DUMMYFUNCTION("""COMPUTED_VALUE"""),"23707")</f>
        <v>23707</v>
      </c>
      <c r="E1545" s="3">
        <f>IFERROR(__xludf.DUMMYFUNCTION("""COMPUTED_VALUE"""),70000.0)</f>
        <v>70000</v>
      </c>
      <c r="F1545" s="1" t="str">
        <f>IFERROR(__xludf.DUMMYFUNCTION("""COMPUTED_VALUE"""),"5")</f>
        <v>5</v>
      </c>
      <c r="G1545" s="1" t="str">
        <f>IFERROR(__xludf.DUMMYFUNCTION("""COMPUTED_VALUE"""),"3")</f>
        <v>3</v>
      </c>
      <c r="H1545" s="1" t="str">
        <f>IFERROR(__xludf.DUMMYFUNCTION("""COMPUTED_VALUE"""),"60")</f>
        <v>60</v>
      </c>
    </row>
    <row r="1546" ht="15.75" customHeight="1">
      <c r="D1546" s="1" t="str">
        <f>IFERROR(__xludf.DUMMYFUNCTION("""COMPUTED_VALUE"""),"27650")</f>
        <v>27650</v>
      </c>
      <c r="E1546" s="3">
        <f>IFERROR(__xludf.DUMMYFUNCTION("""COMPUTED_VALUE"""),70000.0)</f>
        <v>70000</v>
      </c>
      <c r="F1546" s="1" t="str">
        <f>IFERROR(__xludf.DUMMYFUNCTION("""COMPUTED_VALUE"""),"4")</f>
        <v>4</v>
      </c>
      <c r="G1546" s="1" t="str">
        <f>IFERROR(__xludf.DUMMYFUNCTION("""COMPUTED_VALUE"""),"0")</f>
        <v>0</v>
      </c>
      <c r="H1546" s="1" t="str">
        <f>IFERROR(__xludf.DUMMYFUNCTION("""COMPUTED_VALUE"""),"51")</f>
        <v>51</v>
      </c>
    </row>
    <row r="1547" ht="15.75" customHeight="1">
      <c r="D1547" s="1" t="str">
        <f>IFERROR(__xludf.DUMMYFUNCTION("""COMPUTED_VALUE"""),"24981")</f>
        <v>24981</v>
      </c>
      <c r="E1547" s="3">
        <f>IFERROR(__xludf.DUMMYFUNCTION("""COMPUTED_VALUE"""),60000.0)</f>
        <v>60000</v>
      </c>
      <c r="F1547" s="1" t="str">
        <f>IFERROR(__xludf.DUMMYFUNCTION("""COMPUTED_VALUE"""),"2")</f>
        <v>2</v>
      </c>
      <c r="G1547" s="1" t="str">
        <f>IFERROR(__xludf.DUMMYFUNCTION("""COMPUTED_VALUE"""),"2")</f>
        <v>2</v>
      </c>
      <c r="H1547" s="1" t="str">
        <f>IFERROR(__xludf.DUMMYFUNCTION("""COMPUTED_VALUE"""),"56")</f>
        <v>56</v>
      </c>
    </row>
    <row r="1548" ht="15.75" customHeight="1">
      <c r="D1548" s="1" t="str">
        <f>IFERROR(__xludf.DUMMYFUNCTION("""COMPUTED_VALUE"""),"20678")</f>
        <v>20678</v>
      </c>
      <c r="E1548" s="3">
        <f>IFERROR(__xludf.DUMMYFUNCTION("""COMPUTED_VALUE"""),60000.0)</f>
        <v>60000</v>
      </c>
      <c r="F1548" s="1" t="str">
        <f>IFERROR(__xludf.DUMMYFUNCTION("""COMPUTED_VALUE"""),"3")</f>
        <v>3</v>
      </c>
      <c r="G1548" s="1" t="str">
        <f>IFERROR(__xludf.DUMMYFUNCTION("""COMPUTED_VALUE"""),"1")</f>
        <v>1</v>
      </c>
      <c r="H1548" s="1" t="str">
        <f>IFERROR(__xludf.DUMMYFUNCTION("""COMPUTED_VALUE"""),"40")</f>
        <v>40</v>
      </c>
    </row>
    <row r="1549" ht="15.75" customHeight="1">
      <c r="D1549" s="1" t="str">
        <f>IFERROR(__xludf.DUMMYFUNCTION("""COMPUTED_VALUE"""),"15302")</f>
        <v>15302</v>
      </c>
      <c r="E1549" s="3">
        <f>IFERROR(__xludf.DUMMYFUNCTION("""COMPUTED_VALUE"""),70000.0)</f>
        <v>70000</v>
      </c>
      <c r="F1549" s="1" t="str">
        <f>IFERROR(__xludf.DUMMYFUNCTION("""COMPUTED_VALUE"""),"1")</f>
        <v>1</v>
      </c>
      <c r="G1549" s="1" t="str">
        <f>IFERROR(__xludf.DUMMYFUNCTION("""COMPUTED_VALUE"""),"0")</f>
        <v>0</v>
      </c>
      <c r="H1549" s="1" t="str">
        <f>IFERROR(__xludf.DUMMYFUNCTION("""COMPUTED_VALUE"""),"34")</f>
        <v>34</v>
      </c>
    </row>
    <row r="1550" ht="15.75" customHeight="1">
      <c r="D1550" s="1" t="str">
        <f>IFERROR(__xludf.DUMMYFUNCTION("""COMPUTED_VALUE"""),"26012")</f>
        <v>26012</v>
      </c>
      <c r="E1550" s="3">
        <f>IFERROR(__xludf.DUMMYFUNCTION("""COMPUTED_VALUE"""),80000.0)</f>
        <v>80000</v>
      </c>
      <c r="F1550" s="1" t="str">
        <f>IFERROR(__xludf.DUMMYFUNCTION("""COMPUTED_VALUE"""),"1")</f>
        <v>1</v>
      </c>
      <c r="G1550" s="1" t="str">
        <f>IFERROR(__xludf.DUMMYFUNCTION("""COMPUTED_VALUE"""),"1")</f>
        <v>1</v>
      </c>
      <c r="H1550" s="1" t="str">
        <f>IFERROR(__xludf.DUMMYFUNCTION("""COMPUTED_VALUE"""),"48")</f>
        <v>48</v>
      </c>
    </row>
    <row r="1551" ht="15.75" customHeight="1">
      <c r="D1551" s="1" t="str">
        <f>IFERROR(__xludf.DUMMYFUNCTION("""COMPUTED_VALUE"""),"26575")</f>
        <v>26575</v>
      </c>
      <c r="E1551" s="3">
        <f>IFERROR(__xludf.DUMMYFUNCTION("""COMPUTED_VALUE"""),40000.0)</f>
        <v>40000</v>
      </c>
      <c r="F1551" s="1" t="str">
        <f>IFERROR(__xludf.DUMMYFUNCTION("""COMPUTED_VALUE"""),"0")</f>
        <v>0</v>
      </c>
      <c r="G1551" s="1" t="str">
        <f>IFERROR(__xludf.DUMMYFUNCTION("""COMPUTED_VALUE"""),"2")</f>
        <v>2</v>
      </c>
      <c r="H1551" s="1" t="str">
        <f>IFERROR(__xludf.DUMMYFUNCTION("""COMPUTED_VALUE"""),"31")</f>
        <v>31</v>
      </c>
    </row>
    <row r="1552" ht="15.75" customHeight="1">
      <c r="D1552" s="1" t="str">
        <f>IFERROR(__xludf.DUMMYFUNCTION("""COMPUTED_VALUE"""),"15559")</f>
        <v>15559</v>
      </c>
      <c r="E1552" s="3">
        <f>IFERROR(__xludf.DUMMYFUNCTION("""COMPUTED_VALUE"""),60000.0)</f>
        <v>60000</v>
      </c>
      <c r="F1552" s="1" t="str">
        <f>IFERROR(__xludf.DUMMYFUNCTION("""COMPUTED_VALUE"""),"5")</f>
        <v>5</v>
      </c>
      <c r="G1552" s="1" t="str">
        <f>IFERROR(__xludf.DUMMYFUNCTION("""COMPUTED_VALUE"""),"1")</f>
        <v>1</v>
      </c>
      <c r="H1552" s="1" t="str">
        <f>IFERROR(__xludf.DUMMYFUNCTION("""COMPUTED_VALUE"""),"47")</f>
        <v>47</v>
      </c>
    </row>
    <row r="1553" ht="15.75" customHeight="1">
      <c r="D1553" s="1" t="str">
        <f>IFERROR(__xludf.DUMMYFUNCTION("""COMPUTED_VALUE"""),"19235")</f>
        <v>19235</v>
      </c>
      <c r="E1553" s="3">
        <f>IFERROR(__xludf.DUMMYFUNCTION("""COMPUTED_VALUE"""),50000.0)</f>
        <v>50000</v>
      </c>
      <c r="F1553" s="1" t="str">
        <f>IFERROR(__xludf.DUMMYFUNCTION("""COMPUTED_VALUE"""),"0")</f>
        <v>0</v>
      </c>
      <c r="G1553" s="1" t="str">
        <f>IFERROR(__xludf.DUMMYFUNCTION("""COMPUTED_VALUE"""),"0")</f>
        <v>0</v>
      </c>
      <c r="H1553" s="1" t="str">
        <f>IFERROR(__xludf.DUMMYFUNCTION("""COMPUTED_VALUE"""),"34")</f>
        <v>34</v>
      </c>
    </row>
    <row r="1554" ht="15.75" customHeight="1">
      <c r="D1554" s="1" t="str">
        <f>IFERROR(__xludf.DUMMYFUNCTION("""COMPUTED_VALUE"""),"15275")</f>
        <v>15275</v>
      </c>
      <c r="E1554" s="3">
        <f>IFERROR(__xludf.DUMMYFUNCTION("""COMPUTED_VALUE"""),40000.0)</f>
        <v>40000</v>
      </c>
      <c r="F1554" s="1" t="str">
        <f>IFERROR(__xludf.DUMMYFUNCTION("""COMPUTED_VALUE"""),"0")</f>
        <v>0</v>
      </c>
      <c r="G1554" s="1" t="str">
        <f>IFERROR(__xludf.DUMMYFUNCTION("""COMPUTED_VALUE"""),"1")</f>
        <v>1</v>
      </c>
      <c r="H1554" s="1" t="str">
        <f>IFERROR(__xludf.DUMMYFUNCTION("""COMPUTED_VALUE"""),"29")</f>
        <v>29</v>
      </c>
    </row>
    <row r="1555" ht="15.75" customHeight="1">
      <c r="D1555" s="1" t="str">
        <f>IFERROR(__xludf.DUMMYFUNCTION("""COMPUTED_VALUE"""),"20339")</f>
        <v>20339</v>
      </c>
      <c r="E1555" s="3">
        <f>IFERROR(__xludf.DUMMYFUNCTION("""COMPUTED_VALUE"""),130000.0)</f>
        <v>130000</v>
      </c>
      <c r="F1555" s="1" t="str">
        <f>IFERROR(__xludf.DUMMYFUNCTION("""COMPUTED_VALUE"""),"1")</f>
        <v>1</v>
      </c>
      <c r="G1555" s="1" t="str">
        <f>IFERROR(__xludf.DUMMYFUNCTION("""COMPUTED_VALUE"""),"4")</f>
        <v>4</v>
      </c>
      <c r="H1555" s="1" t="str">
        <f>IFERROR(__xludf.DUMMYFUNCTION("""COMPUTED_VALUE"""),"44")</f>
        <v>44</v>
      </c>
    </row>
    <row r="1556" ht="15.75" customHeight="1">
      <c r="D1556" s="1" t="str">
        <f>IFERROR(__xludf.DUMMYFUNCTION("""COMPUTED_VALUE"""),"25405")</f>
        <v>25405</v>
      </c>
      <c r="E1556" s="3">
        <f>IFERROR(__xludf.DUMMYFUNCTION("""COMPUTED_VALUE"""),70000.0)</f>
        <v>70000</v>
      </c>
      <c r="F1556" s="1" t="str">
        <f>IFERROR(__xludf.DUMMYFUNCTION("""COMPUTED_VALUE"""),"2")</f>
        <v>2</v>
      </c>
      <c r="G1556" s="1" t="str">
        <f>IFERROR(__xludf.DUMMYFUNCTION("""COMPUTED_VALUE"""),"1")</f>
        <v>1</v>
      </c>
      <c r="H1556" s="1" t="str">
        <f>IFERROR(__xludf.DUMMYFUNCTION("""COMPUTED_VALUE"""),"38")</f>
        <v>38</v>
      </c>
    </row>
    <row r="1557" ht="15.75" customHeight="1">
      <c r="D1557" s="1" t="str">
        <f>IFERROR(__xludf.DUMMYFUNCTION("""COMPUTED_VALUE"""),"15940")</f>
        <v>15940</v>
      </c>
      <c r="E1557" s="3">
        <f>IFERROR(__xludf.DUMMYFUNCTION("""COMPUTED_VALUE"""),100000.0)</f>
        <v>100000</v>
      </c>
      <c r="F1557" s="1" t="str">
        <f>IFERROR(__xludf.DUMMYFUNCTION("""COMPUTED_VALUE"""),"4")</f>
        <v>4</v>
      </c>
      <c r="G1557" s="1" t="str">
        <f>IFERROR(__xludf.DUMMYFUNCTION("""COMPUTED_VALUE"""),"4")</f>
        <v>4</v>
      </c>
      <c r="H1557" s="1" t="str">
        <f>IFERROR(__xludf.DUMMYFUNCTION("""COMPUTED_VALUE"""),"40")</f>
        <v>40</v>
      </c>
    </row>
    <row r="1558" ht="15.75" customHeight="1">
      <c r="D1558" s="1" t="str">
        <f>IFERROR(__xludf.DUMMYFUNCTION("""COMPUTED_VALUE"""),"25074")</f>
        <v>25074</v>
      </c>
      <c r="E1558" s="3">
        <f>IFERROR(__xludf.DUMMYFUNCTION("""COMPUTED_VALUE"""),70000.0)</f>
        <v>70000</v>
      </c>
      <c r="F1558" s="1" t="str">
        <f>IFERROR(__xludf.DUMMYFUNCTION("""COMPUTED_VALUE"""),"4")</f>
        <v>4</v>
      </c>
      <c r="G1558" s="1" t="str">
        <f>IFERROR(__xludf.DUMMYFUNCTION("""COMPUTED_VALUE"""),"2")</f>
        <v>2</v>
      </c>
      <c r="H1558" s="1" t="str">
        <f>IFERROR(__xludf.DUMMYFUNCTION("""COMPUTED_VALUE"""),"42")</f>
        <v>42</v>
      </c>
    </row>
    <row r="1559" ht="15.75" customHeight="1">
      <c r="D1559" s="1" t="str">
        <f>IFERROR(__xludf.DUMMYFUNCTION("""COMPUTED_VALUE"""),"24738")</f>
        <v>24738</v>
      </c>
      <c r="E1559" s="3">
        <f>IFERROR(__xludf.DUMMYFUNCTION("""COMPUTED_VALUE"""),40000.0)</f>
        <v>40000</v>
      </c>
      <c r="F1559" s="1" t="str">
        <f>IFERROR(__xludf.DUMMYFUNCTION("""COMPUTED_VALUE"""),"1")</f>
        <v>1</v>
      </c>
      <c r="G1559" s="1" t="str">
        <f>IFERROR(__xludf.DUMMYFUNCTION("""COMPUTED_VALUE"""),"1")</f>
        <v>1</v>
      </c>
      <c r="H1559" s="1" t="str">
        <f>IFERROR(__xludf.DUMMYFUNCTION("""COMPUTED_VALUE"""),"51")</f>
        <v>51</v>
      </c>
    </row>
    <row r="1560" ht="15.75" customHeight="1">
      <c r="D1560" s="1" t="str">
        <f>IFERROR(__xludf.DUMMYFUNCTION("""COMPUTED_VALUE"""),"16337")</f>
        <v>16337</v>
      </c>
      <c r="E1560" s="3">
        <f>IFERROR(__xludf.DUMMYFUNCTION("""COMPUTED_VALUE"""),60000.0)</f>
        <v>60000</v>
      </c>
      <c r="F1560" s="1" t="str">
        <f>IFERROR(__xludf.DUMMYFUNCTION("""COMPUTED_VALUE"""),"0")</f>
        <v>0</v>
      </c>
      <c r="G1560" s="1" t="str">
        <f>IFERROR(__xludf.DUMMYFUNCTION("""COMPUTED_VALUE"""),"2")</f>
        <v>2</v>
      </c>
      <c r="H1560" s="1" t="str">
        <f>IFERROR(__xludf.DUMMYFUNCTION("""COMPUTED_VALUE"""),"29")</f>
        <v>29</v>
      </c>
    </row>
    <row r="1561" ht="15.75" customHeight="1">
      <c r="D1561" s="1" t="str">
        <f>IFERROR(__xludf.DUMMYFUNCTION("""COMPUTED_VALUE"""),"18613")</f>
        <v>18613</v>
      </c>
      <c r="E1561" s="3">
        <f>IFERROR(__xludf.DUMMYFUNCTION("""COMPUTED_VALUE"""),70000.0)</f>
        <v>70000</v>
      </c>
      <c r="F1561" s="1" t="str">
        <f>IFERROR(__xludf.DUMMYFUNCTION("""COMPUTED_VALUE"""),"0")</f>
        <v>0</v>
      </c>
      <c r="G1561" s="1" t="str">
        <f>IFERROR(__xludf.DUMMYFUNCTION("""COMPUTED_VALUE"""),"1")</f>
        <v>1</v>
      </c>
      <c r="H1561" s="1" t="str">
        <f>IFERROR(__xludf.DUMMYFUNCTION("""COMPUTED_VALUE"""),"37")</f>
        <v>37</v>
      </c>
    </row>
    <row r="1562" ht="15.75" customHeight="1">
      <c r="D1562" s="1" t="str">
        <f>IFERROR(__xludf.DUMMYFUNCTION("""COMPUTED_VALUE"""),"18052")</f>
        <v>18052</v>
      </c>
      <c r="E1562" s="3">
        <f>IFERROR(__xludf.DUMMYFUNCTION("""COMPUTED_VALUE"""),60000.0)</f>
        <v>60000</v>
      </c>
      <c r="F1562" s="1" t="str">
        <f>IFERROR(__xludf.DUMMYFUNCTION("""COMPUTED_VALUE"""),"1")</f>
        <v>1</v>
      </c>
      <c r="G1562" s="1" t="str">
        <f>IFERROR(__xludf.DUMMYFUNCTION("""COMPUTED_VALUE"""),"1")</f>
        <v>1</v>
      </c>
      <c r="H1562" s="1" t="str">
        <f>IFERROR(__xludf.DUMMYFUNCTION("""COMPUTED_VALUE"""),"45")</f>
        <v>45</v>
      </c>
    </row>
    <row r="1563" ht="15.75" customHeight="1">
      <c r="D1563" s="1" t="str">
        <f>IFERROR(__xludf.DUMMYFUNCTION("""COMPUTED_VALUE"""),"13353")</f>
        <v>13353</v>
      </c>
      <c r="E1563" s="3">
        <f>IFERROR(__xludf.DUMMYFUNCTION("""COMPUTED_VALUE"""),60000.0)</f>
        <v>60000</v>
      </c>
      <c r="F1563" s="1" t="str">
        <f>IFERROR(__xludf.DUMMYFUNCTION("""COMPUTED_VALUE"""),"4")</f>
        <v>4</v>
      </c>
      <c r="G1563" s="1" t="str">
        <f>IFERROR(__xludf.DUMMYFUNCTION("""COMPUTED_VALUE"""),"2")</f>
        <v>2</v>
      </c>
      <c r="H1563" s="1" t="str">
        <f>IFERROR(__xludf.DUMMYFUNCTION("""COMPUTED_VALUE"""),"61")</f>
        <v>61</v>
      </c>
    </row>
    <row r="1564" ht="15.75" customHeight="1">
      <c r="D1564" s="1" t="str">
        <f>IFERROR(__xludf.DUMMYFUNCTION("""COMPUTED_VALUE"""),"19399")</f>
        <v>19399</v>
      </c>
      <c r="E1564" s="3">
        <f>IFERROR(__xludf.DUMMYFUNCTION("""COMPUTED_VALUE"""),40000.0)</f>
        <v>40000</v>
      </c>
      <c r="F1564" s="1" t="str">
        <f>IFERROR(__xludf.DUMMYFUNCTION("""COMPUTED_VALUE"""),"0")</f>
        <v>0</v>
      </c>
      <c r="G1564" s="1" t="str">
        <f>IFERROR(__xludf.DUMMYFUNCTION("""COMPUTED_VALUE"""),"1")</f>
        <v>1</v>
      </c>
      <c r="H1564" s="1" t="str">
        <f>IFERROR(__xludf.DUMMYFUNCTION("""COMPUTED_VALUE"""),"45")</f>
        <v>45</v>
      </c>
    </row>
    <row r="1565" ht="15.75" customHeight="1">
      <c r="D1565" s="1" t="str">
        <f>IFERROR(__xludf.DUMMYFUNCTION("""COMPUTED_VALUE"""),"16154")</f>
        <v>16154</v>
      </c>
      <c r="E1565" s="3">
        <f>IFERROR(__xludf.DUMMYFUNCTION("""COMPUTED_VALUE"""),70000.0)</f>
        <v>70000</v>
      </c>
      <c r="F1565" s="1" t="str">
        <f>IFERROR(__xludf.DUMMYFUNCTION("""COMPUTED_VALUE"""),"5")</f>
        <v>5</v>
      </c>
      <c r="G1565" s="1" t="str">
        <f>IFERROR(__xludf.DUMMYFUNCTION("""COMPUTED_VALUE"""),"2")</f>
        <v>2</v>
      </c>
      <c r="H1565" s="1" t="str">
        <f>IFERROR(__xludf.DUMMYFUNCTION("""COMPUTED_VALUE"""),"47")</f>
        <v>47</v>
      </c>
    </row>
    <row r="1566" ht="15.75" customHeight="1">
      <c r="D1566" s="1" t="str">
        <f>IFERROR(__xludf.DUMMYFUNCTION("""COMPUTED_VALUE"""),"22219")</f>
        <v>22219</v>
      </c>
      <c r="E1566" s="3">
        <f>IFERROR(__xludf.DUMMYFUNCTION("""COMPUTED_VALUE"""),60000.0)</f>
        <v>60000</v>
      </c>
      <c r="F1566" s="1" t="str">
        <f>IFERROR(__xludf.DUMMYFUNCTION("""COMPUTED_VALUE"""),"2")</f>
        <v>2</v>
      </c>
      <c r="G1566" s="1" t="str">
        <f>IFERROR(__xludf.DUMMYFUNCTION("""COMPUTED_VALUE"""),"2")</f>
        <v>2</v>
      </c>
      <c r="H1566" s="1" t="str">
        <f>IFERROR(__xludf.DUMMYFUNCTION("""COMPUTED_VALUE"""),"49")</f>
        <v>49</v>
      </c>
    </row>
    <row r="1567" ht="15.75" customHeight="1">
      <c r="D1567" s="1" t="str">
        <f>IFERROR(__xludf.DUMMYFUNCTION("""COMPUTED_VALUE"""),"17269")</f>
        <v>17269</v>
      </c>
      <c r="E1567" s="3">
        <f>IFERROR(__xludf.DUMMYFUNCTION("""COMPUTED_VALUE"""),60000.0)</f>
        <v>60000</v>
      </c>
      <c r="F1567" s="1" t="str">
        <f>IFERROR(__xludf.DUMMYFUNCTION("""COMPUTED_VALUE"""),"3")</f>
        <v>3</v>
      </c>
      <c r="G1567" s="1" t="str">
        <f>IFERROR(__xludf.DUMMYFUNCTION("""COMPUTED_VALUE"""),"0")</f>
        <v>0</v>
      </c>
      <c r="H1567" s="1" t="str">
        <f>IFERROR(__xludf.DUMMYFUNCTION("""COMPUTED_VALUE"""),"47")</f>
        <v>47</v>
      </c>
    </row>
    <row r="1568" ht="15.75" customHeight="1">
      <c r="D1568" s="1" t="str">
        <f>IFERROR(__xludf.DUMMYFUNCTION("""COMPUTED_VALUE"""),"23586")</f>
        <v>23586</v>
      </c>
      <c r="E1568" s="3">
        <f>IFERROR(__xludf.DUMMYFUNCTION("""COMPUTED_VALUE"""),80000.0)</f>
        <v>80000</v>
      </c>
      <c r="F1568" s="1" t="str">
        <f>IFERROR(__xludf.DUMMYFUNCTION("""COMPUTED_VALUE"""),"0")</f>
        <v>0</v>
      </c>
      <c r="G1568" s="1" t="str">
        <f>IFERROR(__xludf.DUMMYFUNCTION("""COMPUTED_VALUE"""),"1")</f>
        <v>1</v>
      </c>
      <c r="H1568" s="1" t="str">
        <f>IFERROR(__xludf.DUMMYFUNCTION("""COMPUTED_VALUE"""),"34")</f>
        <v>34</v>
      </c>
    </row>
    <row r="1569" ht="15.75" customHeight="1">
      <c r="D1569" s="1" t="str">
        <f>IFERROR(__xludf.DUMMYFUNCTION("""COMPUTED_VALUE"""),"15740")</f>
        <v>15740</v>
      </c>
      <c r="E1569" s="3">
        <f>IFERROR(__xludf.DUMMYFUNCTION("""COMPUTED_VALUE"""),80000.0)</f>
        <v>80000</v>
      </c>
      <c r="F1569" s="1" t="str">
        <f>IFERROR(__xludf.DUMMYFUNCTION("""COMPUTED_VALUE"""),"5")</f>
        <v>5</v>
      </c>
      <c r="G1569" s="1" t="str">
        <f>IFERROR(__xludf.DUMMYFUNCTION("""COMPUTED_VALUE"""),"2")</f>
        <v>2</v>
      </c>
      <c r="H1569" s="1" t="str">
        <f>IFERROR(__xludf.DUMMYFUNCTION("""COMPUTED_VALUE"""),"64")</f>
        <v>64</v>
      </c>
    </row>
    <row r="1570" ht="15.75" customHeight="1">
      <c r="D1570" s="1" t="str">
        <f>IFERROR(__xludf.DUMMYFUNCTION("""COMPUTED_VALUE"""),"27638")</f>
        <v>27638</v>
      </c>
      <c r="E1570" s="3">
        <f>IFERROR(__xludf.DUMMYFUNCTION("""COMPUTED_VALUE"""),100000.0)</f>
        <v>100000</v>
      </c>
      <c r="F1570" s="1" t="str">
        <f>IFERROR(__xludf.DUMMYFUNCTION("""COMPUTED_VALUE"""),"1")</f>
        <v>1</v>
      </c>
      <c r="G1570" s="1" t="str">
        <f>IFERROR(__xludf.DUMMYFUNCTION("""COMPUTED_VALUE"""),"3")</f>
        <v>3</v>
      </c>
      <c r="H1570" s="1" t="str">
        <f>IFERROR(__xludf.DUMMYFUNCTION("""COMPUTED_VALUE"""),"44")</f>
        <v>44</v>
      </c>
    </row>
    <row r="1571" ht="15.75" customHeight="1">
      <c r="D1571" s="1" t="str">
        <f>IFERROR(__xludf.DUMMYFUNCTION("""COMPUTED_VALUE"""),"18976")</f>
        <v>18976</v>
      </c>
      <c r="E1571" s="3">
        <f>IFERROR(__xludf.DUMMYFUNCTION("""COMPUTED_VALUE"""),40000.0)</f>
        <v>40000</v>
      </c>
      <c r="F1571" s="1" t="str">
        <f>IFERROR(__xludf.DUMMYFUNCTION("""COMPUTED_VALUE"""),"4")</f>
        <v>4</v>
      </c>
      <c r="G1571" s="1" t="str">
        <f>IFERROR(__xludf.DUMMYFUNCTION("""COMPUTED_VALUE"""),"2")</f>
        <v>2</v>
      </c>
      <c r="H1571" s="1" t="str">
        <f>IFERROR(__xludf.DUMMYFUNCTION("""COMPUTED_VALUE"""),"62")</f>
        <v>62</v>
      </c>
    </row>
    <row r="1572" ht="15.75" customHeight="1">
      <c r="D1572" s="1" t="str">
        <f>IFERROR(__xludf.DUMMYFUNCTION("""COMPUTED_VALUE"""),"19413")</f>
        <v>19413</v>
      </c>
      <c r="E1572" s="3">
        <f>IFERROR(__xludf.DUMMYFUNCTION("""COMPUTED_VALUE"""),60000.0)</f>
        <v>60000</v>
      </c>
      <c r="F1572" s="1" t="str">
        <f>IFERROR(__xludf.DUMMYFUNCTION("""COMPUTED_VALUE"""),"3")</f>
        <v>3</v>
      </c>
      <c r="G1572" s="1" t="str">
        <f>IFERROR(__xludf.DUMMYFUNCTION("""COMPUTED_VALUE"""),"1")</f>
        <v>1</v>
      </c>
      <c r="H1572" s="1" t="str">
        <f>IFERROR(__xludf.DUMMYFUNCTION("""COMPUTED_VALUE"""),"47")</f>
        <v>47</v>
      </c>
    </row>
    <row r="1573" ht="15.75" customHeight="1">
      <c r="D1573" s="1" t="str">
        <f>IFERROR(__xludf.DUMMYFUNCTION("""COMPUTED_VALUE"""),"13283")</f>
        <v>13283</v>
      </c>
      <c r="E1573" s="3">
        <f>IFERROR(__xludf.DUMMYFUNCTION("""COMPUTED_VALUE"""),80000.0)</f>
        <v>80000</v>
      </c>
      <c r="F1573" s="1" t="str">
        <f>IFERROR(__xludf.DUMMYFUNCTION("""COMPUTED_VALUE"""),"3")</f>
        <v>3</v>
      </c>
      <c r="G1573" s="1" t="str">
        <f>IFERROR(__xludf.DUMMYFUNCTION("""COMPUTED_VALUE"""),"2")</f>
        <v>2</v>
      </c>
      <c r="H1573" s="1" t="str">
        <f>IFERROR(__xludf.DUMMYFUNCTION("""COMPUTED_VALUE"""),"49")</f>
        <v>49</v>
      </c>
    </row>
    <row r="1574" ht="15.75" customHeight="1">
      <c r="D1574" s="1" t="str">
        <f>IFERROR(__xludf.DUMMYFUNCTION("""COMPUTED_VALUE"""),"17471")</f>
        <v>17471</v>
      </c>
      <c r="E1574" s="3">
        <f>IFERROR(__xludf.DUMMYFUNCTION("""COMPUTED_VALUE"""),80000.0)</f>
        <v>80000</v>
      </c>
      <c r="F1574" s="1" t="str">
        <f>IFERROR(__xludf.DUMMYFUNCTION("""COMPUTED_VALUE"""),"4")</f>
        <v>4</v>
      </c>
      <c r="G1574" s="1" t="str">
        <f>IFERROR(__xludf.DUMMYFUNCTION("""COMPUTED_VALUE"""),"2")</f>
        <v>2</v>
      </c>
      <c r="H1574" s="1" t="str">
        <f>IFERROR(__xludf.DUMMYFUNCTION("""COMPUTED_VALUE"""),"67")</f>
        <v>67</v>
      </c>
    </row>
    <row r="1575" ht="15.75" customHeight="1">
      <c r="D1575" s="1" t="str">
        <f>IFERROR(__xludf.DUMMYFUNCTION("""COMPUTED_VALUE"""),"16791")</f>
        <v>16791</v>
      </c>
      <c r="E1575" s="3">
        <f>IFERROR(__xludf.DUMMYFUNCTION("""COMPUTED_VALUE"""),60000.0)</f>
        <v>60000</v>
      </c>
      <c r="F1575" s="1" t="str">
        <f>IFERROR(__xludf.DUMMYFUNCTION("""COMPUTED_VALUE"""),"5")</f>
        <v>5</v>
      </c>
      <c r="G1575" s="1" t="str">
        <f>IFERROR(__xludf.DUMMYFUNCTION("""COMPUTED_VALUE"""),"3")</f>
        <v>3</v>
      </c>
      <c r="H1575" s="1" t="str">
        <f>IFERROR(__xludf.DUMMYFUNCTION("""COMPUTED_VALUE"""),"59")</f>
        <v>59</v>
      </c>
    </row>
    <row r="1576" ht="15.75" customHeight="1">
      <c r="D1576" s="1" t="str">
        <f>IFERROR(__xludf.DUMMYFUNCTION("""COMPUTED_VALUE"""),"15382")</f>
        <v>15382</v>
      </c>
      <c r="E1576" s="3">
        <f>IFERROR(__xludf.DUMMYFUNCTION("""COMPUTED_VALUE"""),110000.0)</f>
        <v>110000</v>
      </c>
      <c r="F1576" s="1" t="str">
        <f>IFERROR(__xludf.DUMMYFUNCTION("""COMPUTED_VALUE"""),"1")</f>
        <v>1</v>
      </c>
      <c r="G1576" s="1" t="str">
        <f>IFERROR(__xludf.DUMMYFUNCTION("""COMPUTED_VALUE"""),"2")</f>
        <v>2</v>
      </c>
      <c r="H1576" s="1" t="str">
        <f>IFERROR(__xludf.DUMMYFUNCTION("""COMPUTED_VALUE"""),"44")</f>
        <v>44</v>
      </c>
    </row>
    <row r="1577" ht="15.75" customHeight="1">
      <c r="D1577" s="1" t="str">
        <f>IFERROR(__xludf.DUMMYFUNCTION("""COMPUTED_VALUE"""),"11641")</f>
        <v>11641</v>
      </c>
      <c r="E1577" s="3">
        <f>IFERROR(__xludf.DUMMYFUNCTION("""COMPUTED_VALUE"""),50000.0)</f>
        <v>50000</v>
      </c>
      <c r="F1577" s="1" t="str">
        <f>IFERROR(__xludf.DUMMYFUNCTION("""COMPUTED_VALUE"""),"1")</f>
        <v>1</v>
      </c>
      <c r="G1577" s="1" t="str">
        <f>IFERROR(__xludf.DUMMYFUNCTION("""COMPUTED_VALUE"""),"0")</f>
        <v>0</v>
      </c>
      <c r="H1577" s="1" t="str">
        <f>IFERROR(__xludf.DUMMYFUNCTION("""COMPUTED_VALUE"""),"36")</f>
        <v>36</v>
      </c>
    </row>
    <row r="1578" ht="15.75" customHeight="1">
      <c r="D1578" s="1" t="str">
        <f>IFERROR(__xludf.DUMMYFUNCTION("""COMPUTED_VALUE"""),"11935")</f>
        <v>11935</v>
      </c>
      <c r="E1578" s="3">
        <f>IFERROR(__xludf.DUMMYFUNCTION("""COMPUTED_VALUE"""),30000.0)</f>
        <v>30000</v>
      </c>
      <c r="F1578" s="1" t="str">
        <f>IFERROR(__xludf.DUMMYFUNCTION("""COMPUTED_VALUE"""),"0")</f>
        <v>0</v>
      </c>
      <c r="G1578" s="1" t="str">
        <f>IFERROR(__xludf.DUMMYFUNCTION("""COMPUTED_VALUE"""),"1")</f>
        <v>1</v>
      </c>
      <c r="H1578" s="1" t="str">
        <f>IFERROR(__xludf.DUMMYFUNCTION("""COMPUTED_VALUE"""),"28")</f>
        <v>28</v>
      </c>
    </row>
    <row r="1579" ht="15.75" customHeight="1">
      <c r="D1579" s="1" t="str">
        <f>IFERROR(__xludf.DUMMYFUNCTION("""COMPUTED_VALUE"""),"13233")</f>
        <v>13233</v>
      </c>
      <c r="E1579" s="3">
        <f>IFERROR(__xludf.DUMMYFUNCTION("""COMPUTED_VALUE"""),60000.0)</f>
        <v>60000</v>
      </c>
      <c r="F1579" s="1" t="str">
        <f>IFERROR(__xludf.DUMMYFUNCTION("""COMPUTED_VALUE"""),"2")</f>
        <v>2</v>
      </c>
      <c r="G1579" s="1" t="str">
        <f>IFERROR(__xludf.DUMMYFUNCTION("""COMPUTED_VALUE"""),"1")</f>
        <v>1</v>
      </c>
      <c r="H1579" s="1" t="str">
        <f>IFERROR(__xludf.DUMMYFUNCTION("""COMPUTED_VALUE"""),"57")</f>
        <v>57</v>
      </c>
    </row>
    <row r="1580" ht="15.75" customHeight="1">
      <c r="D1580" s="1" t="str">
        <f>IFERROR(__xludf.DUMMYFUNCTION("""COMPUTED_VALUE"""),"25909")</f>
        <v>25909</v>
      </c>
      <c r="E1580" s="3">
        <f>IFERROR(__xludf.DUMMYFUNCTION("""COMPUTED_VALUE"""),60000.0)</f>
        <v>60000</v>
      </c>
      <c r="F1580" s="1" t="str">
        <f>IFERROR(__xludf.DUMMYFUNCTION("""COMPUTED_VALUE"""),"0")</f>
        <v>0</v>
      </c>
      <c r="G1580" s="1" t="str">
        <f>IFERROR(__xludf.DUMMYFUNCTION("""COMPUTED_VALUE"""),"1")</f>
        <v>1</v>
      </c>
      <c r="H1580" s="1" t="str">
        <f>IFERROR(__xludf.DUMMYFUNCTION("""COMPUTED_VALUE"""),"27")</f>
        <v>27</v>
      </c>
    </row>
    <row r="1581" ht="15.75" customHeight="1">
      <c r="D1581" s="1" t="str">
        <f>IFERROR(__xludf.DUMMYFUNCTION("""COMPUTED_VALUE"""),"14092")</f>
        <v>14092</v>
      </c>
      <c r="E1581" s="3">
        <f>IFERROR(__xludf.DUMMYFUNCTION("""COMPUTED_VALUE"""),30000.0)</f>
        <v>30000</v>
      </c>
      <c r="F1581" s="1" t="str">
        <f>IFERROR(__xludf.DUMMYFUNCTION("""COMPUTED_VALUE"""),"0")</f>
        <v>0</v>
      </c>
      <c r="G1581" s="1" t="str">
        <f>IFERROR(__xludf.DUMMYFUNCTION("""COMPUTED_VALUE"""),"2")</f>
        <v>2</v>
      </c>
      <c r="H1581" s="1" t="str">
        <f>IFERROR(__xludf.DUMMYFUNCTION("""COMPUTED_VALUE"""),"28")</f>
        <v>28</v>
      </c>
    </row>
    <row r="1582" ht="15.75" customHeight="1">
      <c r="D1582" s="1" t="str">
        <f>IFERROR(__xludf.DUMMYFUNCTION("""COMPUTED_VALUE"""),"29143")</f>
        <v>29143</v>
      </c>
      <c r="E1582" s="3">
        <f>IFERROR(__xludf.DUMMYFUNCTION("""COMPUTED_VALUE"""),60000.0)</f>
        <v>60000</v>
      </c>
      <c r="F1582" s="1" t="str">
        <f>IFERROR(__xludf.DUMMYFUNCTION("""COMPUTED_VALUE"""),"1")</f>
        <v>1</v>
      </c>
      <c r="G1582" s="1" t="str">
        <f>IFERROR(__xludf.DUMMYFUNCTION("""COMPUTED_VALUE"""),"1")</f>
        <v>1</v>
      </c>
      <c r="H1582" s="1" t="str">
        <f>IFERROR(__xludf.DUMMYFUNCTION("""COMPUTED_VALUE"""),"44")</f>
        <v>44</v>
      </c>
    </row>
    <row r="1583" ht="15.75" customHeight="1">
      <c r="D1583" s="1" t="str">
        <f>IFERROR(__xludf.DUMMYFUNCTION("""COMPUTED_VALUE"""),"24941")</f>
        <v>24941</v>
      </c>
      <c r="E1583" s="3">
        <f>IFERROR(__xludf.DUMMYFUNCTION("""COMPUTED_VALUE"""),60000.0)</f>
        <v>60000</v>
      </c>
      <c r="F1583" s="1" t="str">
        <f>IFERROR(__xludf.DUMMYFUNCTION("""COMPUTED_VALUE"""),"3")</f>
        <v>3</v>
      </c>
      <c r="G1583" s="1" t="str">
        <f>IFERROR(__xludf.DUMMYFUNCTION("""COMPUTED_VALUE"""),"2")</f>
        <v>2</v>
      </c>
      <c r="H1583" s="1" t="str">
        <f>IFERROR(__xludf.DUMMYFUNCTION("""COMPUTED_VALUE"""),"66")</f>
        <v>66</v>
      </c>
    </row>
    <row r="1584" ht="15.75" customHeight="1">
      <c r="D1584" s="1" t="str">
        <f>IFERROR(__xludf.DUMMYFUNCTION("""COMPUTED_VALUE"""),"24637")</f>
        <v>24637</v>
      </c>
      <c r="E1584" s="3">
        <f>IFERROR(__xludf.DUMMYFUNCTION("""COMPUTED_VALUE"""),40000.0)</f>
        <v>40000</v>
      </c>
      <c r="F1584" s="1" t="str">
        <f>IFERROR(__xludf.DUMMYFUNCTION("""COMPUTED_VALUE"""),"4")</f>
        <v>4</v>
      </c>
      <c r="G1584" s="1" t="str">
        <f>IFERROR(__xludf.DUMMYFUNCTION("""COMPUTED_VALUE"""),"2")</f>
        <v>2</v>
      </c>
      <c r="H1584" s="1" t="str">
        <f>IFERROR(__xludf.DUMMYFUNCTION("""COMPUTED_VALUE"""),"64")</f>
        <v>64</v>
      </c>
    </row>
    <row r="1585" ht="15.75" customHeight="1">
      <c r="D1585" s="1" t="str">
        <f>IFERROR(__xludf.DUMMYFUNCTION("""COMPUTED_VALUE"""),"23893")</f>
        <v>23893</v>
      </c>
      <c r="E1585" s="3">
        <f>IFERROR(__xludf.DUMMYFUNCTION("""COMPUTED_VALUE"""),50000.0)</f>
        <v>50000</v>
      </c>
      <c r="F1585" s="1" t="str">
        <f>IFERROR(__xludf.DUMMYFUNCTION("""COMPUTED_VALUE"""),"3")</f>
        <v>3</v>
      </c>
      <c r="G1585" s="1" t="str">
        <f>IFERROR(__xludf.DUMMYFUNCTION("""COMPUTED_VALUE"""),"3")</f>
        <v>3</v>
      </c>
      <c r="H1585" s="1" t="str">
        <f>IFERROR(__xludf.DUMMYFUNCTION("""COMPUTED_VALUE"""),"41")</f>
        <v>41</v>
      </c>
    </row>
    <row r="1586" ht="15.75" customHeight="1">
      <c r="D1586" s="1" t="str">
        <f>IFERROR(__xludf.DUMMYFUNCTION("""COMPUTED_VALUE"""),"13907")</f>
        <v>13907</v>
      </c>
      <c r="E1586" s="3">
        <f>IFERROR(__xludf.DUMMYFUNCTION("""COMPUTED_VALUE"""),80000.0)</f>
        <v>80000</v>
      </c>
      <c r="F1586" s="1" t="str">
        <f>IFERROR(__xludf.DUMMYFUNCTION("""COMPUTED_VALUE"""),"3")</f>
        <v>3</v>
      </c>
      <c r="G1586" s="1" t="str">
        <f>IFERROR(__xludf.DUMMYFUNCTION("""COMPUTED_VALUE"""),"1")</f>
        <v>1</v>
      </c>
      <c r="H1586" s="1" t="str">
        <f>IFERROR(__xludf.DUMMYFUNCTION("""COMPUTED_VALUE"""),"41")</f>
        <v>41</v>
      </c>
    </row>
    <row r="1587" ht="15.75" customHeight="1">
      <c r="D1587" s="1" t="str">
        <f>IFERROR(__xludf.DUMMYFUNCTION("""COMPUTED_VALUE"""),"14900")</f>
        <v>14900</v>
      </c>
      <c r="E1587" s="3">
        <f>IFERROR(__xludf.DUMMYFUNCTION("""COMPUTED_VALUE"""),40000.0)</f>
        <v>40000</v>
      </c>
      <c r="F1587" s="1" t="str">
        <f>IFERROR(__xludf.DUMMYFUNCTION("""COMPUTED_VALUE"""),"1")</f>
        <v>1</v>
      </c>
      <c r="G1587" s="1" t="str">
        <f>IFERROR(__xludf.DUMMYFUNCTION("""COMPUTED_VALUE"""),"1")</f>
        <v>1</v>
      </c>
      <c r="H1587" s="1" t="str">
        <f>IFERROR(__xludf.DUMMYFUNCTION("""COMPUTED_VALUE"""),"49")</f>
        <v>49</v>
      </c>
    </row>
    <row r="1588" ht="15.75" customHeight="1">
      <c r="D1588" s="1" t="str">
        <f>IFERROR(__xludf.DUMMYFUNCTION("""COMPUTED_VALUE"""),"11262")</f>
        <v>11262</v>
      </c>
      <c r="E1588" s="3">
        <f>IFERROR(__xludf.DUMMYFUNCTION("""COMPUTED_VALUE"""),80000.0)</f>
        <v>80000</v>
      </c>
      <c r="F1588" s="1" t="str">
        <f>IFERROR(__xludf.DUMMYFUNCTION("""COMPUTED_VALUE"""),"4")</f>
        <v>4</v>
      </c>
      <c r="G1588" s="1" t="str">
        <f>IFERROR(__xludf.DUMMYFUNCTION("""COMPUTED_VALUE"""),"0")</f>
        <v>0</v>
      </c>
      <c r="H1588" s="1" t="str">
        <f>IFERROR(__xludf.DUMMYFUNCTION("""COMPUTED_VALUE"""),"42")</f>
        <v>42</v>
      </c>
    </row>
    <row r="1589" ht="15.75" customHeight="1">
      <c r="D1589" s="1" t="str">
        <f>IFERROR(__xludf.DUMMYFUNCTION("""COMPUTED_VALUE"""),"22294")</f>
        <v>22294</v>
      </c>
      <c r="E1589" s="3">
        <f>IFERROR(__xludf.DUMMYFUNCTION("""COMPUTED_VALUE"""),70000.0)</f>
        <v>70000</v>
      </c>
      <c r="F1589" s="1" t="str">
        <f>IFERROR(__xludf.DUMMYFUNCTION("""COMPUTED_VALUE"""),"0")</f>
        <v>0</v>
      </c>
      <c r="G1589" s="1" t="str">
        <f>IFERROR(__xludf.DUMMYFUNCTION("""COMPUTED_VALUE"""),"1")</f>
        <v>1</v>
      </c>
      <c r="H1589" s="1" t="str">
        <f>IFERROR(__xludf.DUMMYFUNCTION("""COMPUTED_VALUE"""),"37")</f>
        <v>37</v>
      </c>
    </row>
    <row r="1590" ht="15.75" customHeight="1">
      <c r="D1590" s="1" t="str">
        <f>IFERROR(__xludf.DUMMYFUNCTION("""COMPUTED_VALUE"""),"12195")</f>
        <v>12195</v>
      </c>
      <c r="E1590" s="3">
        <f>IFERROR(__xludf.DUMMYFUNCTION("""COMPUTED_VALUE"""),70000.0)</f>
        <v>70000</v>
      </c>
      <c r="F1590" s="1" t="str">
        <f>IFERROR(__xludf.DUMMYFUNCTION("""COMPUTED_VALUE"""),"3")</f>
        <v>3</v>
      </c>
      <c r="G1590" s="1" t="str">
        <f>IFERROR(__xludf.DUMMYFUNCTION("""COMPUTED_VALUE"""),"2")</f>
        <v>2</v>
      </c>
      <c r="H1590" s="1" t="str">
        <f>IFERROR(__xludf.DUMMYFUNCTION("""COMPUTED_VALUE"""),"52")</f>
        <v>52</v>
      </c>
    </row>
    <row r="1591" ht="15.75" customHeight="1">
      <c r="D1591" s="1" t="str">
        <f>IFERROR(__xludf.DUMMYFUNCTION("""COMPUTED_VALUE"""),"25375")</f>
        <v>25375</v>
      </c>
      <c r="E1591" s="3">
        <f>IFERROR(__xludf.DUMMYFUNCTION("""COMPUTED_VALUE"""),50000.0)</f>
        <v>50000</v>
      </c>
      <c r="F1591" s="1" t="str">
        <f>IFERROR(__xludf.DUMMYFUNCTION("""COMPUTED_VALUE"""),"1")</f>
        <v>1</v>
      </c>
      <c r="G1591" s="1" t="str">
        <f>IFERROR(__xludf.DUMMYFUNCTION("""COMPUTED_VALUE"""),"0")</f>
        <v>0</v>
      </c>
      <c r="H1591" s="1" t="str">
        <f>IFERROR(__xludf.DUMMYFUNCTION("""COMPUTED_VALUE"""),"34")</f>
        <v>34</v>
      </c>
    </row>
    <row r="1592" ht="15.75" customHeight="1">
      <c r="D1592" s="1" t="str">
        <f>IFERROR(__xludf.DUMMYFUNCTION("""COMPUTED_VALUE"""),"11143")</f>
        <v>11143</v>
      </c>
      <c r="E1592" s="3">
        <f>IFERROR(__xludf.DUMMYFUNCTION("""COMPUTED_VALUE"""),40000.0)</f>
        <v>40000</v>
      </c>
      <c r="F1592" s="1" t="str">
        <f>IFERROR(__xludf.DUMMYFUNCTION("""COMPUTED_VALUE"""),"0")</f>
        <v>0</v>
      </c>
      <c r="G1592" s="1" t="str">
        <f>IFERROR(__xludf.DUMMYFUNCTION("""COMPUTED_VALUE"""),"2")</f>
        <v>2</v>
      </c>
      <c r="H1592" s="1" t="str">
        <f>IFERROR(__xludf.DUMMYFUNCTION("""COMPUTED_VALUE"""),"29")</f>
        <v>29</v>
      </c>
    </row>
    <row r="1593" ht="15.75" customHeight="1">
      <c r="D1593" s="1" t="str">
        <f>IFERROR(__xludf.DUMMYFUNCTION("""COMPUTED_VALUE"""),"25898")</f>
        <v>25898</v>
      </c>
      <c r="E1593" s="3">
        <f>IFERROR(__xludf.DUMMYFUNCTION("""COMPUTED_VALUE"""),70000.0)</f>
        <v>70000</v>
      </c>
      <c r="F1593" s="1" t="str">
        <f>IFERROR(__xludf.DUMMYFUNCTION("""COMPUTED_VALUE"""),"2")</f>
        <v>2</v>
      </c>
      <c r="G1593" s="1" t="str">
        <f>IFERROR(__xludf.DUMMYFUNCTION("""COMPUTED_VALUE"""),"2")</f>
        <v>2</v>
      </c>
      <c r="H1593" s="1" t="str">
        <f>IFERROR(__xludf.DUMMYFUNCTION("""COMPUTED_VALUE"""),"53")</f>
        <v>53</v>
      </c>
    </row>
    <row r="1594" ht="15.75" customHeight="1">
      <c r="D1594" s="1" t="str">
        <f>IFERROR(__xludf.DUMMYFUNCTION("""COMPUTED_VALUE"""),"24397")</f>
        <v>24397</v>
      </c>
      <c r="E1594" s="3">
        <f>IFERROR(__xludf.DUMMYFUNCTION("""COMPUTED_VALUE"""),120000.0)</f>
        <v>120000</v>
      </c>
      <c r="F1594" s="1" t="str">
        <f>IFERROR(__xludf.DUMMYFUNCTION("""COMPUTED_VALUE"""),"2")</f>
        <v>2</v>
      </c>
      <c r="G1594" s="1" t="str">
        <f>IFERROR(__xludf.DUMMYFUNCTION("""COMPUTED_VALUE"""),"4")</f>
        <v>4</v>
      </c>
      <c r="H1594" s="1" t="str">
        <f>IFERROR(__xludf.DUMMYFUNCTION("""COMPUTED_VALUE"""),"40")</f>
        <v>40</v>
      </c>
    </row>
    <row r="1595" ht="15.75" customHeight="1">
      <c r="D1595" s="1" t="str">
        <f>IFERROR(__xludf.DUMMYFUNCTION("""COMPUTED_VALUE"""),"19758")</f>
        <v>19758</v>
      </c>
      <c r="E1595" s="3">
        <f>IFERROR(__xludf.DUMMYFUNCTION("""COMPUTED_VALUE"""),60000.0)</f>
        <v>60000</v>
      </c>
      <c r="F1595" s="1" t="str">
        <f>IFERROR(__xludf.DUMMYFUNCTION("""COMPUTED_VALUE"""),"0")</f>
        <v>0</v>
      </c>
      <c r="G1595" s="1" t="str">
        <f>IFERROR(__xludf.DUMMYFUNCTION("""COMPUTED_VALUE"""),"2")</f>
        <v>2</v>
      </c>
      <c r="H1595" s="1" t="str">
        <f>IFERROR(__xludf.DUMMYFUNCTION("""COMPUTED_VALUE"""),"29")</f>
        <v>29</v>
      </c>
    </row>
    <row r="1596" ht="15.75" customHeight="1">
      <c r="D1596" s="1" t="str">
        <f>IFERROR(__xludf.DUMMYFUNCTION("""COMPUTED_VALUE"""),"15529")</f>
        <v>15529</v>
      </c>
      <c r="E1596" s="3">
        <f>IFERROR(__xludf.DUMMYFUNCTION("""COMPUTED_VALUE"""),60000.0)</f>
        <v>60000</v>
      </c>
      <c r="F1596" s="1" t="str">
        <f>IFERROR(__xludf.DUMMYFUNCTION("""COMPUTED_VALUE"""),"4")</f>
        <v>4</v>
      </c>
      <c r="G1596" s="1" t="str">
        <f>IFERROR(__xludf.DUMMYFUNCTION("""COMPUTED_VALUE"""),"2")</f>
        <v>2</v>
      </c>
      <c r="H1596" s="1" t="str">
        <f>IFERROR(__xludf.DUMMYFUNCTION("""COMPUTED_VALUE"""),"43")</f>
        <v>43</v>
      </c>
    </row>
    <row r="1597" ht="15.75" customHeight="1">
      <c r="D1597" s="1" t="str">
        <f>IFERROR(__xludf.DUMMYFUNCTION("""COMPUTED_VALUE"""),"19884")</f>
        <v>19884</v>
      </c>
      <c r="E1597" s="3">
        <f>IFERROR(__xludf.DUMMYFUNCTION("""COMPUTED_VALUE"""),60000.0)</f>
        <v>60000</v>
      </c>
      <c r="F1597" s="1" t="str">
        <f>IFERROR(__xludf.DUMMYFUNCTION("""COMPUTED_VALUE"""),"2")</f>
        <v>2</v>
      </c>
      <c r="G1597" s="1" t="str">
        <f>IFERROR(__xludf.DUMMYFUNCTION("""COMPUTED_VALUE"""),"2")</f>
        <v>2</v>
      </c>
      <c r="H1597" s="1" t="str">
        <f>IFERROR(__xludf.DUMMYFUNCTION("""COMPUTED_VALUE"""),"55")</f>
        <v>55</v>
      </c>
    </row>
    <row r="1598" ht="15.75" customHeight="1">
      <c r="D1598" s="1" t="str">
        <f>IFERROR(__xludf.DUMMYFUNCTION("""COMPUTED_VALUE"""),"18674")</f>
        <v>18674</v>
      </c>
      <c r="E1598" s="3">
        <f>IFERROR(__xludf.DUMMYFUNCTION("""COMPUTED_VALUE"""),80000.0)</f>
        <v>80000</v>
      </c>
      <c r="F1598" s="1" t="str">
        <f>IFERROR(__xludf.DUMMYFUNCTION("""COMPUTED_VALUE"""),"4")</f>
        <v>4</v>
      </c>
      <c r="G1598" s="1" t="str">
        <f>IFERROR(__xludf.DUMMYFUNCTION("""COMPUTED_VALUE"""),"0")</f>
        <v>0</v>
      </c>
      <c r="H1598" s="1" t="str">
        <f>IFERROR(__xludf.DUMMYFUNCTION("""COMPUTED_VALUE"""),"48")</f>
        <v>48</v>
      </c>
    </row>
    <row r="1599" ht="15.75" customHeight="1">
      <c r="D1599" s="1" t="str">
        <f>IFERROR(__xludf.DUMMYFUNCTION("""COMPUTED_VALUE"""),"14063")</f>
        <v>14063</v>
      </c>
      <c r="E1599" s="3">
        <f>IFERROR(__xludf.DUMMYFUNCTION("""COMPUTED_VALUE"""),70000.0)</f>
        <v>70000</v>
      </c>
      <c r="F1599" s="1" t="str">
        <f>IFERROR(__xludf.DUMMYFUNCTION("""COMPUTED_VALUE"""),"0")</f>
        <v>0</v>
      </c>
      <c r="G1599" s="1" t="str">
        <f>IFERROR(__xludf.DUMMYFUNCTION("""COMPUTED_VALUE"""),"1")</f>
        <v>1</v>
      </c>
      <c r="H1599" s="1" t="str">
        <f>IFERROR(__xludf.DUMMYFUNCTION("""COMPUTED_VALUE"""),"42")</f>
        <v>42</v>
      </c>
    </row>
    <row r="1600" ht="15.75" customHeight="1">
      <c r="D1600" s="1" t="str">
        <f>IFERROR(__xludf.DUMMYFUNCTION("""COMPUTED_VALUE"""),"27393")</f>
        <v>27393</v>
      </c>
      <c r="E1600" s="3">
        <f>IFERROR(__xludf.DUMMYFUNCTION("""COMPUTED_VALUE"""),50000.0)</f>
        <v>50000</v>
      </c>
      <c r="F1600" s="1" t="str">
        <f>IFERROR(__xludf.DUMMYFUNCTION("""COMPUTED_VALUE"""),"4")</f>
        <v>4</v>
      </c>
      <c r="G1600" s="1" t="str">
        <f>IFERROR(__xludf.DUMMYFUNCTION("""COMPUTED_VALUE"""),"2")</f>
        <v>2</v>
      </c>
      <c r="H1600" s="1" t="str">
        <f>IFERROR(__xludf.DUMMYFUNCTION("""COMPUTED_VALUE"""),"63")</f>
        <v>63</v>
      </c>
    </row>
    <row r="1601" ht="15.75" customHeight="1">
      <c r="D1601" s="1" t="str">
        <f>IFERROR(__xludf.DUMMYFUNCTION("""COMPUTED_VALUE"""),"14417")</f>
        <v>14417</v>
      </c>
      <c r="E1601" s="3">
        <f>IFERROR(__xludf.DUMMYFUNCTION("""COMPUTED_VALUE"""),60000.0)</f>
        <v>60000</v>
      </c>
      <c r="F1601" s="1" t="str">
        <f>IFERROR(__xludf.DUMMYFUNCTION("""COMPUTED_VALUE"""),"3")</f>
        <v>3</v>
      </c>
      <c r="G1601" s="1" t="str">
        <f>IFERROR(__xludf.DUMMYFUNCTION("""COMPUTED_VALUE"""),"2")</f>
        <v>2</v>
      </c>
      <c r="H1601" s="1" t="str">
        <f>IFERROR(__xludf.DUMMYFUNCTION("""COMPUTED_VALUE"""),"54")</f>
        <v>54</v>
      </c>
    </row>
    <row r="1602" ht="15.75" customHeight="1">
      <c r="D1602" s="1" t="str">
        <f>IFERROR(__xludf.DUMMYFUNCTION("""COMPUTED_VALUE"""),"17533")</f>
        <v>17533</v>
      </c>
      <c r="E1602" s="3">
        <f>IFERROR(__xludf.DUMMYFUNCTION("""COMPUTED_VALUE"""),40000.0)</f>
        <v>40000</v>
      </c>
      <c r="F1602" s="1" t="str">
        <f>IFERROR(__xludf.DUMMYFUNCTION("""COMPUTED_VALUE"""),"3")</f>
        <v>3</v>
      </c>
      <c r="G1602" s="1" t="str">
        <f>IFERROR(__xludf.DUMMYFUNCTION("""COMPUTED_VALUE"""),"2")</f>
        <v>2</v>
      </c>
      <c r="H1602" s="1" t="str">
        <f>IFERROR(__xludf.DUMMYFUNCTION("""COMPUTED_VALUE"""),"73")</f>
        <v>73</v>
      </c>
    </row>
    <row r="1603" ht="15.75" customHeight="1">
      <c r="D1603" s="1" t="str">
        <f>IFERROR(__xludf.DUMMYFUNCTION("""COMPUTED_VALUE"""),"17025")</f>
        <v>17025</v>
      </c>
      <c r="E1603" s="3">
        <f>IFERROR(__xludf.DUMMYFUNCTION("""COMPUTED_VALUE"""),50000.0)</f>
        <v>50000</v>
      </c>
      <c r="F1603" s="1" t="str">
        <f>IFERROR(__xludf.DUMMYFUNCTION("""COMPUTED_VALUE"""),"0")</f>
        <v>0</v>
      </c>
      <c r="G1603" s="1" t="str">
        <f>IFERROR(__xludf.DUMMYFUNCTION("""COMPUTED_VALUE"""),"1")</f>
        <v>1</v>
      </c>
      <c r="H1603" s="1" t="str">
        <f>IFERROR(__xludf.DUMMYFUNCTION("""COMPUTED_VALUE"""),"39")</f>
        <v>39</v>
      </c>
    </row>
    <row r="1604" ht="15.75" customHeight="1">
      <c r="D1604" s="1" t="str">
        <f>IFERROR(__xludf.DUMMYFUNCTION("""COMPUTED_VALUE"""),"25293")</f>
        <v>25293</v>
      </c>
      <c r="E1604" s="3">
        <f>IFERROR(__xludf.DUMMYFUNCTION("""COMPUTED_VALUE"""),80000.0)</f>
        <v>80000</v>
      </c>
      <c r="F1604" s="1" t="str">
        <f>IFERROR(__xludf.DUMMYFUNCTION("""COMPUTED_VALUE"""),"4")</f>
        <v>4</v>
      </c>
      <c r="G1604" s="1" t="str">
        <f>IFERROR(__xludf.DUMMYFUNCTION("""COMPUTED_VALUE"""),"0")</f>
        <v>0</v>
      </c>
      <c r="H1604" s="1" t="str">
        <f>IFERROR(__xludf.DUMMYFUNCTION("""COMPUTED_VALUE"""),"42")</f>
        <v>42</v>
      </c>
    </row>
    <row r="1605" ht="15.75" customHeight="1">
      <c r="D1605" s="1" t="str">
        <f>IFERROR(__xludf.DUMMYFUNCTION("""COMPUTED_VALUE"""),"24725")</f>
        <v>24725</v>
      </c>
      <c r="E1605" s="3">
        <f>IFERROR(__xludf.DUMMYFUNCTION("""COMPUTED_VALUE"""),40000.0)</f>
        <v>40000</v>
      </c>
      <c r="F1605" s="1" t="str">
        <f>IFERROR(__xludf.DUMMYFUNCTION("""COMPUTED_VALUE"""),"3")</f>
        <v>3</v>
      </c>
      <c r="G1605" s="1" t="str">
        <f>IFERROR(__xludf.DUMMYFUNCTION("""COMPUTED_VALUE"""),"0")</f>
        <v>0</v>
      </c>
      <c r="H1605" s="1" t="str">
        <f>IFERROR(__xludf.DUMMYFUNCTION("""COMPUTED_VALUE"""),"31")</f>
        <v>31</v>
      </c>
    </row>
    <row r="1606" ht="15.75" customHeight="1">
      <c r="D1606" s="1" t="str">
        <f>IFERROR(__xludf.DUMMYFUNCTION("""COMPUTED_VALUE"""),"23200")</f>
        <v>23200</v>
      </c>
      <c r="E1606" s="3">
        <f>IFERROR(__xludf.DUMMYFUNCTION("""COMPUTED_VALUE"""),50000.0)</f>
        <v>50000</v>
      </c>
      <c r="F1606" s="1" t="str">
        <f>IFERROR(__xludf.DUMMYFUNCTION("""COMPUTED_VALUE"""),"3")</f>
        <v>3</v>
      </c>
      <c r="G1606" s="1" t="str">
        <f>IFERROR(__xludf.DUMMYFUNCTION("""COMPUTED_VALUE"""),"2")</f>
        <v>2</v>
      </c>
      <c r="H1606" s="1" t="str">
        <f>IFERROR(__xludf.DUMMYFUNCTION("""COMPUTED_VALUE"""),"41")</f>
        <v>41</v>
      </c>
    </row>
    <row r="1607" ht="15.75" customHeight="1">
      <c r="D1607" s="1" t="str">
        <f>IFERROR(__xludf.DUMMYFUNCTION("""COMPUTED_VALUE"""),"15895")</f>
        <v>15895</v>
      </c>
      <c r="E1607" s="3">
        <f>IFERROR(__xludf.DUMMYFUNCTION("""COMPUTED_VALUE"""),60000.0)</f>
        <v>60000</v>
      </c>
      <c r="F1607" s="1" t="str">
        <f>IFERROR(__xludf.DUMMYFUNCTION("""COMPUTED_VALUE"""),"2")</f>
        <v>2</v>
      </c>
      <c r="G1607" s="1" t="str">
        <f>IFERROR(__xludf.DUMMYFUNCTION("""COMPUTED_VALUE"""),"0")</f>
        <v>0</v>
      </c>
      <c r="H1607" s="1" t="str">
        <f>IFERROR(__xludf.DUMMYFUNCTION("""COMPUTED_VALUE"""),"58")</f>
        <v>58</v>
      </c>
    </row>
    <row r="1608" ht="15.75" customHeight="1">
      <c r="D1608" s="1" t="str">
        <f>IFERROR(__xludf.DUMMYFUNCTION("""COMPUTED_VALUE"""),"18577")</f>
        <v>18577</v>
      </c>
      <c r="E1608" s="3">
        <f>IFERROR(__xludf.DUMMYFUNCTION("""COMPUTED_VALUE"""),60000.0)</f>
        <v>60000</v>
      </c>
      <c r="F1608" s="1" t="str">
        <f>IFERROR(__xludf.DUMMYFUNCTION("""COMPUTED_VALUE"""),"0")</f>
        <v>0</v>
      </c>
      <c r="G1608" s="1" t="str">
        <f>IFERROR(__xludf.DUMMYFUNCTION("""COMPUTED_VALUE"""),"0")</f>
        <v>0</v>
      </c>
      <c r="H1608" s="1" t="str">
        <f>IFERROR(__xludf.DUMMYFUNCTION("""COMPUTED_VALUE"""),"40")</f>
        <v>40</v>
      </c>
    </row>
    <row r="1609" ht="15.75" customHeight="1">
      <c r="D1609" s="1" t="str">
        <f>IFERROR(__xludf.DUMMYFUNCTION("""COMPUTED_VALUE"""),"18560")</f>
        <v>18560</v>
      </c>
      <c r="E1609" s="3">
        <f>IFERROR(__xludf.DUMMYFUNCTION("""COMPUTED_VALUE"""),70000.0)</f>
        <v>70000</v>
      </c>
      <c r="F1609" s="1" t="str">
        <f>IFERROR(__xludf.DUMMYFUNCTION("""COMPUTED_VALUE"""),"2")</f>
        <v>2</v>
      </c>
      <c r="G1609" s="1" t="str">
        <f>IFERROR(__xludf.DUMMYFUNCTION("""COMPUTED_VALUE"""),"0")</f>
        <v>0</v>
      </c>
      <c r="H1609" s="1" t="str">
        <f>IFERROR(__xludf.DUMMYFUNCTION("""COMPUTED_VALUE"""),"34")</f>
        <v>34</v>
      </c>
    </row>
    <row r="1610" ht="15.75" customHeight="1">
      <c r="D1610" s="1" t="str">
        <f>IFERROR(__xludf.DUMMYFUNCTION("""COMPUTED_VALUE"""),"25006")</f>
        <v>25006</v>
      </c>
      <c r="E1610" s="3">
        <f>IFERROR(__xludf.DUMMYFUNCTION("""COMPUTED_VALUE"""),30000.0)</f>
        <v>30000</v>
      </c>
      <c r="F1610" s="1" t="str">
        <f>IFERROR(__xludf.DUMMYFUNCTION("""COMPUTED_VALUE"""),"0")</f>
        <v>0</v>
      </c>
      <c r="G1610" s="1" t="str">
        <f>IFERROR(__xludf.DUMMYFUNCTION("""COMPUTED_VALUE"""),"1")</f>
        <v>1</v>
      </c>
      <c r="H1610" s="1" t="str">
        <f>IFERROR(__xludf.DUMMYFUNCTION("""COMPUTED_VALUE"""),"28")</f>
        <v>28</v>
      </c>
    </row>
    <row r="1611" ht="15.75" customHeight="1">
      <c r="D1611" s="1" t="str">
        <f>IFERROR(__xludf.DUMMYFUNCTION("""COMPUTED_VALUE"""),"17369")</f>
        <v>17369</v>
      </c>
      <c r="E1611" s="3">
        <f>IFERROR(__xludf.DUMMYFUNCTION("""COMPUTED_VALUE"""),30000.0)</f>
        <v>30000</v>
      </c>
      <c r="F1611" s="1" t="str">
        <f>IFERROR(__xludf.DUMMYFUNCTION("""COMPUTED_VALUE"""),"0")</f>
        <v>0</v>
      </c>
      <c r="G1611" s="1" t="str">
        <f>IFERROR(__xludf.DUMMYFUNCTION("""COMPUTED_VALUE"""),"1")</f>
        <v>1</v>
      </c>
      <c r="H1611" s="1" t="str">
        <f>IFERROR(__xludf.DUMMYFUNCTION("""COMPUTED_VALUE"""),"27")</f>
        <v>27</v>
      </c>
    </row>
    <row r="1612" ht="15.75" customHeight="1">
      <c r="D1612" s="1" t="str">
        <f>IFERROR(__xludf.DUMMYFUNCTION("""COMPUTED_VALUE"""),"14495")</f>
        <v>14495</v>
      </c>
      <c r="E1612" s="3">
        <f>IFERROR(__xludf.DUMMYFUNCTION("""COMPUTED_VALUE"""),40000.0)</f>
        <v>40000</v>
      </c>
      <c r="F1612" s="1" t="str">
        <f>IFERROR(__xludf.DUMMYFUNCTION("""COMPUTED_VALUE"""),"3")</f>
        <v>3</v>
      </c>
      <c r="G1612" s="1" t="str">
        <f>IFERROR(__xludf.DUMMYFUNCTION("""COMPUTED_VALUE"""),"2")</f>
        <v>2</v>
      </c>
      <c r="H1612" s="1" t="str">
        <f>IFERROR(__xludf.DUMMYFUNCTION("""COMPUTED_VALUE"""),"54")</f>
        <v>54</v>
      </c>
    </row>
    <row r="1613" ht="15.75" customHeight="1">
      <c r="D1613" s="1" t="str">
        <f>IFERROR(__xludf.DUMMYFUNCTION("""COMPUTED_VALUE"""),"18847")</f>
        <v>18847</v>
      </c>
      <c r="E1613" s="3">
        <f>IFERROR(__xludf.DUMMYFUNCTION("""COMPUTED_VALUE"""),60000.0)</f>
        <v>60000</v>
      </c>
      <c r="F1613" s="1" t="str">
        <f>IFERROR(__xludf.DUMMYFUNCTION("""COMPUTED_VALUE"""),"2")</f>
        <v>2</v>
      </c>
      <c r="G1613" s="1" t="str">
        <f>IFERROR(__xludf.DUMMYFUNCTION("""COMPUTED_VALUE"""),"2")</f>
        <v>2</v>
      </c>
      <c r="H1613" s="1" t="str">
        <f>IFERROR(__xludf.DUMMYFUNCTION("""COMPUTED_VALUE"""),"70")</f>
        <v>70</v>
      </c>
    </row>
    <row r="1614" ht="15.75" customHeight="1">
      <c r="D1614" s="1" t="str">
        <f>IFERROR(__xludf.DUMMYFUNCTION("""COMPUTED_VALUE"""),"14754")</f>
        <v>14754</v>
      </c>
      <c r="E1614" s="3">
        <f>IFERROR(__xludf.DUMMYFUNCTION("""COMPUTED_VALUE"""),40000.0)</f>
        <v>40000</v>
      </c>
      <c r="F1614" s="1" t="str">
        <f>IFERROR(__xludf.DUMMYFUNCTION("""COMPUTED_VALUE"""),"1")</f>
        <v>1</v>
      </c>
      <c r="G1614" s="1" t="str">
        <f>IFERROR(__xludf.DUMMYFUNCTION("""COMPUTED_VALUE"""),"1")</f>
        <v>1</v>
      </c>
      <c r="H1614" s="1" t="str">
        <f>IFERROR(__xludf.DUMMYFUNCTION("""COMPUTED_VALUE"""),"48")</f>
        <v>48</v>
      </c>
    </row>
    <row r="1615" ht="15.75" customHeight="1">
      <c r="D1615" s="1" t="str">
        <f>IFERROR(__xludf.DUMMYFUNCTION("""COMPUTED_VALUE"""),"23378")</f>
        <v>23378</v>
      </c>
      <c r="E1615" s="3">
        <f>IFERROR(__xludf.DUMMYFUNCTION("""COMPUTED_VALUE"""),70000.0)</f>
        <v>70000</v>
      </c>
      <c r="F1615" s="1" t="str">
        <f>IFERROR(__xludf.DUMMYFUNCTION("""COMPUTED_VALUE"""),"1")</f>
        <v>1</v>
      </c>
      <c r="G1615" s="1" t="str">
        <f>IFERROR(__xludf.DUMMYFUNCTION("""COMPUTED_VALUE"""),"1")</f>
        <v>1</v>
      </c>
      <c r="H1615" s="1" t="str">
        <f>IFERROR(__xludf.DUMMYFUNCTION("""COMPUTED_VALUE"""),"44")</f>
        <v>44</v>
      </c>
    </row>
    <row r="1616" ht="15.75" customHeight="1">
      <c r="D1616" s="1" t="str">
        <f>IFERROR(__xludf.DUMMYFUNCTION("""COMPUTED_VALUE"""),"26452")</f>
        <v>26452</v>
      </c>
      <c r="E1616" s="3">
        <f>IFERROR(__xludf.DUMMYFUNCTION("""COMPUTED_VALUE"""),50000.0)</f>
        <v>50000</v>
      </c>
      <c r="F1616" s="1" t="str">
        <f>IFERROR(__xludf.DUMMYFUNCTION("""COMPUTED_VALUE"""),"3")</f>
        <v>3</v>
      </c>
      <c r="G1616" s="1" t="str">
        <f>IFERROR(__xludf.DUMMYFUNCTION("""COMPUTED_VALUE"""),"2")</f>
        <v>2</v>
      </c>
      <c r="H1616" s="1" t="str">
        <f>IFERROR(__xludf.DUMMYFUNCTION("""COMPUTED_VALUE"""),"69")</f>
        <v>69</v>
      </c>
    </row>
    <row r="1617" ht="15.75" customHeight="1">
      <c r="D1617" s="1" t="str">
        <f>IFERROR(__xludf.DUMMYFUNCTION("""COMPUTED_VALUE"""),"20370")</f>
        <v>20370</v>
      </c>
      <c r="E1617" s="3">
        <f>IFERROR(__xludf.DUMMYFUNCTION("""COMPUTED_VALUE"""),70000.0)</f>
        <v>70000</v>
      </c>
      <c r="F1617" s="1" t="str">
        <f>IFERROR(__xludf.DUMMYFUNCTION("""COMPUTED_VALUE"""),"3")</f>
        <v>3</v>
      </c>
      <c r="G1617" s="1" t="str">
        <f>IFERROR(__xludf.DUMMYFUNCTION("""COMPUTED_VALUE"""),"2")</f>
        <v>2</v>
      </c>
      <c r="H1617" s="1" t="str">
        <f>IFERROR(__xludf.DUMMYFUNCTION("""COMPUTED_VALUE"""),"52")</f>
        <v>52</v>
      </c>
    </row>
    <row r="1618" ht="15.75" customHeight="1">
      <c r="D1618" s="1" t="str">
        <f>IFERROR(__xludf.DUMMYFUNCTION("""COMPUTED_VALUE"""),"20528")</f>
        <v>20528</v>
      </c>
      <c r="E1618" s="3">
        <f>IFERROR(__xludf.DUMMYFUNCTION("""COMPUTED_VALUE"""),40000.0)</f>
        <v>40000</v>
      </c>
      <c r="F1618" s="1" t="str">
        <f>IFERROR(__xludf.DUMMYFUNCTION("""COMPUTED_VALUE"""),"2")</f>
        <v>2</v>
      </c>
      <c r="G1618" s="1" t="str">
        <f>IFERROR(__xludf.DUMMYFUNCTION("""COMPUTED_VALUE"""),"2")</f>
        <v>2</v>
      </c>
      <c r="H1618" s="1" t="str">
        <f>IFERROR(__xludf.DUMMYFUNCTION("""COMPUTED_VALUE"""),"55")</f>
        <v>55</v>
      </c>
    </row>
    <row r="1619" ht="15.75" customHeight="1">
      <c r="D1619" s="1" t="str">
        <f>IFERROR(__xludf.DUMMYFUNCTION("""COMPUTED_VALUE"""),"23549")</f>
        <v>23549</v>
      </c>
      <c r="E1619" s="3">
        <f>IFERROR(__xludf.DUMMYFUNCTION("""COMPUTED_VALUE"""),30000.0)</f>
        <v>30000</v>
      </c>
      <c r="F1619" s="1" t="str">
        <f>IFERROR(__xludf.DUMMYFUNCTION("""COMPUTED_VALUE"""),"0")</f>
        <v>0</v>
      </c>
      <c r="G1619" s="1" t="str">
        <f>IFERROR(__xludf.DUMMYFUNCTION("""COMPUTED_VALUE"""),"2")</f>
        <v>2</v>
      </c>
      <c r="H1619" s="1" t="str">
        <f>IFERROR(__xludf.DUMMYFUNCTION("""COMPUTED_VALUE"""),"30")</f>
        <v>30</v>
      </c>
    </row>
    <row r="1620" ht="15.75" customHeight="1">
      <c r="D1620" s="1" t="str">
        <f>IFERROR(__xludf.DUMMYFUNCTION("""COMPUTED_VALUE"""),"21751")</f>
        <v>21751</v>
      </c>
      <c r="E1620" s="3">
        <f>IFERROR(__xludf.DUMMYFUNCTION("""COMPUTED_VALUE"""),60000.0)</f>
        <v>60000</v>
      </c>
      <c r="F1620" s="1" t="str">
        <f>IFERROR(__xludf.DUMMYFUNCTION("""COMPUTED_VALUE"""),"3")</f>
        <v>3</v>
      </c>
      <c r="G1620" s="1" t="str">
        <f>IFERROR(__xludf.DUMMYFUNCTION("""COMPUTED_VALUE"""),"2")</f>
        <v>2</v>
      </c>
      <c r="H1620" s="1" t="str">
        <f>IFERROR(__xludf.DUMMYFUNCTION("""COMPUTED_VALUE"""),"63")</f>
        <v>63</v>
      </c>
    </row>
    <row r="1621" ht="15.75" customHeight="1">
      <c r="D1621" s="1" t="str">
        <f>IFERROR(__xludf.DUMMYFUNCTION("""COMPUTED_VALUE"""),"21266")</f>
        <v>21266</v>
      </c>
      <c r="E1621" s="3">
        <f>IFERROR(__xludf.DUMMYFUNCTION("""COMPUTED_VALUE"""),80000.0)</f>
        <v>80000</v>
      </c>
      <c r="F1621" s="1" t="str">
        <f>IFERROR(__xludf.DUMMYFUNCTION("""COMPUTED_VALUE"""),"0")</f>
        <v>0</v>
      </c>
      <c r="G1621" s="1" t="str">
        <f>IFERROR(__xludf.DUMMYFUNCTION("""COMPUTED_VALUE"""),"1")</f>
        <v>1</v>
      </c>
      <c r="H1621" s="1" t="str">
        <f>IFERROR(__xludf.DUMMYFUNCTION("""COMPUTED_VALUE"""),"34")</f>
        <v>34</v>
      </c>
    </row>
    <row r="1622" ht="15.75" customHeight="1">
      <c r="D1622" s="1" t="str">
        <f>IFERROR(__xludf.DUMMYFUNCTION("""COMPUTED_VALUE"""),"13388")</f>
        <v>13388</v>
      </c>
      <c r="E1622" s="3">
        <f>IFERROR(__xludf.DUMMYFUNCTION("""COMPUTED_VALUE"""),60000.0)</f>
        <v>60000</v>
      </c>
      <c r="F1622" s="1" t="str">
        <f>IFERROR(__xludf.DUMMYFUNCTION("""COMPUTED_VALUE"""),"2")</f>
        <v>2</v>
      </c>
      <c r="G1622" s="1" t="str">
        <f>IFERROR(__xludf.DUMMYFUNCTION("""COMPUTED_VALUE"""),"1")</f>
        <v>1</v>
      </c>
      <c r="H1622" s="1" t="str">
        <f>IFERROR(__xludf.DUMMYFUNCTION("""COMPUTED_VALUE"""),"56")</f>
        <v>56</v>
      </c>
    </row>
    <row r="1623" ht="15.75" customHeight="1">
      <c r="D1623" s="1" t="str">
        <f>IFERROR(__xludf.DUMMYFUNCTION("""COMPUTED_VALUE"""),"18752")</f>
        <v>18752</v>
      </c>
      <c r="E1623" s="3">
        <f>IFERROR(__xludf.DUMMYFUNCTION("""COMPUTED_VALUE"""),40000.0)</f>
        <v>40000</v>
      </c>
      <c r="F1623" s="1" t="str">
        <f>IFERROR(__xludf.DUMMYFUNCTION("""COMPUTED_VALUE"""),"0")</f>
        <v>0</v>
      </c>
      <c r="G1623" s="1" t="str">
        <f>IFERROR(__xludf.DUMMYFUNCTION("""COMPUTED_VALUE"""),"1")</f>
        <v>1</v>
      </c>
      <c r="H1623" s="1" t="str">
        <f>IFERROR(__xludf.DUMMYFUNCTION("""COMPUTED_VALUE"""),"31")</f>
        <v>31</v>
      </c>
    </row>
    <row r="1624" ht="15.75" customHeight="1">
      <c r="D1624" s="1" t="str">
        <f>IFERROR(__xludf.DUMMYFUNCTION("""COMPUTED_VALUE"""),"16917")</f>
        <v>16917</v>
      </c>
      <c r="E1624" s="3">
        <f>IFERROR(__xludf.DUMMYFUNCTION("""COMPUTED_VALUE"""),120000.0)</f>
        <v>120000</v>
      </c>
      <c r="F1624" s="1" t="str">
        <f>IFERROR(__xludf.DUMMYFUNCTION("""COMPUTED_VALUE"""),"1")</f>
        <v>1</v>
      </c>
      <c r="G1624" s="1" t="str">
        <f>IFERROR(__xludf.DUMMYFUNCTION("""COMPUTED_VALUE"""),"4")</f>
        <v>4</v>
      </c>
      <c r="H1624" s="1" t="str">
        <f>IFERROR(__xludf.DUMMYFUNCTION("""COMPUTED_VALUE"""),"38")</f>
        <v>38</v>
      </c>
    </row>
    <row r="1625" ht="15.75" customHeight="1">
      <c r="D1625" s="1" t="str">
        <f>IFERROR(__xludf.DUMMYFUNCTION("""COMPUTED_VALUE"""),"15313")</f>
        <v>15313</v>
      </c>
      <c r="E1625" s="3">
        <f>IFERROR(__xludf.DUMMYFUNCTION("""COMPUTED_VALUE"""),60000.0)</f>
        <v>60000</v>
      </c>
      <c r="F1625" s="1" t="str">
        <f>IFERROR(__xludf.DUMMYFUNCTION("""COMPUTED_VALUE"""),"4")</f>
        <v>4</v>
      </c>
      <c r="G1625" s="1" t="str">
        <f>IFERROR(__xludf.DUMMYFUNCTION("""COMPUTED_VALUE"""),"2")</f>
        <v>2</v>
      </c>
      <c r="H1625" s="1" t="str">
        <f>IFERROR(__xludf.DUMMYFUNCTION("""COMPUTED_VALUE"""),"59")</f>
        <v>59</v>
      </c>
    </row>
    <row r="1626" ht="15.75" customHeight="1">
      <c r="D1626" s="1" t="str">
        <f>IFERROR(__xludf.DUMMYFUNCTION("""COMPUTED_VALUE"""),"25329")</f>
        <v>25329</v>
      </c>
      <c r="E1626" s="3">
        <f>IFERROR(__xludf.DUMMYFUNCTION("""COMPUTED_VALUE"""),40000.0)</f>
        <v>40000</v>
      </c>
      <c r="F1626" s="1" t="str">
        <f>IFERROR(__xludf.DUMMYFUNCTION("""COMPUTED_VALUE"""),"3")</f>
        <v>3</v>
      </c>
      <c r="G1626" s="1" t="str">
        <f>IFERROR(__xludf.DUMMYFUNCTION("""COMPUTED_VALUE"""),"2")</f>
        <v>2</v>
      </c>
      <c r="H1626" s="1" t="str">
        <f>IFERROR(__xludf.DUMMYFUNCTION("""COMPUTED_VALUE"""),"32")</f>
        <v>32</v>
      </c>
    </row>
    <row r="1627" ht="15.75" customHeight="1">
      <c r="D1627" s="1" t="str">
        <f>IFERROR(__xludf.DUMMYFUNCTION("""COMPUTED_VALUE"""),"20380")</f>
        <v>20380</v>
      </c>
      <c r="E1627" s="3">
        <f>IFERROR(__xludf.DUMMYFUNCTION("""COMPUTED_VALUE"""),60000.0)</f>
        <v>60000</v>
      </c>
      <c r="F1627" s="1" t="str">
        <f>IFERROR(__xludf.DUMMYFUNCTION("""COMPUTED_VALUE"""),"3")</f>
        <v>3</v>
      </c>
      <c r="G1627" s="1" t="str">
        <f>IFERROR(__xludf.DUMMYFUNCTION("""COMPUTED_VALUE"""),"2")</f>
        <v>2</v>
      </c>
      <c r="H1627" s="1" t="str">
        <f>IFERROR(__xludf.DUMMYFUNCTION("""COMPUTED_VALUE"""),"69")</f>
        <v>69</v>
      </c>
    </row>
    <row r="1628" ht="15.75" customHeight="1">
      <c r="D1628" s="1" t="str">
        <f>IFERROR(__xludf.DUMMYFUNCTION("""COMPUTED_VALUE"""),"23089")</f>
        <v>23089</v>
      </c>
      <c r="E1628" s="3">
        <f>IFERROR(__xludf.DUMMYFUNCTION("""COMPUTED_VALUE"""),40000.0)</f>
        <v>40000</v>
      </c>
      <c r="F1628" s="1" t="str">
        <f>IFERROR(__xludf.DUMMYFUNCTION("""COMPUTED_VALUE"""),"0")</f>
        <v>0</v>
      </c>
      <c r="G1628" s="1" t="str">
        <f>IFERROR(__xludf.DUMMYFUNCTION("""COMPUTED_VALUE"""),"1")</f>
        <v>1</v>
      </c>
      <c r="H1628" s="1" t="str">
        <f>IFERROR(__xludf.DUMMYFUNCTION("""COMPUTED_VALUE"""),"28")</f>
        <v>28</v>
      </c>
    </row>
    <row r="1629" ht="15.75" customHeight="1">
      <c r="D1629" s="1" t="str">
        <f>IFERROR(__xludf.DUMMYFUNCTION("""COMPUTED_VALUE"""),"13749")</f>
        <v>13749</v>
      </c>
      <c r="E1629" s="3">
        <f>IFERROR(__xludf.DUMMYFUNCTION("""COMPUTED_VALUE"""),80000.0)</f>
        <v>80000</v>
      </c>
      <c r="F1629" s="1" t="str">
        <f>IFERROR(__xludf.DUMMYFUNCTION("""COMPUTED_VALUE"""),"4")</f>
        <v>4</v>
      </c>
      <c r="G1629" s="1" t="str">
        <f>IFERROR(__xludf.DUMMYFUNCTION("""COMPUTED_VALUE"""),"0")</f>
        <v>0</v>
      </c>
      <c r="H1629" s="1" t="str">
        <f>IFERROR(__xludf.DUMMYFUNCTION("""COMPUTED_VALUE"""),"47")</f>
        <v>47</v>
      </c>
    </row>
    <row r="1630" ht="15.75" customHeight="1">
      <c r="D1630" s="1" t="str">
        <f>IFERROR(__xludf.DUMMYFUNCTION("""COMPUTED_VALUE"""),"24943")</f>
        <v>24943</v>
      </c>
      <c r="E1630" s="3">
        <f>IFERROR(__xludf.DUMMYFUNCTION("""COMPUTED_VALUE"""),60000.0)</f>
        <v>60000</v>
      </c>
      <c r="F1630" s="1" t="str">
        <f>IFERROR(__xludf.DUMMYFUNCTION("""COMPUTED_VALUE"""),"3")</f>
        <v>3</v>
      </c>
      <c r="G1630" s="1" t="str">
        <f>IFERROR(__xludf.DUMMYFUNCTION("""COMPUTED_VALUE"""),"2")</f>
        <v>2</v>
      </c>
      <c r="H1630" s="1" t="str">
        <f>IFERROR(__xludf.DUMMYFUNCTION("""COMPUTED_VALUE"""),"66")</f>
        <v>66</v>
      </c>
    </row>
    <row r="1631" ht="15.75" customHeight="1">
      <c r="D1631" s="1" t="str">
        <f>IFERROR(__xludf.DUMMYFUNCTION("""COMPUTED_VALUE"""),"28667")</f>
        <v>28667</v>
      </c>
      <c r="E1631" s="3">
        <f>IFERROR(__xludf.DUMMYFUNCTION("""COMPUTED_VALUE"""),70000.0)</f>
        <v>70000</v>
      </c>
      <c r="F1631" s="1" t="str">
        <f>IFERROR(__xludf.DUMMYFUNCTION("""COMPUTED_VALUE"""),"2")</f>
        <v>2</v>
      </c>
      <c r="G1631" s="1" t="str">
        <f>IFERROR(__xludf.DUMMYFUNCTION("""COMPUTED_VALUE"""),"1")</f>
        <v>1</v>
      </c>
      <c r="H1631" s="1" t="str">
        <f>IFERROR(__xludf.DUMMYFUNCTION("""COMPUTED_VALUE"""),"37")</f>
        <v>37</v>
      </c>
    </row>
    <row r="1632" ht="15.75" customHeight="1">
      <c r="D1632" s="1" t="str">
        <f>IFERROR(__xludf.DUMMYFUNCTION("""COMPUTED_VALUE"""),"15194")</f>
        <v>15194</v>
      </c>
      <c r="E1632" s="3">
        <f>IFERROR(__xludf.DUMMYFUNCTION("""COMPUTED_VALUE"""),120000.0)</f>
        <v>120000</v>
      </c>
      <c r="F1632" s="1" t="str">
        <f>IFERROR(__xludf.DUMMYFUNCTION("""COMPUTED_VALUE"""),"2")</f>
        <v>2</v>
      </c>
      <c r="G1632" s="1" t="str">
        <f>IFERROR(__xludf.DUMMYFUNCTION("""COMPUTED_VALUE"""),"3")</f>
        <v>3</v>
      </c>
      <c r="H1632" s="1" t="str">
        <f>IFERROR(__xludf.DUMMYFUNCTION("""COMPUTED_VALUE"""),"39")</f>
        <v>39</v>
      </c>
    </row>
    <row r="1633" ht="15.75" customHeight="1">
      <c r="D1633" s="1" t="str">
        <f>IFERROR(__xludf.DUMMYFUNCTION("""COMPUTED_VALUE"""),"17436")</f>
        <v>17436</v>
      </c>
      <c r="E1633" s="3">
        <f>IFERROR(__xludf.DUMMYFUNCTION("""COMPUTED_VALUE"""),60000.0)</f>
        <v>60000</v>
      </c>
      <c r="F1633" s="1" t="str">
        <f>IFERROR(__xludf.DUMMYFUNCTION("""COMPUTED_VALUE"""),"2")</f>
        <v>2</v>
      </c>
      <c r="G1633" s="1" t="str">
        <f>IFERROR(__xludf.DUMMYFUNCTION("""COMPUTED_VALUE"""),"2")</f>
        <v>2</v>
      </c>
      <c r="H1633" s="1" t="str">
        <f>IFERROR(__xludf.DUMMYFUNCTION("""COMPUTED_VALUE"""),"51")</f>
        <v>51</v>
      </c>
    </row>
    <row r="1634" ht="15.75" customHeight="1">
      <c r="D1634" s="1" t="str">
        <f>IFERROR(__xludf.DUMMYFUNCTION("""COMPUTED_VALUE"""),"18935")</f>
        <v>18935</v>
      </c>
      <c r="E1634" s="3">
        <f>IFERROR(__xludf.DUMMYFUNCTION("""COMPUTED_VALUE"""),130000.0)</f>
        <v>130000</v>
      </c>
      <c r="F1634" s="1" t="str">
        <f>IFERROR(__xludf.DUMMYFUNCTION("""COMPUTED_VALUE"""),"0")</f>
        <v>0</v>
      </c>
      <c r="G1634" s="1" t="str">
        <f>IFERROR(__xludf.DUMMYFUNCTION("""COMPUTED_VALUE"""),"3")</f>
        <v>3</v>
      </c>
      <c r="H1634" s="1" t="str">
        <f>IFERROR(__xludf.DUMMYFUNCTION("""COMPUTED_VALUE"""),"40")</f>
        <v>40</v>
      </c>
    </row>
    <row r="1635" ht="15.75" customHeight="1">
      <c r="D1635" s="1" t="str">
        <f>IFERROR(__xludf.DUMMYFUNCTION("""COMPUTED_VALUE"""),"16871")</f>
        <v>16871</v>
      </c>
      <c r="E1635" s="3">
        <f>IFERROR(__xludf.DUMMYFUNCTION("""COMPUTED_VALUE"""),90000.0)</f>
        <v>90000</v>
      </c>
      <c r="F1635" s="1" t="str">
        <f>IFERROR(__xludf.DUMMYFUNCTION("""COMPUTED_VALUE"""),"2")</f>
        <v>2</v>
      </c>
      <c r="G1635" s="1" t="str">
        <f>IFERROR(__xludf.DUMMYFUNCTION("""COMPUTED_VALUE"""),"1")</f>
        <v>1</v>
      </c>
      <c r="H1635" s="1" t="str">
        <f>IFERROR(__xludf.DUMMYFUNCTION("""COMPUTED_VALUE"""),"51")</f>
        <v>51</v>
      </c>
    </row>
    <row r="1636" ht="15.75" customHeight="1">
      <c r="D1636" s="1" t="str">
        <f>IFERROR(__xludf.DUMMYFUNCTION("""COMPUTED_VALUE"""),"12100")</f>
        <v>12100</v>
      </c>
      <c r="E1636" s="3">
        <f>IFERROR(__xludf.DUMMYFUNCTION("""COMPUTED_VALUE"""),60000.0)</f>
        <v>60000</v>
      </c>
      <c r="F1636" s="1" t="str">
        <f>IFERROR(__xludf.DUMMYFUNCTION("""COMPUTED_VALUE"""),"2")</f>
        <v>2</v>
      </c>
      <c r="G1636" s="1" t="str">
        <f>IFERROR(__xludf.DUMMYFUNCTION("""COMPUTED_VALUE"""),"0")</f>
        <v>0</v>
      </c>
      <c r="H1636" s="1" t="str">
        <f>IFERROR(__xludf.DUMMYFUNCTION("""COMPUTED_VALUE"""),"57")</f>
        <v>57</v>
      </c>
    </row>
    <row r="1637" ht="15.75" customHeight="1">
      <c r="D1637" s="1" t="str">
        <f>IFERROR(__xludf.DUMMYFUNCTION("""COMPUTED_VALUE"""),"23158")</f>
        <v>23158</v>
      </c>
      <c r="E1637" s="3">
        <f>IFERROR(__xludf.DUMMYFUNCTION("""COMPUTED_VALUE"""),60000.0)</f>
        <v>60000</v>
      </c>
      <c r="F1637" s="1" t="str">
        <f>IFERROR(__xludf.DUMMYFUNCTION("""COMPUTED_VALUE"""),"1")</f>
        <v>1</v>
      </c>
      <c r="G1637" s="1" t="str">
        <f>IFERROR(__xludf.DUMMYFUNCTION("""COMPUTED_VALUE"""),"0")</f>
        <v>0</v>
      </c>
      <c r="H1637" s="1" t="str">
        <f>IFERROR(__xludf.DUMMYFUNCTION("""COMPUTED_VALUE"""),"35")</f>
        <v>35</v>
      </c>
    </row>
    <row r="1638" ht="15.75" customHeight="1">
      <c r="D1638" s="1" t="str">
        <f>IFERROR(__xludf.DUMMYFUNCTION("""COMPUTED_VALUE"""),"18545")</f>
        <v>18545</v>
      </c>
      <c r="E1638" s="3">
        <f>IFERROR(__xludf.DUMMYFUNCTION("""COMPUTED_VALUE"""),40000.0)</f>
        <v>40000</v>
      </c>
      <c r="F1638" s="1" t="str">
        <f>IFERROR(__xludf.DUMMYFUNCTION("""COMPUTED_VALUE"""),"4")</f>
        <v>4</v>
      </c>
      <c r="G1638" s="1" t="str">
        <f>IFERROR(__xludf.DUMMYFUNCTION("""COMPUTED_VALUE"""),"2")</f>
        <v>2</v>
      </c>
      <c r="H1638" s="1" t="str">
        <f>IFERROR(__xludf.DUMMYFUNCTION("""COMPUTED_VALUE"""),"61")</f>
        <v>61</v>
      </c>
    </row>
    <row r="1639" ht="15.75" customHeight="1">
      <c r="D1639" s="1" t="str">
        <f>IFERROR(__xludf.DUMMYFUNCTION("""COMPUTED_VALUE"""),"18391")</f>
        <v>18391</v>
      </c>
      <c r="E1639" s="3">
        <f>IFERROR(__xludf.DUMMYFUNCTION("""COMPUTED_VALUE"""),80000.0)</f>
        <v>80000</v>
      </c>
      <c r="F1639" s="1" t="str">
        <f>IFERROR(__xludf.DUMMYFUNCTION("""COMPUTED_VALUE"""),"5")</f>
        <v>5</v>
      </c>
      <c r="G1639" s="1" t="str">
        <f>IFERROR(__xludf.DUMMYFUNCTION("""COMPUTED_VALUE"""),"2")</f>
        <v>2</v>
      </c>
      <c r="H1639" s="1" t="str">
        <f>IFERROR(__xludf.DUMMYFUNCTION("""COMPUTED_VALUE"""),"44")</f>
        <v>44</v>
      </c>
    </row>
    <row r="1640" ht="15.75" customHeight="1">
      <c r="D1640" s="1" t="str">
        <f>IFERROR(__xludf.DUMMYFUNCTION("""COMPUTED_VALUE"""),"19812")</f>
        <v>19812</v>
      </c>
      <c r="E1640" s="3">
        <f>IFERROR(__xludf.DUMMYFUNCTION("""COMPUTED_VALUE"""),70000.0)</f>
        <v>70000</v>
      </c>
      <c r="F1640" s="1" t="str">
        <f>IFERROR(__xludf.DUMMYFUNCTION("""COMPUTED_VALUE"""),"2")</f>
        <v>2</v>
      </c>
      <c r="G1640" s="1" t="str">
        <f>IFERROR(__xludf.DUMMYFUNCTION("""COMPUTED_VALUE"""),"0")</f>
        <v>0</v>
      </c>
      <c r="H1640" s="1" t="str">
        <f>IFERROR(__xludf.DUMMYFUNCTION("""COMPUTED_VALUE"""),"49")</f>
        <v>49</v>
      </c>
    </row>
    <row r="1641" ht="15.75" customHeight="1">
      <c r="D1641" s="1" t="str">
        <f>IFERROR(__xludf.DUMMYFUNCTION("""COMPUTED_VALUE"""),"27660")</f>
        <v>27660</v>
      </c>
      <c r="E1641" s="3">
        <f>IFERROR(__xludf.DUMMYFUNCTION("""COMPUTED_VALUE"""),80000.0)</f>
        <v>80000</v>
      </c>
      <c r="F1641" s="1" t="str">
        <f>IFERROR(__xludf.DUMMYFUNCTION("""COMPUTED_VALUE"""),"4")</f>
        <v>4</v>
      </c>
      <c r="G1641" s="1" t="str">
        <f>IFERROR(__xludf.DUMMYFUNCTION("""COMPUTED_VALUE"""),"2")</f>
        <v>2</v>
      </c>
      <c r="H1641" s="1" t="str">
        <f>IFERROR(__xludf.DUMMYFUNCTION("""COMPUTED_VALUE"""),"70")</f>
        <v>70</v>
      </c>
    </row>
    <row r="1642" ht="15.75" customHeight="1">
      <c r="D1642" s="1" t="str">
        <f>IFERROR(__xludf.DUMMYFUNCTION("""COMPUTED_VALUE"""),"18058")</f>
        <v>18058</v>
      </c>
      <c r="E1642" s="3">
        <f>IFERROR(__xludf.DUMMYFUNCTION("""COMPUTED_VALUE"""),20000.0)</f>
        <v>20000</v>
      </c>
      <c r="F1642" s="1" t="str">
        <f>IFERROR(__xludf.DUMMYFUNCTION("""COMPUTED_VALUE"""),"3")</f>
        <v>3</v>
      </c>
      <c r="G1642" s="1" t="str">
        <f>IFERROR(__xludf.DUMMYFUNCTION("""COMPUTED_VALUE"""),"2")</f>
        <v>2</v>
      </c>
      <c r="H1642" s="1" t="str">
        <f>IFERROR(__xludf.DUMMYFUNCTION("""COMPUTED_VALUE"""),"78")</f>
        <v>78</v>
      </c>
    </row>
    <row r="1643" ht="15.75" customHeight="1">
      <c r="D1643" s="1" t="str">
        <f>IFERROR(__xludf.DUMMYFUNCTION("""COMPUTED_VALUE"""),"20343")</f>
        <v>20343</v>
      </c>
      <c r="E1643" s="3">
        <f>IFERROR(__xludf.DUMMYFUNCTION("""COMPUTED_VALUE"""),90000.0)</f>
        <v>90000</v>
      </c>
      <c r="F1643" s="1" t="str">
        <f>IFERROR(__xludf.DUMMYFUNCTION("""COMPUTED_VALUE"""),"4")</f>
        <v>4</v>
      </c>
      <c r="G1643" s="1" t="str">
        <f>IFERROR(__xludf.DUMMYFUNCTION("""COMPUTED_VALUE"""),"1")</f>
        <v>1</v>
      </c>
      <c r="H1643" s="1" t="str">
        <f>IFERROR(__xludf.DUMMYFUNCTION("""COMPUTED_VALUE"""),"45")</f>
        <v>45</v>
      </c>
    </row>
    <row r="1644" ht="15.75" customHeight="1">
      <c r="D1644" s="1" t="str">
        <f>IFERROR(__xludf.DUMMYFUNCTION("""COMPUTED_VALUE"""),"28997")</f>
        <v>28997</v>
      </c>
      <c r="E1644" s="3">
        <f>IFERROR(__xludf.DUMMYFUNCTION("""COMPUTED_VALUE"""),40000.0)</f>
        <v>40000</v>
      </c>
      <c r="F1644" s="1" t="str">
        <f>IFERROR(__xludf.DUMMYFUNCTION("""COMPUTED_VALUE"""),"2")</f>
        <v>2</v>
      </c>
      <c r="G1644" s="1" t="str">
        <f>IFERROR(__xludf.DUMMYFUNCTION("""COMPUTED_VALUE"""),"1")</f>
        <v>1</v>
      </c>
      <c r="H1644" s="1" t="str">
        <f>IFERROR(__xludf.DUMMYFUNCTION("""COMPUTED_VALUE"""),"58")</f>
        <v>58</v>
      </c>
    </row>
    <row r="1645" ht="15.75" customHeight="1">
      <c r="D1645" s="1" t="str">
        <f>IFERROR(__xludf.DUMMYFUNCTION("""COMPUTED_VALUE"""),"24398")</f>
        <v>24398</v>
      </c>
      <c r="E1645" s="3">
        <f>IFERROR(__xludf.DUMMYFUNCTION("""COMPUTED_VALUE"""),130000.0)</f>
        <v>130000</v>
      </c>
      <c r="F1645" s="1" t="str">
        <f>IFERROR(__xludf.DUMMYFUNCTION("""COMPUTED_VALUE"""),"1")</f>
        <v>1</v>
      </c>
      <c r="G1645" s="1" t="str">
        <f>IFERROR(__xludf.DUMMYFUNCTION("""COMPUTED_VALUE"""),"4")</f>
        <v>4</v>
      </c>
      <c r="H1645" s="1" t="str">
        <f>IFERROR(__xludf.DUMMYFUNCTION("""COMPUTED_VALUE"""),"41")</f>
        <v>41</v>
      </c>
    </row>
    <row r="1646" ht="15.75" customHeight="1">
      <c r="D1646" s="1" t="str">
        <f>IFERROR(__xludf.DUMMYFUNCTION("""COMPUTED_VALUE"""),"19002")</f>
        <v>19002</v>
      </c>
      <c r="E1646" s="3">
        <f>IFERROR(__xludf.DUMMYFUNCTION("""COMPUTED_VALUE"""),60000.0)</f>
        <v>60000</v>
      </c>
      <c r="F1646" s="1" t="str">
        <f>IFERROR(__xludf.DUMMYFUNCTION("""COMPUTED_VALUE"""),"2")</f>
        <v>2</v>
      </c>
      <c r="G1646" s="1" t="str">
        <f>IFERROR(__xludf.DUMMYFUNCTION("""COMPUTED_VALUE"""),"1")</f>
        <v>1</v>
      </c>
      <c r="H1646" s="1" t="str">
        <f>IFERROR(__xludf.DUMMYFUNCTION("""COMPUTED_VALUE"""),"57")</f>
        <v>57</v>
      </c>
    </row>
    <row r="1647" ht="15.75" customHeight="1">
      <c r="D1647" s="1" t="str">
        <f>IFERROR(__xludf.DUMMYFUNCTION("""COMPUTED_VALUE"""),"28609")</f>
        <v>28609</v>
      </c>
      <c r="E1647" s="3">
        <f>IFERROR(__xludf.DUMMYFUNCTION("""COMPUTED_VALUE"""),30000.0)</f>
        <v>30000</v>
      </c>
      <c r="F1647" s="1" t="str">
        <f>IFERROR(__xludf.DUMMYFUNCTION("""COMPUTED_VALUE"""),"2")</f>
        <v>2</v>
      </c>
      <c r="G1647" s="1" t="str">
        <f>IFERROR(__xludf.DUMMYFUNCTION("""COMPUTED_VALUE"""),"2")</f>
        <v>2</v>
      </c>
      <c r="H1647" s="1" t="str">
        <f>IFERROR(__xludf.DUMMYFUNCTION("""COMPUTED_VALUE"""),"49")</f>
        <v>49</v>
      </c>
    </row>
    <row r="1648" ht="15.75" customHeight="1">
      <c r="D1648" s="1" t="str">
        <f>IFERROR(__xludf.DUMMYFUNCTION("""COMPUTED_VALUE"""),"29231")</f>
        <v>29231</v>
      </c>
      <c r="E1648" s="3">
        <f>IFERROR(__xludf.DUMMYFUNCTION("""COMPUTED_VALUE"""),80000.0)</f>
        <v>80000</v>
      </c>
      <c r="F1648" s="1" t="str">
        <f>IFERROR(__xludf.DUMMYFUNCTION("""COMPUTED_VALUE"""),"4")</f>
        <v>4</v>
      </c>
      <c r="G1648" s="1" t="str">
        <f>IFERROR(__xludf.DUMMYFUNCTION("""COMPUTED_VALUE"""),"2")</f>
        <v>2</v>
      </c>
      <c r="H1648" s="1" t="str">
        <f>IFERROR(__xludf.DUMMYFUNCTION("""COMPUTED_VALUE"""),"43")</f>
        <v>43</v>
      </c>
    </row>
    <row r="1649" ht="15.75" customHeight="1">
      <c r="D1649" s="1" t="str">
        <f>IFERROR(__xludf.DUMMYFUNCTION("""COMPUTED_VALUE"""),"18858")</f>
        <v>18858</v>
      </c>
      <c r="E1649" s="3">
        <f>IFERROR(__xludf.DUMMYFUNCTION("""COMPUTED_VALUE"""),60000.0)</f>
        <v>60000</v>
      </c>
      <c r="F1649" s="1" t="str">
        <f>IFERROR(__xludf.DUMMYFUNCTION("""COMPUTED_VALUE"""),"2")</f>
        <v>2</v>
      </c>
      <c r="G1649" s="1" t="str">
        <f>IFERROR(__xludf.DUMMYFUNCTION("""COMPUTED_VALUE"""),"2")</f>
        <v>2</v>
      </c>
      <c r="H1649" s="1" t="str">
        <f>IFERROR(__xludf.DUMMYFUNCTION("""COMPUTED_VALUE"""),"52")</f>
        <v>52</v>
      </c>
    </row>
    <row r="1650" ht="15.75" customHeight="1">
      <c r="D1650" s="1" t="str">
        <f>IFERROR(__xludf.DUMMYFUNCTION("""COMPUTED_VALUE"""),"20000")</f>
        <v>20000</v>
      </c>
      <c r="E1650" s="3">
        <f>IFERROR(__xludf.DUMMYFUNCTION("""COMPUTED_VALUE"""),60000.0)</f>
        <v>60000</v>
      </c>
      <c r="F1650" s="1" t="str">
        <f>IFERROR(__xludf.DUMMYFUNCTION("""COMPUTED_VALUE"""),"1")</f>
        <v>1</v>
      </c>
      <c r="G1650" s="1" t="str">
        <f>IFERROR(__xludf.DUMMYFUNCTION("""COMPUTED_VALUE"""),"0")</f>
        <v>0</v>
      </c>
      <c r="H1650" s="1" t="str">
        <f>IFERROR(__xludf.DUMMYFUNCTION("""COMPUTED_VALUE"""),"35")</f>
        <v>35</v>
      </c>
    </row>
    <row r="1651" ht="15.75" customHeight="1">
      <c r="D1651" s="1" t="str">
        <f>IFERROR(__xludf.DUMMYFUNCTION("""COMPUTED_VALUE"""),"25261")</f>
        <v>25261</v>
      </c>
      <c r="E1651" s="3">
        <f>IFERROR(__xludf.DUMMYFUNCTION("""COMPUTED_VALUE"""),40000.0)</f>
        <v>40000</v>
      </c>
      <c r="F1651" s="1" t="str">
        <f>IFERROR(__xludf.DUMMYFUNCTION("""COMPUTED_VALUE"""),"0")</f>
        <v>0</v>
      </c>
      <c r="G1651" s="1" t="str">
        <f>IFERROR(__xludf.DUMMYFUNCTION("""COMPUTED_VALUE"""),"2")</f>
        <v>2</v>
      </c>
      <c r="H1651" s="1" t="str">
        <f>IFERROR(__xludf.DUMMYFUNCTION("""COMPUTED_VALUE"""),"27")</f>
        <v>27</v>
      </c>
    </row>
    <row r="1652" ht="15.75" customHeight="1">
      <c r="D1652" s="1" t="str">
        <f>IFERROR(__xludf.DUMMYFUNCTION("""COMPUTED_VALUE"""),"17458")</f>
        <v>17458</v>
      </c>
      <c r="E1652" s="3">
        <f>IFERROR(__xludf.DUMMYFUNCTION("""COMPUTED_VALUE"""),70000.0)</f>
        <v>70000</v>
      </c>
      <c r="F1652" s="1" t="str">
        <f>IFERROR(__xludf.DUMMYFUNCTION("""COMPUTED_VALUE"""),"3")</f>
        <v>3</v>
      </c>
      <c r="G1652" s="1" t="str">
        <f>IFERROR(__xludf.DUMMYFUNCTION("""COMPUTED_VALUE"""),"0")</f>
        <v>0</v>
      </c>
      <c r="H1652" s="1" t="str">
        <f>IFERROR(__xludf.DUMMYFUNCTION("""COMPUTED_VALUE"""),"52")</f>
        <v>52</v>
      </c>
    </row>
    <row r="1653" ht="15.75" customHeight="1">
      <c r="D1653" s="1" t="str">
        <f>IFERROR(__xludf.DUMMYFUNCTION("""COMPUTED_VALUE"""),"11644")</f>
        <v>11644</v>
      </c>
      <c r="E1653" s="3">
        <f>IFERROR(__xludf.DUMMYFUNCTION("""COMPUTED_VALUE"""),40000.0)</f>
        <v>40000</v>
      </c>
      <c r="F1653" s="1" t="str">
        <f>IFERROR(__xludf.DUMMYFUNCTION("""COMPUTED_VALUE"""),"2")</f>
        <v>2</v>
      </c>
      <c r="G1653" s="1" t="str">
        <f>IFERROR(__xludf.DUMMYFUNCTION("""COMPUTED_VALUE"""),"0")</f>
        <v>0</v>
      </c>
      <c r="H1653" s="1" t="str">
        <f>IFERROR(__xludf.DUMMYFUNCTION("""COMPUTED_VALUE"""),"36")</f>
        <v>36</v>
      </c>
    </row>
    <row r="1654" ht="15.75" customHeight="1">
      <c r="D1654" s="1" t="str">
        <f>IFERROR(__xludf.DUMMYFUNCTION("""COMPUTED_VALUE"""),"16145")</f>
        <v>16145</v>
      </c>
      <c r="E1654" s="3">
        <f>IFERROR(__xludf.DUMMYFUNCTION("""COMPUTED_VALUE"""),70000.0)</f>
        <v>70000</v>
      </c>
      <c r="F1654" s="1" t="str">
        <f>IFERROR(__xludf.DUMMYFUNCTION("""COMPUTED_VALUE"""),"5")</f>
        <v>5</v>
      </c>
      <c r="G1654" s="1" t="str">
        <f>IFERROR(__xludf.DUMMYFUNCTION("""COMPUTED_VALUE"""),"3")</f>
        <v>3</v>
      </c>
      <c r="H1654" s="1" t="str">
        <f>IFERROR(__xludf.DUMMYFUNCTION("""COMPUTED_VALUE"""),"46")</f>
        <v>46</v>
      </c>
    </row>
    <row r="1655" ht="15.75" customHeight="1">
      <c r="D1655" s="1" t="str">
        <f>IFERROR(__xludf.DUMMYFUNCTION("""COMPUTED_VALUE"""),"16890")</f>
        <v>16890</v>
      </c>
      <c r="E1655" s="3">
        <f>IFERROR(__xludf.DUMMYFUNCTION("""COMPUTED_VALUE"""),60000.0)</f>
        <v>60000</v>
      </c>
      <c r="F1655" s="1" t="str">
        <f>IFERROR(__xludf.DUMMYFUNCTION("""COMPUTED_VALUE"""),"3")</f>
        <v>3</v>
      </c>
      <c r="G1655" s="1" t="str">
        <f>IFERROR(__xludf.DUMMYFUNCTION("""COMPUTED_VALUE"""),"2")</f>
        <v>2</v>
      </c>
      <c r="H1655" s="1" t="str">
        <f>IFERROR(__xludf.DUMMYFUNCTION("""COMPUTED_VALUE"""),"52")</f>
        <v>52</v>
      </c>
    </row>
    <row r="1656" ht="15.75" customHeight="1">
      <c r="D1656" s="1" t="str">
        <f>IFERROR(__xludf.DUMMYFUNCTION("""COMPUTED_VALUE"""),"25983")</f>
        <v>25983</v>
      </c>
      <c r="E1656" s="3">
        <f>IFERROR(__xludf.DUMMYFUNCTION("""COMPUTED_VALUE"""),70000.0)</f>
        <v>70000</v>
      </c>
      <c r="F1656" s="1" t="str">
        <f>IFERROR(__xludf.DUMMYFUNCTION("""COMPUTED_VALUE"""),"0")</f>
        <v>0</v>
      </c>
      <c r="G1656" s="1" t="str">
        <f>IFERROR(__xludf.DUMMYFUNCTION("""COMPUTED_VALUE"""),"1")</f>
        <v>1</v>
      </c>
      <c r="H1656" s="1" t="str">
        <f>IFERROR(__xludf.DUMMYFUNCTION("""COMPUTED_VALUE"""),"43")</f>
        <v>43</v>
      </c>
    </row>
    <row r="1657" ht="15.75" customHeight="1">
      <c r="D1657" s="1" t="str">
        <f>IFERROR(__xludf.DUMMYFUNCTION("""COMPUTED_VALUE"""),"14633")</f>
        <v>14633</v>
      </c>
      <c r="E1657" s="3">
        <f>IFERROR(__xludf.DUMMYFUNCTION("""COMPUTED_VALUE"""),60000.0)</f>
        <v>60000</v>
      </c>
      <c r="F1657" s="1" t="str">
        <f>IFERROR(__xludf.DUMMYFUNCTION("""COMPUTED_VALUE"""),"1")</f>
        <v>1</v>
      </c>
      <c r="G1657" s="1" t="str">
        <f>IFERROR(__xludf.DUMMYFUNCTION("""COMPUTED_VALUE"""),"1")</f>
        <v>1</v>
      </c>
      <c r="H1657" s="1" t="str">
        <f>IFERROR(__xludf.DUMMYFUNCTION("""COMPUTED_VALUE"""),"44")</f>
        <v>44</v>
      </c>
    </row>
    <row r="1658" ht="15.75" customHeight="1">
      <c r="D1658" s="1" t="str">
        <f>IFERROR(__xludf.DUMMYFUNCTION("""COMPUTED_VALUE"""),"22994")</f>
        <v>22994</v>
      </c>
      <c r="E1658" s="3">
        <f>IFERROR(__xludf.DUMMYFUNCTION("""COMPUTED_VALUE"""),80000.0)</f>
        <v>80000</v>
      </c>
      <c r="F1658" s="1" t="str">
        <f>IFERROR(__xludf.DUMMYFUNCTION("""COMPUTED_VALUE"""),"0")</f>
        <v>0</v>
      </c>
      <c r="G1658" s="1" t="str">
        <f>IFERROR(__xludf.DUMMYFUNCTION("""COMPUTED_VALUE"""),"1")</f>
        <v>1</v>
      </c>
      <c r="H1658" s="1" t="str">
        <f>IFERROR(__xludf.DUMMYFUNCTION("""COMPUTED_VALUE"""),"34")</f>
        <v>34</v>
      </c>
    </row>
    <row r="1659" ht="15.75" customHeight="1">
      <c r="D1659" s="1" t="str">
        <f>IFERROR(__xludf.DUMMYFUNCTION("""COMPUTED_VALUE"""),"22983")</f>
        <v>22983</v>
      </c>
      <c r="E1659" s="3">
        <f>IFERROR(__xludf.DUMMYFUNCTION("""COMPUTED_VALUE"""),30000.0)</f>
        <v>30000</v>
      </c>
      <c r="F1659" s="1" t="str">
        <f>IFERROR(__xludf.DUMMYFUNCTION("""COMPUTED_VALUE"""),"0")</f>
        <v>0</v>
      </c>
      <c r="G1659" s="1" t="str">
        <f>IFERROR(__xludf.DUMMYFUNCTION("""COMPUTED_VALUE"""),"2")</f>
        <v>2</v>
      </c>
      <c r="H1659" s="1" t="str">
        <f>IFERROR(__xludf.DUMMYFUNCTION("""COMPUTED_VALUE"""),"27")</f>
        <v>27</v>
      </c>
    </row>
    <row r="1660" ht="15.75" customHeight="1">
      <c r="D1660" s="1" t="str">
        <f>IFERROR(__xludf.DUMMYFUNCTION("""COMPUTED_VALUE"""),"25184")</f>
        <v>25184</v>
      </c>
      <c r="E1660" s="3">
        <f>IFERROR(__xludf.DUMMYFUNCTION("""COMPUTED_VALUE"""),110000.0)</f>
        <v>110000</v>
      </c>
      <c r="F1660" s="1" t="str">
        <f>IFERROR(__xludf.DUMMYFUNCTION("""COMPUTED_VALUE"""),"1")</f>
        <v>1</v>
      </c>
      <c r="G1660" s="1" t="str">
        <f>IFERROR(__xludf.DUMMYFUNCTION("""COMPUTED_VALUE"""),"4")</f>
        <v>4</v>
      </c>
      <c r="H1660" s="1" t="str">
        <f>IFERROR(__xludf.DUMMYFUNCTION("""COMPUTED_VALUE"""),"45")</f>
        <v>45</v>
      </c>
    </row>
    <row r="1661" ht="15.75" customHeight="1">
      <c r="D1661" s="1" t="str">
        <f>IFERROR(__xludf.DUMMYFUNCTION("""COMPUTED_VALUE"""),"14469")</f>
        <v>14469</v>
      </c>
      <c r="E1661" s="3">
        <f>IFERROR(__xludf.DUMMYFUNCTION("""COMPUTED_VALUE"""),100000.0)</f>
        <v>100000</v>
      </c>
      <c r="F1661" s="1" t="str">
        <f>IFERROR(__xludf.DUMMYFUNCTION("""COMPUTED_VALUE"""),"3")</f>
        <v>3</v>
      </c>
      <c r="G1661" s="1" t="str">
        <f>IFERROR(__xludf.DUMMYFUNCTION("""COMPUTED_VALUE"""),"4")</f>
        <v>4</v>
      </c>
      <c r="H1661" s="1" t="str">
        <f>IFERROR(__xludf.DUMMYFUNCTION("""COMPUTED_VALUE"""),"45")</f>
        <v>45</v>
      </c>
    </row>
    <row r="1662" ht="15.75" customHeight="1">
      <c r="D1662" s="1" t="str">
        <f>IFERROR(__xludf.DUMMYFUNCTION("""COMPUTED_VALUE"""),"16245")</f>
        <v>16245</v>
      </c>
      <c r="E1662" s="3">
        <f>IFERROR(__xludf.DUMMYFUNCTION("""COMPUTED_VALUE"""),80000.0)</f>
        <v>80000</v>
      </c>
      <c r="F1662" s="1" t="str">
        <f>IFERROR(__xludf.DUMMYFUNCTION("""COMPUTED_VALUE"""),"4")</f>
        <v>4</v>
      </c>
      <c r="G1662" s="1" t="str">
        <f>IFERROR(__xludf.DUMMYFUNCTION("""COMPUTED_VALUE"""),"0")</f>
        <v>0</v>
      </c>
      <c r="H1662" s="1" t="str">
        <f>IFERROR(__xludf.DUMMYFUNCTION("""COMPUTED_VALUE"""),"47")</f>
        <v>47</v>
      </c>
    </row>
    <row r="1663" ht="15.75" customHeight="1">
      <c r="D1663" s="1" t="str">
        <f>IFERROR(__xludf.DUMMYFUNCTION("""COMPUTED_VALUE"""),"17858")</f>
        <v>17858</v>
      </c>
      <c r="E1663" s="3">
        <f>IFERROR(__xludf.DUMMYFUNCTION("""COMPUTED_VALUE"""),40000.0)</f>
        <v>40000</v>
      </c>
      <c r="F1663" s="1" t="str">
        <f>IFERROR(__xludf.DUMMYFUNCTION("""COMPUTED_VALUE"""),"4")</f>
        <v>4</v>
      </c>
      <c r="G1663" s="1" t="str">
        <f>IFERROR(__xludf.DUMMYFUNCTION("""COMPUTED_VALUE"""),"2")</f>
        <v>2</v>
      </c>
      <c r="H1663" s="1" t="str">
        <f>IFERROR(__xludf.DUMMYFUNCTION("""COMPUTED_VALUE"""),"44")</f>
        <v>44</v>
      </c>
    </row>
    <row r="1664" ht="15.75" customHeight="1">
      <c r="D1664" s="1" t="str">
        <f>IFERROR(__xludf.DUMMYFUNCTION("""COMPUTED_VALUE"""),"25347")</f>
        <v>25347</v>
      </c>
      <c r="E1664" s="3">
        <f>IFERROR(__xludf.DUMMYFUNCTION("""COMPUTED_VALUE"""),20000.0)</f>
        <v>20000</v>
      </c>
      <c r="F1664" s="1" t="str">
        <f>IFERROR(__xludf.DUMMYFUNCTION("""COMPUTED_VALUE"""),"3")</f>
        <v>3</v>
      </c>
      <c r="G1664" s="1" t="str">
        <f>IFERROR(__xludf.DUMMYFUNCTION("""COMPUTED_VALUE"""),"2")</f>
        <v>2</v>
      </c>
      <c r="H1664" s="1" t="str">
        <f>IFERROR(__xludf.DUMMYFUNCTION("""COMPUTED_VALUE"""),"49")</f>
        <v>49</v>
      </c>
    </row>
    <row r="1665" ht="15.75" customHeight="1">
      <c r="D1665" s="1" t="str">
        <f>IFERROR(__xludf.DUMMYFUNCTION("""COMPUTED_VALUE"""),"15814")</f>
        <v>15814</v>
      </c>
      <c r="E1665" s="3">
        <f>IFERROR(__xludf.DUMMYFUNCTION("""COMPUTED_VALUE"""),40000.0)</f>
        <v>40000</v>
      </c>
      <c r="F1665" s="1" t="str">
        <f>IFERROR(__xludf.DUMMYFUNCTION("""COMPUTED_VALUE"""),"0")</f>
        <v>0</v>
      </c>
      <c r="G1665" s="1" t="str">
        <f>IFERROR(__xludf.DUMMYFUNCTION("""COMPUTED_VALUE"""),"1")</f>
        <v>1</v>
      </c>
      <c r="H1665" s="1" t="str">
        <f>IFERROR(__xludf.DUMMYFUNCTION("""COMPUTED_VALUE"""),"30")</f>
        <v>30</v>
      </c>
    </row>
    <row r="1666" ht="15.75" customHeight="1">
      <c r="D1666" s="1" t="str">
        <f>IFERROR(__xludf.DUMMYFUNCTION("""COMPUTED_VALUE"""),"11259")</f>
        <v>11259</v>
      </c>
      <c r="E1666" s="3">
        <f>IFERROR(__xludf.DUMMYFUNCTION("""COMPUTED_VALUE"""),100000.0)</f>
        <v>100000</v>
      </c>
      <c r="F1666" s="1" t="str">
        <f>IFERROR(__xludf.DUMMYFUNCTION("""COMPUTED_VALUE"""),"4")</f>
        <v>4</v>
      </c>
      <c r="G1666" s="1" t="str">
        <f>IFERROR(__xludf.DUMMYFUNCTION("""COMPUTED_VALUE"""),"4")</f>
        <v>4</v>
      </c>
      <c r="H1666" s="1" t="str">
        <f>IFERROR(__xludf.DUMMYFUNCTION("""COMPUTED_VALUE"""),"41")</f>
        <v>41</v>
      </c>
    </row>
    <row r="1667" ht="15.75" customHeight="1">
      <c r="D1667" s="1" t="str">
        <f>IFERROR(__xludf.DUMMYFUNCTION("""COMPUTED_VALUE"""),"11200")</f>
        <v>11200</v>
      </c>
      <c r="E1667" s="3">
        <f>IFERROR(__xludf.DUMMYFUNCTION("""COMPUTED_VALUE"""),70000.0)</f>
        <v>70000</v>
      </c>
      <c r="F1667" s="1" t="str">
        <f>IFERROR(__xludf.DUMMYFUNCTION("""COMPUTED_VALUE"""),"4")</f>
        <v>4</v>
      </c>
      <c r="G1667" s="1" t="str">
        <f>IFERROR(__xludf.DUMMYFUNCTION("""COMPUTED_VALUE"""),"1")</f>
        <v>1</v>
      </c>
      <c r="H1667" s="1" t="str">
        <f>IFERROR(__xludf.DUMMYFUNCTION("""COMPUTED_VALUE"""),"58")</f>
        <v>58</v>
      </c>
    </row>
    <row r="1668" ht="15.75" customHeight="1">
      <c r="D1668" s="1" t="str">
        <f>IFERROR(__xludf.DUMMYFUNCTION("""COMPUTED_VALUE"""),"25101")</f>
        <v>25101</v>
      </c>
      <c r="E1668" s="3">
        <f>IFERROR(__xludf.DUMMYFUNCTION("""COMPUTED_VALUE"""),60000.0)</f>
        <v>60000</v>
      </c>
      <c r="F1668" s="1" t="str">
        <f>IFERROR(__xludf.DUMMYFUNCTION("""COMPUTED_VALUE"""),"5")</f>
        <v>5</v>
      </c>
      <c r="G1668" s="1" t="str">
        <f>IFERROR(__xludf.DUMMYFUNCTION("""COMPUTED_VALUE"""),"1")</f>
        <v>1</v>
      </c>
      <c r="H1668" s="1" t="str">
        <f>IFERROR(__xludf.DUMMYFUNCTION("""COMPUTED_VALUE"""),"47")</f>
        <v>47</v>
      </c>
    </row>
    <row r="1669" ht="15.75" customHeight="1">
      <c r="D1669" s="1" t="str">
        <f>IFERROR(__xludf.DUMMYFUNCTION("""COMPUTED_VALUE"""),"21801")</f>
        <v>21801</v>
      </c>
      <c r="E1669" s="3">
        <f>IFERROR(__xludf.DUMMYFUNCTION("""COMPUTED_VALUE"""),70000.0)</f>
        <v>70000</v>
      </c>
      <c r="F1669" s="1" t="str">
        <f>IFERROR(__xludf.DUMMYFUNCTION("""COMPUTED_VALUE"""),"4")</f>
        <v>4</v>
      </c>
      <c r="G1669" s="1" t="str">
        <f>IFERROR(__xludf.DUMMYFUNCTION("""COMPUTED_VALUE"""),"1")</f>
        <v>1</v>
      </c>
      <c r="H1669" s="1" t="str">
        <f>IFERROR(__xludf.DUMMYFUNCTION("""COMPUTED_VALUE"""),"55")</f>
        <v>55</v>
      </c>
    </row>
    <row r="1670" ht="15.75" customHeight="1">
      <c r="D1670" s="1" t="str">
        <f>IFERROR(__xludf.DUMMYFUNCTION("""COMPUTED_VALUE"""),"25943")</f>
        <v>25943</v>
      </c>
      <c r="E1670" s="3">
        <f>IFERROR(__xludf.DUMMYFUNCTION("""COMPUTED_VALUE"""),70000.0)</f>
        <v>70000</v>
      </c>
      <c r="F1670" s="1" t="str">
        <f>IFERROR(__xludf.DUMMYFUNCTION("""COMPUTED_VALUE"""),"0")</f>
        <v>0</v>
      </c>
      <c r="G1670" s="1" t="str">
        <f>IFERROR(__xludf.DUMMYFUNCTION("""COMPUTED_VALUE"""),"2")</f>
        <v>2</v>
      </c>
      <c r="H1670" s="1" t="str">
        <f>IFERROR(__xludf.DUMMYFUNCTION("""COMPUTED_VALUE"""),"27")</f>
        <v>27</v>
      </c>
    </row>
    <row r="1671" ht="15.75" customHeight="1">
      <c r="D1671" s="1" t="str">
        <f>IFERROR(__xludf.DUMMYFUNCTION("""COMPUTED_VALUE"""),"22127")</f>
        <v>22127</v>
      </c>
      <c r="E1671" s="3">
        <f>IFERROR(__xludf.DUMMYFUNCTION("""COMPUTED_VALUE"""),60000.0)</f>
        <v>60000</v>
      </c>
      <c r="F1671" s="1" t="str">
        <f>IFERROR(__xludf.DUMMYFUNCTION("""COMPUTED_VALUE"""),"3")</f>
        <v>3</v>
      </c>
      <c r="G1671" s="1" t="str">
        <f>IFERROR(__xludf.DUMMYFUNCTION("""COMPUTED_VALUE"""),"2")</f>
        <v>2</v>
      </c>
      <c r="H1671" s="1" t="str">
        <f>IFERROR(__xludf.DUMMYFUNCTION("""COMPUTED_VALUE"""),"67")</f>
        <v>67</v>
      </c>
    </row>
    <row r="1672" ht="15.75" customHeight="1">
      <c r="D1672" s="1" t="str">
        <f>IFERROR(__xludf.DUMMYFUNCTION("""COMPUTED_VALUE"""),"20414")</f>
        <v>20414</v>
      </c>
      <c r="E1672" s="3">
        <f>IFERROR(__xludf.DUMMYFUNCTION("""COMPUTED_VALUE"""),60000.0)</f>
        <v>60000</v>
      </c>
      <c r="F1672" s="1" t="str">
        <f>IFERROR(__xludf.DUMMYFUNCTION("""COMPUTED_VALUE"""),"0")</f>
        <v>0</v>
      </c>
      <c r="G1672" s="1" t="str">
        <f>IFERROR(__xludf.DUMMYFUNCTION("""COMPUTED_VALUE"""),"2")</f>
        <v>2</v>
      </c>
      <c r="H1672" s="1" t="str">
        <f>IFERROR(__xludf.DUMMYFUNCTION("""COMPUTED_VALUE"""),"29")</f>
        <v>29</v>
      </c>
    </row>
    <row r="1673" ht="15.75" customHeight="1">
      <c r="D1673" s="1" t="str">
        <f>IFERROR(__xludf.DUMMYFUNCTION("""COMPUTED_VALUE"""),"23672")</f>
        <v>23672</v>
      </c>
      <c r="E1673" s="3">
        <f>IFERROR(__xludf.DUMMYFUNCTION("""COMPUTED_VALUE"""),60000.0)</f>
        <v>60000</v>
      </c>
      <c r="F1673" s="1" t="str">
        <f>IFERROR(__xludf.DUMMYFUNCTION("""COMPUTED_VALUE"""),"3")</f>
        <v>3</v>
      </c>
      <c r="G1673" s="1" t="str">
        <f>IFERROR(__xludf.DUMMYFUNCTION("""COMPUTED_VALUE"""),"2")</f>
        <v>2</v>
      </c>
      <c r="H1673" s="1" t="str">
        <f>IFERROR(__xludf.DUMMYFUNCTION("""COMPUTED_VALUE"""),"67")</f>
        <v>67</v>
      </c>
    </row>
    <row r="1674" ht="15.75" customHeight="1">
      <c r="D1674" s="1" t="str">
        <f>IFERROR(__xludf.DUMMYFUNCTION("""COMPUTED_VALUE"""),"29255")</f>
        <v>29255</v>
      </c>
      <c r="E1674" s="3">
        <f>IFERROR(__xludf.DUMMYFUNCTION("""COMPUTED_VALUE"""),80000.0)</f>
        <v>80000</v>
      </c>
      <c r="F1674" s="1" t="str">
        <f>IFERROR(__xludf.DUMMYFUNCTION("""COMPUTED_VALUE"""),"3")</f>
        <v>3</v>
      </c>
      <c r="G1674" s="1" t="str">
        <f>IFERROR(__xludf.DUMMYFUNCTION("""COMPUTED_VALUE"""),"1")</f>
        <v>1</v>
      </c>
      <c r="H1674" s="1" t="str">
        <f>IFERROR(__xludf.DUMMYFUNCTION("""COMPUTED_VALUE"""),"51")</f>
        <v>51</v>
      </c>
    </row>
    <row r="1675" ht="15.75" customHeight="1">
      <c r="D1675" s="1" t="str">
        <f>IFERROR(__xludf.DUMMYFUNCTION("""COMPUTED_VALUE"""),"28815")</f>
        <v>28815</v>
      </c>
      <c r="E1675" s="3">
        <f>IFERROR(__xludf.DUMMYFUNCTION("""COMPUTED_VALUE"""),50000.0)</f>
        <v>50000</v>
      </c>
      <c r="F1675" s="1" t="str">
        <f>IFERROR(__xludf.DUMMYFUNCTION("""COMPUTED_VALUE"""),"1")</f>
        <v>1</v>
      </c>
      <c r="G1675" s="1" t="str">
        <f>IFERROR(__xludf.DUMMYFUNCTION("""COMPUTED_VALUE"""),"0")</f>
        <v>0</v>
      </c>
      <c r="H1675" s="1" t="str">
        <f>IFERROR(__xludf.DUMMYFUNCTION("""COMPUTED_VALUE"""),"35")</f>
        <v>35</v>
      </c>
    </row>
    <row r="1676" ht="15.75" customHeight="1">
      <c r="D1676" s="1" t="str">
        <f>IFERROR(__xludf.DUMMYFUNCTION("""COMPUTED_VALUE"""),"27753")</f>
        <v>27753</v>
      </c>
      <c r="E1676" s="3">
        <f>IFERROR(__xludf.DUMMYFUNCTION("""COMPUTED_VALUE"""),40000.0)</f>
        <v>40000</v>
      </c>
      <c r="F1676" s="1" t="str">
        <f>IFERROR(__xludf.DUMMYFUNCTION("""COMPUTED_VALUE"""),"0")</f>
        <v>0</v>
      </c>
      <c r="G1676" s="1" t="str">
        <f>IFERROR(__xludf.DUMMYFUNCTION("""COMPUTED_VALUE"""),"2")</f>
        <v>2</v>
      </c>
      <c r="H1676" s="1" t="str">
        <f>IFERROR(__xludf.DUMMYFUNCTION("""COMPUTED_VALUE"""),"30")</f>
        <v>30</v>
      </c>
    </row>
    <row r="1677" ht="15.75" customHeight="1">
      <c r="D1677" s="1" t="str">
        <f>IFERROR(__xludf.DUMMYFUNCTION("""COMPUTED_VALUE"""),"27643")</f>
        <v>27643</v>
      </c>
      <c r="E1677" s="3">
        <f>IFERROR(__xludf.DUMMYFUNCTION("""COMPUTED_VALUE"""),70000.0)</f>
        <v>70000</v>
      </c>
      <c r="F1677" s="1" t="str">
        <f>IFERROR(__xludf.DUMMYFUNCTION("""COMPUTED_VALUE"""),"5")</f>
        <v>5</v>
      </c>
      <c r="G1677" s="1" t="str">
        <f>IFERROR(__xludf.DUMMYFUNCTION("""COMPUTED_VALUE"""),"3")</f>
        <v>3</v>
      </c>
      <c r="H1677" s="1" t="str">
        <f>IFERROR(__xludf.DUMMYFUNCTION("""COMPUTED_VALUE"""),"44")</f>
        <v>44</v>
      </c>
    </row>
    <row r="1678" ht="15.75" customHeight="1">
      <c r="D1678" s="1" t="str">
        <f>IFERROR(__xludf.DUMMYFUNCTION("""COMPUTED_VALUE"""),"13754")</f>
        <v>13754</v>
      </c>
      <c r="E1678" s="3">
        <f>IFERROR(__xludf.DUMMYFUNCTION("""COMPUTED_VALUE"""),80000.0)</f>
        <v>80000</v>
      </c>
      <c r="F1678" s="1" t="str">
        <f>IFERROR(__xludf.DUMMYFUNCTION("""COMPUTED_VALUE"""),"4")</f>
        <v>4</v>
      </c>
      <c r="G1678" s="1" t="str">
        <f>IFERROR(__xludf.DUMMYFUNCTION("""COMPUTED_VALUE"""),"0")</f>
        <v>0</v>
      </c>
      <c r="H1678" s="1" t="str">
        <f>IFERROR(__xludf.DUMMYFUNCTION("""COMPUTED_VALUE"""),"48")</f>
        <v>48</v>
      </c>
    </row>
    <row r="1679" ht="15.75" customHeight="1">
      <c r="D1679" s="1" t="str">
        <f>IFERROR(__xludf.DUMMYFUNCTION("""COMPUTED_VALUE"""),"22088")</f>
        <v>22088</v>
      </c>
      <c r="E1679" s="3">
        <f>IFERROR(__xludf.DUMMYFUNCTION("""COMPUTED_VALUE"""),130000.0)</f>
        <v>130000</v>
      </c>
      <c r="F1679" s="1" t="str">
        <f>IFERROR(__xludf.DUMMYFUNCTION("""COMPUTED_VALUE"""),"1")</f>
        <v>1</v>
      </c>
      <c r="G1679" s="1" t="str">
        <f>IFERROR(__xludf.DUMMYFUNCTION("""COMPUTED_VALUE"""),"2")</f>
        <v>2</v>
      </c>
      <c r="H1679" s="1" t="str">
        <f>IFERROR(__xludf.DUMMYFUNCTION("""COMPUTED_VALUE"""),"45")</f>
        <v>45</v>
      </c>
    </row>
    <row r="1680" ht="15.75" customHeight="1">
      <c r="D1680" s="1" t="str">
        <f>IFERROR(__xludf.DUMMYFUNCTION("""COMPUTED_VALUE"""),"27388")</f>
        <v>27388</v>
      </c>
      <c r="E1680" s="3">
        <f>IFERROR(__xludf.DUMMYFUNCTION("""COMPUTED_VALUE"""),60000.0)</f>
        <v>60000</v>
      </c>
      <c r="F1680" s="1" t="str">
        <f>IFERROR(__xludf.DUMMYFUNCTION("""COMPUTED_VALUE"""),"3")</f>
        <v>3</v>
      </c>
      <c r="G1680" s="1" t="str">
        <f>IFERROR(__xludf.DUMMYFUNCTION("""COMPUTED_VALUE"""),"2")</f>
        <v>2</v>
      </c>
      <c r="H1680" s="1" t="str">
        <f>IFERROR(__xludf.DUMMYFUNCTION("""COMPUTED_VALUE"""),"66")</f>
        <v>66</v>
      </c>
    </row>
    <row r="1681" ht="15.75" customHeight="1">
      <c r="D1681" s="1" t="str">
        <f>IFERROR(__xludf.DUMMYFUNCTION("""COMPUTED_VALUE"""),"24745")</f>
        <v>24745</v>
      </c>
      <c r="E1681" s="3">
        <f>IFERROR(__xludf.DUMMYFUNCTION("""COMPUTED_VALUE"""),30000.0)</f>
        <v>30000</v>
      </c>
      <c r="F1681" s="1" t="str">
        <f>IFERROR(__xludf.DUMMYFUNCTION("""COMPUTED_VALUE"""),"2")</f>
        <v>2</v>
      </c>
      <c r="G1681" s="1" t="str">
        <f>IFERROR(__xludf.DUMMYFUNCTION("""COMPUTED_VALUE"""),"2")</f>
        <v>2</v>
      </c>
      <c r="H1681" s="1" t="str">
        <f>IFERROR(__xludf.DUMMYFUNCTION("""COMPUTED_VALUE"""),"49")</f>
        <v>49</v>
      </c>
    </row>
    <row r="1682" ht="15.75" customHeight="1">
      <c r="D1682" s="1" t="str">
        <f>IFERROR(__xludf.DUMMYFUNCTION("""COMPUTED_VALUE"""),"29237")</f>
        <v>29237</v>
      </c>
      <c r="E1682" s="3">
        <f>IFERROR(__xludf.DUMMYFUNCTION("""COMPUTED_VALUE"""),120000.0)</f>
        <v>120000</v>
      </c>
      <c r="F1682" s="1" t="str">
        <f>IFERROR(__xludf.DUMMYFUNCTION("""COMPUTED_VALUE"""),"4")</f>
        <v>4</v>
      </c>
      <c r="G1682" s="1" t="str">
        <f>IFERROR(__xludf.DUMMYFUNCTION("""COMPUTED_VALUE"""),"3")</f>
        <v>3</v>
      </c>
      <c r="H1682" s="1" t="str">
        <f>IFERROR(__xludf.DUMMYFUNCTION("""COMPUTED_VALUE"""),"43")</f>
        <v>43</v>
      </c>
    </row>
    <row r="1683" ht="15.75" customHeight="1">
      <c r="D1683" s="1" t="str">
        <f>IFERROR(__xludf.DUMMYFUNCTION("""COMPUTED_VALUE"""),"15272")</f>
        <v>15272</v>
      </c>
      <c r="E1683" s="3">
        <f>IFERROR(__xludf.DUMMYFUNCTION("""COMPUTED_VALUE"""),40000.0)</f>
        <v>40000</v>
      </c>
      <c r="F1683" s="1" t="str">
        <f>IFERROR(__xludf.DUMMYFUNCTION("""COMPUTED_VALUE"""),"0")</f>
        <v>0</v>
      </c>
      <c r="G1683" s="1" t="str">
        <f>IFERROR(__xludf.DUMMYFUNCTION("""COMPUTED_VALUE"""),"2")</f>
        <v>2</v>
      </c>
      <c r="H1683" s="1" t="str">
        <f>IFERROR(__xludf.DUMMYFUNCTION("""COMPUTED_VALUE"""),"30")</f>
        <v>30</v>
      </c>
    </row>
    <row r="1684" ht="15.75" customHeight="1">
      <c r="D1684" s="1" t="str">
        <f>IFERROR(__xludf.DUMMYFUNCTION("""COMPUTED_VALUE"""),"14507")</f>
        <v>14507</v>
      </c>
      <c r="E1684" s="3">
        <f>IFERROR(__xludf.DUMMYFUNCTION("""COMPUTED_VALUE"""),100000.0)</f>
        <v>100000</v>
      </c>
      <c r="F1684" s="1" t="str">
        <f>IFERROR(__xludf.DUMMYFUNCTION("""COMPUTED_VALUE"""),"2")</f>
        <v>2</v>
      </c>
      <c r="G1684" s="1" t="str">
        <f>IFERROR(__xludf.DUMMYFUNCTION("""COMPUTED_VALUE"""),"3")</f>
        <v>3</v>
      </c>
      <c r="H1684" s="1" t="str">
        <f>IFERROR(__xludf.DUMMYFUNCTION("""COMPUTED_VALUE"""),"65")</f>
        <v>65</v>
      </c>
    </row>
    <row r="1685" ht="15.75" customHeight="1">
      <c r="D1685" s="1" t="str">
        <f>IFERROR(__xludf.DUMMYFUNCTION("""COMPUTED_VALUE"""),"25886")</f>
        <v>25886</v>
      </c>
      <c r="E1685" s="3">
        <f>IFERROR(__xludf.DUMMYFUNCTION("""COMPUTED_VALUE"""),60000.0)</f>
        <v>60000</v>
      </c>
      <c r="F1685" s="1" t="str">
        <f>IFERROR(__xludf.DUMMYFUNCTION("""COMPUTED_VALUE"""),"2")</f>
        <v>2</v>
      </c>
      <c r="G1685" s="1" t="str">
        <f>IFERROR(__xludf.DUMMYFUNCTION("""COMPUTED_VALUE"""),"2")</f>
        <v>2</v>
      </c>
      <c r="H1685" s="1" t="str">
        <f>IFERROR(__xludf.DUMMYFUNCTION("""COMPUTED_VALUE"""),"56")</f>
        <v>56</v>
      </c>
    </row>
    <row r="1686" ht="15.75" customHeight="1">
      <c r="D1686" s="1" t="str">
        <f>IFERROR(__xludf.DUMMYFUNCTION("""COMPUTED_VALUE"""),"21441")</f>
        <v>21441</v>
      </c>
      <c r="E1686" s="3">
        <f>IFERROR(__xludf.DUMMYFUNCTION("""COMPUTED_VALUE"""),50000.0)</f>
        <v>50000</v>
      </c>
      <c r="F1686" s="1" t="str">
        <f>IFERROR(__xludf.DUMMYFUNCTION("""COMPUTED_VALUE"""),"4")</f>
        <v>4</v>
      </c>
      <c r="G1686" s="1" t="str">
        <f>IFERROR(__xludf.DUMMYFUNCTION("""COMPUTED_VALUE"""),"2")</f>
        <v>2</v>
      </c>
      <c r="H1686" s="1" t="str">
        <f>IFERROR(__xludf.DUMMYFUNCTION("""COMPUTED_VALUE"""),"64")</f>
        <v>64</v>
      </c>
    </row>
    <row r="1687" ht="15.75" customHeight="1">
      <c r="D1687" s="1" t="str">
        <f>IFERROR(__xludf.DUMMYFUNCTION("""COMPUTED_VALUE"""),"21741")</f>
        <v>21741</v>
      </c>
      <c r="E1687" s="3">
        <f>IFERROR(__xludf.DUMMYFUNCTION("""COMPUTED_VALUE"""),70000.0)</f>
        <v>70000</v>
      </c>
      <c r="F1687" s="1" t="str">
        <f>IFERROR(__xludf.DUMMYFUNCTION("""COMPUTED_VALUE"""),"3")</f>
        <v>3</v>
      </c>
      <c r="G1687" s="1" t="str">
        <f>IFERROR(__xludf.DUMMYFUNCTION("""COMPUTED_VALUE"""),"2")</f>
        <v>2</v>
      </c>
      <c r="H1687" s="1" t="str">
        <f>IFERROR(__xludf.DUMMYFUNCTION("""COMPUTED_VALUE"""),"50")</f>
        <v>50</v>
      </c>
    </row>
    <row r="1688" ht="15.75" customHeight="1">
      <c r="D1688" s="1" t="str">
        <f>IFERROR(__xludf.DUMMYFUNCTION("""COMPUTED_VALUE"""),"14572")</f>
        <v>14572</v>
      </c>
      <c r="E1688" s="3">
        <f>IFERROR(__xludf.DUMMYFUNCTION("""COMPUTED_VALUE"""),70000.0)</f>
        <v>70000</v>
      </c>
      <c r="F1688" s="1" t="str">
        <f>IFERROR(__xludf.DUMMYFUNCTION("""COMPUTED_VALUE"""),"3")</f>
        <v>3</v>
      </c>
      <c r="G1688" s="1" t="str">
        <f>IFERROR(__xludf.DUMMYFUNCTION("""COMPUTED_VALUE"""),"0")</f>
        <v>0</v>
      </c>
      <c r="H1688" s="1" t="str">
        <f>IFERROR(__xludf.DUMMYFUNCTION("""COMPUTED_VALUE"""),"35")</f>
        <v>35</v>
      </c>
    </row>
    <row r="1689" ht="15.75" customHeight="1">
      <c r="D1689" s="1" t="str">
        <f>IFERROR(__xludf.DUMMYFUNCTION("""COMPUTED_VALUE"""),"23368")</f>
        <v>23368</v>
      </c>
      <c r="E1689" s="3">
        <f>IFERROR(__xludf.DUMMYFUNCTION("""COMPUTED_VALUE"""),60000.0)</f>
        <v>60000</v>
      </c>
      <c r="F1689" s="1" t="str">
        <f>IFERROR(__xludf.DUMMYFUNCTION("""COMPUTED_VALUE"""),"5")</f>
        <v>5</v>
      </c>
      <c r="G1689" s="1" t="str">
        <f>IFERROR(__xludf.DUMMYFUNCTION("""COMPUTED_VALUE"""),"3")</f>
        <v>3</v>
      </c>
      <c r="H1689" s="1" t="str">
        <f>IFERROR(__xludf.DUMMYFUNCTION("""COMPUTED_VALUE"""),"41")</f>
        <v>41</v>
      </c>
    </row>
    <row r="1690" ht="15.75" customHeight="1">
      <c r="D1690" s="1" t="str">
        <f>IFERROR(__xludf.DUMMYFUNCTION("""COMPUTED_VALUE"""),"16217")</f>
        <v>16217</v>
      </c>
      <c r="E1690" s="3">
        <f>IFERROR(__xludf.DUMMYFUNCTION("""COMPUTED_VALUE"""),60000.0)</f>
        <v>60000</v>
      </c>
      <c r="F1690" s="1" t="str">
        <f>IFERROR(__xludf.DUMMYFUNCTION("""COMPUTED_VALUE"""),"0")</f>
        <v>0</v>
      </c>
      <c r="G1690" s="1" t="str">
        <f>IFERROR(__xludf.DUMMYFUNCTION("""COMPUTED_VALUE"""),"0")</f>
        <v>0</v>
      </c>
      <c r="H1690" s="1" t="str">
        <f>IFERROR(__xludf.DUMMYFUNCTION("""COMPUTED_VALUE"""),"39")</f>
        <v>39</v>
      </c>
    </row>
    <row r="1691" ht="15.75" customHeight="1">
      <c r="D1691" s="1" t="str">
        <f>IFERROR(__xludf.DUMMYFUNCTION("""COMPUTED_VALUE"""),"16247")</f>
        <v>16247</v>
      </c>
      <c r="E1691" s="3">
        <f>IFERROR(__xludf.DUMMYFUNCTION("""COMPUTED_VALUE"""),60000.0)</f>
        <v>60000</v>
      </c>
      <c r="F1691" s="1" t="str">
        <f>IFERROR(__xludf.DUMMYFUNCTION("""COMPUTED_VALUE"""),"4")</f>
        <v>4</v>
      </c>
      <c r="G1691" s="1" t="str">
        <f>IFERROR(__xludf.DUMMYFUNCTION("""COMPUTED_VALUE"""),"0")</f>
        <v>0</v>
      </c>
      <c r="H1691" s="1" t="str">
        <f>IFERROR(__xludf.DUMMYFUNCTION("""COMPUTED_VALUE"""),"47")</f>
        <v>47</v>
      </c>
    </row>
    <row r="1692" ht="15.75" customHeight="1">
      <c r="D1692" s="1" t="str">
        <f>IFERROR(__xludf.DUMMYFUNCTION("""COMPUTED_VALUE"""),"22010")</f>
        <v>22010</v>
      </c>
      <c r="E1692" s="3">
        <f>IFERROR(__xludf.DUMMYFUNCTION("""COMPUTED_VALUE"""),40000.0)</f>
        <v>40000</v>
      </c>
      <c r="F1692" s="1" t="str">
        <f>IFERROR(__xludf.DUMMYFUNCTION("""COMPUTED_VALUE"""),"0")</f>
        <v>0</v>
      </c>
      <c r="G1692" s="1" t="str">
        <f>IFERROR(__xludf.DUMMYFUNCTION("""COMPUTED_VALUE"""),"2")</f>
        <v>2</v>
      </c>
      <c r="H1692" s="1" t="str">
        <f>IFERROR(__xludf.DUMMYFUNCTION("""COMPUTED_VALUE"""),"31")</f>
        <v>31</v>
      </c>
    </row>
    <row r="1693" ht="15.75" customHeight="1">
      <c r="D1693" s="1" t="str">
        <f>IFERROR(__xludf.DUMMYFUNCTION("""COMPUTED_VALUE"""),"25872")</f>
        <v>25872</v>
      </c>
      <c r="E1693" s="3">
        <f>IFERROR(__xludf.DUMMYFUNCTION("""COMPUTED_VALUE"""),70000.0)</f>
        <v>70000</v>
      </c>
      <c r="F1693" s="1" t="str">
        <f>IFERROR(__xludf.DUMMYFUNCTION("""COMPUTED_VALUE"""),"2")</f>
        <v>2</v>
      </c>
      <c r="G1693" s="1" t="str">
        <f>IFERROR(__xludf.DUMMYFUNCTION("""COMPUTED_VALUE"""),"1")</f>
        <v>1</v>
      </c>
      <c r="H1693" s="1" t="str">
        <f>IFERROR(__xludf.DUMMYFUNCTION("""COMPUTED_VALUE"""),"58")</f>
        <v>58</v>
      </c>
    </row>
    <row r="1694" ht="15.75" customHeight="1">
      <c r="D1694" s="1" t="str">
        <f>IFERROR(__xludf.DUMMYFUNCTION("""COMPUTED_VALUE"""),"19164")</f>
        <v>19164</v>
      </c>
      <c r="E1694" s="3">
        <f>IFERROR(__xludf.DUMMYFUNCTION("""COMPUTED_VALUE"""),70000.0)</f>
        <v>70000</v>
      </c>
      <c r="F1694" s="1" t="str">
        <f>IFERROR(__xludf.DUMMYFUNCTION("""COMPUTED_VALUE"""),"0")</f>
        <v>0</v>
      </c>
      <c r="G1694" s="1" t="str">
        <f>IFERROR(__xludf.DUMMYFUNCTION("""COMPUTED_VALUE"""),"1")</f>
        <v>1</v>
      </c>
      <c r="H1694" s="1" t="str">
        <f>IFERROR(__xludf.DUMMYFUNCTION("""COMPUTED_VALUE"""),"38")</f>
        <v>38</v>
      </c>
    </row>
    <row r="1695" ht="15.75" customHeight="1">
      <c r="D1695" s="1" t="str">
        <f>IFERROR(__xludf.DUMMYFUNCTION("""COMPUTED_VALUE"""),"18435")</f>
        <v>18435</v>
      </c>
      <c r="E1695" s="3">
        <f>IFERROR(__xludf.DUMMYFUNCTION("""COMPUTED_VALUE"""),70000.0)</f>
        <v>70000</v>
      </c>
      <c r="F1695" s="1" t="str">
        <f>IFERROR(__xludf.DUMMYFUNCTION("""COMPUTED_VALUE"""),"5")</f>
        <v>5</v>
      </c>
      <c r="G1695" s="1" t="str">
        <f>IFERROR(__xludf.DUMMYFUNCTION("""COMPUTED_VALUE"""),"2")</f>
        <v>2</v>
      </c>
      <c r="H1695" s="1" t="str">
        <f>IFERROR(__xludf.DUMMYFUNCTION("""COMPUTED_VALUE"""),"67")</f>
        <v>67</v>
      </c>
    </row>
    <row r="1696" ht="15.75" customHeight="1">
      <c r="D1696" s="1" t="str">
        <f>IFERROR(__xludf.DUMMYFUNCTION("""COMPUTED_VALUE"""),"14284")</f>
        <v>14284</v>
      </c>
      <c r="E1696" s="3">
        <f>IFERROR(__xludf.DUMMYFUNCTION("""COMPUTED_VALUE"""),60000.0)</f>
        <v>60000</v>
      </c>
      <c r="F1696" s="1" t="str">
        <f>IFERROR(__xludf.DUMMYFUNCTION("""COMPUTED_VALUE"""),"0")</f>
        <v>0</v>
      </c>
      <c r="G1696" s="1" t="str">
        <f>IFERROR(__xludf.DUMMYFUNCTION("""COMPUTED_VALUE"""),"2")</f>
        <v>2</v>
      </c>
      <c r="H1696" s="1" t="str">
        <f>IFERROR(__xludf.DUMMYFUNCTION("""COMPUTED_VALUE"""),"32")</f>
        <v>32</v>
      </c>
    </row>
    <row r="1697" ht="15.75" customHeight="1">
      <c r="D1697" s="1" t="str">
        <f>IFERROR(__xludf.DUMMYFUNCTION("""COMPUTED_VALUE"""),"11287")</f>
        <v>11287</v>
      </c>
      <c r="E1697" s="3">
        <f>IFERROR(__xludf.DUMMYFUNCTION("""COMPUTED_VALUE"""),70000.0)</f>
        <v>70000</v>
      </c>
      <c r="F1697" s="1" t="str">
        <f>IFERROR(__xludf.DUMMYFUNCTION("""COMPUTED_VALUE"""),"5")</f>
        <v>5</v>
      </c>
      <c r="G1697" s="1" t="str">
        <f>IFERROR(__xludf.DUMMYFUNCTION("""COMPUTED_VALUE"""),"3")</f>
        <v>3</v>
      </c>
      <c r="H1697" s="1" t="str">
        <f>IFERROR(__xludf.DUMMYFUNCTION("""COMPUTED_VALUE"""),"45")</f>
        <v>45</v>
      </c>
    </row>
    <row r="1698" ht="15.75" customHeight="1">
      <c r="D1698" s="1" t="str">
        <f>IFERROR(__xludf.DUMMYFUNCTION("""COMPUTED_VALUE"""),"13066")</f>
        <v>13066</v>
      </c>
      <c r="E1698" s="3">
        <f>IFERROR(__xludf.DUMMYFUNCTION("""COMPUTED_VALUE"""),30000.0)</f>
        <v>30000</v>
      </c>
      <c r="F1698" s="1" t="str">
        <f>IFERROR(__xludf.DUMMYFUNCTION("""COMPUTED_VALUE"""),"0")</f>
        <v>0</v>
      </c>
      <c r="G1698" s="1" t="str">
        <f>IFERROR(__xludf.DUMMYFUNCTION("""COMPUTED_VALUE"""),"2")</f>
        <v>2</v>
      </c>
      <c r="H1698" s="1" t="str">
        <f>IFERROR(__xludf.DUMMYFUNCTION("""COMPUTED_VALUE"""),"31")</f>
        <v>31</v>
      </c>
    </row>
    <row r="1699" ht="15.75" customHeight="1">
      <c r="D1699" s="1" t="str">
        <f>IFERROR(__xludf.DUMMYFUNCTION("""COMPUTED_VALUE"""),"29106")</f>
        <v>29106</v>
      </c>
      <c r="E1699" s="3">
        <f>IFERROR(__xludf.DUMMYFUNCTION("""COMPUTED_VALUE"""),40000.0)</f>
        <v>40000</v>
      </c>
      <c r="F1699" s="1" t="str">
        <f>IFERROR(__xludf.DUMMYFUNCTION("""COMPUTED_VALUE"""),"0")</f>
        <v>0</v>
      </c>
      <c r="G1699" s="1" t="str">
        <f>IFERROR(__xludf.DUMMYFUNCTION("""COMPUTED_VALUE"""),"2")</f>
        <v>2</v>
      </c>
      <c r="H1699" s="1" t="str">
        <f>IFERROR(__xludf.DUMMYFUNCTION("""COMPUTED_VALUE"""),"31")</f>
        <v>31</v>
      </c>
    </row>
    <row r="1700" ht="15.75" customHeight="1">
      <c r="D1700" s="1" t="str">
        <f>IFERROR(__xludf.DUMMYFUNCTION("""COMPUTED_VALUE"""),"26236")</f>
        <v>26236</v>
      </c>
      <c r="E1700" s="3">
        <f>IFERROR(__xludf.DUMMYFUNCTION("""COMPUTED_VALUE"""),40000.0)</f>
        <v>40000</v>
      </c>
      <c r="F1700" s="1" t="str">
        <f>IFERROR(__xludf.DUMMYFUNCTION("""COMPUTED_VALUE"""),"3")</f>
        <v>3</v>
      </c>
      <c r="G1700" s="1" t="str">
        <f>IFERROR(__xludf.DUMMYFUNCTION("""COMPUTED_VALUE"""),"1")</f>
        <v>1</v>
      </c>
      <c r="H1700" s="1" t="str">
        <f>IFERROR(__xludf.DUMMYFUNCTION("""COMPUTED_VALUE"""),"31")</f>
        <v>31</v>
      </c>
    </row>
    <row r="1701" ht="15.75" customHeight="1">
      <c r="D1701" s="1" t="str">
        <f>IFERROR(__xludf.DUMMYFUNCTION("""COMPUTED_VALUE"""),"17531")</f>
        <v>17531</v>
      </c>
      <c r="E1701" s="3">
        <f>IFERROR(__xludf.DUMMYFUNCTION("""COMPUTED_VALUE"""),60000.0)</f>
        <v>60000</v>
      </c>
      <c r="F1701" s="1" t="str">
        <f>IFERROR(__xludf.DUMMYFUNCTION("""COMPUTED_VALUE"""),"2")</f>
        <v>2</v>
      </c>
      <c r="G1701" s="1" t="str">
        <f>IFERROR(__xludf.DUMMYFUNCTION("""COMPUTED_VALUE"""),"2")</f>
        <v>2</v>
      </c>
      <c r="H1701" s="1" t="str">
        <f>IFERROR(__xludf.DUMMYFUNCTION("""COMPUTED_VALUE"""),"50")</f>
        <v>50</v>
      </c>
    </row>
    <row r="1702" ht="15.75" customHeight="1">
      <c r="D1702" s="1" t="str">
        <f>IFERROR(__xludf.DUMMYFUNCTION("""COMPUTED_VALUE"""),"12964")</f>
        <v>12964</v>
      </c>
      <c r="E1702" s="3">
        <f>IFERROR(__xludf.DUMMYFUNCTION("""COMPUTED_VALUE"""),70000.0)</f>
        <v>70000</v>
      </c>
      <c r="F1702" s="1" t="str">
        <f>IFERROR(__xludf.DUMMYFUNCTION("""COMPUTED_VALUE"""),"1")</f>
        <v>1</v>
      </c>
      <c r="G1702" s="1" t="str">
        <f>IFERROR(__xludf.DUMMYFUNCTION("""COMPUTED_VALUE"""),"1")</f>
        <v>1</v>
      </c>
      <c r="H1702" s="1" t="str">
        <f>IFERROR(__xludf.DUMMYFUNCTION("""COMPUTED_VALUE"""),"44")</f>
        <v>44</v>
      </c>
    </row>
    <row r="1703" ht="15.75" customHeight="1">
      <c r="D1703" s="1" t="str">
        <f>IFERROR(__xludf.DUMMYFUNCTION("""COMPUTED_VALUE"""),"19133")</f>
        <v>19133</v>
      </c>
      <c r="E1703" s="3">
        <f>IFERROR(__xludf.DUMMYFUNCTION("""COMPUTED_VALUE"""),50000.0)</f>
        <v>50000</v>
      </c>
      <c r="F1703" s="1" t="str">
        <f>IFERROR(__xludf.DUMMYFUNCTION("""COMPUTED_VALUE"""),"2")</f>
        <v>2</v>
      </c>
      <c r="G1703" s="1" t="str">
        <f>IFERROR(__xludf.DUMMYFUNCTION("""COMPUTED_VALUE"""),"1")</f>
        <v>1</v>
      </c>
      <c r="H1703" s="1" t="str">
        <f>IFERROR(__xludf.DUMMYFUNCTION("""COMPUTED_VALUE"""),"38")</f>
        <v>38</v>
      </c>
    </row>
    <row r="1704" ht="15.75" customHeight="1">
      <c r="D1704" s="1" t="str">
        <f>IFERROR(__xludf.DUMMYFUNCTION("""COMPUTED_VALUE"""),"24643")</f>
        <v>24643</v>
      </c>
      <c r="E1704" s="3">
        <f>IFERROR(__xludf.DUMMYFUNCTION("""COMPUTED_VALUE"""),60000.0)</f>
        <v>60000</v>
      </c>
      <c r="F1704" s="1" t="str">
        <f>IFERROR(__xludf.DUMMYFUNCTION("""COMPUTED_VALUE"""),"4")</f>
        <v>4</v>
      </c>
      <c r="G1704" s="1" t="str">
        <f>IFERROR(__xludf.DUMMYFUNCTION("""COMPUTED_VALUE"""),"2")</f>
        <v>2</v>
      </c>
      <c r="H1704" s="1" t="str">
        <f>IFERROR(__xludf.DUMMYFUNCTION("""COMPUTED_VALUE"""),"63")</f>
        <v>63</v>
      </c>
    </row>
    <row r="1705" ht="15.75" customHeight="1">
      <c r="D1705" s="1" t="str">
        <f>IFERROR(__xludf.DUMMYFUNCTION("""COMPUTED_VALUE"""),"21599")</f>
        <v>21599</v>
      </c>
      <c r="E1705" s="3">
        <f>IFERROR(__xludf.DUMMYFUNCTION("""COMPUTED_VALUE"""),60000.0)</f>
        <v>60000</v>
      </c>
      <c r="F1705" s="1" t="str">
        <f>IFERROR(__xludf.DUMMYFUNCTION("""COMPUTED_VALUE"""),"1")</f>
        <v>1</v>
      </c>
      <c r="G1705" s="1" t="str">
        <f>IFERROR(__xludf.DUMMYFUNCTION("""COMPUTED_VALUE"""),"0")</f>
        <v>0</v>
      </c>
      <c r="H1705" s="1" t="str">
        <f>IFERROR(__xludf.DUMMYFUNCTION("""COMPUTED_VALUE"""),"36")</f>
        <v>36</v>
      </c>
    </row>
    <row r="1706" ht="15.75" customHeight="1">
      <c r="D1706" s="1" t="str">
        <f>IFERROR(__xludf.DUMMYFUNCTION("""COMPUTED_VALUE"""),"22976")</f>
        <v>22976</v>
      </c>
      <c r="E1706" s="3">
        <f>IFERROR(__xludf.DUMMYFUNCTION("""COMPUTED_VALUE"""),40000.0)</f>
        <v>40000</v>
      </c>
      <c r="F1706" s="1" t="str">
        <f>IFERROR(__xludf.DUMMYFUNCTION("""COMPUTED_VALUE"""),"0")</f>
        <v>0</v>
      </c>
      <c r="G1706" s="1" t="str">
        <f>IFERROR(__xludf.DUMMYFUNCTION("""COMPUTED_VALUE"""),"2")</f>
        <v>2</v>
      </c>
      <c r="H1706" s="1" t="str">
        <f>IFERROR(__xludf.DUMMYFUNCTION("""COMPUTED_VALUE"""),"28")</f>
        <v>28</v>
      </c>
    </row>
    <row r="1707" ht="15.75" customHeight="1">
      <c r="D1707" s="1" t="str">
        <f>IFERROR(__xludf.DUMMYFUNCTION("""COMPUTED_VALUE"""),"27637")</f>
        <v>27637</v>
      </c>
      <c r="E1707" s="3">
        <f>IFERROR(__xludf.DUMMYFUNCTION("""COMPUTED_VALUE"""),100000.0)</f>
        <v>100000</v>
      </c>
      <c r="F1707" s="1" t="str">
        <f>IFERROR(__xludf.DUMMYFUNCTION("""COMPUTED_VALUE"""),"1")</f>
        <v>1</v>
      </c>
      <c r="G1707" s="1" t="str">
        <f>IFERROR(__xludf.DUMMYFUNCTION("""COMPUTED_VALUE"""),"3")</f>
        <v>3</v>
      </c>
      <c r="H1707" s="1" t="str">
        <f>IFERROR(__xludf.DUMMYFUNCTION("""COMPUTED_VALUE"""),"44")</f>
        <v>44</v>
      </c>
    </row>
    <row r="1708" ht="15.75" customHeight="1">
      <c r="D1708" s="1" t="str">
        <f>IFERROR(__xludf.DUMMYFUNCTION("""COMPUTED_VALUE"""),"11890")</f>
        <v>11890</v>
      </c>
      <c r="E1708" s="3">
        <f>IFERROR(__xludf.DUMMYFUNCTION("""COMPUTED_VALUE"""),70000.0)</f>
        <v>70000</v>
      </c>
      <c r="F1708" s="1" t="str">
        <f>IFERROR(__xludf.DUMMYFUNCTION("""COMPUTED_VALUE"""),"5")</f>
        <v>5</v>
      </c>
      <c r="G1708" s="1" t="str">
        <f>IFERROR(__xludf.DUMMYFUNCTION("""COMPUTED_VALUE"""),"1")</f>
        <v>1</v>
      </c>
      <c r="H1708" s="1" t="str">
        <f>IFERROR(__xludf.DUMMYFUNCTION("""COMPUTED_VALUE"""),"47")</f>
        <v>47</v>
      </c>
    </row>
    <row r="1709" ht="15.75" customHeight="1">
      <c r="D1709" s="1" t="str">
        <f>IFERROR(__xludf.DUMMYFUNCTION("""COMPUTED_VALUE"""),"28580")</f>
        <v>28580</v>
      </c>
      <c r="E1709" s="3">
        <f>IFERROR(__xludf.DUMMYFUNCTION("""COMPUTED_VALUE"""),80000.0)</f>
        <v>80000</v>
      </c>
      <c r="F1709" s="1" t="str">
        <f>IFERROR(__xludf.DUMMYFUNCTION("""COMPUTED_VALUE"""),"0")</f>
        <v>0</v>
      </c>
      <c r="G1709" s="1" t="str">
        <f>IFERROR(__xludf.DUMMYFUNCTION("""COMPUTED_VALUE"""),"0")</f>
        <v>0</v>
      </c>
      <c r="H1709" s="1" t="str">
        <f>IFERROR(__xludf.DUMMYFUNCTION("""COMPUTED_VALUE"""),"40")</f>
        <v>40</v>
      </c>
    </row>
    <row r="1710" ht="15.75" customHeight="1">
      <c r="D1710" s="1" t="str">
        <f>IFERROR(__xludf.DUMMYFUNCTION("""COMPUTED_VALUE"""),"14443")</f>
        <v>14443</v>
      </c>
      <c r="E1710" s="3">
        <f>IFERROR(__xludf.DUMMYFUNCTION("""COMPUTED_VALUE"""),130000.0)</f>
        <v>130000</v>
      </c>
      <c r="F1710" s="1" t="str">
        <f>IFERROR(__xludf.DUMMYFUNCTION("""COMPUTED_VALUE"""),"1")</f>
        <v>1</v>
      </c>
      <c r="G1710" s="1" t="str">
        <f>IFERROR(__xludf.DUMMYFUNCTION("""COMPUTED_VALUE"""),"4")</f>
        <v>4</v>
      </c>
      <c r="H1710" s="1" t="str">
        <f>IFERROR(__xludf.DUMMYFUNCTION("""COMPUTED_VALUE"""),"40")</f>
        <v>40</v>
      </c>
    </row>
    <row r="1711" ht="15.75" customHeight="1">
      <c r="D1711" s="1" t="str">
        <f>IFERROR(__xludf.DUMMYFUNCTION("""COMPUTED_VALUE"""),"17864")</f>
        <v>17864</v>
      </c>
      <c r="E1711" s="3">
        <f>IFERROR(__xludf.DUMMYFUNCTION("""COMPUTED_VALUE"""),60000.0)</f>
        <v>60000</v>
      </c>
      <c r="F1711" s="1" t="str">
        <f>IFERROR(__xludf.DUMMYFUNCTION("""COMPUTED_VALUE"""),"1")</f>
        <v>1</v>
      </c>
      <c r="G1711" s="1" t="str">
        <f>IFERROR(__xludf.DUMMYFUNCTION("""COMPUTED_VALUE"""),"1")</f>
        <v>1</v>
      </c>
      <c r="H1711" s="1" t="str">
        <f>IFERROR(__xludf.DUMMYFUNCTION("""COMPUTED_VALUE"""),"46")</f>
        <v>46</v>
      </c>
    </row>
    <row r="1712" ht="15.75" customHeight="1">
      <c r="D1712" s="1" t="str">
        <f>IFERROR(__xludf.DUMMYFUNCTION("""COMPUTED_VALUE"""),"20505")</f>
        <v>20505</v>
      </c>
      <c r="E1712" s="3">
        <f>IFERROR(__xludf.DUMMYFUNCTION("""COMPUTED_VALUE"""),40000.0)</f>
        <v>40000</v>
      </c>
      <c r="F1712" s="1" t="str">
        <f>IFERROR(__xludf.DUMMYFUNCTION("""COMPUTED_VALUE"""),"5")</f>
        <v>5</v>
      </c>
      <c r="G1712" s="1" t="str">
        <f>IFERROR(__xludf.DUMMYFUNCTION("""COMPUTED_VALUE"""),"2")</f>
        <v>2</v>
      </c>
      <c r="H1712" s="1" t="str">
        <f>IFERROR(__xludf.DUMMYFUNCTION("""COMPUTED_VALUE"""),"61")</f>
        <v>61</v>
      </c>
    </row>
    <row r="1713" ht="15.75" customHeight="1">
      <c r="D1713" s="1" t="str">
        <f>IFERROR(__xludf.DUMMYFUNCTION("""COMPUTED_VALUE"""),"14592")</f>
        <v>14592</v>
      </c>
      <c r="E1713" s="3">
        <f>IFERROR(__xludf.DUMMYFUNCTION("""COMPUTED_VALUE"""),60000.0)</f>
        <v>60000</v>
      </c>
      <c r="F1713" s="1" t="str">
        <f>IFERROR(__xludf.DUMMYFUNCTION("""COMPUTED_VALUE"""),"0")</f>
        <v>0</v>
      </c>
      <c r="G1713" s="1" t="str">
        <f>IFERROR(__xludf.DUMMYFUNCTION("""COMPUTED_VALUE"""),"0")</f>
        <v>0</v>
      </c>
      <c r="H1713" s="1" t="str">
        <f>IFERROR(__xludf.DUMMYFUNCTION("""COMPUTED_VALUE"""),"40")</f>
        <v>40</v>
      </c>
    </row>
    <row r="1714" ht="15.75" customHeight="1">
      <c r="D1714" s="1" t="str">
        <f>IFERROR(__xludf.DUMMYFUNCTION("""COMPUTED_VALUE"""),"22227")</f>
        <v>22227</v>
      </c>
      <c r="E1714" s="3">
        <f>IFERROR(__xludf.DUMMYFUNCTION("""COMPUTED_VALUE"""),60000.0)</f>
        <v>60000</v>
      </c>
      <c r="F1714" s="1" t="str">
        <f>IFERROR(__xludf.DUMMYFUNCTION("""COMPUTED_VALUE"""),"2")</f>
        <v>2</v>
      </c>
      <c r="G1714" s="1" t="str">
        <f>IFERROR(__xludf.DUMMYFUNCTION("""COMPUTED_VALUE"""),"2")</f>
        <v>2</v>
      </c>
      <c r="H1714" s="1" t="str">
        <f>IFERROR(__xludf.DUMMYFUNCTION("""COMPUTED_VALUE"""),"50")</f>
        <v>50</v>
      </c>
    </row>
    <row r="1715" ht="15.75" customHeight="1">
      <c r="D1715" s="1" t="str">
        <f>IFERROR(__xludf.DUMMYFUNCTION("""COMPUTED_VALUE"""),"21471")</f>
        <v>21471</v>
      </c>
      <c r="E1715" s="3">
        <f>IFERROR(__xludf.DUMMYFUNCTION("""COMPUTED_VALUE"""),70000.0)</f>
        <v>70000</v>
      </c>
      <c r="F1715" s="1" t="str">
        <f>IFERROR(__xludf.DUMMYFUNCTION("""COMPUTED_VALUE"""),"2")</f>
        <v>2</v>
      </c>
      <c r="G1715" s="1" t="str">
        <f>IFERROR(__xludf.DUMMYFUNCTION("""COMPUTED_VALUE"""),"1")</f>
        <v>1</v>
      </c>
      <c r="H1715" s="1" t="str">
        <f>IFERROR(__xludf.DUMMYFUNCTION("""COMPUTED_VALUE"""),"59")</f>
        <v>59</v>
      </c>
    </row>
    <row r="1716" ht="15.75" customHeight="1">
      <c r="D1716" s="1" t="str">
        <f>IFERROR(__xludf.DUMMYFUNCTION("""COMPUTED_VALUE"""),"22252")</f>
        <v>22252</v>
      </c>
      <c r="E1716" s="3">
        <f>IFERROR(__xludf.DUMMYFUNCTION("""COMPUTED_VALUE"""),60000.0)</f>
        <v>60000</v>
      </c>
      <c r="F1716" s="1" t="str">
        <f>IFERROR(__xludf.DUMMYFUNCTION("""COMPUTED_VALUE"""),"1")</f>
        <v>1</v>
      </c>
      <c r="G1716" s="1" t="str">
        <f>IFERROR(__xludf.DUMMYFUNCTION("""COMPUTED_VALUE"""),"0")</f>
        <v>0</v>
      </c>
      <c r="H1716" s="1" t="str">
        <f>IFERROR(__xludf.DUMMYFUNCTION("""COMPUTED_VALUE"""),"36")</f>
        <v>36</v>
      </c>
    </row>
    <row r="1717" ht="15.75" customHeight="1">
      <c r="D1717" s="1" t="str">
        <f>IFERROR(__xludf.DUMMYFUNCTION("""COMPUTED_VALUE"""),"21260")</f>
        <v>21260</v>
      </c>
      <c r="E1717" s="3">
        <f>IFERROR(__xludf.DUMMYFUNCTION("""COMPUTED_VALUE"""),40000.0)</f>
        <v>40000</v>
      </c>
      <c r="F1717" s="1" t="str">
        <f>IFERROR(__xludf.DUMMYFUNCTION("""COMPUTED_VALUE"""),"0")</f>
        <v>0</v>
      </c>
      <c r="G1717" s="1" t="str">
        <f>IFERROR(__xludf.DUMMYFUNCTION("""COMPUTED_VALUE"""),"2")</f>
        <v>2</v>
      </c>
      <c r="H1717" s="1" t="str">
        <f>IFERROR(__xludf.DUMMYFUNCTION("""COMPUTED_VALUE"""),"30")</f>
        <v>30</v>
      </c>
    </row>
    <row r="1718" ht="15.75" customHeight="1">
      <c r="D1718" s="1" t="str">
        <f>IFERROR(__xludf.DUMMYFUNCTION("""COMPUTED_VALUE"""),"11817")</f>
        <v>11817</v>
      </c>
      <c r="E1718" s="3">
        <f>IFERROR(__xludf.DUMMYFUNCTION("""COMPUTED_VALUE"""),70000.0)</f>
        <v>70000</v>
      </c>
      <c r="F1718" s="1" t="str">
        <f>IFERROR(__xludf.DUMMYFUNCTION("""COMPUTED_VALUE"""),"4")</f>
        <v>4</v>
      </c>
      <c r="G1718" s="1" t="str">
        <f>IFERROR(__xludf.DUMMYFUNCTION("""COMPUTED_VALUE"""),"0")</f>
        <v>0</v>
      </c>
      <c r="H1718" s="1" t="str">
        <f>IFERROR(__xludf.DUMMYFUNCTION("""COMPUTED_VALUE"""),"35")</f>
        <v>35</v>
      </c>
    </row>
    <row r="1719" ht="15.75" customHeight="1">
      <c r="D1719" s="1" t="str">
        <f>IFERROR(__xludf.DUMMYFUNCTION("""COMPUTED_VALUE"""),"19223")</f>
        <v>19223</v>
      </c>
      <c r="E1719" s="3">
        <f>IFERROR(__xludf.DUMMYFUNCTION("""COMPUTED_VALUE"""),30000.0)</f>
        <v>30000</v>
      </c>
      <c r="F1719" s="1" t="str">
        <f>IFERROR(__xludf.DUMMYFUNCTION("""COMPUTED_VALUE"""),"2")</f>
        <v>2</v>
      </c>
      <c r="G1719" s="1" t="str">
        <f>IFERROR(__xludf.DUMMYFUNCTION("""COMPUTED_VALUE"""),"2")</f>
        <v>2</v>
      </c>
      <c r="H1719" s="1" t="str">
        <f>IFERROR(__xludf.DUMMYFUNCTION("""COMPUTED_VALUE"""),"48")</f>
        <v>48</v>
      </c>
    </row>
    <row r="1720" ht="15.75" customHeight="1">
      <c r="D1720" s="1" t="str">
        <f>IFERROR(__xludf.DUMMYFUNCTION("""COMPUTED_VALUE"""),"18517")</f>
        <v>18517</v>
      </c>
      <c r="E1720" s="3">
        <f>IFERROR(__xludf.DUMMYFUNCTION("""COMPUTED_VALUE"""),100000.0)</f>
        <v>100000</v>
      </c>
      <c r="F1720" s="1" t="str">
        <f>IFERROR(__xludf.DUMMYFUNCTION("""COMPUTED_VALUE"""),"3")</f>
        <v>3</v>
      </c>
      <c r="G1720" s="1" t="str">
        <f>IFERROR(__xludf.DUMMYFUNCTION("""COMPUTED_VALUE"""),"4")</f>
        <v>4</v>
      </c>
      <c r="H1720" s="1" t="str">
        <f>IFERROR(__xludf.DUMMYFUNCTION("""COMPUTED_VALUE"""),"41")</f>
        <v>41</v>
      </c>
    </row>
    <row r="1721" ht="15.75" customHeight="1">
      <c r="D1721" s="1" t="str">
        <f>IFERROR(__xludf.DUMMYFUNCTION("""COMPUTED_VALUE"""),"21717")</f>
        <v>21717</v>
      </c>
      <c r="E1721" s="3">
        <f>IFERROR(__xludf.DUMMYFUNCTION("""COMPUTED_VALUE"""),40000.0)</f>
        <v>40000</v>
      </c>
      <c r="F1721" s="1" t="str">
        <f>IFERROR(__xludf.DUMMYFUNCTION("""COMPUTED_VALUE"""),"2")</f>
        <v>2</v>
      </c>
      <c r="G1721" s="1" t="str">
        <f>IFERROR(__xludf.DUMMYFUNCTION("""COMPUTED_VALUE"""),"1")</f>
        <v>1</v>
      </c>
      <c r="H1721" s="1" t="str">
        <f>IFERROR(__xludf.DUMMYFUNCTION("""COMPUTED_VALUE"""),"47")</f>
        <v>47</v>
      </c>
    </row>
    <row r="1722" ht="15.75" customHeight="1">
      <c r="D1722" s="1" t="str">
        <f>IFERROR(__xludf.DUMMYFUNCTION("""COMPUTED_VALUE"""),"13760")</f>
        <v>13760</v>
      </c>
      <c r="E1722" s="3">
        <f>IFERROR(__xludf.DUMMYFUNCTION("""COMPUTED_VALUE"""),60000.0)</f>
        <v>60000</v>
      </c>
      <c r="F1722" s="1" t="str">
        <f>IFERROR(__xludf.DUMMYFUNCTION("""COMPUTED_VALUE"""),"4")</f>
        <v>4</v>
      </c>
      <c r="G1722" s="1" t="str">
        <f>IFERROR(__xludf.DUMMYFUNCTION("""COMPUTED_VALUE"""),"0")</f>
        <v>0</v>
      </c>
      <c r="H1722" s="1" t="str">
        <f>IFERROR(__xludf.DUMMYFUNCTION("""COMPUTED_VALUE"""),"47")</f>
        <v>47</v>
      </c>
    </row>
    <row r="1723" ht="15.75" customHeight="1">
      <c r="D1723" s="1" t="str">
        <f>IFERROR(__xludf.DUMMYFUNCTION("""COMPUTED_VALUE"""),"18145")</f>
        <v>18145</v>
      </c>
      <c r="E1723" s="3">
        <f>IFERROR(__xludf.DUMMYFUNCTION("""COMPUTED_VALUE"""),80000.0)</f>
        <v>80000</v>
      </c>
      <c r="F1723" s="1" t="str">
        <f>IFERROR(__xludf.DUMMYFUNCTION("""COMPUTED_VALUE"""),"5")</f>
        <v>5</v>
      </c>
      <c r="G1723" s="1" t="str">
        <f>IFERROR(__xludf.DUMMYFUNCTION("""COMPUTED_VALUE"""),"2")</f>
        <v>2</v>
      </c>
      <c r="H1723" s="1" t="str">
        <f>IFERROR(__xludf.DUMMYFUNCTION("""COMPUTED_VALUE"""),"62")</f>
        <v>62</v>
      </c>
    </row>
    <row r="1724" ht="15.75" customHeight="1">
      <c r="D1724" s="1" t="str">
        <f>IFERROR(__xludf.DUMMYFUNCTION("""COMPUTED_VALUE"""),"21770")</f>
        <v>21770</v>
      </c>
      <c r="E1724" s="3">
        <f>IFERROR(__xludf.DUMMYFUNCTION("""COMPUTED_VALUE"""),60000.0)</f>
        <v>60000</v>
      </c>
      <c r="F1724" s="1" t="str">
        <f>IFERROR(__xludf.DUMMYFUNCTION("""COMPUTED_VALUE"""),"4")</f>
        <v>4</v>
      </c>
      <c r="G1724" s="1" t="str">
        <f>IFERROR(__xludf.DUMMYFUNCTION("""COMPUTED_VALUE"""),"2")</f>
        <v>2</v>
      </c>
      <c r="H1724" s="1" t="str">
        <f>IFERROR(__xludf.DUMMYFUNCTION("""COMPUTED_VALUE"""),"60")</f>
        <v>60</v>
      </c>
    </row>
    <row r="1725" ht="15.75" customHeight="1">
      <c r="D1725" s="1" t="str">
        <f>IFERROR(__xludf.DUMMYFUNCTION("""COMPUTED_VALUE"""),"11165")</f>
        <v>11165</v>
      </c>
      <c r="E1725" s="3">
        <f>IFERROR(__xludf.DUMMYFUNCTION("""COMPUTED_VALUE"""),60000.0)</f>
        <v>60000</v>
      </c>
      <c r="F1725" s="1" t="str">
        <f>IFERROR(__xludf.DUMMYFUNCTION("""COMPUTED_VALUE"""),"0")</f>
        <v>0</v>
      </c>
      <c r="G1725" s="1" t="str">
        <f>IFERROR(__xludf.DUMMYFUNCTION("""COMPUTED_VALUE"""),"1")</f>
        <v>1</v>
      </c>
      <c r="H1725" s="1" t="str">
        <f>IFERROR(__xludf.DUMMYFUNCTION("""COMPUTED_VALUE"""),"33")</f>
        <v>33</v>
      </c>
    </row>
    <row r="1726" ht="15.75" customHeight="1">
      <c r="D1726" s="1" t="str">
        <f>IFERROR(__xludf.DUMMYFUNCTION("""COMPUTED_VALUE"""),"16377")</f>
        <v>16377</v>
      </c>
      <c r="E1726" s="3">
        <f>IFERROR(__xludf.DUMMYFUNCTION("""COMPUTED_VALUE"""),80000.0)</f>
        <v>80000</v>
      </c>
      <c r="F1726" s="1" t="str">
        <f>IFERROR(__xludf.DUMMYFUNCTION("""COMPUTED_VALUE"""),"4")</f>
        <v>4</v>
      </c>
      <c r="G1726" s="1" t="str">
        <f>IFERROR(__xludf.DUMMYFUNCTION("""COMPUTED_VALUE"""),"0")</f>
        <v>0</v>
      </c>
      <c r="H1726" s="1" t="str">
        <f>IFERROR(__xludf.DUMMYFUNCTION("""COMPUTED_VALUE"""),"47")</f>
        <v>47</v>
      </c>
    </row>
    <row r="1727" ht="15.75" customHeight="1">
      <c r="D1727" s="1" t="str">
        <f>IFERROR(__xludf.DUMMYFUNCTION("""COMPUTED_VALUE"""),"26248")</f>
        <v>26248</v>
      </c>
      <c r="E1727" s="3">
        <f>IFERROR(__xludf.DUMMYFUNCTION("""COMPUTED_VALUE"""),20000.0)</f>
        <v>20000</v>
      </c>
      <c r="F1727" s="1" t="str">
        <f>IFERROR(__xludf.DUMMYFUNCTION("""COMPUTED_VALUE"""),"3")</f>
        <v>3</v>
      </c>
      <c r="G1727" s="1" t="str">
        <f>IFERROR(__xludf.DUMMYFUNCTION("""COMPUTED_VALUE"""),"2")</f>
        <v>2</v>
      </c>
      <c r="H1727" s="1" t="str">
        <f>IFERROR(__xludf.DUMMYFUNCTION("""COMPUTED_VALUE"""),"52")</f>
        <v>52</v>
      </c>
    </row>
    <row r="1728" ht="15.75" customHeight="1">
      <c r="D1728" s="1" t="str">
        <f>IFERROR(__xludf.DUMMYFUNCTION("""COMPUTED_VALUE"""),"23461")</f>
        <v>23461</v>
      </c>
      <c r="E1728" s="3">
        <f>IFERROR(__xludf.DUMMYFUNCTION("""COMPUTED_VALUE"""),90000.0)</f>
        <v>90000</v>
      </c>
      <c r="F1728" s="1" t="str">
        <f>IFERROR(__xludf.DUMMYFUNCTION("""COMPUTED_VALUE"""),"5")</f>
        <v>5</v>
      </c>
      <c r="G1728" s="1" t="str">
        <f>IFERROR(__xludf.DUMMYFUNCTION("""COMPUTED_VALUE"""),"3")</f>
        <v>3</v>
      </c>
      <c r="H1728" s="1" t="str">
        <f>IFERROR(__xludf.DUMMYFUNCTION("""COMPUTED_VALUE"""),"40")</f>
        <v>40</v>
      </c>
    </row>
    <row r="1729" ht="15.75" customHeight="1">
      <c r="D1729" s="1" t="str">
        <f>IFERROR(__xludf.DUMMYFUNCTION("""COMPUTED_VALUE"""),"29133")</f>
        <v>29133</v>
      </c>
      <c r="E1729" s="3">
        <f>IFERROR(__xludf.DUMMYFUNCTION("""COMPUTED_VALUE"""),60000.0)</f>
        <v>60000</v>
      </c>
      <c r="F1729" s="1" t="str">
        <f>IFERROR(__xludf.DUMMYFUNCTION("""COMPUTED_VALUE"""),"4")</f>
        <v>4</v>
      </c>
      <c r="G1729" s="1" t="str">
        <f>IFERROR(__xludf.DUMMYFUNCTION("""COMPUTED_VALUE"""),"2")</f>
        <v>2</v>
      </c>
      <c r="H1729" s="1" t="str">
        <f>IFERROR(__xludf.DUMMYFUNCTION("""COMPUTED_VALUE"""),"42")</f>
        <v>42</v>
      </c>
    </row>
    <row r="1730" ht="15.75" customHeight="1">
      <c r="D1730" s="1" t="str">
        <f>IFERROR(__xludf.DUMMYFUNCTION("""COMPUTED_VALUE"""),"27673")</f>
        <v>27673</v>
      </c>
      <c r="E1730" s="3">
        <f>IFERROR(__xludf.DUMMYFUNCTION("""COMPUTED_VALUE"""),60000.0)</f>
        <v>60000</v>
      </c>
      <c r="F1730" s="1" t="str">
        <f>IFERROR(__xludf.DUMMYFUNCTION("""COMPUTED_VALUE"""),"3")</f>
        <v>3</v>
      </c>
      <c r="G1730" s="1" t="str">
        <f>IFERROR(__xludf.DUMMYFUNCTION("""COMPUTED_VALUE"""),"2")</f>
        <v>2</v>
      </c>
      <c r="H1730" s="1" t="str">
        <f>IFERROR(__xludf.DUMMYFUNCTION("""COMPUTED_VALUE"""),"53")</f>
        <v>53</v>
      </c>
    </row>
    <row r="1731" ht="15.75" customHeight="1">
      <c r="D1731" s="1" t="str">
        <f>IFERROR(__xludf.DUMMYFUNCTION("""COMPUTED_VALUE"""),"12774")</f>
        <v>12774</v>
      </c>
      <c r="E1731" s="3">
        <f>IFERROR(__xludf.DUMMYFUNCTION("""COMPUTED_VALUE"""),40000.0)</f>
        <v>40000</v>
      </c>
      <c r="F1731" s="1" t="str">
        <f>IFERROR(__xludf.DUMMYFUNCTION("""COMPUTED_VALUE"""),"1")</f>
        <v>1</v>
      </c>
      <c r="G1731" s="1" t="str">
        <f>IFERROR(__xludf.DUMMYFUNCTION("""COMPUTED_VALUE"""),"1")</f>
        <v>1</v>
      </c>
      <c r="H1731" s="1" t="str">
        <f>IFERROR(__xludf.DUMMYFUNCTION("""COMPUTED_VALUE"""),"51")</f>
        <v>51</v>
      </c>
    </row>
    <row r="1732" ht="15.75" customHeight="1">
      <c r="D1732" s="1" t="str">
        <f>IFERROR(__xludf.DUMMYFUNCTION("""COMPUTED_VALUE"""),"18910")</f>
        <v>18910</v>
      </c>
      <c r="E1732" s="3">
        <f>IFERROR(__xludf.DUMMYFUNCTION("""COMPUTED_VALUE"""),30000.0)</f>
        <v>30000</v>
      </c>
      <c r="F1732" s="1" t="str">
        <f>IFERROR(__xludf.DUMMYFUNCTION("""COMPUTED_VALUE"""),"0")</f>
        <v>0</v>
      </c>
      <c r="G1732" s="1" t="str">
        <f>IFERROR(__xludf.DUMMYFUNCTION("""COMPUTED_VALUE"""),"2")</f>
        <v>2</v>
      </c>
      <c r="H1732" s="1" t="str">
        <f>IFERROR(__xludf.DUMMYFUNCTION("""COMPUTED_VALUE"""),"30")</f>
        <v>30</v>
      </c>
    </row>
    <row r="1733" ht="15.75" customHeight="1">
      <c r="D1733" s="1" t="str">
        <f>IFERROR(__xludf.DUMMYFUNCTION("""COMPUTED_VALUE"""),"16725")</f>
        <v>16725</v>
      </c>
      <c r="E1733" s="3">
        <f>IFERROR(__xludf.DUMMYFUNCTION("""COMPUTED_VALUE"""),30000.0)</f>
        <v>30000</v>
      </c>
      <c r="F1733" s="1" t="str">
        <f>IFERROR(__xludf.DUMMYFUNCTION("""COMPUTED_VALUE"""),"0")</f>
        <v>0</v>
      </c>
      <c r="G1733" s="1" t="str">
        <f>IFERROR(__xludf.DUMMYFUNCTION("""COMPUTED_VALUE"""),"2")</f>
        <v>2</v>
      </c>
      <c r="H1733" s="1" t="str">
        <f>IFERROR(__xludf.DUMMYFUNCTION("""COMPUTED_VALUE"""),"26")</f>
        <v>26</v>
      </c>
    </row>
    <row r="1734" ht="15.75" customHeight="1">
      <c r="D1734" s="1" t="str">
        <f>IFERROR(__xludf.DUMMYFUNCTION("""COMPUTED_VALUE"""),"28269")</f>
        <v>28269</v>
      </c>
      <c r="E1734" s="3">
        <f>IFERROR(__xludf.DUMMYFUNCTION("""COMPUTED_VALUE"""),130000.0)</f>
        <v>130000</v>
      </c>
      <c r="F1734" s="1" t="str">
        <f>IFERROR(__xludf.DUMMYFUNCTION("""COMPUTED_VALUE"""),"1")</f>
        <v>1</v>
      </c>
      <c r="G1734" s="1" t="str">
        <f>IFERROR(__xludf.DUMMYFUNCTION("""COMPUTED_VALUE"""),"1")</f>
        <v>1</v>
      </c>
      <c r="H1734" s="1" t="str">
        <f>IFERROR(__xludf.DUMMYFUNCTION("""COMPUTED_VALUE"""),"45")</f>
        <v>45</v>
      </c>
    </row>
    <row r="1735" ht="15.75" customHeight="1">
      <c r="D1735" s="1" t="str">
        <f>IFERROR(__xludf.DUMMYFUNCTION("""COMPUTED_VALUE"""),"23144")</f>
        <v>23144</v>
      </c>
      <c r="E1735" s="3">
        <f>IFERROR(__xludf.DUMMYFUNCTION("""COMPUTED_VALUE"""),50000.0)</f>
        <v>50000</v>
      </c>
      <c r="F1735" s="1" t="str">
        <f>IFERROR(__xludf.DUMMYFUNCTION("""COMPUTED_VALUE"""),"1")</f>
        <v>1</v>
      </c>
      <c r="G1735" s="1" t="str">
        <f>IFERROR(__xludf.DUMMYFUNCTION("""COMPUTED_VALUE"""),"0")</f>
        <v>0</v>
      </c>
      <c r="H1735" s="1" t="str">
        <f>IFERROR(__xludf.DUMMYFUNCTION("""COMPUTED_VALUE"""),"34")</f>
        <v>34</v>
      </c>
    </row>
    <row r="1736" ht="15.75" customHeight="1">
      <c r="D1736" s="1" t="str">
        <f>IFERROR(__xludf.DUMMYFUNCTION("""COMPUTED_VALUE"""),"23376")</f>
        <v>23376</v>
      </c>
      <c r="E1736" s="3">
        <f>IFERROR(__xludf.DUMMYFUNCTION("""COMPUTED_VALUE"""),70000.0)</f>
        <v>70000</v>
      </c>
      <c r="F1736" s="1" t="str">
        <f>IFERROR(__xludf.DUMMYFUNCTION("""COMPUTED_VALUE"""),"1")</f>
        <v>1</v>
      </c>
      <c r="G1736" s="1" t="str">
        <f>IFERROR(__xludf.DUMMYFUNCTION("""COMPUTED_VALUE"""),"1")</f>
        <v>1</v>
      </c>
      <c r="H1736" s="1" t="str">
        <f>IFERROR(__xludf.DUMMYFUNCTION("""COMPUTED_VALUE"""),"44")</f>
        <v>44</v>
      </c>
    </row>
    <row r="1737" ht="15.75" customHeight="1">
      <c r="D1737" s="1" t="str">
        <f>IFERROR(__xludf.DUMMYFUNCTION("""COMPUTED_VALUE"""),"25970")</f>
        <v>25970</v>
      </c>
      <c r="E1737" s="3">
        <f>IFERROR(__xludf.DUMMYFUNCTION("""COMPUTED_VALUE"""),60000.0)</f>
        <v>60000</v>
      </c>
      <c r="F1737" s="1" t="str">
        <f>IFERROR(__xludf.DUMMYFUNCTION("""COMPUTED_VALUE"""),"4")</f>
        <v>4</v>
      </c>
      <c r="G1737" s="1" t="str">
        <f>IFERROR(__xludf.DUMMYFUNCTION("""COMPUTED_VALUE"""),"2")</f>
        <v>2</v>
      </c>
      <c r="H1737" s="1" t="str">
        <f>IFERROR(__xludf.DUMMYFUNCTION("""COMPUTED_VALUE"""),"41")</f>
        <v>41</v>
      </c>
    </row>
    <row r="1738" ht="15.75" customHeight="1">
      <c r="D1738" s="1" t="str">
        <f>IFERROR(__xludf.DUMMYFUNCTION("""COMPUTED_VALUE"""),"28068")</f>
        <v>28068</v>
      </c>
      <c r="E1738" s="3">
        <f>IFERROR(__xludf.DUMMYFUNCTION("""COMPUTED_VALUE"""),80000.0)</f>
        <v>80000</v>
      </c>
      <c r="F1738" s="1" t="str">
        <f>IFERROR(__xludf.DUMMYFUNCTION("""COMPUTED_VALUE"""),"3")</f>
        <v>3</v>
      </c>
      <c r="G1738" s="1" t="str">
        <f>IFERROR(__xludf.DUMMYFUNCTION("""COMPUTED_VALUE"""),"0")</f>
        <v>0</v>
      </c>
      <c r="H1738" s="1" t="str">
        <f>IFERROR(__xludf.DUMMYFUNCTION("""COMPUTED_VALUE"""),"36")</f>
        <v>36</v>
      </c>
    </row>
    <row r="1739" ht="15.75" customHeight="1">
      <c r="D1739" s="1" t="str">
        <f>IFERROR(__xludf.DUMMYFUNCTION("""COMPUTED_VALUE"""),"18390")</f>
        <v>18390</v>
      </c>
      <c r="E1739" s="3">
        <f>IFERROR(__xludf.DUMMYFUNCTION("""COMPUTED_VALUE"""),80000.0)</f>
        <v>80000</v>
      </c>
      <c r="F1739" s="1" t="str">
        <f>IFERROR(__xludf.DUMMYFUNCTION("""COMPUTED_VALUE"""),"5")</f>
        <v>5</v>
      </c>
      <c r="G1739" s="1" t="str">
        <f>IFERROR(__xludf.DUMMYFUNCTION("""COMPUTED_VALUE"""),"2")</f>
        <v>2</v>
      </c>
      <c r="H1739" s="1" t="str">
        <f>IFERROR(__xludf.DUMMYFUNCTION("""COMPUTED_VALUE"""),"44")</f>
        <v>44</v>
      </c>
    </row>
    <row r="1740" ht="15.75" customHeight="1">
      <c r="D1740" s="1" t="str">
        <f>IFERROR(__xludf.DUMMYFUNCTION("""COMPUTED_VALUE"""),"29112")</f>
        <v>29112</v>
      </c>
      <c r="E1740" s="3">
        <f>IFERROR(__xludf.DUMMYFUNCTION("""COMPUTED_VALUE"""),60000.0)</f>
        <v>60000</v>
      </c>
      <c r="F1740" s="1" t="str">
        <f>IFERROR(__xludf.DUMMYFUNCTION("""COMPUTED_VALUE"""),"0")</f>
        <v>0</v>
      </c>
      <c r="G1740" s="1" t="str">
        <f>IFERROR(__xludf.DUMMYFUNCTION("""COMPUTED_VALUE"""),"2")</f>
        <v>2</v>
      </c>
      <c r="H1740" s="1" t="str">
        <f>IFERROR(__xludf.DUMMYFUNCTION("""COMPUTED_VALUE"""),"30")</f>
        <v>30</v>
      </c>
    </row>
    <row r="1741" ht="15.75" customHeight="1">
      <c r="D1741" s="1" t="str">
        <f>IFERROR(__xludf.DUMMYFUNCTION("""COMPUTED_VALUE"""),"14090")</f>
        <v>14090</v>
      </c>
      <c r="E1741" s="3">
        <f>IFERROR(__xludf.DUMMYFUNCTION("""COMPUTED_VALUE"""),30000.0)</f>
        <v>30000</v>
      </c>
      <c r="F1741" s="1" t="str">
        <f>IFERROR(__xludf.DUMMYFUNCTION("""COMPUTED_VALUE"""),"0")</f>
        <v>0</v>
      </c>
      <c r="G1741" s="1" t="str">
        <f>IFERROR(__xludf.DUMMYFUNCTION("""COMPUTED_VALUE"""),"2")</f>
        <v>2</v>
      </c>
      <c r="H1741" s="1" t="str">
        <f>IFERROR(__xludf.DUMMYFUNCTION("""COMPUTED_VALUE"""),"28")</f>
        <v>28</v>
      </c>
    </row>
    <row r="1742" ht="15.75" customHeight="1">
      <c r="D1742" s="1" t="str">
        <f>IFERROR(__xludf.DUMMYFUNCTION("""COMPUTED_VALUE"""),"27040")</f>
        <v>27040</v>
      </c>
      <c r="E1742" s="3">
        <f>IFERROR(__xludf.DUMMYFUNCTION("""COMPUTED_VALUE"""),20000.0)</f>
        <v>20000</v>
      </c>
      <c r="F1742" s="1" t="str">
        <f>IFERROR(__xludf.DUMMYFUNCTION("""COMPUTED_VALUE"""),"2")</f>
        <v>2</v>
      </c>
      <c r="G1742" s="1" t="str">
        <f>IFERROR(__xludf.DUMMYFUNCTION("""COMPUTED_VALUE"""),"2")</f>
        <v>2</v>
      </c>
      <c r="H1742" s="1" t="str">
        <f>IFERROR(__xludf.DUMMYFUNCTION("""COMPUTED_VALUE"""),"49")</f>
        <v>49</v>
      </c>
    </row>
    <row r="1743" ht="15.75" customHeight="1">
      <c r="D1743" s="1" t="str">
        <f>IFERROR(__xludf.DUMMYFUNCTION("""COMPUTED_VALUE"""),"23479")</f>
        <v>23479</v>
      </c>
      <c r="E1743" s="3">
        <f>IFERROR(__xludf.DUMMYFUNCTION("""COMPUTED_VALUE"""),90000.0)</f>
        <v>90000</v>
      </c>
      <c r="F1743" s="1" t="str">
        <f>IFERROR(__xludf.DUMMYFUNCTION("""COMPUTED_VALUE"""),"0")</f>
        <v>0</v>
      </c>
      <c r="G1743" s="1" t="str">
        <f>IFERROR(__xludf.DUMMYFUNCTION("""COMPUTED_VALUE"""),"2")</f>
        <v>2</v>
      </c>
      <c r="H1743" s="1" t="str">
        <f>IFERROR(__xludf.DUMMYFUNCTION("""COMPUTED_VALUE"""),"43")</f>
        <v>43</v>
      </c>
    </row>
    <row r="1744" ht="15.75" customHeight="1">
      <c r="D1744" s="1" t="str">
        <f>IFERROR(__xludf.DUMMYFUNCTION("""COMPUTED_VALUE"""),"16795")</f>
        <v>16795</v>
      </c>
      <c r="E1744" s="3">
        <f>IFERROR(__xludf.DUMMYFUNCTION("""COMPUTED_VALUE"""),70000.0)</f>
        <v>70000</v>
      </c>
      <c r="F1744" s="1" t="str">
        <f>IFERROR(__xludf.DUMMYFUNCTION("""COMPUTED_VALUE"""),"4")</f>
        <v>4</v>
      </c>
      <c r="G1744" s="1" t="str">
        <f>IFERROR(__xludf.DUMMYFUNCTION("""COMPUTED_VALUE"""),"1")</f>
        <v>1</v>
      </c>
      <c r="H1744" s="1" t="str">
        <f>IFERROR(__xludf.DUMMYFUNCTION("""COMPUTED_VALUE"""),"59")</f>
        <v>59</v>
      </c>
    </row>
    <row r="1745" ht="15.75" customHeight="1">
      <c r="D1745" s="1" t="str">
        <f>IFERROR(__xludf.DUMMYFUNCTION("""COMPUTED_VALUE"""),"22014")</f>
        <v>22014</v>
      </c>
      <c r="E1745" s="3">
        <f>IFERROR(__xludf.DUMMYFUNCTION("""COMPUTED_VALUE"""),30000.0)</f>
        <v>30000</v>
      </c>
      <c r="F1745" s="1" t="str">
        <f>IFERROR(__xludf.DUMMYFUNCTION("""COMPUTED_VALUE"""),"0")</f>
        <v>0</v>
      </c>
      <c r="G1745" s="1" t="str">
        <f>IFERROR(__xludf.DUMMYFUNCTION("""COMPUTED_VALUE"""),"2")</f>
        <v>2</v>
      </c>
      <c r="H1745" s="1" t="str">
        <f>IFERROR(__xludf.DUMMYFUNCTION("""COMPUTED_VALUE"""),"26")</f>
        <v>26</v>
      </c>
    </row>
    <row r="1746" ht="15.75" customHeight="1">
      <c r="D1746" s="1" t="str">
        <f>IFERROR(__xludf.DUMMYFUNCTION("""COMPUTED_VALUE"""),"13314")</f>
        <v>13314</v>
      </c>
      <c r="E1746" s="3">
        <f>IFERROR(__xludf.DUMMYFUNCTION("""COMPUTED_VALUE"""),120000.0)</f>
        <v>120000</v>
      </c>
      <c r="F1746" s="1" t="str">
        <f>IFERROR(__xludf.DUMMYFUNCTION("""COMPUTED_VALUE"""),"1")</f>
        <v>1</v>
      </c>
      <c r="G1746" s="1" t="str">
        <f>IFERROR(__xludf.DUMMYFUNCTION("""COMPUTED_VALUE"""),"4")</f>
        <v>4</v>
      </c>
      <c r="H1746" s="1" t="str">
        <f>IFERROR(__xludf.DUMMYFUNCTION("""COMPUTED_VALUE"""),"46")</f>
        <v>46</v>
      </c>
    </row>
    <row r="1747" ht="15.75" customHeight="1">
      <c r="D1747" s="1" t="str">
        <f>IFERROR(__xludf.DUMMYFUNCTION("""COMPUTED_VALUE"""),"11619")</f>
        <v>11619</v>
      </c>
      <c r="E1747" s="3">
        <f>IFERROR(__xludf.DUMMYFUNCTION("""COMPUTED_VALUE"""),50000.0)</f>
        <v>50000</v>
      </c>
      <c r="F1747" s="1" t="str">
        <f>IFERROR(__xludf.DUMMYFUNCTION("""COMPUTED_VALUE"""),"0")</f>
        <v>0</v>
      </c>
      <c r="G1747" s="1" t="str">
        <f>IFERROR(__xludf.DUMMYFUNCTION("""COMPUTED_VALUE"""),"0")</f>
        <v>0</v>
      </c>
      <c r="H1747" s="1" t="str">
        <f>IFERROR(__xludf.DUMMYFUNCTION("""COMPUTED_VALUE"""),"33")</f>
        <v>33</v>
      </c>
    </row>
    <row r="1748" ht="15.75" customHeight="1">
      <c r="D1748" s="1" t="str">
        <f>IFERROR(__xludf.DUMMYFUNCTION("""COMPUTED_VALUE"""),"29132")</f>
        <v>29132</v>
      </c>
      <c r="E1748" s="3">
        <f>IFERROR(__xludf.DUMMYFUNCTION("""COMPUTED_VALUE"""),40000.0)</f>
        <v>40000</v>
      </c>
      <c r="F1748" s="1" t="str">
        <f>IFERROR(__xludf.DUMMYFUNCTION("""COMPUTED_VALUE"""),"0")</f>
        <v>0</v>
      </c>
      <c r="G1748" s="1" t="str">
        <f>IFERROR(__xludf.DUMMYFUNCTION("""COMPUTED_VALUE"""),"1")</f>
        <v>1</v>
      </c>
      <c r="H1748" s="1" t="str">
        <f>IFERROR(__xludf.DUMMYFUNCTION("""COMPUTED_VALUE"""),"42")</f>
        <v>42</v>
      </c>
    </row>
    <row r="1749" ht="15.75" customHeight="1">
      <c r="D1749" s="1" t="str">
        <f>IFERROR(__xludf.DUMMYFUNCTION("""COMPUTED_VALUE"""),"11199")</f>
        <v>11199</v>
      </c>
      <c r="E1749" s="3">
        <f>IFERROR(__xludf.DUMMYFUNCTION("""COMPUTED_VALUE"""),70000.0)</f>
        <v>70000</v>
      </c>
      <c r="F1749" s="1" t="str">
        <f>IFERROR(__xludf.DUMMYFUNCTION("""COMPUTED_VALUE"""),"4")</f>
        <v>4</v>
      </c>
      <c r="G1749" s="1" t="str">
        <f>IFERROR(__xludf.DUMMYFUNCTION("""COMPUTED_VALUE"""),"1")</f>
        <v>1</v>
      </c>
      <c r="H1749" s="1" t="str">
        <f>IFERROR(__xludf.DUMMYFUNCTION("""COMPUTED_VALUE"""),"59")</f>
        <v>59</v>
      </c>
    </row>
    <row r="1750" ht="15.75" customHeight="1">
      <c r="D1750" s="1" t="str">
        <f>IFERROR(__xludf.DUMMYFUNCTION("""COMPUTED_VALUE"""),"20296")</f>
        <v>20296</v>
      </c>
      <c r="E1750" s="3">
        <f>IFERROR(__xludf.DUMMYFUNCTION("""COMPUTED_VALUE"""),60000.0)</f>
        <v>60000</v>
      </c>
      <c r="F1750" s="1" t="str">
        <f>IFERROR(__xludf.DUMMYFUNCTION("""COMPUTED_VALUE"""),"0")</f>
        <v>0</v>
      </c>
      <c r="G1750" s="1" t="str">
        <f>IFERROR(__xludf.DUMMYFUNCTION("""COMPUTED_VALUE"""),"1")</f>
        <v>1</v>
      </c>
      <c r="H1750" s="1" t="str">
        <f>IFERROR(__xludf.DUMMYFUNCTION("""COMPUTED_VALUE"""),"33")</f>
        <v>33</v>
      </c>
    </row>
    <row r="1751" ht="15.75" customHeight="1">
      <c r="D1751" s="1" t="str">
        <f>IFERROR(__xludf.DUMMYFUNCTION("""COMPUTED_VALUE"""),"17546")</f>
        <v>17546</v>
      </c>
      <c r="E1751" s="3">
        <f>IFERROR(__xludf.DUMMYFUNCTION("""COMPUTED_VALUE"""),70000.0)</f>
        <v>70000</v>
      </c>
      <c r="F1751" s="1" t="str">
        <f>IFERROR(__xludf.DUMMYFUNCTION("""COMPUTED_VALUE"""),"1")</f>
        <v>1</v>
      </c>
      <c r="G1751" s="1" t="str">
        <f>IFERROR(__xludf.DUMMYFUNCTION("""COMPUTED_VALUE"""),"1")</f>
        <v>1</v>
      </c>
      <c r="H1751" s="1" t="str">
        <f>IFERROR(__xludf.DUMMYFUNCTION("""COMPUTED_VALUE"""),"44")</f>
        <v>44</v>
      </c>
    </row>
    <row r="1752" ht="15.75" customHeight="1">
      <c r="D1752" s="1" t="str">
        <f>IFERROR(__xludf.DUMMYFUNCTION("""COMPUTED_VALUE"""),"18069")</f>
        <v>18069</v>
      </c>
      <c r="E1752" s="3">
        <f>IFERROR(__xludf.DUMMYFUNCTION("""COMPUTED_VALUE"""),70000.0)</f>
        <v>70000</v>
      </c>
      <c r="F1752" s="1" t="str">
        <f>IFERROR(__xludf.DUMMYFUNCTION("""COMPUTED_VALUE"""),"5")</f>
        <v>5</v>
      </c>
      <c r="G1752" s="1" t="str">
        <f>IFERROR(__xludf.DUMMYFUNCTION("""COMPUTED_VALUE"""),"4")</f>
        <v>4</v>
      </c>
      <c r="H1752" s="1" t="str">
        <f>IFERROR(__xludf.DUMMYFUNCTION("""COMPUTED_VALUE"""),"60")</f>
        <v>60</v>
      </c>
    </row>
    <row r="1753" ht="15.75" customHeight="1">
      <c r="D1753" s="1" t="str">
        <f>IFERROR(__xludf.DUMMYFUNCTION("""COMPUTED_VALUE"""),"23712")</f>
        <v>23712</v>
      </c>
      <c r="E1753" s="3">
        <f>IFERROR(__xludf.DUMMYFUNCTION("""COMPUTED_VALUE"""),70000.0)</f>
        <v>70000</v>
      </c>
      <c r="F1753" s="1" t="str">
        <f>IFERROR(__xludf.DUMMYFUNCTION("""COMPUTED_VALUE"""),"2")</f>
        <v>2</v>
      </c>
      <c r="G1753" s="1" t="str">
        <f>IFERROR(__xludf.DUMMYFUNCTION("""COMPUTED_VALUE"""),"1")</f>
        <v>1</v>
      </c>
      <c r="H1753" s="1" t="str">
        <f>IFERROR(__xludf.DUMMYFUNCTION("""COMPUTED_VALUE"""),"59")</f>
        <v>59</v>
      </c>
    </row>
    <row r="1754" ht="15.75" customHeight="1">
      <c r="D1754" s="1" t="str">
        <f>IFERROR(__xludf.DUMMYFUNCTION("""COMPUTED_VALUE"""),"23358")</f>
        <v>23358</v>
      </c>
      <c r="E1754" s="3">
        <f>IFERROR(__xludf.DUMMYFUNCTION("""COMPUTED_VALUE"""),60000.0)</f>
        <v>60000</v>
      </c>
      <c r="F1754" s="1" t="str">
        <f>IFERROR(__xludf.DUMMYFUNCTION("""COMPUTED_VALUE"""),"0")</f>
        <v>0</v>
      </c>
      <c r="G1754" s="1" t="str">
        <f>IFERROR(__xludf.DUMMYFUNCTION("""COMPUTED_VALUE"""),"2")</f>
        <v>2</v>
      </c>
      <c r="H1754" s="1" t="str">
        <f>IFERROR(__xludf.DUMMYFUNCTION("""COMPUTED_VALUE"""),"32")</f>
        <v>32</v>
      </c>
    </row>
    <row r="1755" ht="15.75" customHeight="1">
      <c r="D1755" s="1" t="str">
        <f>IFERROR(__xludf.DUMMYFUNCTION("""COMPUTED_VALUE"""),"20518")</f>
        <v>20518</v>
      </c>
      <c r="E1755" s="3">
        <f>IFERROR(__xludf.DUMMYFUNCTION("""COMPUTED_VALUE"""),70000.0)</f>
        <v>70000</v>
      </c>
      <c r="F1755" s="1" t="str">
        <f>IFERROR(__xludf.DUMMYFUNCTION("""COMPUTED_VALUE"""),"2")</f>
        <v>2</v>
      </c>
      <c r="G1755" s="1" t="str">
        <f>IFERROR(__xludf.DUMMYFUNCTION("""COMPUTED_VALUE"""),"1")</f>
        <v>1</v>
      </c>
      <c r="H1755" s="1" t="str">
        <f>IFERROR(__xludf.DUMMYFUNCTION("""COMPUTED_VALUE"""),"58")</f>
        <v>58</v>
      </c>
    </row>
    <row r="1756" ht="15.75" customHeight="1">
      <c r="D1756" s="1" t="str">
        <f>IFERROR(__xludf.DUMMYFUNCTION("""COMPUTED_VALUE"""),"28026")</f>
        <v>28026</v>
      </c>
      <c r="E1756" s="3">
        <f>IFERROR(__xludf.DUMMYFUNCTION("""COMPUTED_VALUE"""),40000.0)</f>
        <v>40000</v>
      </c>
      <c r="F1756" s="1" t="str">
        <f>IFERROR(__xludf.DUMMYFUNCTION("""COMPUTED_VALUE"""),"2")</f>
        <v>2</v>
      </c>
      <c r="G1756" s="1" t="str">
        <f>IFERROR(__xludf.DUMMYFUNCTION("""COMPUTED_VALUE"""),"2")</f>
        <v>2</v>
      </c>
      <c r="H1756" s="1" t="str">
        <f>IFERROR(__xludf.DUMMYFUNCTION("""COMPUTED_VALUE"""),"59")</f>
        <v>59</v>
      </c>
    </row>
    <row r="1757" ht="15.75" customHeight="1">
      <c r="D1757" s="1" t="str">
        <f>IFERROR(__xludf.DUMMYFUNCTION("""COMPUTED_VALUE"""),"11669")</f>
        <v>11669</v>
      </c>
      <c r="E1757" s="3">
        <f>IFERROR(__xludf.DUMMYFUNCTION("""COMPUTED_VALUE"""),70000.0)</f>
        <v>70000</v>
      </c>
      <c r="F1757" s="1" t="str">
        <f>IFERROR(__xludf.DUMMYFUNCTION("""COMPUTED_VALUE"""),"2")</f>
        <v>2</v>
      </c>
      <c r="G1757" s="1" t="str">
        <f>IFERROR(__xludf.DUMMYFUNCTION("""COMPUTED_VALUE"""),"1")</f>
        <v>1</v>
      </c>
      <c r="H1757" s="1" t="str">
        <f>IFERROR(__xludf.DUMMYFUNCTION("""COMPUTED_VALUE"""),"38")</f>
        <v>38</v>
      </c>
    </row>
    <row r="1758" ht="15.75" customHeight="1">
      <c r="D1758" s="1" t="str">
        <f>IFERROR(__xludf.DUMMYFUNCTION("""COMPUTED_VALUE"""),"16020")</f>
        <v>16020</v>
      </c>
      <c r="E1758" s="3">
        <f>IFERROR(__xludf.DUMMYFUNCTION("""COMPUTED_VALUE"""),40000.0)</f>
        <v>40000</v>
      </c>
      <c r="F1758" s="1" t="str">
        <f>IFERROR(__xludf.DUMMYFUNCTION("""COMPUTED_VALUE"""),"0")</f>
        <v>0</v>
      </c>
      <c r="G1758" s="1" t="str">
        <f>IFERROR(__xludf.DUMMYFUNCTION("""COMPUTED_VALUE"""),"2")</f>
        <v>2</v>
      </c>
      <c r="H1758" s="1" t="str">
        <f>IFERROR(__xludf.DUMMYFUNCTION("""COMPUTED_VALUE"""),"28")</f>
        <v>28</v>
      </c>
    </row>
    <row r="1759" ht="15.75" customHeight="1">
      <c r="D1759" s="1" t="str">
        <f>IFERROR(__xludf.DUMMYFUNCTION("""COMPUTED_VALUE"""),"27090")</f>
        <v>27090</v>
      </c>
      <c r="E1759" s="3">
        <f>IFERROR(__xludf.DUMMYFUNCTION("""COMPUTED_VALUE"""),60000.0)</f>
        <v>60000</v>
      </c>
      <c r="F1759" s="1" t="str">
        <f>IFERROR(__xludf.DUMMYFUNCTION("""COMPUTED_VALUE"""),"1")</f>
        <v>1</v>
      </c>
      <c r="G1759" s="1" t="str">
        <f>IFERROR(__xludf.DUMMYFUNCTION("""COMPUTED_VALUE"""),"0")</f>
        <v>0</v>
      </c>
      <c r="H1759" s="1" t="str">
        <f>IFERROR(__xludf.DUMMYFUNCTION("""COMPUTED_VALUE"""),"37")</f>
        <v>37</v>
      </c>
    </row>
    <row r="1760" ht="15.75" customHeight="1">
      <c r="D1760" s="1" t="str">
        <f>IFERROR(__xludf.DUMMYFUNCTION("""COMPUTED_VALUE"""),"27198")</f>
        <v>27198</v>
      </c>
      <c r="E1760" s="3">
        <f>IFERROR(__xludf.DUMMYFUNCTION("""COMPUTED_VALUE"""),80000.0)</f>
        <v>80000</v>
      </c>
      <c r="F1760" s="1" t="str">
        <f>IFERROR(__xludf.DUMMYFUNCTION("""COMPUTED_VALUE"""),"0")</f>
        <v>0</v>
      </c>
      <c r="G1760" s="1" t="str">
        <f>IFERROR(__xludf.DUMMYFUNCTION("""COMPUTED_VALUE"""),"0")</f>
        <v>0</v>
      </c>
      <c r="H1760" s="1" t="str">
        <f>IFERROR(__xludf.DUMMYFUNCTION("""COMPUTED_VALUE"""),"40")</f>
        <v>40</v>
      </c>
    </row>
    <row r="1761" ht="15.75" customHeight="1">
      <c r="D1761" s="1" t="str">
        <f>IFERROR(__xludf.DUMMYFUNCTION("""COMPUTED_VALUE"""),"19661")</f>
        <v>19661</v>
      </c>
      <c r="E1761" s="3">
        <f>IFERROR(__xludf.DUMMYFUNCTION("""COMPUTED_VALUE"""),90000.0)</f>
        <v>90000</v>
      </c>
      <c r="F1761" s="1" t="str">
        <f>IFERROR(__xludf.DUMMYFUNCTION("""COMPUTED_VALUE"""),"4")</f>
        <v>4</v>
      </c>
      <c r="G1761" s="1" t="str">
        <f>IFERROR(__xludf.DUMMYFUNCTION("""COMPUTED_VALUE"""),"1")</f>
        <v>1</v>
      </c>
      <c r="H1761" s="1" t="str">
        <f>IFERROR(__xludf.DUMMYFUNCTION("""COMPUTED_VALUE"""),"38")</f>
        <v>38</v>
      </c>
    </row>
    <row r="1762" ht="15.75" customHeight="1">
      <c r="D1762" s="1" t="str">
        <f>IFERROR(__xludf.DUMMYFUNCTION("""COMPUTED_VALUE"""),"26327")</f>
        <v>26327</v>
      </c>
      <c r="E1762" s="3">
        <f>IFERROR(__xludf.DUMMYFUNCTION("""COMPUTED_VALUE"""),70000.0)</f>
        <v>70000</v>
      </c>
      <c r="F1762" s="1" t="str">
        <f>IFERROR(__xludf.DUMMYFUNCTION("""COMPUTED_VALUE"""),"4")</f>
        <v>4</v>
      </c>
      <c r="G1762" s="1" t="str">
        <f>IFERROR(__xludf.DUMMYFUNCTION("""COMPUTED_VALUE"""),"0")</f>
        <v>0</v>
      </c>
      <c r="H1762" s="1" t="str">
        <f>IFERROR(__xludf.DUMMYFUNCTION("""COMPUTED_VALUE"""),"36")</f>
        <v>36</v>
      </c>
    </row>
    <row r="1763" ht="15.75" customHeight="1">
      <c r="D1763" s="1" t="str">
        <f>IFERROR(__xludf.DUMMYFUNCTION("""COMPUTED_VALUE"""),"26341")</f>
        <v>26341</v>
      </c>
      <c r="E1763" s="3">
        <f>IFERROR(__xludf.DUMMYFUNCTION("""COMPUTED_VALUE"""),70000.0)</f>
        <v>70000</v>
      </c>
      <c r="F1763" s="1" t="str">
        <f>IFERROR(__xludf.DUMMYFUNCTION("""COMPUTED_VALUE"""),"5")</f>
        <v>5</v>
      </c>
      <c r="G1763" s="1" t="str">
        <f>IFERROR(__xludf.DUMMYFUNCTION("""COMPUTED_VALUE"""),"2")</f>
        <v>2</v>
      </c>
      <c r="H1763" s="1" t="str">
        <f>IFERROR(__xludf.DUMMYFUNCTION("""COMPUTED_VALUE"""),"37")</f>
        <v>37</v>
      </c>
    </row>
    <row r="1764" ht="15.75" customHeight="1">
      <c r="D1764" s="1" t="str">
        <f>IFERROR(__xludf.DUMMYFUNCTION("""COMPUTED_VALUE"""),"24958")</f>
        <v>24958</v>
      </c>
      <c r="E1764" s="3">
        <f>IFERROR(__xludf.DUMMYFUNCTION("""COMPUTED_VALUE"""),40000.0)</f>
        <v>40000</v>
      </c>
      <c r="F1764" s="1" t="str">
        <f>IFERROR(__xludf.DUMMYFUNCTION("""COMPUTED_VALUE"""),"5")</f>
        <v>5</v>
      </c>
      <c r="G1764" s="1" t="str">
        <f>IFERROR(__xludf.DUMMYFUNCTION("""COMPUTED_VALUE"""),"3")</f>
        <v>3</v>
      </c>
      <c r="H1764" s="1" t="str">
        <f>IFERROR(__xludf.DUMMYFUNCTION("""COMPUTED_VALUE"""),"60")</f>
        <v>60</v>
      </c>
    </row>
    <row r="1765" ht="15.75" customHeight="1">
      <c r="D1765" s="1" t="str">
        <f>IFERROR(__xludf.DUMMYFUNCTION("""COMPUTED_VALUE"""),"13287")</f>
        <v>13287</v>
      </c>
      <c r="E1765" s="3">
        <f>IFERROR(__xludf.DUMMYFUNCTION("""COMPUTED_VALUE"""),110000.0)</f>
        <v>110000</v>
      </c>
      <c r="F1765" s="1" t="str">
        <f>IFERROR(__xludf.DUMMYFUNCTION("""COMPUTED_VALUE"""),"4")</f>
        <v>4</v>
      </c>
      <c r="G1765" s="1" t="str">
        <f>IFERROR(__xludf.DUMMYFUNCTION("""COMPUTED_VALUE"""),"4")</f>
        <v>4</v>
      </c>
      <c r="H1765" s="1" t="str">
        <f>IFERROR(__xludf.DUMMYFUNCTION("""COMPUTED_VALUE"""),"42")</f>
        <v>42</v>
      </c>
    </row>
    <row r="1766" ht="15.75" customHeight="1">
      <c r="D1766" s="1" t="str">
        <f>IFERROR(__xludf.DUMMYFUNCTION("""COMPUTED_VALUE"""),"14493")</f>
        <v>14493</v>
      </c>
      <c r="E1766" s="3">
        <f>IFERROR(__xludf.DUMMYFUNCTION("""COMPUTED_VALUE"""),70000.0)</f>
        <v>70000</v>
      </c>
      <c r="F1766" s="1" t="str">
        <f>IFERROR(__xludf.DUMMYFUNCTION("""COMPUTED_VALUE"""),"3")</f>
        <v>3</v>
      </c>
      <c r="G1766" s="1" t="str">
        <f>IFERROR(__xludf.DUMMYFUNCTION("""COMPUTED_VALUE"""),"2")</f>
        <v>2</v>
      </c>
      <c r="H1766" s="1" t="str">
        <f>IFERROR(__xludf.DUMMYFUNCTION("""COMPUTED_VALUE"""),"53")</f>
        <v>53</v>
      </c>
    </row>
    <row r="1767" ht="15.75" customHeight="1">
      <c r="D1767" s="1" t="str">
        <f>IFERROR(__xludf.DUMMYFUNCTION("""COMPUTED_VALUE"""),"26678")</f>
        <v>26678</v>
      </c>
      <c r="E1767" s="3">
        <f>IFERROR(__xludf.DUMMYFUNCTION("""COMPUTED_VALUE"""),80000.0)</f>
        <v>80000</v>
      </c>
      <c r="F1767" s="1" t="str">
        <f>IFERROR(__xludf.DUMMYFUNCTION("""COMPUTED_VALUE"""),"2")</f>
        <v>2</v>
      </c>
      <c r="G1767" s="1" t="str">
        <f>IFERROR(__xludf.DUMMYFUNCTION("""COMPUTED_VALUE"""),"2")</f>
        <v>2</v>
      </c>
      <c r="H1767" s="1" t="str">
        <f>IFERROR(__xludf.DUMMYFUNCTION("""COMPUTED_VALUE"""),"49")</f>
        <v>49</v>
      </c>
    </row>
    <row r="1768" ht="15.75" customHeight="1">
      <c r="D1768" s="1" t="str">
        <f>IFERROR(__xludf.DUMMYFUNCTION("""COMPUTED_VALUE"""),"23275")</f>
        <v>23275</v>
      </c>
      <c r="E1768" s="3">
        <f>IFERROR(__xludf.DUMMYFUNCTION("""COMPUTED_VALUE"""),30000.0)</f>
        <v>30000</v>
      </c>
      <c r="F1768" s="1" t="str">
        <f>IFERROR(__xludf.DUMMYFUNCTION("""COMPUTED_VALUE"""),"2")</f>
        <v>2</v>
      </c>
      <c r="G1768" s="1" t="str">
        <f>IFERROR(__xludf.DUMMYFUNCTION("""COMPUTED_VALUE"""),"2")</f>
        <v>2</v>
      </c>
      <c r="H1768" s="1" t="str">
        <f>IFERROR(__xludf.DUMMYFUNCTION("""COMPUTED_VALUE"""),"49")</f>
        <v>49</v>
      </c>
    </row>
    <row r="1769" ht="15.75" customHeight="1">
      <c r="D1769" s="1" t="str">
        <f>IFERROR(__xludf.DUMMYFUNCTION("""COMPUTED_VALUE"""),"11270")</f>
        <v>11270</v>
      </c>
      <c r="E1769" s="3">
        <f>IFERROR(__xludf.DUMMYFUNCTION("""COMPUTED_VALUE"""),130000.0)</f>
        <v>130000</v>
      </c>
      <c r="F1769" s="1" t="str">
        <f>IFERROR(__xludf.DUMMYFUNCTION("""COMPUTED_VALUE"""),"2")</f>
        <v>2</v>
      </c>
      <c r="G1769" s="1" t="str">
        <f>IFERROR(__xludf.DUMMYFUNCTION("""COMPUTED_VALUE"""),"3")</f>
        <v>3</v>
      </c>
      <c r="H1769" s="1" t="str">
        <f>IFERROR(__xludf.DUMMYFUNCTION("""COMPUTED_VALUE"""),"42")</f>
        <v>42</v>
      </c>
    </row>
    <row r="1770" ht="15.75" customHeight="1">
      <c r="D1770" s="1" t="str">
        <f>IFERROR(__xludf.DUMMYFUNCTION("""COMPUTED_VALUE"""),"20084")</f>
        <v>20084</v>
      </c>
      <c r="E1770" s="3">
        <f>IFERROR(__xludf.DUMMYFUNCTION("""COMPUTED_VALUE"""),20000.0)</f>
        <v>20000</v>
      </c>
      <c r="F1770" s="1" t="str">
        <f>IFERROR(__xludf.DUMMYFUNCTION("""COMPUTED_VALUE"""),"2")</f>
        <v>2</v>
      </c>
      <c r="G1770" s="1" t="str">
        <f>IFERROR(__xludf.DUMMYFUNCTION("""COMPUTED_VALUE"""),"2")</f>
        <v>2</v>
      </c>
      <c r="H1770" s="1" t="str">
        <f>IFERROR(__xludf.DUMMYFUNCTION("""COMPUTED_VALUE"""),"53")</f>
        <v>53</v>
      </c>
    </row>
    <row r="1771" ht="15.75" customHeight="1">
      <c r="D1771" s="1" t="str">
        <f>IFERROR(__xludf.DUMMYFUNCTION("""COMPUTED_VALUE"""),"16144")</f>
        <v>16144</v>
      </c>
      <c r="E1771" s="3">
        <f>IFERROR(__xludf.DUMMYFUNCTION("""COMPUTED_VALUE"""),70000.0)</f>
        <v>70000</v>
      </c>
      <c r="F1771" s="1" t="str">
        <f>IFERROR(__xludf.DUMMYFUNCTION("""COMPUTED_VALUE"""),"1")</f>
        <v>1</v>
      </c>
      <c r="G1771" s="1" t="str">
        <f>IFERROR(__xludf.DUMMYFUNCTION("""COMPUTED_VALUE"""),"1")</f>
        <v>1</v>
      </c>
      <c r="H1771" s="1" t="str">
        <f>IFERROR(__xludf.DUMMYFUNCTION("""COMPUTED_VALUE"""),"46")</f>
        <v>46</v>
      </c>
    </row>
    <row r="1772" ht="15.75" customHeight="1">
      <c r="D1772" s="1" t="str">
        <f>IFERROR(__xludf.DUMMYFUNCTION("""COMPUTED_VALUE"""),"27731")</f>
        <v>27731</v>
      </c>
      <c r="E1772" s="3">
        <f>IFERROR(__xludf.DUMMYFUNCTION("""COMPUTED_VALUE"""),40000.0)</f>
        <v>40000</v>
      </c>
      <c r="F1772" s="1" t="str">
        <f>IFERROR(__xludf.DUMMYFUNCTION("""COMPUTED_VALUE"""),"0")</f>
        <v>0</v>
      </c>
      <c r="G1772" s="1" t="str">
        <f>IFERROR(__xludf.DUMMYFUNCTION("""COMPUTED_VALUE"""),"2")</f>
        <v>2</v>
      </c>
      <c r="H1772" s="1" t="str">
        <f>IFERROR(__xludf.DUMMYFUNCTION("""COMPUTED_VALUE"""),"27")</f>
        <v>27</v>
      </c>
    </row>
    <row r="1773" ht="15.75" customHeight="1">
      <c r="D1773" s="1" t="str">
        <f>IFERROR(__xludf.DUMMYFUNCTION("""COMPUTED_VALUE"""),"11886")</f>
        <v>11886</v>
      </c>
      <c r="E1773" s="3">
        <f>IFERROR(__xludf.DUMMYFUNCTION("""COMPUTED_VALUE"""),60000.0)</f>
        <v>60000</v>
      </c>
      <c r="F1773" s="1" t="str">
        <f>IFERROR(__xludf.DUMMYFUNCTION("""COMPUTED_VALUE"""),"3")</f>
        <v>3</v>
      </c>
      <c r="G1773" s="1" t="str">
        <f>IFERROR(__xludf.DUMMYFUNCTION("""COMPUTED_VALUE"""),"1")</f>
        <v>1</v>
      </c>
      <c r="H1773" s="1" t="str">
        <f>IFERROR(__xludf.DUMMYFUNCTION("""COMPUTED_VALUE"""),"48")</f>
        <v>48</v>
      </c>
    </row>
    <row r="1774" ht="15.75" customHeight="1">
      <c r="D1774" s="1" t="str">
        <f>IFERROR(__xludf.DUMMYFUNCTION("""COMPUTED_VALUE"""),"24324")</f>
        <v>24324</v>
      </c>
      <c r="E1774" s="3">
        <f>IFERROR(__xludf.DUMMYFUNCTION("""COMPUTED_VALUE"""),60000.0)</f>
        <v>60000</v>
      </c>
      <c r="F1774" s="1" t="str">
        <f>IFERROR(__xludf.DUMMYFUNCTION("""COMPUTED_VALUE"""),"4")</f>
        <v>4</v>
      </c>
      <c r="G1774" s="1" t="str">
        <f>IFERROR(__xludf.DUMMYFUNCTION("""COMPUTED_VALUE"""),"2")</f>
        <v>2</v>
      </c>
      <c r="H1774" s="1" t="str">
        <f>IFERROR(__xludf.DUMMYFUNCTION("""COMPUTED_VALUE"""),"41")</f>
        <v>41</v>
      </c>
    </row>
    <row r="1775" ht="15.75" customHeight="1">
      <c r="D1775" s="1" t="str">
        <f>IFERROR(__xludf.DUMMYFUNCTION("""COMPUTED_VALUE"""),"22220")</f>
        <v>22220</v>
      </c>
      <c r="E1775" s="3">
        <f>IFERROR(__xludf.DUMMYFUNCTION("""COMPUTED_VALUE"""),60000.0)</f>
        <v>60000</v>
      </c>
      <c r="F1775" s="1" t="str">
        <f>IFERROR(__xludf.DUMMYFUNCTION("""COMPUTED_VALUE"""),"2")</f>
        <v>2</v>
      </c>
      <c r="G1775" s="1" t="str">
        <f>IFERROR(__xludf.DUMMYFUNCTION("""COMPUTED_VALUE"""),"2")</f>
        <v>2</v>
      </c>
      <c r="H1775" s="1" t="str">
        <f>IFERROR(__xludf.DUMMYFUNCTION("""COMPUTED_VALUE"""),"49")</f>
        <v>49</v>
      </c>
    </row>
    <row r="1776" ht="15.75" customHeight="1">
      <c r="D1776" s="1" t="str">
        <f>IFERROR(__xludf.DUMMYFUNCTION("""COMPUTED_VALUE"""),"26625")</f>
        <v>26625</v>
      </c>
      <c r="E1776" s="3">
        <f>IFERROR(__xludf.DUMMYFUNCTION("""COMPUTED_VALUE"""),60000.0)</f>
        <v>60000</v>
      </c>
      <c r="F1776" s="1" t="str">
        <f>IFERROR(__xludf.DUMMYFUNCTION("""COMPUTED_VALUE"""),"0")</f>
        <v>0</v>
      </c>
      <c r="G1776" s="1" t="str">
        <f>IFERROR(__xludf.DUMMYFUNCTION("""COMPUTED_VALUE"""),"1")</f>
        <v>1</v>
      </c>
      <c r="H1776" s="1" t="str">
        <f>IFERROR(__xludf.DUMMYFUNCTION("""COMPUTED_VALUE"""),"38")</f>
        <v>38</v>
      </c>
    </row>
    <row r="1777" ht="15.75" customHeight="1">
      <c r="D1777" s="1" t="str">
        <f>IFERROR(__xludf.DUMMYFUNCTION("""COMPUTED_VALUE"""),"23027")</f>
        <v>23027</v>
      </c>
      <c r="E1777" s="3">
        <f>IFERROR(__xludf.DUMMYFUNCTION("""COMPUTED_VALUE"""),130000.0)</f>
        <v>130000</v>
      </c>
      <c r="F1777" s="1" t="str">
        <f>IFERROR(__xludf.DUMMYFUNCTION("""COMPUTED_VALUE"""),"1")</f>
        <v>1</v>
      </c>
      <c r="G1777" s="1" t="str">
        <f>IFERROR(__xludf.DUMMYFUNCTION("""COMPUTED_VALUE"""),"4")</f>
        <v>4</v>
      </c>
      <c r="H1777" s="1" t="str">
        <f>IFERROR(__xludf.DUMMYFUNCTION("""COMPUTED_VALUE"""),"44")</f>
        <v>44</v>
      </c>
    </row>
    <row r="1778" ht="15.75" customHeight="1">
      <c r="D1778" s="1" t="str">
        <f>IFERROR(__xludf.DUMMYFUNCTION("""COMPUTED_VALUE"""),"16867")</f>
        <v>16867</v>
      </c>
      <c r="E1778" s="3">
        <f>IFERROR(__xludf.DUMMYFUNCTION("""COMPUTED_VALUE"""),130000.0)</f>
        <v>130000</v>
      </c>
      <c r="F1778" s="1" t="str">
        <f>IFERROR(__xludf.DUMMYFUNCTION("""COMPUTED_VALUE"""),"1")</f>
        <v>1</v>
      </c>
      <c r="G1778" s="1" t="str">
        <f>IFERROR(__xludf.DUMMYFUNCTION("""COMPUTED_VALUE"""),"3")</f>
        <v>3</v>
      </c>
      <c r="H1778" s="1" t="str">
        <f>IFERROR(__xludf.DUMMYFUNCTION("""COMPUTED_VALUE"""),"45")</f>
        <v>45</v>
      </c>
    </row>
    <row r="1779" ht="15.75" customHeight="1">
      <c r="D1779" s="1" t="str">
        <f>IFERROR(__xludf.DUMMYFUNCTION("""COMPUTED_VALUE"""),"14514")</f>
        <v>14514</v>
      </c>
      <c r="E1779" s="3">
        <f>IFERROR(__xludf.DUMMYFUNCTION("""COMPUTED_VALUE"""),30000.0)</f>
        <v>30000</v>
      </c>
      <c r="F1779" s="1" t="str">
        <f>IFERROR(__xludf.DUMMYFUNCTION("""COMPUTED_VALUE"""),"0")</f>
        <v>0</v>
      </c>
      <c r="G1779" s="1" t="str">
        <f>IFERROR(__xludf.DUMMYFUNCTION("""COMPUTED_VALUE"""),"1")</f>
        <v>1</v>
      </c>
      <c r="H1779" s="1" t="str">
        <f>IFERROR(__xludf.DUMMYFUNCTION("""COMPUTED_VALUE"""),"26")</f>
        <v>26</v>
      </c>
    </row>
    <row r="1780" ht="15.75" customHeight="1">
      <c r="D1780" s="1" t="str">
        <f>IFERROR(__xludf.DUMMYFUNCTION("""COMPUTED_VALUE"""),"19634")</f>
        <v>19634</v>
      </c>
      <c r="E1780" s="3">
        <f>IFERROR(__xludf.DUMMYFUNCTION("""COMPUTED_VALUE"""),40000.0)</f>
        <v>40000</v>
      </c>
      <c r="F1780" s="1" t="str">
        <f>IFERROR(__xludf.DUMMYFUNCTION("""COMPUTED_VALUE"""),"0")</f>
        <v>0</v>
      </c>
      <c r="G1780" s="1" t="str">
        <f>IFERROR(__xludf.DUMMYFUNCTION("""COMPUTED_VALUE"""),"1")</f>
        <v>1</v>
      </c>
      <c r="H1780" s="1" t="str">
        <f>IFERROR(__xludf.DUMMYFUNCTION("""COMPUTED_VALUE"""),"31")</f>
        <v>31</v>
      </c>
    </row>
    <row r="1781" ht="15.75" customHeight="1">
      <c r="D1781" s="1" t="str">
        <f>IFERROR(__xludf.DUMMYFUNCTION("""COMPUTED_VALUE"""),"18504")</f>
        <v>18504</v>
      </c>
      <c r="E1781" s="3">
        <f>IFERROR(__xludf.DUMMYFUNCTION("""COMPUTED_VALUE"""),70000.0)</f>
        <v>70000</v>
      </c>
      <c r="F1781" s="1" t="str">
        <f>IFERROR(__xludf.DUMMYFUNCTION("""COMPUTED_VALUE"""),"2")</f>
        <v>2</v>
      </c>
      <c r="G1781" s="1" t="str">
        <f>IFERROR(__xludf.DUMMYFUNCTION("""COMPUTED_VALUE"""),"2")</f>
        <v>2</v>
      </c>
      <c r="H1781" s="1" t="str">
        <f>IFERROR(__xludf.DUMMYFUNCTION("""COMPUTED_VALUE"""),"49")</f>
        <v>49</v>
      </c>
    </row>
    <row r="1782" ht="15.75" customHeight="1">
      <c r="D1782" s="1" t="str">
        <f>IFERROR(__xludf.DUMMYFUNCTION("""COMPUTED_VALUE"""),"28799")</f>
        <v>28799</v>
      </c>
      <c r="E1782" s="3">
        <f>IFERROR(__xludf.DUMMYFUNCTION("""COMPUTED_VALUE"""),40000.0)</f>
        <v>40000</v>
      </c>
      <c r="F1782" s="1" t="str">
        <f>IFERROR(__xludf.DUMMYFUNCTION("""COMPUTED_VALUE"""),"2")</f>
        <v>2</v>
      </c>
      <c r="G1782" s="1" t="str">
        <f>IFERROR(__xludf.DUMMYFUNCTION("""COMPUTED_VALUE"""),"1")</f>
        <v>1</v>
      </c>
      <c r="H1782" s="1" t="str">
        <f>IFERROR(__xludf.DUMMYFUNCTION("""COMPUTED_VALUE"""),"47")</f>
        <v>47</v>
      </c>
    </row>
    <row r="1783" ht="15.75" customHeight="1">
      <c r="D1783" s="1" t="str">
        <f>IFERROR(__xludf.DUMMYFUNCTION("""COMPUTED_VALUE"""),"11225")</f>
        <v>11225</v>
      </c>
      <c r="E1783" s="3">
        <f>IFERROR(__xludf.DUMMYFUNCTION("""COMPUTED_VALUE"""),60000.0)</f>
        <v>60000</v>
      </c>
      <c r="F1783" s="1" t="str">
        <f>IFERROR(__xludf.DUMMYFUNCTION("""COMPUTED_VALUE"""),"2")</f>
        <v>2</v>
      </c>
      <c r="G1783" s="1" t="str">
        <f>IFERROR(__xludf.DUMMYFUNCTION("""COMPUTED_VALUE"""),"1")</f>
        <v>1</v>
      </c>
      <c r="H1783" s="1" t="str">
        <f>IFERROR(__xludf.DUMMYFUNCTION("""COMPUTED_VALUE"""),"55")</f>
        <v>55</v>
      </c>
    </row>
    <row r="1784" ht="15.75" customHeight="1">
      <c r="D1784" s="1" t="str">
        <f>IFERROR(__xludf.DUMMYFUNCTION("""COMPUTED_VALUE"""),"17657")</f>
        <v>17657</v>
      </c>
      <c r="E1784" s="3">
        <f>IFERROR(__xludf.DUMMYFUNCTION("""COMPUTED_VALUE"""),40000.0)</f>
        <v>40000</v>
      </c>
      <c r="F1784" s="1" t="str">
        <f>IFERROR(__xludf.DUMMYFUNCTION("""COMPUTED_VALUE"""),"4")</f>
        <v>4</v>
      </c>
      <c r="G1784" s="1" t="str">
        <f>IFERROR(__xludf.DUMMYFUNCTION("""COMPUTED_VALUE"""),"0")</f>
        <v>0</v>
      </c>
      <c r="H1784" s="1" t="str">
        <f>IFERROR(__xludf.DUMMYFUNCTION("""COMPUTED_VALUE"""),"30")</f>
        <v>30</v>
      </c>
    </row>
    <row r="1785" ht="15.75" customHeight="1">
      <c r="D1785" s="1" t="str">
        <f>IFERROR(__xludf.DUMMYFUNCTION("""COMPUTED_VALUE"""),"14913")</f>
        <v>14913</v>
      </c>
      <c r="E1785" s="3">
        <f>IFERROR(__xludf.DUMMYFUNCTION("""COMPUTED_VALUE"""),40000.0)</f>
        <v>40000</v>
      </c>
      <c r="F1785" s="1" t="str">
        <f>IFERROR(__xludf.DUMMYFUNCTION("""COMPUTED_VALUE"""),"1")</f>
        <v>1</v>
      </c>
      <c r="G1785" s="1" t="str">
        <f>IFERROR(__xludf.DUMMYFUNCTION("""COMPUTED_VALUE"""),"1")</f>
        <v>1</v>
      </c>
      <c r="H1785" s="1" t="str">
        <f>IFERROR(__xludf.DUMMYFUNCTION("""COMPUTED_VALUE"""),"48")</f>
        <v>48</v>
      </c>
    </row>
    <row r="1786" ht="15.75" customHeight="1">
      <c r="D1786" s="1" t="str">
        <f>IFERROR(__xludf.DUMMYFUNCTION("""COMPUTED_VALUE"""),"14077")</f>
        <v>14077</v>
      </c>
      <c r="E1786" s="3">
        <f>IFERROR(__xludf.DUMMYFUNCTION("""COMPUTED_VALUE"""),30000.0)</f>
        <v>30000</v>
      </c>
      <c r="F1786" s="1" t="str">
        <f>IFERROR(__xludf.DUMMYFUNCTION("""COMPUTED_VALUE"""),"0")</f>
        <v>0</v>
      </c>
      <c r="G1786" s="1" t="str">
        <f>IFERROR(__xludf.DUMMYFUNCTION("""COMPUTED_VALUE"""),"2")</f>
        <v>2</v>
      </c>
      <c r="H1786" s="1" t="str">
        <f>IFERROR(__xludf.DUMMYFUNCTION("""COMPUTED_VALUE"""),"30")</f>
        <v>30</v>
      </c>
    </row>
    <row r="1787" ht="15.75" customHeight="1">
      <c r="D1787" s="1" t="str">
        <f>IFERROR(__xludf.DUMMYFUNCTION("""COMPUTED_VALUE"""),"13296")</f>
        <v>13296</v>
      </c>
      <c r="E1787" s="3">
        <f>IFERROR(__xludf.DUMMYFUNCTION("""COMPUTED_VALUE"""),110000.0)</f>
        <v>110000</v>
      </c>
      <c r="F1787" s="1" t="str">
        <f>IFERROR(__xludf.DUMMYFUNCTION("""COMPUTED_VALUE"""),"1")</f>
        <v>1</v>
      </c>
      <c r="G1787" s="1" t="str">
        <f>IFERROR(__xludf.DUMMYFUNCTION("""COMPUTED_VALUE"""),"3")</f>
        <v>3</v>
      </c>
      <c r="H1787" s="1" t="str">
        <f>IFERROR(__xludf.DUMMYFUNCTION("""COMPUTED_VALUE"""),"45")</f>
        <v>45</v>
      </c>
    </row>
    <row r="1788" ht="15.75" customHeight="1">
      <c r="D1788" s="1" t="str">
        <f>IFERROR(__xludf.DUMMYFUNCTION("""COMPUTED_VALUE"""),"20535")</f>
        <v>20535</v>
      </c>
      <c r="E1788" s="3">
        <f>IFERROR(__xludf.DUMMYFUNCTION("""COMPUTED_VALUE"""),70000.0)</f>
        <v>70000</v>
      </c>
      <c r="F1788" s="1" t="str">
        <f>IFERROR(__xludf.DUMMYFUNCTION("""COMPUTED_VALUE"""),"4")</f>
        <v>4</v>
      </c>
      <c r="G1788" s="1" t="str">
        <f>IFERROR(__xludf.DUMMYFUNCTION("""COMPUTED_VALUE"""),"1")</f>
        <v>1</v>
      </c>
      <c r="H1788" s="1" t="str">
        <f>IFERROR(__xludf.DUMMYFUNCTION("""COMPUTED_VALUE"""),"56")</f>
        <v>56</v>
      </c>
    </row>
    <row r="1789" ht="15.75" customHeight="1">
      <c r="D1789" s="1" t="str">
        <f>IFERROR(__xludf.DUMMYFUNCTION("""COMPUTED_VALUE"""),"12452")</f>
        <v>12452</v>
      </c>
      <c r="E1789" s="3">
        <f>IFERROR(__xludf.DUMMYFUNCTION("""COMPUTED_VALUE"""),60000.0)</f>
        <v>60000</v>
      </c>
      <c r="F1789" s="1" t="str">
        <f>IFERROR(__xludf.DUMMYFUNCTION("""COMPUTED_VALUE"""),"4")</f>
        <v>4</v>
      </c>
      <c r="G1789" s="1" t="str">
        <f>IFERROR(__xludf.DUMMYFUNCTION("""COMPUTED_VALUE"""),"0")</f>
        <v>0</v>
      </c>
      <c r="H1789" s="1" t="str">
        <f>IFERROR(__xludf.DUMMYFUNCTION("""COMPUTED_VALUE"""),"47")</f>
        <v>47</v>
      </c>
    </row>
    <row r="1790" ht="15.75" customHeight="1">
      <c r="D1790" s="1" t="str">
        <f>IFERROR(__xludf.DUMMYFUNCTION("""COMPUTED_VALUE"""),"28043")</f>
        <v>28043</v>
      </c>
      <c r="E1790" s="3">
        <f>IFERROR(__xludf.DUMMYFUNCTION("""COMPUTED_VALUE"""),60000.0)</f>
        <v>60000</v>
      </c>
      <c r="F1790" s="1" t="str">
        <f>IFERROR(__xludf.DUMMYFUNCTION("""COMPUTED_VALUE"""),"2")</f>
        <v>2</v>
      </c>
      <c r="G1790" s="1" t="str">
        <f>IFERROR(__xludf.DUMMYFUNCTION("""COMPUTED_VALUE"""),"0")</f>
        <v>0</v>
      </c>
      <c r="H1790" s="1" t="str">
        <f>IFERROR(__xludf.DUMMYFUNCTION("""COMPUTED_VALUE"""),"56")</f>
        <v>56</v>
      </c>
    </row>
    <row r="1791" ht="15.75" customHeight="1">
      <c r="D1791" s="1" t="str">
        <f>IFERROR(__xludf.DUMMYFUNCTION("""COMPUTED_VALUE"""),"12957")</f>
        <v>12957</v>
      </c>
      <c r="E1791" s="3">
        <f>IFERROR(__xludf.DUMMYFUNCTION("""COMPUTED_VALUE"""),70000.0)</f>
        <v>70000</v>
      </c>
      <c r="F1791" s="1" t="str">
        <f>IFERROR(__xludf.DUMMYFUNCTION("""COMPUTED_VALUE"""),"1")</f>
        <v>1</v>
      </c>
      <c r="G1791" s="1" t="str">
        <f>IFERROR(__xludf.DUMMYFUNCTION("""COMPUTED_VALUE"""),"1")</f>
        <v>1</v>
      </c>
      <c r="H1791" s="1" t="str">
        <f>IFERROR(__xludf.DUMMYFUNCTION("""COMPUTED_VALUE"""),"44")</f>
        <v>44</v>
      </c>
    </row>
    <row r="1792" ht="15.75" customHeight="1">
      <c r="D1792" s="1" t="str">
        <f>IFERROR(__xludf.DUMMYFUNCTION("""COMPUTED_VALUE"""),"15412")</f>
        <v>15412</v>
      </c>
      <c r="E1792" s="3">
        <f>IFERROR(__xludf.DUMMYFUNCTION("""COMPUTED_VALUE"""),130000.0)</f>
        <v>130000</v>
      </c>
      <c r="F1792" s="1" t="str">
        <f>IFERROR(__xludf.DUMMYFUNCTION("""COMPUTED_VALUE"""),"2")</f>
        <v>2</v>
      </c>
      <c r="G1792" s="1" t="str">
        <f>IFERROR(__xludf.DUMMYFUNCTION("""COMPUTED_VALUE"""),"3")</f>
        <v>3</v>
      </c>
      <c r="H1792" s="1" t="str">
        <f>IFERROR(__xludf.DUMMYFUNCTION("""COMPUTED_VALUE"""),"69")</f>
        <v>69</v>
      </c>
    </row>
    <row r="1793" ht="15.75" customHeight="1">
      <c r="D1793" s="1" t="str">
        <f>IFERROR(__xludf.DUMMYFUNCTION("""COMPUTED_VALUE"""),"20514")</f>
        <v>20514</v>
      </c>
      <c r="E1793" s="3">
        <f>IFERROR(__xludf.DUMMYFUNCTION("""COMPUTED_VALUE"""),70000.0)</f>
        <v>70000</v>
      </c>
      <c r="F1793" s="1" t="str">
        <f>IFERROR(__xludf.DUMMYFUNCTION("""COMPUTED_VALUE"""),"2")</f>
        <v>2</v>
      </c>
      <c r="G1793" s="1" t="str">
        <f>IFERROR(__xludf.DUMMYFUNCTION("""COMPUTED_VALUE"""),"1")</f>
        <v>1</v>
      </c>
      <c r="H1793" s="1" t="str">
        <f>IFERROR(__xludf.DUMMYFUNCTION("""COMPUTED_VALUE"""),"59")</f>
        <v>59</v>
      </c>
    </row>
    <row r="1794" ht="15.75" customHeight="1">
      <c r="D1794" s="1" t="str">
        <f>IFERROR(__xludf.DUMMYFUNCTION("""COMPUTED_VALUE"""),"20758")</f>
        <v>20758</v>
      </c>
      <c r="E1794" s="3">
        <f>IFERROR(__xludf.DUMMYFUNCTION("""COMPUTED_VALUE"""),30000.0)</f>
        <v>30000</v>
      </c>
      <c r="F1794" s="1" t="str">
        <f>IFERROR(__xludf.DUMMYFUNCTION("""COMPUTED_VALUE"""),"2")</f>
        <v>2</v>
      </c>
      <c r="G1794" s="1" t="str">
        <f>IFERROR(__xludf.DUMMYFUNCTION("""COMPUTED_VALUE"""),"2")</f>
        <v>2</v>
      </c>
      <c r="H1794" s="1" t="str">
        <f>IFERROR(__xludf.DUMMYFUNCTION("""COMPUTED_VALUE"""),"50")</f>
        <v>50</v>
      </c>
    </row>
    <row r="1795" ht="15.75" customHeight="1">
      <c r="D1795" s="1" t="str">
        <f>IFERROR(__xludf.DUMMYFUNCTION("""COMPUTED_VALUE"""),"11801")</f>
        <v>11801</v>
      </c>
      <c r="E1795" s="3">
        <f>IFERROR(__xludf.DUMMYFUNCTION("""COMPUTED_VALUE"""),60000.0)</f>
        <v>60000</v>
      </c>
      <c r="F1795" s="1" t="str">
        <f>IFERROR(__xludf.DUMMYFUNCTION("""COMPUTED_VALUE"""),"1")</f>
        <v>1</v>
      </c>
      <c r="G1795" s="1" t="str">
        <f>IFERROR(__xludf.DUMMYFUNCTION("""COMPUTED_VALUE"""),"0")</f>
        <v>0</v>
      </c>
      <c r="H1795" s="1" t="str">
        <f>IFERROR(__xludf.DUMMYFUNCTION("""COMPUTED_VALUE"""),"36")</f>
        <v>36</v>
      </c>
    </row>
    <row r="1796" ht="15.75" customHeight="1">
      <c r="D1796" s="1" t="str">
        <f>IFERROR(__xludf.DUMMYFUNCTION("""COMPUTED_VALUE"""),"22211")</f>
        <v>22211</v>
      </c>
      <c r="E1796" s="3">
        <f>IFERROR(__xludf.DUMMYFUNCTION("""COMPUTED_VALUE"""),60000.0)</f>
        <v>60000</v>
      </c>
      <c r="F1796" s="1" t="str">
        <f>IFERROR(__xludf.DUMMYFUNCTION("""COMPUTED_VALUE"""),"0")</f>
        <v>0</v>
      </c>
      <c r="G1796" s="1" t="str">
        <f>IFERROR(__xludf.DUMMYFUNCTION("""COMPUTED_VALUE"""),"2")</f>
        <v>2</v>
      </c>
      <c r="H1796" s="1" t="str">
        <f>IFERROR(__xludf.DUMMYFUNCTION("""COMPUTED_VALUE"""),"32")</f>
        <v>32</v>
      </c>
    </row>
    <row r="1797" ht="15.75" customHeight="1">
      <c r="D1797" s="1" t="str">
        <f>IFERROR(__xludf.DUMMYFUNCTION("""COMPUTED_VALUE"""),"28087")</f>
        <v>28087</v>
      </c>
      <c r="E1797" s="3">
        <f>IFERROR(__xludf.DUMMYFUNCTION("""COMPUTED_VALUE"""),40000.0)</f>
        <v>40000</v>
      </c>
      <c r="F1797" s="1" t="str">
        <f>IFERROR(__xludf.DUMMYFUNCTION("""COMPUTED_VALUE"""),"0")</f>
        <v>0</v>
      </c>
      <c r="G1797" s="1" t="str">
        <f>IFERROR(__xludf.DUMMYFUNCTION("""COMPUTED_VALUE"""),"1")</f>
        <v>1</v>
      </c>
      <c r="H1797" s="1" t="str">
        <f>IFERROR(__xludf.DUMMYFUNCTION("""COMPUTED_VALUE"""),"27")</f>
        <v>27</v>
      </c>
    </row>
    <row r="1798" ht="15.75" customHeight="1">
      <c r="D1798" s="1" t="str">
        <f>IFERROR(__xludf.DUMMYFUNCTION("""COMPUTED_VALUE"""),"23668")</f>
        <v>23668</v>
      </c>
      <c r="E1798" s="3">
        <f>IFERROR(__xludf.DUMMYFUNCTION("""COMPUTED_VALUE"""),40000.0)</f>
        <v>40000</v>
      </c>
      <c r="F1798" s="1" t="str">
        <f>IFERROR(__xludf.DUMMYFUNCTION("""COMPUTED_VALUE"""),"4")</f>
        <v>4</v>
      </c>
      <c r="G1798" s="1" t="str">
        <f>IFERROR(__xludf.DUMMYFUNCTION("""COMPUTED_VALUE"""),"2")</f>
        <v>2</v>
      </c>
      <c r="H1798" s="1" t="str">
        <f>IFERROR(__xludf.DUMMYFUNCTION("""COMPUTED_VALUE"""),"59")</f>
        <v>59</v>
      </c>
    </row>
    <row r="1799" ht="15.75" customHeight="1">
      <c r="D1799" s="1" t="str">
        <f>IFERROR(__xludf.DUMMYFUNCTION("""COMPUTED_VALUE"""),"27441")</f>
        <v>27441</v>
      </c>
      <c r="E1799" s="3">
        <f>IFERROR(__xludf.DUMMYFUNCTION("""COMPUTED_VALUE"""),60000.0)</f>
        <v>60000</v>
      </c>
      <c r="F1799" s="1" t="str">
        <f>IFERROR(__xludf.DUMMYFUNCTION("""COMPUTED_VALUE"""),"3")</f>
        <v>3</v>
      </c>
      <c r="G1799" s="1" t="str">
        <f>IFERROR(__xludf.DUMMYFUNCTION("""COMPUTED_VALUE"""),"2")</f>
        <v>2</v>
      </c>
      <c r="H1799" s="1" t="str">
        <f>IFERROR(__xludf.DUMMYFUNCTION("""COMPUTED_VALUE"""),"53")</f>
        <v>53</v>
      </c>
    </row>
    <row r="1800" ht="15.75" customHeight="1">
      <c r="D1800" s="1" t="str">
        <f>IFERROR(__xludf.DUMMYFUNCTION("""COMPUTED_VALUE"""),"27261")</f>
        <v>27261</v>
      </c>
      <c r="E1800" s="3">
        <f>IFERROR(__xludf.DUMMYFUNCTION("""COMPUTED_VALUE"""),40000.0)</f>
        <v>40000</v>
      </c>
      <c r="F1800" s="1" t="str">
        <f>IFERROR(__xludf.DUMMYFUNCTION("""COMPUTED_VALUE"""),"1")</f>
        <v>1</v>
      </c>
      <c r="G1800" s="1" t="str">
        <f>IFERROR(__xludf.DUMMYFUNCTION("""COMPUTED_VALUE"""),"1")</f>
        <v>1</v>
      </c>
      <c r="H1800" s="1" t="str">
        <f>IFERROR(__xludf.DUMMYFUNCTION("""COMPUTED_VALUE"""),"36")</f>
        <v>36</v>
      </c>
    </row>
    <row r="1801" ht="15.75" customHeight="1">
      <c r="D1801" s="1" t="str">
        <f>IFERROR(__xludf.DUMMYFUNCTION("""COMPUTED_VALUE"""),"18649")</f>
        <v>18649</v>
      </c>
      <c r="E1801" s="3">
        <f>IFERROR(__xludf.DUMMYFUNCTION("""COMPUTED_VALUE"""),30000.0)</f>
        <v>30000</v>
      </c>
      <c r="F1801" s="1" t="str">
        <f>IFERROR(__xludf.DUMMYFUNCTION("""COMPUTED_VALUE"""),"1")</f>
        <v>1</v>
      </c>
      <c r="G1801" s="1" t="str">
        <f>IFERROR(__xludf.DUMMYFUNCTION("""COMPUTED_VALUE"""),"2")</f>
        <v>2</v>
      </c>
      <c r="H1801" s="1" t="str">
        <f>IFERROR(__xludf.DUMMYFUNCTION("""COMPUTED_VALUE"""),"51")</f>
        <v>51</v>
      </c>
    </row>
    <row r="1802" ht="15.75" customHeight="1">
      <c r="D1802" s="1" t="str">
        <f>IFERROR(__xludf.DUMMYFUNCTION("""COMPUTED_VALUE"""),"21714")</f>
        <v>21714</v>
      </c>
      <c r="E1802" s="3">
        <f>IFERROR(__xludf.DUMMYFUNCTION("""COMPUTED_VALUE"""),80000.0)</f>
        <v>80000</v>
      </c>
      <c r="F1802" s="1" t="str">
        <f>IFERROR(__xludf.DUMMYFUNCTION("""COMPUTED_VALUE"""),"5")</f>
        <v>5</v>
      </c>
      <c r="G1802" s="1" t="str">
        <f>IFERROR(__xludf.DUMMYFUNCTION("""COMPUTED_VALUE"""),"0")</f>
        <v>0</v>
      </c>
      <c r="H1802" s="1" t="str">
        <f>IFERROR(__xludf.DUMMYFUNCTION("""COMPUTED_VALUE"""),"47")</f>
        <v>47</v>
      </c>
    </row>
    <row r="1803" ht="15.75" customHeight="1">
      <c r="D1803" s="1" t="str">
        <f>IFERROR(__xludf.DUMMYFUNCTION("""COMPUTED_VALUE"""),"23217")</f>
        <v>23217</v>
      </c>
      <c r="E1803" s="3">
        <f>IFERROR(__xludf.DUMMYFUNCTION("""COMPUTED_VALUE"""),60000.0)</f>
        <v>60000</v>
      </c>
      <c r="F1803" s="1" t="str">
        <f>IFERROR(__xludf.DUMMYFUNCTION("""COMPUTED_VALUE"""),"3")</f>
        <v>3</v>
      </c>
      <c r="G1803" s="1" t="str">
        <f>IFERROR(__xludf.DUMMYFUNCTION("""COMPUTED_VALUE"""),"0")</f>
        <v>0</v>
      </c>
      <c r="H1803" s="1" t="str">
        <f>IFERROR(__xludf.DUMMYFUNCTION("""COMPUTED_VALUE"""),"43")</f>
        <v>43</v>
      </c>
    </row>
    <row r="1804" ht="15.75" customHeight="1">
      <c r="D1804" s="1" t="str">
        <f>IFERROR(__xludf.DUMMYFUNCTION("""COMPUTED_VALUE"""),"23797")</f>
        <v>23797</v>
      </c>
      <c r="E1804" s="3">
        <f>IFERROR(__xludf.DUMMYFUNCTION("""COMPUTED_VALUE"""),20000.0)</f>
        <v>20000</v>
      </c>
      <c r="F1804" s="1" t="str">
        <f>IFERROR(__xludf.DUMMYFUNCTION("""COMPUTED_VALUE"""),"3")</f>
        <v>3</v>
      </c>
      <c r="G1804" s="1" t="str">
        <f>IFERROR(__xludf.DUMMYFUNCTION("""COMPUTED_VALUE"""),"2")</f>
        <v>2</v>
      </c>
      <c r="H1804" s="1" t="str">
        <f>IFERROR(__xludf.DUMMYFUNCTION("""COMPUTED_VALUE"""),"50")</f>
        <v>50</v>
      </c>
    </row>
    <row r="1805" ht="15.75" customHeight="1">
      <c r="D1805" s="1" t="str">
        <f>IFERROR(__xludf.DUMMYFUNCTION("""COMPUTED_VALUE"""),"13216")</f>
        <v>13216</v>
      </c>
      <c r="E1805" s="3">
        <f>IFERROR(__xludf.DUMMYFUNCTION("""COMPUTED_VALUE"""),60000.0)</f>
        <v>60000</v>
      </c>
      <c r="F1805" s="1" t="str">
        <f>IFERROR(__xludf.DUMMYFUNCTION("""COMPUTED_VALUE"""),"5")</f>
        <v>5</v>
      </c>
      <c r="G1805" s="1" t="str">
        <f>IFERROR(__xludf.DUMMYFUNCTION("""COMPUTED_VALUE"""),"3")</f>
        <v>3</v>
      </c>
      <c r="H1805" s="1" t="str">
        <f>IFERROR(__xludf.DUMMYFUNCTION("""COMPUTED_VALUE"""),"59")</f>
        <v>59</v>
      </c>
    </row>
    <row r="1806" ht="15.75" customHeight="1">
      <c r="D1806" s="1" t="str">
        <f>IFERROR(__xludf.DUMMYFUNCTION("""COMPUTED_VALUE"""),"20657")</f>
        <v>20657</v>
      </c>
      <c r="E1806" s="3">
        <f>IFERROR(__xludf.DUMMYFUNCTION("""COMPUTED_VALUE"""),50000.0)</f>
        <v>50000</v>
      </c>
      <c r="F1806" s="1" t="str">
        <f>IFERROR(__xludf.DUMMYFUNCTION("""COMPUTED_VALUE"""),"2")</f>
        <v>2</v>
      </c>
      <c r="G1806" s="1" t="str">
        <f>IFERROR(__xludf.DUMMYFUNCTION("""COMPUTED_VALUE"""),"0")</f>
        <v>0</v>
      </c>
      <c r="H1806" s="1" t="str">
        <f>IFERROR(__xludf.DUMMYFUNCTION("""COMPUTED_VALUE"""),"37")</f>
        <v>37</v>
      </c>
    </row>
    <row r="1807" ht="15.75" customHeight="1">
      <c r="D1807" s="1" t="str">
        <f>IFERROR(__xludf.DUMMYFUNCTION("""COMPUTED_VALUE"""),"12882")</f>
        <v>12882</v>
      </c>
      <c r="E1807" s="3">
        <f>IFERROR(__xludf.DUMMYFUNCTION("""COMPUTED_VALUE"""),50000.0)</f>
        <v>50000</v>
      </c>
      <c r="F1807" s="1" t="str">
        <f>IFERROR(__xludf.DUMMYFUNCTION("""COMPUTED_VALUE"""),"1")</f>
        <v>1</v>
      </c>
      <c r="G1807" s="1" t="str">
        <f>IFERROR(__xludf.DUMMYFUNCTION("""COMPUTED_VALUE"""),"0")</f>
        <v>0</v>
      </c>
      <c r="H1807" s="1" t="str">
        <f>IFERROR(__xludf.DUMMYFUNCTION("""COMPUTED_VALUE"""),"33")</f>
        <v>33</v>
      </c>
    </row>
    <row r="1808" ht="15.75" customHeight="1">
      <c r="D1808" s="1" t="str">
        <f>IFERROR(__xludf.DUMMYFUNCTION("""COMPUTED_VALUE"""),"25908")</f>
        <v>25908</v>
      </c>
      <c r="E1808" s="3">
        <f>IFERROR(__xludf.DUMMYFUNCTION("""COMPUTED_VALUE"""),60000.0)</f>
        <v>60000</v>
      </c>
      <c r="F1808" s="1" t="str">
        <f>IFERROR(__xludf.DUMMYFUNCTION("""COMPUTED_VALUE"""),"0")</f>
        <v>0</v>
      </c>
      <c r="G1808" s="1" t="str">
        <f>IFERROR(__xludf.DUMMYFUNCTION("""COMPUTED_VALUE"""),"1")</f>
        <v>1</v>
      </c>
      <c r="H1808" s="1" t="str">
        <f>IFERROR(__xludf.DUMMYFUNCTION("""COMPUTED_VALUE"""),"27")</f>
        <v>27</v>
      </c>
    </row>
    <row r="1809" ht="15.75" customHeight="1">
      <c r="D1809" s="1" t="str">
        <f>IFERROR(__xludf.DUMMYFUNCTION("""COMPUTED_VALUE"""),"16753")</f>
        <v>16753</v>
      </c>
      <c r="E1809" s="3">
        <f>IFERROR(__xludf.DUMMYFUNCTION("""COMPUTED_VALUE"""),70000.0)</f>
        <v>70000</v>
      </c>
      <c r="F1809" s="1" t="str">
        <f>IFERROR(__xludf.DUMMYFUNCTION("""COMPUTED_VALUE"""),"0")</f>
        <v>0</v>
      </c>
      <c r="G1809" s="1" t="str">
        <f>IFERROR(__xludf.DUMMYFUNCTION("""COMPUTED_VALUE"""),"2")</f>
        <v>2</v>
      </c>
      <c r="H1809" s="1" t="str">
        <f>IFERROR(__xludf.DUMMYFUNCTION("""COMPUTED_VALUE"""),"34")</f>
        <v>34</v>
      </c>
    </row>
    <row r="1810" ht="15.75" customHeight="1">
      <c r="D1810" s="1" t="str">
        <f>IFERROR(__xludf.DUMMYFUNCTION("""COMPUTED_VALUE"""),"14608")</f>
        <v>14608</v>
      </c>
      <c r="E1810" s="3">
        <f>IFERROR(__xludf.DUMMYFUNCTION("""COMPUTED_VALUE"""),50000.0)</f>
        <v>50000</v>
      </c>
      <c r="F1810" s="1" t="str">
        <f>IFERROR(__xludf.DUMMYFUNCTION("""COMPUTED_VALUE"""),"4")</f>
        <v>4</v>
      </c>
      <c r="G1810" s="1" t="str">
        <f>IFERROR(__xludf.DUMMYFUNCTION("""COMPUTED_VALUE"""),"3")</f>
        <v>3</v>
      </c>
      <c r="H1810" s="1" t="str">
        <f>IFERROR(__xludf.DUMMYFUNCTION("""COMPUTED_VALUE"""),"42")</f>
        <v>42</v>
      </c>
    </row>
    <row r="1811" ht="15.75" customHeight="1">
      <c r="D1811" s="1" t="str">
        <f>IFERROR(__xludf.DUMMYFUNCTION("""COMPUTED_VALUE"""),"24979")</f>
        <v>24979</v>
      </c>
      <c r="E1811" s="3">
        <f>IFERROR(__xludf.DUMMYFUNCTION("""COMPUTED_VALUE"""),60000.0)</f>
        <v>60000</v>
      </c>
      <c r="F1811" s="1" t="str">
        <f>IFERROR(__xludf.DUMMYFUNCTION("""COMPUTED_VALUE"""),"2")</f>
        <v>2</v>
      </c>
      <c r="G1811" s="1" t="str">
        <f>IFERROR(__xludf.DUMMYFUNCTION("""COMPUTED_VALUE"""),"2")</f>
        <v>2</v>
      </c>
      <c r="H1811" s="1" t="str">
        <f>IFERROR(__xludf.DUMMYFUNCTION("""COMPUTED_VALUE"""),"57")</f>
        <v>57</v>
      </c>
    </row>
    <row r="1812" ht="15.75" customHeight="1">
      <c r="D1812" s="1" t="str">
        <f>IFERROR(__xludf.DUMMYFUNCTION("""COMPUTED_VALUE"""),"13313")</f>
        <v>13313</v>
      </c>
      <c r="E1812" s="3">
        <f>IFERROR(__xludf.DUMMYFUNCTION("""COMPUTED_VALUE"""),120000.0)</f>
        <v>120000</v>
      </c>
      <c r="F1812" s="1" t="str">
        <f>IFERROR(__xludf.DUMMYFUNCTION("""COMPUTED_VALUE"""),"1")</f>
        <v>1</v>
      </c>
      <c r="G1812" s="1" t="str">
        <f>IFERROR(__xludf.DUMMYFUNCTION("""COMPUTED_VALUE"""),"4")</f>
        <v>4</v>
      </c>
      <c r="H1812" s="1" t="str">
        <f>IFERROR(__xludf.DUMMYFUNCTION("""COMPUTED_VALUE"""),"45")</f>
        <v>45</v>
      </c>
    </row>
    <row r="1813" ht="15.75" customHeight="1">
      <c r="D1813" s="1" t="str">
        <f>IFERROR(__xludf.DUMMYFUNCTION("""COMPUTED_VALUE"""),"18952")</f>
        <v>18952</v>
      </c>
      <c r="E1813" s="3">
        <f>IFERROR(__xludf.DUMMYFUNCTION("""COMPUTED_VALUE"""),100000.0)</f>
        <v>100000</v>
      </c>
      <c r="F1813" s="1" t="str">
        <f>IFERROR(__xludf.DUMMYFUNCTION("""COMPUTED_VALUE"""),"4")</f>
        <v>4</v>
      </c>
      <c r="G1813" s="1" t="str">
        <f>IFERROR(__xludf.DUMMYFUNCTION("""COMPUTED_VALUE"""),"4")</f>
        <v>4</v>
      </c>
      <c r="H1813" s="1" t="str">
        <f>IFERROR(__xludf.DUMMYFUNCTION("""COMPUTED_VALUE"""),"40")</f>
        <v>40</v>
      </c>
    </row>
    <row r="1814" ht="15.75" customHeight="1">
      <c r="D1814" s="1" t="str">
        <f>IFERROR(__xludf.DUMMYFUNCTION("""COMPUTED_VALUE"""),"14657")</f>
        <v>14657</v>
      </c>
      <c r="E1814" s="3">
        <f>IFERROR(__xludf.DUMMYFUNCTION("""COMPUTED_VALUE"""),80000.0)</f>
        <v>80000</v>
      </c>
      <c r="F1814" s="1" t="str">
        <f>IFERROR(__xludf.DUMMYFUNCTION("""COMPUTED_VALUE"""),"1")</f>
        <v>1</v>
      </c>
      <c r="G1814" s="1" t="str">
        <f>IFERROR(__xludf.DUMMYFUNCTION("""COMPUTED_VALUE"""),"1")</f>
        <v>1</v>
      </c>
      <c r="H1814" s="1" t="str">
        <f>IFERROR(__xludf.DUMMYFUNCTION("""COMPUTED_VALUE"""),"47")</f>
        <v>47</v>
      </c>
    </row>
    <row r="1815" ht="15.75" customHeight="1">
      <c r="D1815" s="1" t="str">
        <f>IFERROR(__xludf.DUMMYFUNCTION("""COMPUTED_VALUE"""),"11540")</f>
        <v>11540</v>
      </c>
      <c r="E1815" s="3">
        <f>IFERROR(__xludf.DUMMYFUNCTION("""COMPUTED_VALUE"""),60000.0)</f>
        <v>60000</v>
      </c>
      <c r="F1815" s="1" t="str">
        <f>IFERROR(__xludf.DUMMYFUNCTION("""COMPUTED_VALUE"""),"4")</f>
        <v>4</v>
      </c>
      <c r="G1815" s="1" t="str">
        <f>IFERROR(__xludf.DUMMYFUNCTION("""COMPUTED_VALUE"""),"0")</f>
        <v>0</v>
      </c>
      <c r="H1815" s="1" t="str">
        <f>IFERROR(__xludf.DUMMYFUNCTION("""COMPUTED_VALUE"""),"47")</f>
        <v>47</v>
      </c>
    </row>
    <row r="1816" ht="15.75" customHeight="1">
      <c r="D1816" s="1" t="str">
        <f>IFERROR(__xludf.DUMMYFUNCTION("""COMPUTED_VALUE"""),"11783")</f>
        <v>11783</v>
      </c>
      <c r="E1816" s="3">
        <f>IFERROR(__xludf.DUMMYFUNCTION("""COMPUTED_VALUE"""),60000.0)</f>
        <v>60000</v>
      </c>
      <c r="F1816" s="1" t="str">
        <f>IFERROR(__xludf.DUMMYFUNCTION("""COMPUTED_VALUE"""),"1")</f>
        <v>1</v>
      </c>
      <c r="G1816" s="1" t="str">
        <f>IFERROR(__xludf.DUMMYFUNCTION("""COMPUTED_VALUE"""),"0")</f>
        <v>0</v>
      </c>
      <c r="H1816" s="1" t="str">
        <f>IFERROR(__xludf.DUMMYFUNCTION("""COMPUTED_VALUE"""),"34")</f>
        <v>34</v>
      </c>
    </row>
    <row r="1817" ht="15.75" customHeight="1">
      <c r="D1817" s="1" t="str">
        <f>IFERROR(__xludf.DUMMYFUNCTION("""COMPUTED_VALUE"""),"14602")</f>
        <v>14602</v>
      </c>
      <c r="E1817" s="3">
        <f>IFERROR(__xludf.DUMMYFUNCTION("""COMPUTED_VALUE"""),80000.0)</f>
        <v>80000</v>
      </c>
      <c r="F1817" s="1" t="str">
        <f>IFERROR(__xludf.DUMMYFUNCTION("""COMPUTED_VALUE"""),"3")</f>
        <v>3</v>
      </c>
      <c r="G1817" s="1" t="str">
        <f>IFERROR(__xludf.DUMMYFUNCTION("""COMPUTED_VALUE"""),"0")</f>
        <v>0</v>
      </c>
      <c r="H1817" s="1" t="str">
        <f>IFERROR(__xludf.DUMMYFUNCTION("""COMPUTED_VALUE"""),"36")</f>
        <v>36</v>
      </c>
    </row>
    <row r="1818" ht="15.75" customHeight="1">
      <c r="D1818" s="1" t="str">
        <f>IFERROR(__xludf.DUMMYFUNCTION("""COMPUTED_VALUE"""),"29030")</f>
        <v>29030</v>
      </c>
      <c r="E1818" s="3">
        <f>IFERROR(__xludf.DUMMYFUNCTION("""COMPUTED_VALUE"""),70000.0)</f>
        <v>70000</v>
      </c>
      <c r="F1818" s="1" t="str">
        <f>IFERROR(__xludf.DUMMYFUNCTION("""COMPUTED_VALUE"""),"2")</f>
        <v>2</v>
      </c>
      <c r="G1818" s="1" t="str">
        <f>IFERROR(__xludf.DUMMYFUNCTION("""COMPUTED_VALUE"""),"2")</f>
        <v>2</v>
      </c>
      <c r="H1818" s="1" t="str">
        <f>IFERROR(__xludf.DUMMYFUNCTION("""COMPUTED_VALUE"""),"54")</f>
        <v>54</v>
      </c>
    </row>
    <row r="1819" ht="15.75" customHeight="1">
      <c r="D1819" s="1" t="str">
        <f>IFERROR(__xludf.DUMMYFUNCTION("""COMPUTED_VALUE"""),"26490")</f>
        <v>26490</v>
      </c>
      <c r="E1819" s="3">
        <f>IFERROR(__xludf.DUMMYFUNCTION("""COMPUTED_VALUE"""),70000.0)</f>
        <v>70000</v>
      </c>
      <c r="F1819" s="1" t="str">
        <f>IFERROR(__xludf.DUMMYFUNCTION("""COMPUTED_VALUE"""),"2")</f>
        <v>2</v>
      </c>
      <c r="G1819" s="1" t="str">
        <f>IFERROR(__xludf.DUMMYFUNCTION("""COMPUTED_VALUE"""),"1")</f>
        <v>1</v>
      </c>
      <c r="H1819" s="1" t="str">
        <f>IFERROR(__xludf.DUMMYFUNCTION("""COMPUTED_VALUE"""),"59")</f>
        <v>59</v>
      </c>
    </row>
    <row r="1820" ht="15.75" customHeight="1">
      <c r="D1820" s="1" t="str">
        <f>IFERROR(__xludf.DUMMYFUNCTION("""COMPUTED_VALUE"""),"13151")</f>
        <v>13151</v>
      </c>
      <c r="E1820" s="3">
        <f>IFERROR(__xludf.DUMMYFUNCTION("""COMPUTED_VALUE"""),40000.0)</f>
        <v>40000</v>
      </c>
      <c r="F1820" s="1" t="str">
        <f>IFERROR(__xludf.DUMMYFUNCTION("""COMPUTED_VALUE"""),"0")</f>
        <v>0</v>
      </c>
      <c r="G1820" s="1" t="str">
        <f>IFERROR(__xludf.DUMMYFUNCTION("""COMPUTED_VALUE"""),"2")</f>
        <v>2</v>
      </c>
      <c r="H1820" s="1" t="str">
        <f>IFERROR(__xludf.DUMMYFUNCTION("""COMPUTED_VALUE"""),"27")</f>
        <v>27</v>
      </c>
    </row>
    <row r="1821" ht="15.75" customHeight="1">
      <c r="D1821" s="1" t="str">
        <f>IFERROR(__xludf.DUMMYFUNCTION("""COMPUTED_VALUE"""),"17260")</f>
        <v>17260</v>
      </c>
      <c r="E1821" s="3">
        <f>IFERROR(__xludf.DUMMYFUNCTION("""COMPUTED_VALUE"""),90000.0)</f>
        <v>90000</v>
      </c>
      <c r="F1821" s="1" t="str">
        <f>IFERROR(__xludf.DUMMYFUNCTION("""COMPUTED_VALUE"""),"5")</f>
        <v>5</v>
      </c>
      <c r="G1821" s="1" t="str">
        <f>IFERROR(__xludf.DUMMYFUNCTION("""COMPUTED_VALUE"""),"3")</f>
        <v>3</v>
      </c>
      <c r="H1821" s="1" t="str">
        <f>IFERROR(__xludf.DUMMYFUNCTION("""COMPUTED_VALUE"""),"41")</f>
        <v>41</v>
      </c>
    </row>
    <row r="1822" ht="15.75" customHeight="1">
      <c r="D1822" s="1" t="str">
        <f>IFERROR(__xludf.DUMMYFUNCTION("""COMPUTED_VALUE"""),"15372")</f>
        <v>15372</v>
      </c>
      <c r="E1822" s="3">
        <f>IFERROR(__xludf.DUMMYFUNCTION("""COMPUTED_VALUE"""),80000.0)</f>
        <v>80000</v>
      </c>
      <c r="F1822" s="1" t="str">
        <f>IFERROR(__xludf.DUMMYFUNCTION("""COMPUTED_VALUE"""),"3")</f>
        <v>3</v>
      </c>
      <c r="G1822" s="1" t="str">
        <f>IFERROR(__xludf.DUMMYFUNCTION("""COMPUTED_VALUE"""),"2")</f>
        <v>2</v>
      </c>
      <c r="H1822" s="1" t="str">
        <f>IFERROR(__xludf.DUMMYFUNCTION("""COMPUTED_VALUE"""),"50")</f>
        <v>50</v>
      </c>
    </row>
    <row r="1823" ht="15.75" customHeight="1">
      <c r="D1823" s="1" t="str">
        <f>IFERROR(__xludf.DUMMYFUNCTION("""COMPUTED_VALUE"""),"18105")</f>
        <v>18105</v>
      </c>
      <c r="E1823" s="3">
        <f>IFERROR(__xludf.DUMMYFUNCTION("""COMPUTED_VALUE"""),60000.0)</f>
        <v>60000</v>
      </c>
      <c r="F1823" s="1" t="str">
        <f>IFERROR(__xludf.DUMMYFUNCTION("""COMPUTED_VALUE"""),"2")</f>
        <v>2</v>
      </c>
      <c r="G1823" s="1" t="str">
        <f>IFERROR(__xludf.DUMMYFUNCTION("""COMPUTED_VALUE"""),"1")</f>
        <v>1</v>
      </c>
      <c r="H1823" s="1" t="str">
        <f>IFERROR(__xludf.DUMMYFUNCTION("""COMPUTED_VALUE"""),"55")</f>
        <v>55</v>
      </c>
    </row>
    <row r="1824" ht="15.75" customHeight="1">
      <c r="D1824" s="1" t="str">
        <f>IFERROR(__xludf.DUMMYFUNCTION("""COMPUTED_VALUE"""),"19660")</f>
        <v>19660</v>
      </c>
      <c r="E1824" s="3">
        <f>IFERROR(__xludf.DUMMYFUNCTION("""COMPUTED_VALUE"""),80000.0)</f>
        <v>80000</v>
      </c>
      <c r="F1824" s="1" t="str">
        <f>IFERROR(__xludf.DUMMYFUNCTION("""COMPUTED_VALUE"""),"4")</f>
        <v>4</v>
      </c>
      <c r="G1824" s="1" t="str">
        <f>IFERROR(__xludf.DUMMYFUNCTION("""COMPUTED_VALUE"""),"0")</f>
        <v>0</v>
      </c>
      <c r="H1824" s="1" t="str">
        <f>IFERROR(__xludf.DUMMYFUNCTION("""COMPUTED_VALUE"""),"43")</f>
        <v>43</v>
      </c>
    </row>
    <row r="1825" ht="15.75" customHeight="1">
      <c r="D1825" s="1" t="str">
        <f>IFERROR(__xludf.DUMMYFUNCTION("""COMPUTED_VALUE"""),"16112")</f>
        <v>16112</v>
      </c>
      <c r="E1825" s="3">
        <f>IFERROR(__xludf.DUMMYFUNCTION("""COMPUTED_VALUE"""),70000.0)</f>
        <v>70000</v>
      </c>
      <c r="F1825" s="1" t="str">
        <f>IFERROR(__xludf.DUMMYFUNCTION("""COMPUTED_VALUE"""),"4")</f>
        <v>4</v>
      </c>
      <c r="G1825" s="1" t="str">
        <f>IFERROR(__xludf.DUMMYFUNCTION("""COMPUTED_VALUE"""),"2")</f>
        <v>2</v>
      </c>
      <c r="H1825" s="1" t="str">
        <f>IFERROR(__xludf.DUMMYFUNCTION("""COMPUTED_VALUE"""),"43")</f>
        <v>43</v>
      </c>
    </row>
    <row r="1826" ht="15.75" customHeight="1">
      <c r="D1826" s="1" t="str">
        <f>IFERROR(__xludf.DUMMYFUNCTION("""COMPUTED_VALUE"""),"20698")</f>
        <v>20698</v>
      </c>
      <c r="E1826" s="3">
        <f>IFERROR(__xludf.DUMMYFUNCTION("""COMPUTED_VALUE"""),60000.0)</f>
        <v>60000</v>
      </c>
      <c r="F1826" s="1" t="str">
        <f>IFERROR(__xludf.DUMMYFUNCTION("""COMPUTED_VALUE"""),"4")</f>
        <v>4</v>
      </c>
      <c r="G1826" s="1" t="str">
        <f>IFERROR(__xludf.DUMMYFUNCTION("""COMPUTED_VALUE"""),"3")</f>
        <v>3</v>
      </c>
      <c r="H1826" s="1" t="str">
        <f>IFERROR(__xludf.DUMMYFUNCTION("""COMPUTED_VALUE"""),"42")</f>
        <v>42</v>
      </c>
    </row>
    <row r="1827" ht="15.75" customHeight="1">
      <c r="D1827" s="1" t="str">
        <f>IFERROR(__xludf.DUMMYFUNCTION("""COMPUTED_VALUE"""),"20076")</f>
        <v>20076</v>
      </c>
      <c r="E1827" s="3">
        <f>IFERROR(__xludf.DUMMYFUNCTION("""COMPUTED_VALUE"""),10000.0)</f>
        <v>10000</v>
      </c>
      <c r="F1827" s="1" t="str">
        <f>IFERROR(__xludf.DUMMYFUNCTION("""COMPUTED_VALUE"""),"2")</f>
        <v>2</v>
      </c>
      <c r="G1827" s="1" t="str">
        <f>IFERROR(__xludf.DUMMYFUNCTION("""COMPUTED_VALUE"""),"2")</f>
        <v>2</v>
      </c>
      <c r="H1827" s="1" t="str">
        <f>IFERROR(__xludf.DUMMYFUNCTION("""COMPUTED_VALUE"""),"53")</f>
        <v>53</v>
      </c>
    </row>
    <row r="1828" ht="15.75" customHeight="1">
      <c r="D1828" s="1" t="str">
        <f>IFERROR(__xludf.DUMMYFUNCTION("""COMPUTED_VALUE"""),"24496")</f>
        <v>24496</v>
      </c>
      <c r="E1828" s="3">
        <f>IFERROR(__xludf.DUMMYFUNCTION("""COMPUTED_VALUE"""),40000.0)</f>
        <v>40000</v>
      </c>
      <c r="F1828" s="1" t="str">
        <f>IFERROR(__xludf.DUMMYFUNCTION("""COMPUTED_VALUE"""),"0")</f>
        <v>0</v>
      </c>
      <c r="G1828" s="1" t="str">
        <f>IFERROR(__xludf.DUMMYFUNCTION("""COMPUTED_VALUE"""),"2")</f>
        <v>2</v>
      </c>
      <c r="H1828" s="1" t="str">
        <f>IFERROR(__xludf.DUMMYFUNCTION("""COMPUTED_VALUE"""),"28")</f>
        <v>28</v>
      </c>
    </row>
    <row r="1829" ht="15.75" customHeight="1">
      <c r="D1829" s="1" t="str">
        <f>IFERROR(__xludf.DUMMYFUNCTION("""COMPUTED_VALUE"""),"15468")</f>
        <v>15468</v>
      </c>
      <c r="E1829" s="3">
        <f>IFERROR(__xludf.DUMMYFUNCTION("""COMPUTED_VALUE"""),50000.0)</f>
        <v>50000</v>
      </c>
      <c r="F1829" s="1" t="str">
        <f>IFERROR(__xludf.DUMMYFUNCTION("""COMPUTED_VALUE"""),"1")</f>
        <v>1</v>
      </c>
      <c r="G1829" s="1" t="str">
        <f>IFERROR(__xludf.DUMMYFUNCTION("""COMPUTED_VALUE"""),"1")</f>
        <v>1</v>
      </c>
      <c r="H1829" s="1" t="str">
        <f>IFERROR(__xludf.DUMMYFUNCTION("""COMPUTED_VALUE"""),"35")</f>
        <v>35</v>
      </c>
    </row>
    <row r="1830" ht="15.75" customHeight="1">
      <c r="D1830" s="1" t="str">
        <f>IFERROR(__xludf.DUMMYFUNCTION("""COMPUTED_VALUE"""),"28031")</f>
        <v>28031</v>
      </c>
      <c r="E1830" s="3">
        <f>IFERROR(__xludf.DUMMYFUNCTION("""COMPUTED_VALUE"""),70000.0)</f>
        <v>70000</v>
      </c>
      <c r="F1830" s="1" t="str">
        <f>IFERROR(__xludf.DUMMYFUNCTION("""COMPUTED_VALUE"""),"2")</f>
        <v>2</v>
      </c>
      <c r="G1830" s="1" t="str">
        <f>IFERROR(__xludf.DUMMYFUNCTION("""COMPUTED_VALUE"""),"1")</f>
        <v>1</v>
      </c>
      <c r="H1830" s="1" t="str">
        <f>IFERROR(__xludf.DUMMYFUNCTION("""COMPUTED_VALUE"""),"59")</f>
        <v>59</v>
      </c>
    </row>
    <row r="1831" ht="15.75" customHeight="1">
      <c r="D1831" s="1" t="str">
        <f>IFERROR(__xludf.DUMMYFUNCTION("""COMPUTED_VALUE"""),"26270")</f>
        <v>26270</v>
      </c>
      <c r="E1831" s="3">
        <f>IFERROR(__xludf.DUMMYFUNCTION("""COMPUTED_VALUE"""),20000.0)</f>
        <v>20000</v>
      </c>
      <c r="F1831" s="1" t="str">
        <f>IFERROR(__xludf.DUMMYFUNCTION("""COMPUTED_VALUE"""),"2")</f>
        <v>2</v>
      </c>
      <c r="G1831" s="1" t="str">
        <f>IFERROR(__xludf.DUMMYFUNCTION("""COMPUTED_VALUE"""),"2")</f>
        <v>2</v>
      </c>
      <c r="H1831" s="1" t="str">
        <f>IFERROR(__xludf.DUMMYFUNCTION("""COMPUTED_VALUE"""),"49")</f>
        <v>49</v>
      </c>
    </row>
    <row r="1832" ht="15.75" customHeight="1">
      <c r="D1832" s="1" t="str">
        <f>IFERROR(__xludf.DUMMYFUNCTION("""COMPUTED_VALUE"""),"22221")</f>
        <v>22221</v>
      </c>
      <c r="E1832" s="3">
        <f>IFERROR(__xludf.DUMMYFUNCTION("""COMPUTED_VALUE"""),60000.0)</f>
        <v>60000</v>
      </c>
      <c r="F1832" s="1" t="str">
        <f>IFERROR(__xludf.DUMMYFUNCTION("""COMPUTED_VALUE"""),"2")</f>
        <v>2</v>
      </c>
      <c r="G1832" s="1" t="str">
        <f>IFERROR(__xludf.DUMMYFUNCTION("""COMPUTED_VALUE"""),"2")</f>
        <v>2</v>
      </c>
      <c r="H1832" s="1" t="str">
        <f>IFERROR(__xludf.DUMMYFUNCTION("""COMPUTED_VALUE"""),"48")</f>
        <v>48</v>
      </c>
    </row>
    <row r="1833" ht="15.75" customHeight="1">
      <c r="D1833" s="1" t="str">
        <f>IFERROR(__xludf.DUMMYFUNCTION("""COMPUTED_VALUE"""),"28228")</f>
        <v>28228</v>
      </c>
      <c r="E1833" s="3">
        <f>IFERROR(__xludf.DUMMYFUNCTION("""COMPUTED_VALUE"""),80000.0)</f>
        <v>80000</v>
      </c>
      <c r="F1833" s="1" t="str">
        <f>IFERROR(__xludf.DUMMYFUNCTION("""COMPUTED_VALUE"""),"2")</f>
        <v>2</v>
      </c>
      <c r="G1833" s="1" t="str">
        <f>IFERROR(__xludf.DUMMYFUNCTION("""COMPUTED_VALUE"""),"2")</f>
        <v>2</v>
      </c>
      <c r="H1833" s="1" t="str">
        <f>IFERROR(__xludf.DUMMYFUNCTION("""COMPUTED_VALUE"""),"50")</f>
        <v>50</v>
      </c>
    </row>
    <row r="1834" ht="15.75" customHeight="1">
      <c r="D1834" s="1" t="str">
        <f>IFERROR(__xludf.DUMMYFUNCTION("""COMPUTED_VALUE"""),"18363")</f>
        <v>18363</v>
      </c>
      <c r="E1834" s="3">
        <f>IFERROR(__xludf.DUMMYFUNCTION("""COMPUTED_VALUE"""),40000.0)</f>
        <v>40000</v>
      </c>
      <c r="F1834" s="1" t="str">
        <f>IFERROR(__xludf.DUMMYFUNCTION("""COMPUTED_VALUE"""),"0")</f>
        <v>0</v>
      </c>
      <c r="G1834" s="1" t="str">
        <f>IFERROR(__xludf.DUMMYFUNCTION("""COMPUTED_VALUE"""),"2")</f>
        <v>2</v>
      </c>
      <c r="H1834" s="1" t="str">
        <f>IFERROR(__xludf.DUMMYFUNCTION("""COMPUTED_VALUE"""),"28")</f>
        <v>28</v>
      </c>
    </row>
    <row r="1835" ht="15.75" customHeight="1">
      <c r="D1835" s="1" t="str">
        <f>IFERROR(__xludf.DUMMYFUNCTION("""COMPUTED_VALUE"""),"23256")</f>
        <v>23256</v>
      </c>
      <c r="E1835" s="3">
        <f>IFERROR(__xludf.DUMMYFUNCTION("""COMPUTED_VALUE"""),30000.0)</f>
        <v>30000</v>
      </c>
      <c r="F1835" s="1" t="str">
        <f>IFERROR(__xludf.DUMMYFUNCTION("""COMPUTED_VALUE"""),"1")</f>
        <v>1</v>
      </c>
      <c r="G1835" s="1" t="str">
        <f>IFERROR(__xludf.DUMMYFUNCTION("""COMPUTED_VALUE"""),"1")</f>
        <v>1</v>
      </c>
      <c r="H1835" s="1" t="str">
        <f>IFERROR(__xludf.DUMMYFUNCTION("""COMPUTED_VALUE"""),"52")</f>
        <v>52</v>
      </c>
    </row>
    <row r="1836" ht="15.75" customHeight="1">
      <c r="D1836" s="1" t="str">
        <f>IFERROR(__xludf.DUMMYFUNCTION("""COMPUTED_VALUE"""),"12768")</f>
        <v>12768</v>
      </c>
      <c r="E1836" s="3">
        <f>IFERROR(__xludf.DUMMYFUNCTION("""COMPUTED_VALUE"""),30000.0)</f>
        <v>30000</v>
      </c>
      <c r="F1836" s="1" t="str">
        <f>IFERROR(__xludf.DUMMYFUNCTION("""COMPUTED_VALUE"""),"1")</f>
        <v>1</v>
      </c>
      <c r="G1836" s="1" t="str">
        <f>IFERROR(__xludf.DUMMYFUNCTION("""COMPUTED_VALUE"""),"1")</f>
        <v>1</v>
      </c>
      <c r="H1836" s="1" t="str">
        <f>IFERROR(__xludf.DUMMYFUNCTION("""COMPUTED_VALUE"""),"52")</f>
        <v>52</v>
      </c>
    </row>
    <row r="1837" ht="15.75" customHeight="1">
      <c r="D1837" s="1" t="str">
        <f>IFERROR(__xludf.DUMMYFUNCTION("""COMPUTED_VALUE"""),"20361")</f>
        <v>20361</v>
      </c>
      <c r="E1837" s="3">
        <f>IFERROR(__xludf.DUMMYFUNCTION("""COMPUTED_VALUE"""),50000.0)</f>
        <v>50000</v>
      </c>
      <c r="F1837" s="1" t="str">
        <f>IFERROR(__xludf.DUMMYFUNCTION("""COMPUTED_VALUE"""),"2")</f>
        <v>2</v>
      </c>
      <c r="G1837" s="1" t="str">
        <f>IFERROR(__xludf.DUMMYFUNCTION("""COMPUTED_VALUE"""),"2")</f>
        <v>2</v>
      </c>
      <c r="H1837" s="1" t="str">
        <f>IFERROR(__xludf.DUMMYFUNCTION("""COMPUTED_VALUE"""),"69")</f>
        <v>69</v>
      </c>
    </row>
    <row r="1838" ht="15.75" customHeight="1">
      <c r="D1838" s="1" t="str">
        <f>IFERROR(__xludf.DUMMYFUNCTION("""COMPUTED_VALUE"""),"21306")</f>
        <v>21306</v>
      </c>
      <c r="E1838" s="3">
        <f>IFERROR(__xludf.DUMMYFUNCTION("""COMPUTED_VALUE"""),60000.0)</f>
        <v>60000</v>
      </c>
      <c r="F1838" s="1" t="str">
        <f>IFERROR(__xludf.DUMMYFUNCTION("""COMPUTED_VALUE"""),"2")</f>
        <v>2</v>
      </c>
      <c r="G1838" s="1" t="str">
        <f>IFERROR(__xludf.DUMMYFUNCTION("""COMPUTED_VALUE"""),"2")</f>
        <v>2</v>
      </c>
      <c r="H1838" s="1" t="str">
        <f>IFERROR(__xludf.DUMMYFUNCTION("""COMPUTED_VALUE"""),"51")</f>
        <v>51</v>
      </c>
    </row>
    <row r="1839" ht="15.75" customHeight="1">
      <c r="D1839" s="1" t="str">
        <f>IFERROR(__xludf.DUMMYFUNCTION("""COMPUTED_VALUE"""),"13382")</f>
        <v>13382</v>
      </c>
      <c r="E1839" s="3">
        <f>IFERROR(__xludf.DUMMYFUNCTION("""COMPUTED_VALUE"""),70000.0)</f>
        <v>70000</v>
      </c>
      <c r="F1839" s="1" t="str">
        <f>IFERROR(__xludf.DUMMYFUNCTION("""COMPUTED_VALUE"""),"5")</f>
        <v>5</v>
      </c>
      <c r="G1839" s="1" t="str">
        <f>IFERROR(__xludf.DUMMYFUNCTION("""COMPUTED_VALUE"""),"2")</f>
        <v>2</v>
      </c>
      <c r="H1839" s="1" t="str">
        <f>IFERROR(__xludf.DUMMYFUNCTION("""COMPUTED_VALUE"""),"57")</f>
        <v>57</v>
      </c>
    </row>
    <row r="1840" ht="15.75" customHeight="1">
      <c r="D1840" s="1" t="str">
        <f>IFERROR(__xludf.DUMMYFUNCTION("""COMPUTED_VALUE"""),"20310")</f>
        <v>20310</v>
      </c>
      <c r="E1840" s="3">
        <f>IFERROR(__xludf.DUMMYFUNCTION("""COMPUTED_VALUE"""),60000.0)</f>
        <v>60000</v>
      </c>
      <c r="F1840" s="1" t="str">
        <f>IFERROR(__xludf.DUMMYFUNCTION("""COMPUTED_VALUE"""),"0")</f>
        <v>0</v>
      </c>
      <c r="G1840" s="1" t="str">
        <f>IFERROR(__xludf.DUMMYFUNCTION("""COMPUTED_VALUE"""),"1")</f>
        <v>1</v>
      </c>
      <c r="H1840" s="1" t="str">
        <f>IFERROR(__xludf.DUMMYFUNCTION("""COMPUTED_VALUE"""),"27")</f>
        <v>27</v>
      </c>
    </row>
    <row r="1841" ht="15.75" customHeight="1">
      <c r="D1841" s="1" t="str">
        <f>IFERROR(__xludf.DUMMYFUNCTION("""COMPUTED_VALUE"""),"22971")</f>
        <v>22971</v>
      </c>
      <c r="E1841" s="3">
        <f>IFERROR(__xludf.DUMMYFUNCTION("""COMPUTED_VALUE"""),30000.0)</f>
        <v>30000</v>
      </c>
      <c r="F1841" s="1" t="str">
        <f>IFERROR(__xludf.DUMMYFUNCTION("""COMPUTED_VALUE"""),"0")</f>
        <v>0</v>
      </c>
      <c r="G1841" s="1" t="str">
        <f>IFERROR(__xludf.DUMMYFUNCTION("""COMPUTED_VALUE"""),"2")</f>
        <v>2</v>
      </c>
      <c r="H1841" s="1" t="str">
        <f>IFERROR(__xludf.DUMMYFUNCTION("""COMPUTED_VALUE"""),"25")</f>
        <v>25</v>
      </c>
    </row>
    <row r="1842" ht="15.75" customHeight="1">
      <c r="D1842" s="1" t="str">
        <f>IFERROR(__xludf.DUMMYFUNCTION("""COMPUTED_VALUE"""),"15287")</f>
        <v>15287</v>
      </c>
      <c r="E1842" s="3">
        <f>IFERROR(__xludf.DUMMYFUNCTION("""COMPUTED_VALUE"""),50000.0)</f>
        <v>50000</v>
      </c>
      <c r="F1842" s="1" t="str">
        <f>IFERROR(__xludf.DUMMYFUNCTION("""COMPUTED_VALUE"""),"1")</f>
        <v>1</v>
      </c>
      <c r="G1842" s="1" t="str">
        <f>IFERROR(__xludf.DUMMYFUNCTION("""COMPUTED_VALUE"""),"0")</f>
        <v>0</v>
      </c>
      <c r="H1842" s="1" t="str">
        <f>IFERROR(__xludf.DUMMYFUNCTION("""COMPUTED_VALUE"""),"33")</f>
        <v>33</v>
      </c>
    </row>
    <row r="1843" ht="15.75" customHeight="1">
      <c r="D1843" s="1" t="str">
        <f>IFERROR(__xludf.DUMMYFUNCTION("""COMPUTED_VALUE"""),"15532")</f>
        <v>15532</v>
      </c>
      <c r="E1843" s="3">
        <f>IFERROR(__xludf.DUMMYFUNCTION("""COMPUTED_VALUE"""),60000.0)</f>
        <v>60000</v>
      </c>
      <c r="F1843" s="1" t="str">
        <f>IFERROR(__xludf.DUMMYFUNCTION("""COMPUTED_VALUE"""),"4")</f>
        <v>4</v>
      </c>
      <c r="G1843" s="1" t="str">
        <f>IFERROR(__xludf.DUMMYFUNCTION("""COMPUTED_VALUE"""),"2")</f>
        <v>2</v>
      </c>
      <c r="H1843" s="1" t="str">
        <f>IFERROR(__xludf.DUMMYFUNCTION("""COMPUTED_VALUE"""),"43")</f>
        <v>43</v>
      </c>
    </row>
    <row r="1844" ht="15.75" customHeight="1">
      <c r="D1844" s="1" t="str">
        <f>IFERROR(__xludf.DUMMYFUNCTION("""COMPUTED_VALUE"""),"11255")</f>
        <v>11255</v>
      </c>
      <c r="E1844" s="3">
        <f>IFERROR(__xludf.DUMMYFUNCTION("""COMPUTED_VALUE"""),70000.0)</f>
        <v>70000</v>
      </c>
      <c r="F1844" s="1" t="str">
        <f>IFERROR(__xludf.DUMMYFUNCTION("""COMPUTED_VALUE"""),"4")</f>
        <v>4</v>
      </c>
      <c r="G1844" s="1" t="str">
        <f>IFERROR(__xludf.DUMMYFUNCTION("""COMPUTED_VALUE"""),"2")</f>
        <v>2</v>
      </c>
      <c r="H1844" s="1" t="str">
        <f>IFERROR(__xludf.DUMMYFUNCTION("""COMPUTED_VALUE"""),"73")</f>
        <v>73</v>
      </c>
    </row>
    <row r="1845" ht="15.75" customHeight="1">
      <c r="D1845" s="1" t="str">
        <f>IFERROR(__xludf.DUMMYFUNCTION("""COMPUTED_VALUE"""),"28090")</f>
        <v>28090</v>
      </c>
      <c r="E1845" s="3">
        <f>IFERROR(__xludf.DUMMYFUNCTION("""COMPUTED_VALUE"""),40000.0)</f>
        <v>40000</v>
      </c>
      <c r="F1845" s="1" t="str">
        <f>IFERROR(__xludf.DUMMYFUNCTION("""COMPUTED_VALUE"""),"0")</f>
        <v>0</v>
      </c>
      <c r="G1845" s="1" t="str">
        <f>IFERROR(__xludf.DUMMYFUNCTION("""COMPUTED_VALUE"""),"1")</f>
        <v>1</v>
      </c>
      <c r="H1845" s="1" t="str">
        <f>IFERROR(__xludf.DUMMYFUNCTION("""COMPUTED_VALUE"""),"27")</f>
        <v>27</v>
      </c>
    </row>
    <row r="1846" ht="15.75" customHeight="1">
      <c r="D1846" s="1" t="str">
        <f>IFERROR(__xludf.DUMMYFUNCTION("""COMPUTED_VALUE"""),"15255")</f>
        <v>15255</v>
      </c>
      <c r="E1846" s="3">
        <f>IFERROR(__xludf.DUMMYFUNCTION("""COMPUTED_VALUE"""),40000.0)</f>
        <v>40000</v>
      </c>
      <c r="F1846" s="1" t="str">
        <f>IFERROR(__xludf.DUMMYFUNCTION("""COMPUTED_VALUE"""),"0")</f>
        <v>0</v>
      </c>
      <c r="G1846" s="1" t="str">
        <f>IFERROR(__xludf.DUMMYFUNCTION("""COMPUTED_VALUE"""),"2")</f>
        <v>2</v>
      </c>
      <c r="H1846" s="1" t="str">
        <f>IFERROR(__xludf.DUMMYFUNCTION("""COMPUTED_VALUE"""),"28")</f>
        <v>28</v>
      </c>
    </row>
    <row r="1847" ht="15.75" customHeight="1">
      <c r="D1847" s="1" t="str">
        <f>IFERROR(__xludf.DUMMYFUNCTION("""COMPUTED_VALUE"""),"13154")</f>
        <v>13154</v>
      </c>
      <c r="E1847" s="3">
        <f>IFERROR(__xludf.DUMMYFUNCTION("""COMPUTED_VALUE"""),40000.0)</f>
        <v>40000</v>
      </c>
      <c r="F1847" s="1" t="str">
        <f>IFERROR(__xludf.DUMMYFUNCTION("""COMPUTED_VALUE"""),"0")</f>
        <v>0</v>
      </c>
      <c r="G1847" s="1" t="str">
        <f>IFERROR(__xludf.DUMMYFUNCTION("""COMPUTED_VALUE"""),"2")</f>
        <v>2</v>
      </c>
      <c r="H1847" s="1" t="str">
        <f>IFERROR(__xludf.DUMMYFUNCTION("""COMPUTED_VALUE"""),"27")</f>
        <v>27</v>
      </c>
    </row>
    <row r="1848" ht="15.75" customHeight="1">
      <c r="D1848" s="1" t="str">
        <f>IFERROR(__xludf.DUMMYFUNCTION("""COMPUTED_VALUE"""),"26778")</f>
        <v>26778</v>
      </c>
      <c r="E1848" s="3">
        <f>IFERROR(__xludf.DUMMYFUNCTION("""COMPUTED_VALUE"""),40000.0)</f>
        <v>40000</v>
      </c>
      <c r="F1848" s="1" t="str">
        <f>IFERROR(__xludf.DUMMYFUNCTION("""COMPUTED_VALUE"""),"0")</f>
        <v>0</v>
      </c>
      <c r="G1848" s="1" t="str">
        <f>IFERROR(__xludf.DUMMYFUNCTION("""COMPUTED_VALUE"""),"2")</f>
        <v>2</v>
      </c>
      <c r="H1848" s="1" t="str">
        <f>IFERROR(__xludf.DUMMYFUNCTION("""COMPUTED_VALUE"""),"31")</f>
        <v>31</v>
      </c>
    </row>
    <row r="1849" ht="15.75" customHeight="1">
      <c r="D1849" s="1" t="str">
        <f>IFERROR(__xludf.DUMMYFUNCTION("""COMPUTED_VALUE"""),"23248")</f>
        <v>23248</v>
      </c>
      <c r="E1849" s="3">
        <f>IFERROR(__xludf.DUMMYFUNCTION("""COMPUTED_VALUE"""),10000.0)</f>
        <v>10000</v>
      </c>
      <c r="F1849" s="1" t="str">
        <f>IFERROR(__xludf.DUMMYFUNCTION("""COMPUTED_VALUE"""),"2")</f>
        <v>2</v>
      </c>
      <c r="G1849" s="1" t="str">
        <f>IFERROR(__xludf.DUMMYFUNCTION("""COMPUTED_VALUE"""),"2")</f>
        <v>2</v>
      </c>
      <c r="H1849" s="1" t="str">
        <f>IFERROR(__xludf.DUMMYFUNCTION("""COMPUTED_VALUE"""),"53")</f>
        <v>53</v>
      </c>
    </row>
    <row r="1850" ht="15.75" customHeight="1">
      <c r="D1850" s="1" t="str">
        <f>IFERROR(__xludf.DUMMYFUNCTION("""COMPUTED_VALUE"""),"21417")</f>
        <v>21417</v>
      </c>
      <c r="E1850" s="3">
        <f>IFERROR(__xludf.DUMMYFUNCTION("""COMPUTED_VALUE"""),60000.0)</f>
        <v>60000</v>
      </c>
      <c r="F1850" s="1" t="str">
        <f>IFERROR(__xludf.DUMMYFUNCTION("""COMPUTED_VALUE"""),"0")</f>
        <v>0</v>
      </c>
      <c r="G1850" s="1" t="str">
        <f>IFERROR(__xludf.DUMMYFUNCTION("""COMPUTED_VALUE"""),"2")</f>
        <v>2</v>
      </c>
      <c r="H1850" s="1" t="str">
        <f>IFERROR(__xludf.DUMMYFUNCTION("""COMPUTED_VALUE"""),"32")</f>
        <v>32</v>
      </c>
    </row>
    <row r="1851" ht="15.75" customHeight="1">
      <c r="D1851" s="1" t="str">
        <f>IFERROR(__xludf.DUMMYFUNCTION("""COMPUTED_VALUE"""),"17668")</f>
        <v>17668</v>
      </c>
      <c r="E1851" s="3">
        <f>IFERROR(__xludf.DUMMYFUNCTION("""COMPUTED_VALUE"""),30000.0)</f>
        <v>30000</v>
      </c>
      <c r="F1851" s="1" t="str">
        <f>IFERROR(__xludf.DUMMYFUNCTION("""COMPUTED_VALUE"""),"2")</f>
        <v>2</v>
      </c>
      <c r="G1851" s="1" t="str">
        <f>IFERROR(__xludf.DUMMYFUNCTION("""COMPUTED_VALUE"""),"2")</f>
        <v>2</v>
      </c>
      <c r="H1851" s="1" t="str">
        <f>IFERROR(__xludf.DUMMYFUNCTION("""COMPUTED_VALUE"""),"50")</f>
        <v>50</v>
      </c>
    </row>
    <row r="1852" ht="15.75" customHeight="1">
      <c r="D1852" s="1" t="str">
        <f>IFERROR(__xludf.DUMMYFUNCTION("""COMPUTED_VALUE"""),"27994")</f>
        <v>27994</v>
      </c>
      <c r="E1852" s="3">
        <f>IFERROR(__xludf.DUMMYFUNCTION("""COMPUTED_VALUE"""),40000.0)</f>
        <v>40000</v>
      </c>
      <c r="F1852" s="1" t="str">
        <f>IFERROR(__xludf.DUMMYFUNCTION("""COMPUTED_VALUE"""),"4")</f>
        <v>4</v>
      </c>
      <c r="G1852" s="1" t="str">
        <f>IFERROR(__xludf.DUMMYFUNCTION("""COMPUTED_VALUE"""),"2")</f>
        <v>2</v>
      </c>
      <c r="H1852" s="1" t="str">
        <f>IFERROR(__xludf.DUMMYFUNCTION("""COMPUTED_VALUE"""),"69")</f>
        <v>69</v>
      </c>
    </row>
    <row r="1853" ht="15.75" customHeight="1">
      <c r="D1853" s="1" t="str">
        <f>IFERROR(__xludf.DUMMYFUNCTION("""COMPUTED_VALUE"""),"20376")</f>
        <v>20376</v>
      </c>
      <c r="E1853" s="3">
        <f>IFERROR(__xludf.DUMMYFUNCTION("""COMPUTED_VALUE"""),70000.0)</f>
        <v>70000</v>
      </c>
      <c r="F1853" s="1" t="str">
        <f>IFERROR(__xludf.DUMMYFUNCTION("""COMPUTED_VALUE"""),"3")</f>
        <v>3</v>
      </c>
      <c r="G1853" s="1" t="str">
        <f>IFERROR(__xludf.DUMMYFUNCTION("""COMPUTED_VALUE"""),"2")</f>
        <v>2</v>
      </c>
      <c r="H1853" s="1" t="str">
        <f>IFERROR(__xludf.DUMMYFUNCTION("""COMPUTED_VALUE"""),"52")</f>
        <v>52</v>
      </c>
    </row>
    <row r="1854" ht="15.75" customHeight="1">
      <c r="D1854" s="1" t="str">
        <f>IFERROR(__xludf.DUMMYFUNCTION("""COMPUTED_VALUE"""),"25954")</f>
        <v>25954</v>
      </c>
      <c r="E1854" s="3">
        <f>IFERROR(__xludf.DUMMYFUNCTION("""COMPUTED_VALUE"""),60000.0)</f>
        <v>60000</v>
      </c>
      <c r="F1854" s="1" t="str">
        <f>IFERROR(__xludf.DUMMYFUNCTION("""COMPUTED_VALUE"""),"0")</f>
        <v>0</v>
      </c>
      <c r="G1854" s="1" t="str">
        <f>IFERROR(__xludf.DUMMYFUNCTION("""COMPUTED_VALUE"""),"2")</f>
        <v>2</v>
      </c>
      <c r="H1854" s="1" t="str">
        <f>IFERROR(__xludf.DUMMYFUNCTION("""COMPUTED_VALUE"""),"31")</f>
        <v>31</v>
      </c>
    </row>
    <row r="1855" ht="15.75" customHeight="1">
      <c r="D1855" s="1" t="str">
        <f>IFERROR(__xludf.DUMMYFUNCTION("""COMPUTED_VALUE"""),"15749")</f>
        <v>15749</v>
      </c>
      <c r="E1855" s="3">
        <f>IFERROR(__xludf.DUMMYFUNCTION("""COMPUTED_VALUE"""),70000.0)</f>
        <v>70000</v>
      </c>
      <c r="F1855" s="1" t="str">
        <f>IFERROR(__xludf.DUMMYFUNCTION("""COMPUTED_VALUE"""),"4")</f>
        <v>4</v>
      </c>
      <c r="G1855" s="1" t="str">
        <f>IFERROR(__xludf.DUMMYFUNCTION("""COMPUTED_VALUE"""),"2")</f>
        <v>2</v>
      </c>
      <c r="H1855" s="1" t="str">
        <f>IFERROR(__xludf.DUMMYFUNCTION("""COMPUTED_VALUE"""),"61")</f>
        <v>61</v>
      </c>
    </row>
    <row r="1856" ht="15.75" customHeight="1">
      <c r="D1856" s="1" t="str">
        <f>IFERROR(__xludf.DUMMYFUNCTION("""COMPUTED_VALUE"""),"25899")</f>
        <v>25899</v>
      </c>
      <c r="E1856" s="3">
        <f>IFERROR(__xludf.DUMMYFUNCTION("""COMPUTED_VALUE"""),70000.0)</f>
        <v>70000</v>
      </c>
      <c r="F1856" s="1" t="str">
        <f>IFERROR(__xludf.DUMMYFUNCTION("""COMPUTED_VALUE"""),"2")</f>
        <v>2</v>
      </c>
      <c r="G1856" s="1" t="str">
        <f>IFERROR(__xludf.DUMMYFUNCTION("""COMPUTED_VALUE"""),"2")</f>
        <v>2</v>
      </c>
      <c r="H1856" s="1" t="str">
        <f>IFERROR(__xludf.DUMMYFUNCTION("""COMPUTED_VALUE"""),"53")</f>
        <v>53</v>
      </c>
    </row>
    <row r="1857" ht="15.75" customHeight="1">
      <c r="D1857" s="1" t="str">
        <f>IFERROR(__xludf.DUMMYFUNCTION("""COMPUTED_VALUE"""),"13351")</f>
        <v>13351</v>
      </c>
      <c r="E1857" s="3">
        <f>IFERROR(__xludf.DUMMYFUNCTION("""COMPUTED_VALUE"""),70000.0)</f>
        <v>70000</v>
      </c>
      <c r="F1857" s="1" t="str">
        <f>IFERROR(__xludf.DUMMYFUNCTION("""COMPUTED_VALUE"""),"4")</f>
        <v>4</v>
      </c>
      <c r="G1857" s="1" t="str">
        <f>IFERROR(__xludf.DUMMYFUNCTION("""COMPUTED_VALUE"""),"2")</f>
        <v>2</v>
      </c>
      <c r="H1857" s="1" t="str">
        <f>IFERROR(__xludf.DUMMYFUNCTION("""COMPUTED_VALUE"""),"62")</f>
        <v>62</v>
      </c>
    </row>
    <row r="1858" ht="15.75" customHeight="1">
      <c r="D1858" s="1" t="str">
        <f>IFERROR(__xludf.DUMMYFUNCTION("""COMPUTED_VALUE"""),"23333")</f>
        <v>23333</v>
      </c>
      <c r="E1858" s="3">
        <f>IFERROR(__xludf.DUMMYFUNCTION("""COMPUTED_VALUE"""),40000.0)</f>
        <v>40000</v>
      </c>
      <c r="F1858" s="1" t="str">
        <f>IFERROR(__xludf.DUMMYFUNCTION("""COMPUTED_VALUE"""),"0")</f>
        <v>0</v>
      </c>
      <c r="G1858" s="1" t="str">
        <f>IFERROR(__xludf.DUMMYFUNCTION("""COMPUTED_VALUE"""),"2")</f>
        <v>2</v>
      </c>
      <c r="H1858" s="1" t="str">
        <f>IFERROR(__xludf.DUMMYFUNCTION("""COMPUTED_VALUE"""),"30")</f>
        <v>30</v>
      </c>
    </row>
    <row r="1859" ht="15.75" customHeight="1">
      <c r="D1859" s="1" t="str">
        <f>IFERROR(__xludf.DUMMYFUNCTION("""COMPUTED_VALUE"""),"21660")</f>
        <v>21660</v>
      </c>
      <c r="E1859" s="3">
        <f>IFERROR(__xludf.DUMMYFUNCTION("""COMPUTED_VALUE"""),60000.0)</f>
        <v>60000</v>
      </c>
      <c r="F1859" s="1" t="str">
        <f>IFERROR(__xludf.DUMMYFUNCTION("""COMPUTED_VALUE"""),"3")</f>
        <v>3</v>
      </c>
      <c r="G1859" s="1" t="str">
        <f>IFERROR(__xludf.DUMMYFUNCTION("""COMPUTED_VALUE"""),"0")</f>
        <v>0</v>
      </c>
      <c r="H1859" s="1" t="str">
        <f>IFERROR(__xludf.DUMMYFUNCTION("""COMPUTED_VALUE"""),"43")</f>
        <v>43</v>
      </c>
    </row>
    <row r="1860" ht="15.75" customHeight="1">
      <c r="D1860" s="1" t="str">
        <f>IFERROR(__xludf.DUMMYFUNCTION("""COMPUTED_VALUE"""),"17012")</f>
        <v>17012</v>
      </c>
      <c r="E1860" s="3">
        <f>IFERROR(__xludf.DUMMYFUNCTION("""COMPUTED_VALUE"""),60000.0)</f>
        <v>60000</v>
      </c>
      <c r="F1860" s="1" t="str">
        <f>IFERROR(__xludf.DUMMYFUNCTION("""COMPUTED_VALUE"""),"3")</f>
        <v>3</v>
      </c>
      <c r="G1860" s="1" t="str">
        <f>IFERROR(__xludf.DUMMYFUNCTION("""COMPUTED_VALUE"""),"0")</f>
        <v>0</v>
      </c>
      <c r="H1860" s="1" t="str">
        <f>IFERROR(__xludf.DUMMYFUNCTION("""COMPUTED_VALUE"""),"42")</f>
        <v>42</v>
      </c>
    </row>
    <row r="1861" ht="15.75" customHeight="1">
      <c r="D1861" s="1" t="str">
        <f>IFERROR(__xludf.DUMMYFUNCTION("""COMPUTED_VALUE"""),"24514")</f>
        <v>24514</v>
      </c>
      <c r="E1861" s="3">
        <f>IFERROR(__xludf.DUMMYFUNCTION("""COMPUTED_VALUE"""),40000.0)</f>
        <v>40000</v>
      </c>
      <c r="F1861" s="1" t="str">
        <f>IFERROR(__xludf.DUMMYFUNCTION("""COMPUTED_VALUE"""),"0")</f>
        <v>0</v>
      </c>
      <c r="G1861" s="1" t="str">
        <f>IFERROR(__xludf.DUMMYFUNCTION("""COMPUTED_VALUE"""),"1")</f>
        <v>1</v>
      </c>
      <c r="H1861" s="1" t="str">
        <f>IFERROR(__xludf.DUMMYFUNCTION("""COMPUTED_VALUE"""),"30")</f>
        <v>30</v>
      </c>
    </row>
    <row r="1862" ht="15.75" customHeight="1">
      <c r="D1862" s="1" t="str">
        <f>IFERROR(__xludf.DUMMYFUNCTION("""COMPUTED_VALUE"""),"27505")</f>
        <v>27505</v>
      </c>
      <c r="E1862" s="3">
        <f>IFERROR(__xludf.DUMMYFUNCTION("""COMPUTED_VALUE"""),40000.0)</f>
        <v>40000</v>
      </c>
      <c r="F1862" s="1" t="str">
        <f>IFERROR(__xludf.DUMMYFUNCTION("""COMPUTED_VALUE"""),"0")</f>
        <v>0</v>
      </c>
      <c r="G1862" s="1" t="str">
        <f>IFERROR(__xludf.DUMMYFUNCTION("""COMPUTED_VALUE"""),"2")</f>
        <v>2</v>
      </c>
      <c r="H1862" s="1" t="str">
        <f>IFERROR(__xludf.DUMMYFUNCTION("""COMPUTED_VALUE"""),"30")</f>
        <v>30</v>
      </c>
    </row>
    <row r="1863" ht="15.75" customHeight="1">
      <c r="D1863" s="1" t="str">
        <f>IFERROR(__xludf.DUMMYFUNCTION("""COMPUTED_VALUE"""),"29243")</f>
        <v>29243</v>
      </c>
      <c r="E1863" s="3">
        <f>IFERROR(__xludf.DUMMYFUNCTION("""COMPUTED_VALUE"""),110000.0)</f>
        <v>110000</v>
      </c>
      <c r="F1863" s="1" t="str">
        <f>IFERROR(__xludf.DUMMYFUNCTION("""COMPUTED_VALUE"""),"1")</f>
        <v>1</v>
      </c>
      <c r="G1863" s="1" t="str">
        <f>IFERROR(__xludf.DUMMYFUNCTION("""COMPUTED_VALUE"""),"1")</f>
        <v>1</v>
      </c>
      <c r="H1863" s="1" t="str">
        <f>IFERROR(__xludf.DUMMYFUNCTION("""COMPUTED_VALUE"""),"43")</f>
        <v>43</v>
      </c>
    </row>
    <row r="1864" ht="15.75" customHeight="1">
      <c r="D1864" s="1" t="str">
        <f>IFERROR(__xludf.DUMMYFUNCTION("""COMPUTED_VALUE"""),"26582")</f>
        <v>26582</v>
      </c>
      <c r="E1864" s="3">
        <f>IFERROR(__xludf.DUMMYFUNCTION("""COMPUTED_VALUE"""),60000.0)</f>
        <v>60000</v>
      </c>
      <c r="F1864" s="1" t="str">
        <f>IFERROR(__xludf.DUMMYFUNCTION("""COMPUTED_VALUE"""),"0")</f>
        <v>0</v>
      </c>
      <c r="G1864" s="1" t="str">
        <f>IFERROR(__xludf.DUMMYFUNCTION("""COMPUTED_VALUE"""),"2")</f>
        <v>2</v>
      </c>
      <c r="H1864" s="1" t="str">
        <f>IFERROR(__xludf.DUMMYFUNCTION("""COMPUTED_VALUE"""),"33")</f>
        <v>33</v>
      </c>
    </row>
    <row r="1865" ht="15.75" customHeight="1">
      <c r="D1865" s="1" t="str">
        <f>IFERROR(__xludf.DUMMYFUNCTION("""COMPUTED_VALUE"""),"14271")</f>
        <v>14271</v>
      </c>
      <c r="E1865" s="3">
        <f>IFERROR(__xludf.DUMMYFUNCTION("""COMPUTED_VALUE"""),30000.0)</f>
        <v>30000</v>
      </c>
      <c r="F1865" s="1" t="str">
        <f>IFERROR(__xludf.DUMMYFUNCTION("""COMPUTED_VALUE"""),"0")</f>
        <v>0</v>
      </c>
      <c r="G1865" s="1" t="str">
        <f>IFERROR(__xludf.DUMMYFUNCTION("""COMPUTED_VALUE"""),"2")</f>
        <v>2</v>
      </c>
      <c r="H1865" s="1" t="str">
        <f>IFERROR(__xludf.DUMMYFUNCTION("""COMPUTED_VALUE"""),"32")</f>
        <v>32</v>
      </c>
    </row>
    <row r="1866" ht="15.75" customHeight="1">
      <c r="D1866" s="1" t="str">
        <f>IFERROR(__xludf.DUMMYFUNCTION("""COMPUTED_VALUE"""),"23041")</f>
        <v>23041</v>
      </c>
      <c r="E1866" s="3">
        <f>IFERROR(__xludf.DUMMYFUNCTION("""COMPUTED_VALUE"""),70000.0)</f>
        <v>70000</v>
      </c>
      <c r="F1866" s="1" t="str">
        <f>IFERROR(__xludf.DUMMYFUNCTION("""COMPUTED_VALUE"""),"4")</f>
        <v>4</v>
      </c>
      <c r="G1866" s="1" t="str">
        <f>IFERROR(__xludf.DUMMYFUNCTION("""COMPUTED_VALUE"""),"0")</f>
        <v>0</v>
      </c>
      <c r="H1866" s="1" t="str">
        <f>IFERROR(__xludf.DUMMYFUNCTION("""COMPUTED_VALUE"""),"50")</f>
        <v>50</v>
      </c>
    </row>
    <row r="1867" ht="15.75" customHeight="1">
      <c r="D1867" s="1" t="str">
        <f>IFERROR(__xludf.DUMMYFUNCTION("""COMPUTED_VALUE"""),"29048")</f>
        <v>29048</v>
      </c>
      <c r="E1867" s="3">
        <f>IFERROR(__xludf.DUMMYFUNCTION("""COMPUTED_VALUE"""),110000.0)</f>
        <v>110000</v>
      </c>
      <c r="F1867" s="1" t="str">
        <f>IFERROR(__xludf.DUMMYFUNCTION("""COMPUTED_VALUE"""),"2")</f>
        <v>2</v>
      </c>
      <c r="G1867" s="1" t="str">
        <f>IFERROR(__xludf.DUMMYFUNCTION("""COMPUTED_VALUE"""),"3")</f>
        <v>3</v>
      </c>
      <c r="H1867" s="1" t="str">
        <f>IFERROR(__xludf.DUMMYFUNCTION("""COMPUTED_VALUE"""),"37")</f>
        <v>37</v>
      </c>
    </row>
    <row r="1868" ht="15.75" customHeight="1">
      <c r="D1868" s="1" t="str">
        <f>IFERROR(__xludf.DUMMYFUNCTION("""COMPUTED_VALUE"""),"24433")</f>
        <v>24433</v>
      </c>
      <c r="E1868" s="3">
        <f>IFERROR(__xludf.DUMMYFUNCTION("""COMPUTED_VALUE"""),70000.0)</f>
        <v>70000</v>
      </c>
      <c r="F1868" s="1" t="str">
        <f>IFERROR(__xludf.DUMMYFUNCTION("""COMPUTED_VALUE"""),"3")</f>
        <v>3</v>
      </c>
      <c r="G1868" s="1" t="str">
        <f>IFERROR(__xludf.DUMMYFUNCTION("""COMPUTED_VALUE"""),"1")</f>
        <v>1</v>
      </c>
      <c r="H1868" s="1" t="str">
        <f>IFERROR(__xludf.DUMMYFUNCTION("""COMPUTED_VALUE"""),"52")</f>
        <v>52</v>
      </c>
    </row>
    <row r="1869" ht="15.75" customHeight="1">
      <c r="D1869" s="1" t="str">
        <f>IFERROR(__xludf.DUMMYFUNCTION("""COMPUTED_VALUE"""),"15501")</f>
        <v>15501</v>
      </c>
      <c r="E1869" s="3">
        <f>IFERROR(__xludf.DUMMYFUNCTION("""COMPUTED_VALUE"""),70000.0)</f>
        <v>70000</v>
      </c>
      <c r="F1869" s="1" t="str">
        <f>IFERROR(__xludf.DUMMYFUNCTION("""COMPUTED_VALUE"""),"4")</f>
        <v>4</v>
      </c>
      <c r="G1869" s="1" t="str">
        <f>IFERROR(__xludf.DUMMYFUNCTION("""COMPUTED_VALUE"""),"0")</f>
        <v>0</v>
      </c>
      <c r="H1869" s="1" t="str">
        <f>IFERROR(__xludf.DUMMYFUNCTION("""COMPUTED_VALUE"""),"36")</f>
        <v>36</v>
      </c>
    </row>
    <row r="1870" ht="15.75" customHeight="1">
      <c r="D1870" s="1" t="str">
        <f>IFERROR(__xludf.DUMMYFUNCTION("""COMPUTED_VALUE"""),"13911")</f>
        <v>13911</v>
      </c>
      <c r="E1870" s="3">
        <f>IFERROR(__xludf.DUMMYFUNCTION("""COMPUTED_VALUE"""),80000.0)</f>
        <v>80000</v>
      </c>
      <c r="F1870" s="1" t="str">
        <f>IFERROR(__xludf.DUMMYFUNCTION("""COMPUTED_VALUE"""),"3")</f>
        <v>3</v>
      </c>
      <c r="G1870" s="1" t="str">
        <f>IFERROR(__xludf.DUMMYFUNCTION("""COMPUTED_VALUE"""),"2")</f>
        <v>2</v>
      </c>
      <c r="H1870" s="1" t="str">
        <f>IFERROR(__xludf.DUMMYFUNCTION("""COMPUTED_VALUE"""),"41")</f>
        <v>41</v>
      </c>
    </row>
    <row r="1871" ht="15.75" customHeight="1">
      <c r="D1871" s="1" t="str">
        <f>IFERROR(__xludf.DUMMYFUNCTION("""COMPUTED_VALUE"""),"20421")</f>
        <v>20421</v>
      </c>
      <c r="E1871" s="3">
        <f>IFERROR(__xludf.DUMMYFUNCTION("""COMPUTED_VALUE"""),40000.0)</f>
        <v>40000</v>
      </c>
      <c r="F1871" s="1" t="str">
        <f>IFERROR(__xludf.DUMMYFUNCTION("""COMPUTED_VALUE"""),"0")</f>
        <v>0</v>
      </c>
      <c r="G1871" s="1" t="str">
        <f>IFERROR(__xludf.DUMMYFUNCTION("""COMPUTED_VALUE"""),"2")</f>
        <v>2</v>
      </c>
      <c r="H1871" s="1" t="str">
        <f>IFERROR(__xludf.DUMMYFUNCTION("""COMPUTED_VALUE"""),"26")</f>
        <v>26</v>
      </c>
    </row>
    <row r="1872" ht="15.75" customHeight="1">
      <c r="D1872" s="1" t="str">
        <f>IFERROR(__xludf.DUMMYFUNCTION("""COMPUTED_VALUE"""),"16009")</f>
        <v>16009</v>
      </c>
      <c r="E1872" s="3">
        <f>IFERROR(__xludf.DUMMYFUNCTION("""COMPUTED_VALUE"""),170000.0)</f>
        <v>170000</v>
      </c>
      <c r="F1872" s="1" t="str">
        <f>IFERROR(__xludf.DUMMYFUNCTION("""COMPUTED_VALUE"""),"1")</f>
        <v>1</v>
      </c>
      <c r="G1872" s="1" t="str">
        <f>IFERROR(__xludf.DUMMYFUNCTION("""COMPUTED_VALUE"""),"4")</f>
        <v>4</v>
      </c>
      <c r="H1872" s="1" t="str">
        <f>IFERROR(__xludf.DUMMYFUNCTION("""COMPUTED_VALUE"""),"66")</f>
        <v>66</v>
      </c>
    </row>
    <row r="1873" ht="15.75" customHeight="1">
      <c r="D1873" s="1" t="str">
        <f>IFERROR(__xludf.DUMMYFUNCTION("""COMPUTED_VALUE"""),"18411")</f>
        <v>18411</v>
      </c>
      <c r="E1873" s="3">
        <f>IFERROR(__xludf.DUMMYFUNCTION("""COMPUTED_VALUE"""),60000.0)</f>
        <v>60000</v>
      </c>
      <c r="F1873" s="1" t="str">
        <f>IFERROR(__xludf.DUMMYFUNCTION("""COMPUTED_VALUE"""),"2")</f>
        <v>2</v>
      </c>
      <c r="G1873" s="1" t="str">
        <f>IFERROR(__xludf.DUMMYFUNCTION("""COMPUTED_VALUE"""),"2")</f>
        <v>2</v>
      </c>
      <c r="H1873" s="1" t="str">
        <f>IFERROR(__xludf.DUMMYFUNCTION("""COMPUTED_VALUE"""),"51")</f>
        <v>51</v>
      </c>
    </row>
    <row r="1874" ht="15.75" customHeight="1">
      <c r="D1874" s="1" t="str">
        <f>IFERROR(__xludf.DUMMYFUNCTION("""COMPUTED_VALUE"""),"19163")</f>
        <v>19163</v>
      </c>
      <c r="E1874" s="3">
        <f>IFERROR(__xludf.DUMMYFUNCTION("""COMPUTED_VALUE"""),70000.0)</f>
        <v>70000</v>
      </c>
      <c r="F1874" s="1" t="str">
        <f>IFERROR(__xludf.DUMMYFUNCTION("""COMPUTED_VALUE"""),"4")</f>
        <v>4</v>
      </c>
      <c r="G1874" s="1" t="str">
        <f>IFERROR(__xludf.DUMMYFUNCTION("""COMPUTED_VALUE"""),"2")</f>
        <v>2</v>
      </c>
      <c r="H1874" s="1" t="str">
        <f>IFERROR(__xludf.DUMMYFUNCTION("""COMPUTED_VALUE"""),"43")</f>
        <v>43</v>
      </c>
    </row>
    <row r="1875" ht="15.75" customHeight="1">
      <c r="D1875" s="1" t="str">
        <f>IFERROR(__xludf.DUMMYFUNCTION("""COMPUTED_VALUE"""),"18572")</f>
        <v>18572</v>
      </c>
      <c r="E1875" s="3">
        <f>IFERROR(__xludf.DUMMYFUNCTION("""COMPUTED_VALUE"""),60000.0)</f>
        <v>60000</v>
      </c>
      <c r="F1875" s="1" t="str">
        <f>IFERROR(__xludf.DUMMYFUNCTION("""COMPUTED_VALUE"""),"0")</f>
        <v>0</v>
      </c>
      <c r="G1875" s="1" t="str">
        <f>IFERROR(__xludf.DUMMYFUNCTION("""COMPUTED_VALUE"""),"0")</f>
        <v>0</v>
      </c>
      <c r="H1875" s="1" t="str">
        <f>IFERROR(__xludf.DUMMYFUNCTION("""COMPUTED_VALUE"""),"39")</f>
        <v>39</v>
      </c>
    </row>
    <row r="1876" ht="15.75" customHeight="1">
      <c r="D1876" s="1" t="str">
        <f>IFERROR(__xludf.DUMMYFUNCTION("""COMPUTED_VALUE"""),"27540")</f>
        <v>27540</v>
      </c>
      <c r="E1876" s="3">
        <f>IFERROR(__xludf.DUMMYFUNCTION("""COMPUTED_VALUE"""),70000.0)</f>
        <v>70000</v>
      </c>
      <c r="F1876" s="1" t="str">
        <f>IFERROR(__xludf.DUMMYFUNCTION("""COMPUTED_VALUE"""),"0")</f>
        <v>0</v>
      </c>
      <c r="G1876" s="1" t="str">
        <f>IFERROR(__xludf.DUMMYFUNCTION("""COMPUTED_VALUE"""),"1")</f>
        <v>1</v>
      </c>
      <c r="H1876" s="1" t="str">
        <f>IFERROR(__xludf.DUMMYFUNCTION("""COMPUTED_VALUE"""),"37")</f>
        <v>37</v>
      </c>
    </row>
    <row r="1877" ht="15.75" customHeight="1">
      <c r="D1877" s="1" t="str">
        <f>IFERROR(__xludf.DUMMYFUNCTION("""COMPUTED_VALUE"""),"19889")</f>
        <v>19889</v>
      </c>
      <c r="E1877" s="3">
        <f>IFERROR(__xludf.DUMMYFUNCTION("""COMPUTED_VALUE"""),70000.0)</f>
        <v>70000</v>
      </c>
      <c r="F1877" s="1" t="str">
        <f>IFERROR(__xludf.DUMMYFUNCTION("""COMPUTED_VALUE"""),"2")</f>
        <v>2</v>
      </c>
      <c r="G1877" s="1" t="str">
        <f>IFERROR(__xludf.DUMMYFUNCTION("""COMPUTED_VALUE"""),"2")</f>
        <v>2</v>
      </c>
      <c r="H1877" s="1" t="str">
        <f>IFERROR(__xludf.DUMMYFUNCTION("""COMPUTED_VALUE"""),"54")</f>
        <v>54</v>
      </c>
    </row>
    <row r="1878" ht="15.75" customHeight="1">
      <c r="D1878" s="1" t="str">
        <f>IFERROR(__xludf.DUMMYFUNCTION("""COMPUTED_VALUE"""),"12922")</f>
        <v>12922</v>
      </c>
      <c r="E1878" s="3">
        <f>IFERROR(__xludf.DUMMYFUNCTION("""COMPUTED_VALUE"""),60000.0)</f>
        <v>60000</v>
      </c>
      <c r="F1878" s="1" t="str">
        <f>IFERROR(__xludf.DUMMYFUNCTION("""COMPUTED_VALUE"""),"3")</f>
        <v>3</v>
      </c>
      <c r="G1878" s="1" t="str">
        <f>IFERROR(__xludf.DUMMYFUNCTION("""COMPUTED_VALUE"""),"0")</f>
        <v>0</v>
      </c>
      <c r="H1878" s="1" t="str">
        <f>IFERROR(__xludf.DUMMYFUNCTION("""COMPUTED_VALUE"""),"40")</f>
        <v>40</v>
      </c>
    </row>
    <row r="1879" ht="15.75" customHeight="1">
      <c r="D1879" s="1" t="str">
        <f>IFERROR(__xludf.DUMMYFUNCTION("""COMPUTED_VALUE"""),"18891")</f>
        <v>18891</v>
      </c>
      <c r="E1879" s="3">
        <f>IFERROR(__xludf.DUMMYFUNCTION("""COMPUTED_VALUE"""),40000.0)</f>
        <v>40000</v>
      </c>
      <c r="F1879" s="1" t="str">
        <f>IFERROR(__xludf.DUMMYFUNCTION("""COMPUTED_VALUE"""),"0")</f>
        <v>0</v>
      </c>
      <c r="G1879" s="1" t="str">
        <f>IFERROR(__xludf.DUMMYFUNCTION("""COMPUTED_VALUE"""),"2")</f>
        <v>2</v>
      </c>
      <c r="H1879" s="1" t="str">
        <f>IFERROR(__xludf.DUMMYFUNCTION("""COMPUTED_VALUE"""),"28")</f>
        <v>28</v>
      </c>
    </row>
    <row r="1880" ht="15.75" customHeight="1">
      <c r="D1880" s="1" t="str">
        <f>IFERROR(__xludf.DUMMYFUNCTION("""COMPUTED_VALUE"""),"16773")</f>
        <v>16773</v>
      </c>
      <c r="E1880" s="3">
        <f>IFERROR(__xludf.DUMMYFUNCTION("""COMPUTED_VALUE"""),60000.0)</f>
        <v>60000</v>
      </c>
      <c r="F1880" s="1" t="str">
        <f>IFERROR(__xludf.DUMMYFUNCTION("""COMPUTED_VALUE"""),"1")</f>
        <v>1</v>
      </c>
      <c r="G1880" s="1" t="str">
        <f>IFERROR(__xludf.DUMMYFUNCTION("""COMPUTED_VALUE"""),"0")</f>
        <v>0</v>
      </c>
      <c r="H1880" s="1" t="str">
        <f>IFERROR(__xludf.DUMMYFUNCTION("""COMPUTED_VALUE"""),"33")</f>
        <v>33</v>
      </c>
    </row>
    <row r="1881" ht="15.75" customHeight="1">
      <c r="D1881" s="1" t="str">
        <f>IFERROR(__xludf.DUMMYFUNCTION("""COMPUTED_VALUE"""),"19143")</f>
        <v>19143</v>
      </c>
      <c r="E1881" s="3">
        <f>IFERROR(__xludf.DUMMYFUNCTION("""COMPUTED_VALUE"""),80000.0)</f>
        <v>80000</v>
      </c>
      <c r="F1881" s="1" t="str">
        <f>IFERROR(__xludf.DUMMYFUNCTION("""COMPUTED_VALUE"""),"3")</f>
        <v>3</v>
      </c>
      <c r="G1881" s="1" t="str">
        <f>IFERROR(__xludf.DUMMYFUNCTION("""COMPUTED_VALUE"""),"2")</f>
        <v>2</v>
      </c>
      <c r="H1881" s="1" t="str">
        <f>IFERROR(__xludf.DUMMYFUNCTION("""COMPUTED_VALUE"""),"41")</f>
        <v>41</v>
      </c>
    </row>
    <row r="1882" ht="15.75" customHeight="1">
      <c r="D1882" s="1" t="str">
        <f>IFERROR(__xludf.DUMMYFUNCTION("""COMPUTED_VALUE"""),"23882")</f>
        <v>23882</v>
      </c>
      <c r="E1882" s="3">
        <f>IFERROR(__xludf.DUMMYFUNCTION("""COMPUTED_VALUE"""),80000.0)</f>
        <v>80000</v>
      </c>
      <c r="F1882" s="1" t="str">
        <f>IFERROR(__xludf.DUMMYFUNCTION("""COMPUTED_VALUE"""),"3")</f>
        <v>3</v>
      </c>
      <c r="G1882" s="1" t="str">
        <f>IFERROR(__xludf.DUMMYFUNCTION("""COMPUTED_VALUE"""),"0")</f>
        <v>0</v>
      </c>
      <c r="H1882" s="1" t="str">
        <f>IFERROR(__xludf.DUMMYFUNCTION("""COMPUTED_VALUE"""),"37")</f>
        <v>37</v>
      </c>
    </row>
    <row r="1883" ht="15.75" customHeight="1">
      <c r="D1883" s="1" t="str">
        <f>IFERROR(__xludf.DUMMYFUNCTION("""COMPUTED_VALUE"""),"11233")</f>
        <v>11233</v>
      </c>
      <c r="E1883" s="3">
        <f>IFERROR(__xludf.DUMMYFUNCTION("""COMPUTED_VALUE"""),70000.0)</f>
        <v>70000</v>
      </c>
      <c r="F1883" s="1" t="str">
        <f>IFERROR(__xludf.DUMMYFUNCTION("""COMPUTED_VALUE"""),"4")</f>
        <v>4</v>
      </c>
      <c r="G1883" s="1" t="str">
        <f>IFERROR(__xludf.DUMMYFUNCTION("""COMPUTED_VALUE"""),"2")</f>
        <v>2</v>
      </c>
      <c r="H1883" s="1" t="str">
        <f>IFERROR(__xludf.DUMMYFUNCTION("""COMPUTED_VALUE"""),"53")</f>
        <v>53</v>
      </c>
    </row>
    <row r="1884" ht="15.75" customHeight="1">
      <c r="D1884" s="1" t="str">
        <f>IFERROR(__xludf.DUMMYFUNCTION("""COMPUTED_VALUE"""),"12056")</f>
        <v>12056</v>
      </c>
      <c r="E1884" s="3">
        <f>IFERROR(__xludf.DUMMYFUNCTION("""COMPUTED_VALUE"""),120000.0)</f>
        <v>120000</v>
      </c>
      <c r="F1884" s="1" t="str">
        <f>IFERROR(__xludf.DUMMYFUNCTION("""COMPUTED_VALUE"""),"2")</f>
        <v>2</v>
      </c>
      <c r="G1884" s="1" t="str">
        <f>IFERROR(__xludf.DUMMYFUNCTION("""COMPUTED_VALUE"""),"3")</f>
        <v>3</v>
      </c>
      <c r="H1884" s="1" t="str">
        <f>IFERROR(__xludf.DUMMYFUNCTION("""COMPUTED_VALUE"""),"64")</f>
        <v>64</v>
      </c>
    </row>
    <row r="1885" ht="15.75" customHeight="1">
      <c r="D1885" s="1" t="str">
        <f>IFERROR(__xludf.DUMMYFUNCTION("""COMPUTED_VALUE"""),"15555")</f>
        <v>15555</v>
      </c>
      <c r="E1885" s="3">
        <f>IFERROR(__xludf.DUMMYFUNCTION("""COMPUTED_VALUE"""),60000.0)</f>
        <v>60000</v>
      </c>
      <c r="F1885" s="1" t="str">
        <f>IFERROR(__xludf.DUMMYFUNCTION("""COMPUTED_VALUE"""),"1")</f>
        <v>1</v>
      </c>
      <c r="G1885" s="1" t="str">
        <f>IFERROR(__xludf.DUMMYFUNCTION("""COMPUTED_VALUE"""),"1")</f>
        <v>1</v>
      </c>
      <c r="H1885" s="1" t="str">
        <f>IFERROR(__xludf.DUMMYFUNCTION("""COMPUTED_VALUE"""),"45")</f>
        <v>45</v>
      </c>
    </row>
    <row r="1886" ht="15.75" customHeight="1">
      <c r="D1886" s="1" t="str">
        <f>IFERROR(__xludf.DUMMYFUNCTION("""COMPUTED_VALUE"""),"18423")</f>
        <v>18423</v>
      </c>
      <c r="E1886" s="3">
        <f>IFERROR(__xludf.DUMMYFUNCTION("""COMPUTED_VALUE"""),80000.0)</f>
        <v>80000</v>
      </c>
      <c r="F1886" s="1" t="str">
        <f>IFERROR(__xludf.DUMMYFUNCTION("""COMPUTED_VALUE"""),"2")</f>
        <v>2</v>
      </c>
      <c r="G1886" s="1" t="str">
        <f>IFERROR(__xludf.DUMMYFUNCTION("""COMPUTED_VALUE"""),"2")</f>
        <v>2</v>
      </c>
      <c r="H1886" s="1" t="str">
        <f>IFERROR(__xludf.DUMMYFUNCTION("""COMPUTED_VALUE"""),"52")</f>
        <v>52</v>
      </c>
    </row>
    <row r="1887" ht="15.75" customHeight="1">
      <c r="D1887" s="1" t="str">
        <f>IFERROR(__xludf.DUMMYFUNCTION("""COMPUTED_VALUE"""),"22743")</f>
        <v>22743</v>
      </c>
      <c r="E1887" s="3">
        <f>IFERROR(__xludf.DUMMYFUNCTION("""COMPUTED_VALUE"""),40000.0)</f>
        <v>40000</v>
      </c>
      <c r="F1887" s="1" t="str">
        <f>IFERROR(__xludf.DUMMYFUNCTION("""COMPUTED_VALUE"""),"5")</f>
        <v>5</v>
      </c>
      <c r="G1887" s="1" t="str">
        <f>IFERROR(__xludf.DUMMYFUNCTION("""COMPUTED_VALUE"""),"2")</f>
        <v>2</v>
      </c>
      <c r="H1887" s="1" t="str">
        <f>IFERROR(__xludf.DUMMYFUNCTION("""COMPUTED_VALUE"""),"60")</f>
        <v>60</v>
      </c>
    </row>
    <row r="1888" ht="15.75" customHeight="1">
      <c r="D1888" s="1" t="str">
        <f>IFERROR(__xludf.DUMMYFUNCTION("""COMPUTED_VALUE"""),"25343")</f>
        <v>25343</v>
      </c>
      <c r="E1888" s="3">
        <f>IFERROR(__xludf.DUMMYFUNCTION("""COMPUTED_VALUE"""),20000.0)</f>
        <v>20000</v>
      </c>
      <c r="F1888" s="1" t="str">
        <f>IFERROR(__xludf.DUMMYFUNCTION("""COMPUTED_VALUE"""),"3")</f>
        <v>3</v>
      </c>
      <c r="G1888" s="1" t="str">
        <f>IFERROR(__xludf.DUMMYFUNCTION("""COMPUTED_VALUE"""),"2")</f>
        <v>2</v>
      </c>
      <c r="H1888" s="1" t="str">
        <f>IFERROR(__xludf.DUMMYFUNCTION("""COMPUTED_VALUE"""),"50")</f>
        <v>50</v>
      </c>
    </row>
    <row r="1889" ht="15.75" customHeight="1">
      <c r="D1889" s="1" t="str">
        <f>IFERROR(__xludf.DUMMYFUNCTION("""COMPUTED_VALUE"""),"13390")</f>
        <v>13390</v>
      </c>
      <c r="E1889" s="3">
        <f>IFERROR(__xludf.DUMMYFUNCTION("""COMPUTED_VALUE"""),70000.0)</f>
        <v>70000</v>
      </c>
      <c r="F1889" s="1" t="str">
        <f>IFERROR(__xludf.DUMMYFUNCTION("""COMPUTED_VALUE"""),"4")</f>
        <v>4</v>
      </c>
      <c r="G1889" s="1" t="str">
        <f>IFERROR(__xludf.DUMMYFUNCTION("""COMPUTED_VALUE"""),"1")</f>
        <v>1</v>
      </c>
      <c r="H1889" s="1" t="str">
        <f>IFERROR(__xludf.DUMMYFUNCTION("""COMPUTED_VALUE"""),"56")</f>
        <v>56</v>
      </c>
    </row>
    <row r="1890" ht="15.75" customHeight="1">
      <c r="D1890" s="1" t="str">
        <f>IFERROR(__xludf.DUMMYFUNCTION("""COMPUTED_VALUE"""),"17482")</f>
        <v>17482</v>
      </c>
      <c r="E1890" s="3">
        <f>IFERROR(__xludf.DUMMYFUNCTION("""COMPUTED_VALUE"""),40000.0)</f>
        <v>40000</v>
      </c>
      <c r="F1890" s="1" t="str">
        <f>IFERROR(__xludf.DUMMYFUNCTION("""COMPUTED_VALUE"""),"0")</f>
        <v>0</v>
      </c>
      <c r="G1890" s="1" t="str">
        <f>IFERROR(__xludf.DUMMYFUNCTION("""COMPUTED_VALUE"""),"2")</f>
        <v>2</v>
      </c>
      <c r="H1890" s="1" t="str">
        <f>IFERROR(__xludf.DUMMYFUNCTION("""COMPUTED_VALUE"""),"29")</f>
        <v>29</v>
      </c>
    </row>
    <row r="1891" ht="15.75" customHeight="1">
      <c r="D1891" s="1" t="str">
        <f>IFERROR(__xludf.DUMMYFUNCTION("""COMPUTED_VALUE"""),"13176")</f>
        <v>13176</v>
      </c>
      <c r="E1891" s="3">
        <f>IFERROR(__xludf.DUMMYFUNCTION("""COMPUTED_VALUE"""),130000.0)</f>
        <v>130000</v>
      </c>
      <c r="F1891" s="1" t="str">
        <f>IFERROR(__xludf.DUMMYFUNCTION("""COMPUTED_VALUE"""),"0")</f>
        <v>0</v>
      </c>
      <c r="G1891" s="1" t="str">
        <f>IFERROR(__xludf.DUMMYFUNCTION("""COMPUTED_VALUE"""),"2")</f>
        <v>2</v>
      </c>
      <c r="H1891" s="1" t="str">
        <f>IFERROR(__xludf.DUMMYFUNCTION("""COMPUTED_VALUE"""),"38")</f>
        <v>38</v>
      </c>
    </row>
    <row r="1892" ht="15.75" customHeight="1">
      <c r="D1892" s="1" t="str">
        <f>IFERROR(__xludf.DUMMYFUNCTION("""COMPUTED_VALUE"""),"20504")</f>
        <v>20504</v>
      </c>
      <c r="E1892" s="3">
        <f>IFERROR(__xludf.DUMMYFUNCTION("""COMPUTED_VALUE"""),40000.0)</f>
        <v>40000</v>
      </c>
      <c r="F1892" s="1" t="str">
        <f>IFERROR(__xludf.DUMMYFUNCTION("""COMPUTED_VALUE"""),"5")</f>
        <v>5</v>
      </c>
      <c r="G1892" s="1" t="str">
        <f>IFERROR(__xludf.DUMMYFUNCTION("""COMPUTED_VALUE"""),"2")</f>
        <v>2</v>
      </c>
      <c r="H1892" s="1" t="str">
        <f>IFERROR(__xludf.DUMMYFUNCTION("""COMPUTED_VALUE"""),"60")</f>
        <v>60</v>
      </c>
    </row>
    <row r="1893" ht="15.75" customHeight="1">
      <c r="D1893" s="1" t="str">
        <f>IFERROR(__xludf.DUMMYFUNCTION("""COMPUTED_VALUE"""),"12205")</f>
        <v>12205</v>
      </c>
      <c r="E1893" s="3">
        <f>IFERROR(__xludf.DUMMYFUNCTION("""COMPUTED_VALUE"""),130000.0)</f>
        <v>130000</v>
      </c>
      <c r="F1893" s="1" t="str">
        <f>IFERROR(__xludf.DUMMYFUNCTION("""COMPUTED_VALUE"""),"2")</f>
        <v>2</v>
      </c>
      <c r="G1893" s="1" t="str">
        <f>IFERROR(__xludf.DUMMYFUNCTION("""COMPUTED_VALUE"""),"4")</f>
        <v>4</v>
      </c>
      <c r="H1893" s="1" t="str">
        <f>IFERROR(__xludf.DUMMYFUNCTION("""COMPUTED_VALUE"""),"67")</f>
        <v>67</v>
      </c>
    </row>
    <row r="1894" ht="15.75" customHeight="1">
      <c r="D1894" s="1" t="str">
        <f>IFERROR(__xludf.DUMMYFUNCTION("""COMPUTED_VALUE"""),"16751")</f>
        <v>16751</v>
      </c>
      <c r="E1894" s="3">
        <f>IFERROR(__xludf.DUMMYFUNCTION("""COMPUTED_VALUE"""),60000.0)</f>
        <v>60000</v>
      </c>
      <c r="F1894" s="1" t="str">
        <f>IFERROR(__xludf.DUMMYFUNCTION("""COMPUTED_VALUE"""),"0")</f>
        <v>0</v>
      </c>
      <c r="G1894" s="1" t="str">
        <f>IFERROR(__xludf.DUMMYFUNCTION("""COMPUTED_VALUE"""),"1")</f>
        <v>1</v>
      </c>
      <c r="H1894" s="1" t="str">
        <f>IFERROR(__xludf.DUMMYFUNCTION("""COMPUTED_VALUE"""),"32")</f>
        <v>32</v>
      </c>
    </row>
    <row r="1895" ht="15.75" customHeight="1">
      <c r="D1895" s="1" t="str">
        <f>IFERROR(__xludf.DUMMYFUNCTION("""COMPUTED_VALUE"""),"21613")</f>
        <v>21613</v>
      </c>
      <c r="E1895" s="3">
        <f>IFERROR(__xludf.DUMMYFUNCTION("""COMPUTED_VALUE"""),50000.0)</f>
        <v>50000</v>
      </c>
      <c r="F1895" s="1" t="str">
        <f>IFERROR(__xludf.DUMMYFUNCTION("""COMPUTED_VALUE"""),"2")</f>
        <v>2</v>
      </c>
      <c r="G1895" s="1" t="str">
        <f>IFERROR(__xludf.DUMMYFUNCTION("""COMPUTED_VALUE"""),"1")</f>
        <v>1</v>
      </c>
      <c r="H1895" s="1" t="str">
        <f>IFERROR(__xludf.DUMMYFUNCTION("""COMPUTED_VALUE"""),"39")</f>
        <v>39</v>
      </c>
    </row>
    <row r="1896" ht="15.75" customHeight="1">
      <c r="D1896" s="1" t="str">
        <f>IFERROR(__xludf.DUMMYFUNCTION("""COMPUTED_VALUE"""),"24801")</f>
        <v>24801</v>
      </c>
      <c r="E1896" s="3">
        <f>IFERROR(__xludf.DUMMYFUNCTION("""COMPUTED_VALUE"""),60000.0)</f>
        <v>60000</v>
      </c>
      <c r="F1896" s="1" t="str">
        <f>IFERROR(__xludf.DUMMYFUNCTION("""COMPUTED_VALUE"""),"1")</f>
        <v>1</v>
      </c>
      <c r="G1896" s="1" t="str">
        <f>IFERROR(__xludf.DUMMYFUNCTION("""COMPUTED_VALUE"""),"0")</f>
        <v>0</v>
      </c>
      <c r="H1896" s="1" t="str">
        <f>IFERROR(__xludf.DUMMYFUNCTION("""COMPUTED_VALUE"""),"35")</f>
        <v>35</v>
      </c>
    </row>
    <row r="1897" ht="15.75" customHeight="1">
      <c r="D1897" s="1" t="str">
        <f>IFERROR(__xludf.DUMMYFUNCTION("""COMPUTED_VALUE"""),"17519")</f>
        <v>17519</v>
      </c>
      <c r="E1897" s="3">
        <f>IFERROR(__xludf.DUMMYFUNCTION("""COMPUTED_VALUE"""),60000.0)</f>
        <v>60000</v>
      </c>
      <c r="F1897" s="1" t="str">
        <f>IFERROR(__xludf.DUMMYFUNCTION("""COMPUTED_VALUE"""),"0")</f>
        <v>0</v>
      </c>
      <c r="G1897" s="1" t="str">
        <f>IFERROR(__xludf.DUMMYFUNCTION("""COMPUTED_VALUE"""),"2")</f>
        <v>2</v>
      </c>
      <c r="H1897" s="1" t="str">
        <f>IFERROR(__xludf.DUMMYFUNCTION("""COMPUTED_VALUE"""),"32")</f>
        <v>32</v>
      </c>
    </row>
    <row r="1898" ht="15.75" customHeight="1">
      <c r="D1898" s="1" t="str">
        <f>IFERROR(__xludf.DUMMYFUNCTION("""COMPUTED_VALUE"""),"18347")</f>
        <v>18347</v>
      </c>
      <c r="E1898" s="3">
        <f>IFERROR(__xludf.DUMMYFUNCTION("""COMPUTED_VALUE"""),30000.0)</f>
        <v>30000</v>
      </c>
      <c r="F1898" s="1" t="str">
        <f>IFERROR(__xludf.DUMMYFUNCTION("""COMPUTED_VALUE"""),"0")</f>
        <v>0</v>
      </c>
      <c r="G1898" s="1" t="str">
        <f>IFERROR(__xludf.DUMMYFUNCTION("""COMPUTED_VALUE"""),"1")</f>
        <v>1</v>
      </c>
      <c r="H1898" s="1" t="str">
        <f>IFERROR(__xludf.DUMMYFUNCTION("""COMPUTED_VALUE"""),"31")</f>
        <v>31</v>
      </c>
    </row>
    <row r="1899" ht="15.75" customHeight="1">
      <c r="D1899" s="1" t="str">
        <f>IFERROR(__xludf.DUMMYFUNCTION("""COMPUTED_VALUE"""),"29052")</f>
        <v>29052</v>
      </c>
      <c r="E1899" s="3">
        <f>IFERROR(__xludf.DUMMYFUNCTION("""COMPUTED_VALUE"""),40000.0)</f>
        <v>40000</v>
      </c>
      <c r="F1899" s="1" t="str">
        <f>IFERROR(__xludf.DUMMYFUNCTION("""COMPUTED_VALUE"""),"0")</f>
        <v>0</v>
      </c>
      <c r="G1899" s="1" t="str">
        <f>IFERROR(__xludf.DUMMYFUNCTION("""COMPUTED_VALUE"""),"1")</f>
        <v>1</v>
      </c>
      <c r="H1899" s="1" t="str">
        <f>IFERROR(__xludf.DUMMYFUNCTION("""COMPUTED_VALUE"""),"27")</f>
        <v>27</v>
      </c>
    </row>
    <row r="1900" ht="15.75" customHeight="1">
      <c r="D1900" s="1" t="str">
        <f>IFERROR(__xludf.DUMMYFUNCTION("""COMPUTED_VALUE"""),"11745")</f>
        <v>11745</v>
      </c>
      <c r="E1900" s="3">
        <f>IFERROR(__xludf.DUMMYFUNCTION("""COMPUTED_VALUE"""),60000.0)</f>
        <v>60000</v>
      </c>
      <c r="F1900" s="1" t="str">
        <f>IFERROR(__xludf.DUMMYFUNCTION("""COMPUTED_VALUE"""),"1")</f>
        <v>1</v>
      </c>
      <c r="G1900" s="1" t="str">
        <f>IFERROR(__xludf.DUMMYFUNCTION("""COMPUTED_VALUE"""),"1")</f>
        <v>1</v>
      </c>
      <c r="H1900" s="1" t="str">
        <f>IFERROR(__xludf.DUMMYFUNCTION("""COMPUTED_VALUE"""),"47")</f>
        <v>47</v>
      </c>
    </row>
    <row r="1901" ht="15.75" customHeight="1">
      <c r="D1901" s="1" t="str">
        <f>IFERROR(__xludf.DUMMYFUNCTION("""COMPUTED_VALUE"""),"19147")</f>
        <v>19147</v>
      </c>
      <c r="E1901" s="3">
        <f>IFERROR(__xludf.DUMMYFUNCTION("""COMPUTED_VALUE"""),40000.0)</f>
        <v>40000</v>
      </c>
      <c r="F1901" s="1" t="str">
        <f>IFERROR(__xludf.DUMMYFUNCTION("""COMPUTED_VALUE"""),"0")</f>
        <v>0</v>
      </c>
      <c r="G1901" s="1" t="str">
        <f>IFERROR(__xludf.DUMMYFUNCTION("""COMPUTED_VALUE"""),"1")</f>
        <v>1</v>
      </c>
      <c r="H1901" s="1" t="str">
        <f>IFERROR(__xludf.DUMMYFUNCTION("""COMPUTED_VALUE"""),"42")</f>
        <v>42</v>
      </c>
    </row>
    <row r="1902" ht="15.75" customHeight="1">
      <c r="D1902" s="1" t="str">
        <f>IFERROR(__xludf.DUMMYFUNCTION("""COMPUTED_VALUE"""),"19217")</f>
        <v>19217</v>
      </c>
      <c r="E1902" s="3">
        <f>IFERROR(__xludf.DUMMYFUNCTION("""COMPUTED_VALUE"""),30000.0)</f>
        <v>30000</v>
      </c>
      <c r="F1902" s="1" t="str">
        <f>IFERROR(__xludf.DUMMYFUNCTION("""COMPUTED_VALUE"""),"2")</f>
        <v>2</v>
      </c>
      <c r="G1902" s="1" t="str">
        <f>IFERROR(__xludf.DUMMYFUNCTION("""COMPUTED_VALUE"""),"2")</f>
        <v>2</v>
      </c>
      <c r="H1902" s="1" t="str">
        <f>IFERROR(__xludf.DUMMYFUNCTION("""COMPUTED_VALUE"""),"49")</f>
        <v>49</v>
      </c>
    </row>
    <row r="1903" ht="15.75" customHeight="1">
      <c r="D1903" s="1" t="str">
        <f>IFERROR(__xludf.DUMMYFUNCTION("""COMPUTED_VALUE"""),"15839")</f>
        <v>15839</v>
      </c>
      <c r="E1903" s="3">
        <f>IFERROR(__xludf.DUMMYFUNCTION("""COMPUTED_VALUE"""),30000.0)</f>
        <v>30000</v>
      </c>
      <c r="F1903" s="1" t="str">
        <f>IFERROR(__xludf.DUMMYFUNCTION("""COMPUTED_VALUE"""),"0")</f>
        <v>0</v>
      </c>
      <c r="G1903" s="1" t="str">
        <f>IFERROR(__xludf.DUMMYFUNCTION("""COMPUTED_VALUE"""),"1")</f>
        <v>1</v>
      </c>
      <c r="H1903" s="1" t="str">
        <f>IFERROR(__xludf.DUMMYFUNCTION("""COMPUTED_VALUE"""),"32")</f>
        <v>32</v>
      </c>
    </row>
    <row r="1904" ht="15.75" customHeight="1">
      <c r="D1904" s="1" t="str">
        <f>IFERROR(__xludf.DUMMYFUNCTION("""COMPUTED_VALUE"""),"13714")</f>
        <v>13714</v>
      </c>
      <c r="E1904" s="3">
        <f>IFERROR(__xludf.DUMMYFUNCTION("""COMPUTED_VALUE"""),20000.0)</f>
        <v>20000</v>
      </c>
      <c r="F1904" s="1" t="str">
        <f>IFERROR(__xludf.DUMMYFUNCTION("""COMPUTED_VALUE"""),"2")</f>
        <v>2</v>
      </c>
      <c r="G1904" s="1" t="str">
        <f>IFERROR(__xludf.DUMMYFUNCTION("""COMPUTED_VALUE"""),"2")</f>
        <v>2</v>
      </c>
      <c r="H1904" s="1" t="str">
        <f>IFERROR(__xludf.DUMMYFUNCTION("""COMPUTED_VALUE"""),"53")</f>
        <v>53</v>
      </c>
    </row>
    <row r="1905" ht="15.75" customHeight="1">
      <c r="D1905" s="1" t="str">
        <f>IFERROR(__xludf.DUMMYFUNCTION("""COMPUTED_VALUE"""),"22330")</f>
        <v>22330</v>
      </c>
      <c r="E1905" s="3">
        <f>IFERROR(__xludf.DUMMYFUNCTION("""COMPUTED_VALUE"""),50000.0)</f>
        <v>50000</v>
      </c>
      <c r="F1905" s="1" t="str">
        <f>IFERROR(__xludf.DUMMYFUNCTION("""COMPUTED_VALUE"""),"0")</f>
        <v>0</v>
      </c>
      <c r="G1905" s="1" t="str">
        <f>IFERROR(__xludf.DUMMYFUNCTION("""COMPUTED_VALUE"""),"0")</f>
        <v>0</v>
      </c>
      <c r="H1905" s="1" t="str">
        <f>IFERROR(__xludf.DUMMYFUNCTION("""COMPUTED_VALUE"""),"32")</f>
        <v>32</v>
      </c>
    </row>
    <row r="1906" ht="15.75" customHeight="1">
      <c r="D1906" s="1" t="str">
        <f>IFERROR(__xludf.DUMMYFUNCTION("""COMPUTED_VALUE"""),"18783")</f>
        <v>18783</v>
      </c>
      <c r="E1906" s="3">
        <f>IFERROR(__xludf.DUMMYFUNCTION("""COMPUTED_VALUE"""),80000.0)</f>
        <v>80000</v>
      </c>
      <c r="F1906" s="1" t="str">
        <f>IFERROR(__xludf.DUMMYFUNCTION("""COMPUTED_VALUE"""),"0")</f>
        <v>0</v>
      </c>
      <c r="G1906" s="1" t="str">
        <f>IFERROR(__xludf.DUMMYFUNCTION("""COMPUTED_VALUE"""),"1")</f>
        <v>1</v>
      </c>
      <c r="H1906" s="1" t="str">
        <f>IFERROR(__xludf.DUMMYFUNCTION("""COMPUTED_VALUE"""),"38")</f>
        <v>38</v>
      </c>
    </row>
    <row r="1907" ht="15.75" customHeight="1">
      <c r="D1907" s="1" t="str">
        <f>IFERROR(__xludf.DUMMYFUNCTION("""COMPUTED_VALUE"""),"25041")</f>
        <v>25041</v>
      </c>
      <c r="E1907" s="3">
        <f>IFERROR(__xludf.DUMMYFUNCTION("""COMPUTED_VALUE"""),40000.0)</f>
        <v>40000</v>
      </c>
      <c r="F1907" s="1" t="str">
        <f>IFERROR(__xludf.DUMMYFUNCTION("""COMPUTED_VALUE"""),"0")</f>
        <v>0</v>
      </c>
      <c r="G1907" s="1" t="str">
        <f>IFERROR(__xludf.DUMMYFUNCTION("""COMPUTED_VALUE"""),"2")</f>
        <v>2</v>
      </c>
      <c r="H1907" s="1" t="str">
        <f>IFERROR(__xludf.DUMMYFUNCTION("""COMPUTED_VALUE"""),"31")</f>
        <v>31</v>
      </c>
    </row>
    <row r="1908" ht="15.75" customHeight="1">
      <c r="D1908" s="1" t="str">
        <f>IFERROR(__xludf.DUMMYFUNCTION("""COMPUTED_VALUE"""),"22046")</f>
        <v>22046</v>
      </c>
      <c r="E1908" s="3">
        <f>IFERROR(__xludf.DUMMYFUNCTION("""COMPUTED_VALUE"""),80000.0)</f>
        <v>80000</v>
      </c>
      <c r="F1908" s="1" t="str">
        <f>IFERROR(__xludf.DUMMYFUNCTION("""COMPUTED_VALUE"""),"0")</f>
        <v>0</v>
      </c>
      <c r="G1908" s="1" t="str">
        <f>IFERROR(__xludf.DUMMYFUNCTION("""COMPUTED_VALUE"""),"1")</f>
        <v>1</v>
      </c>
      <c r="H1908" s="1" t="str">
        <f>IFERROR(__xludf.DUMMYFUNCTION("""COMPUTED_VALUE"""),"38")</f>
        <v>38</v>
      </c>
    </row>
    <row r="1909" ht="15.75" customHeight="1">
      <c r="D1909" s="1" t="str">
        <f>IFERROR(__xludf.DUMMYFUNCTION("""COMPUTED_VALUE"""),"28052")</f>
        <v>28052</v>
      </c>
      <c r="E1909" s="3">
        <f>IFERROR(__xludf.DUMMYFUNCTION("""COMPUTED_VALUE"""),60000.0)</f>
        <v>60000</v>
      </c>
      <c r="F1909" s="1" t="str">
        <f>IFERROR(__xludf.DUMMYFUNCTION("""COMPUTED_VALUE"""),"2")</f>
        <v>2</v>
      </c>
      <c r="G1909" s="1" t="str">
        <f>IFERROR(__xludf.DUMMYFUNCTION("""COMPUTED_VALUE"""),"2")</f>
        <v>2</v>
      </c>
      <c r="H1909" s="1" t="str">
        <f>IFERROR(__xludf.DUMMYFUNCTION("""COMPUTED_VALUE"""),"55")</f>
        <v>55</v>
      </c>
    </row>
    <row r="1910" ht="15.75" customHeight="1">
      <c r="D1910" s="1" t="str">
        <f>IFERROR(__xludf.DUMMYFUNCTION("""COMPUTED_VALUE"""),"26693")</f>
        <v>26693</v>
      </c>
      <c r="E1910" s="3">
        <f>IFERROR(__xludf.DUMMYFUNCTION("""COMPUTED_VALUE"""),70000.0)</f>
        <v>70000</v>
      </c>
      <c r="F1910" s="1" t="str">
        <f>IFERROR(__xludf.DUMMYFUNCTION("""COMPUTED_VALUE"""),"3")</f>
        <v>3</v>
      </c>
      <c r="G1910" s="1" t="str">
        <f>IFERROR(__xludf.DUMMYFUNCTION("""COMPUTED_VALUE"""),"1")</f>
        <v>1</v>
      </c>
      <c r="H1910" s="1" t="str">
        <f>IFERROR(__xludf.DUMMYFUNCTION("""COMPUTED_VALUE"""),"49")</f>
        <v>49</v>
      </c>
    </row>
    <row r="1911" ht="15.75" customHeight="1">
      <c r="D1911" s="1" t="str">
        <f>IFERROR(__xludf.DUMMYFUNCTION("""COMPUTED_VALUE"""),"24955")</f>
        <v>24955</v>
      </c>
      <c r="E1911" s="3">
        <f>IFERROR(__xludf.DUMMYFUNCTION("""COMPUTED_VALUE"""),30000.0)</f>
        <v>30000</v>
      </c>
      <c r="F1911" s="1" t="str">
        <f>IFERROR(__xludf.DUMMYFUNCTION("""COMPUTED_VALUE"""),"5")</f>
        <v>5</v>
      </c>
      <c r="G1911" s="1" t="str">
        <f>IFERROR(__xludf.DUMMYFUNCTION("""COMPUTED_VALUE"""),"3")</f>
        <v>3</v>
      </c>
      <c r="H1911" s="1" t="str">
        <f>IFERROR(__xludf.DUMMYFUNCTION("""COMPUTED_VALUE"""),"60")</f>
        <v>60</v>
      </c>
    </row>
    <row r="1912" ht="15.75" customHeight="1">
      <c r="D1912" s="1" t="str">
        <f>IFERROR(__xludf.DUMMYFUNCTION("""COMPUTED_VALUE"""),"26065")</f>
        <v>26065</v>
      </c>
      <c r="E1912" s="3">
        <f>IFERROR(__xludf.DUMMYFUNCTION("""COMPUTED_VALUE"""),110000.0)</f>
        <v>110000</v>
      </c>
      <c r="F1912" s="1" t="str">
        <f>IFERROR(__xludf.DUMMYFUNCTION("""COMPUTED_VALUE"""),"3")</f>
        <v>3</v>
      </c>
      <c r="G1912" s="1" t="str">
        <f>IFERROR(__xludf.DUMMYFUNCTION("""COMPUTED_VALUE"""),"4")</f>
        <v>4</v>
      </c>
      <c r="H1912" s="1" t="str">
        <f>IFERROR(__xludf.DUMMYFUNCTION("""COMPUTED_VALUE"""),"42")</f>
        <v>42</v>
      </c>
    </row>
    <row r="1913" ht="15.75" customHeight="1">
      <c r="D1913" s="1" t="str">
        <f>IFERROR(__xludf.DUMMYFUNCTION("""COMPUTED_VALUE"""),"13942")</f>
        <v>13942</v>
      </c>
      <c r="E1913" s="3">
        <f>IFERROR(__xludf.DUMMYFUNCTION("""COMPUTED_VALUE"""),60000.0)</f>
        <v>60000</v>
      </c>
      <c r="F1913" s="1" t="str">
        <f>IFERROR(__xludf.DUMMYFUNCTION("""COMPUTED_VALUE"""),"1")</f>
        <v>1</v>
      </c>
      <c r="G1913" s="1" t="str">
        <f>IFERROR(__xludf.DUMMYFUNCTION("""COMPUTED_VALUE"""),"1")</f>
        <v>1</v>
      </c>
      <c r="H1913" s="1" t="str">
        <f>IFERROR(__xludf.DUMMYFUNCTION("""COMPUTED_VALUE"""),"46")</f>
        <v>46</v>
      </c>
    </row>
    <row r="1914" ht="15.75" customHeight="1">
      <c r="D1914" s="1" t="str">
        <f>IFERROR(__xludf.DUMMYFUNCTION("""COMPUTED_VALUE"""),"11219")</f>
        <v>11219</v>
      </c>
      <c r="E1914" s="3">
        <f>IFERROR(__xludf.DUMMYFUNCTION("""COMPUTED_VALUE"""),60000.0)</f>
        <v>60000</v>
      </c>
      <c r="F1914" s="1" t="str">
        <f>IFERROR(__xludf.DUMMYFUNCTION("""COMPUTED_VALUE"""),"2")</f>
        <v>2</v>
      </c>
      <c r="G1914" s="1" t="str">
        <f>IFERROR(__xludf.DUMMYFUNCTION("""COMPUTED_VALUE"""),"2")</f>
        <v>2</v>
      </c>
      <c r="H1914" s="1" t="str">
        <f>IFERROR(__xludf.DUMMYFUNCTION("""COMPUTED_VALUE"""),"55")</f>
        <v>55</v>
      </c>
    </row>
    <row r="1915" ht="15.75" customHeight="1">
      <c r="D1915" s="1" t="str">
        <f>IFERROR(__xludf.DUMMYFUNCTION("""COMPUTED_VALUE"""),"22118")</f>
        <v>22118</v>
      </c>
      <c r="E1915" s="3">
        <f>IFERROR(__xludf.DUMMYFUNCTION("""COMPUTED_VALUE"""),70000.0)</f>
        <v>70000</v>
      </c>
      <c r="F1915" s="1" t="str">
        <f>IFERROR(__xludf.DUMMYFUNCTION("""COMPUTED_VALUE"""),"3")</f>
        <v>3</v>
      </c>
      <c r="G1915" s="1" t="str">
        <f>IFERROR(__xludf.DUMMYFUNCTION("""COMPUTED_VALUE"""),"2")</f>
        <v>2</v>
      </c>
      <c r="H1915" s="1" t="str">
        <f>IFERROR(__xludf.DUMMYFUNCTION("""COMPUTED_VALUE"""),"53")</f>
        <v>53</v>
      </c>
    </row>
    <row r="1916" ht="15.75" customHeight="1">
      <c r="D1916" s="1" t="str">
        <f>IFERROR(__xludf.DUMMYFUNCTION("""COMPUTED_VALUE"""),"23197")</f>
        <v>23197</v>
      </c>
      <c r="E1916" s="3">
        <f>IFERROR(__xludf.DUMMYFUNCTION("""COMPUTED_VALUE"""),50000.0)</f>
        <v>50000</v>
      </c>
      <c r="F1916" s="1" t="str">
        <f>IFERROR(__xludf.DUMMYFUNCTION("""COMPUTED_VALUE"""),"3")</f>
        <v>3</v>
      </c>
      <c r="G1916" s="1" t="str">
        <f>IFERROR(__xludf.DUMMYFUNCTION("""COMPUTED_VALUE"""),"2")</f>
        <v>2</v>
      </c>
      <c r="H1916" s="1" t="str">
        <f>IFERROR(__xludf.DUMMYFUNCTION("""COMPUTED_VALUE"""),"40")</f>
        <v>40</v>
      </c>
    </row>
    <row r="1917" ht="15.75" customHeight="1">
      <c r="D1917" s="1" t="str">
        <f>IFERROR(__xludf.DUMMYFUNCTION("""COMPUTED_VALUE"""),"14883")</f>
        <v>14883</v>
      </c>
      <c r="E1917" s="3">
        <f>IFERROR(__xludf.DUMMYFUNCTION("""COMPUTED_VALUE"""),30000.0)</f>
        <v>30000</v>
      </c>
      <c r="F1917" s="1" t="str">
        <f>IFERROR(__xludf.DUMMYFUNCTION("""COMPUTED_VALUE"""),"1")</f>
        <v>1</v>
      </c>
      <c r="G1917" s="1" t="str">
        <f>IFERROR(__xludf.DUMMYFUNCTION("""COMPUTED_VALUE"""),"1")</f>
        <v>1</v>
      </c>
      <c r="H1917" s="1" t="str">
        <f>IFERROR(__xludf.DUMMYFUNCTION("""COMPUTED_VALUE"""),"53")</f>
        <v>53</v>
      </c>
    </row>
    <row r="1918" ht="15.75" customHeight="1">
      <c r="D1918" s="1" t="str">
        <f>IFERROR(__xludf.DUMMYFUNCTION("""COMPUTED_VALUE"""),"27279")</f>
        <v>27279</v>
      </c>
      <c r="E1918" s="3">
        <f>IFERROR(__xludf.DUMMYFUNCTION("""COMPUTED_VALUE"""),70000.0)</f>
        <v>70000</v>
      </c>
      <c r="F1918" s="1" t="str">
        <f>IFERROR(__xludf.DUMMYFUNCTION("""COMPUTED_VALUE"""),"2")</f>
        <v>2</v>
      </c>
      <c r="G1918" s="1" t="str">
        <f>IFERROR(__xludf.DUMMYFUNCTION("""COMPUTED_VALUE"""),"0")</f>
        <v>0</v>
      </c>
      <c r="H1918" s="1" t="str">
        <f>IFERROR(__xludf.DUMMYFUNCTION("""COMPUTED_VALUE"""),"38")</f>
        <v>38</v>
      </c>
    </row>
    <row r="1919" ht="15.75" customHeight="1">
      <c r="D1919" s="1" t="str">
        <f>IFERROR(__xludf.DUMMYFUNCTION("""COMPUTED_VALUE"""),"18322")</f>
        <v>18322</v>
      </c>
      <c r="E1919" s="3">
        <f>IFERROR(__xludf.DUMMYFUNCTION("""COMPUTED_VALUE"""),30000.0)</f>
        <v>30000</v>
      </c>
      <c r="F1919" s="1" t="str">
        <f>IFERROR(__xludf.DUMMYFUNCTION("""COMPUTED_VALUE"""),"0")</f>
        <v>0</v>
      </c>
      <c r="G1919" s="1" t="str">
        <f>IFERROR(__xludf.DUMMYFUNCTION("""COMPUTED_VALUE"""),"2")</f>
        <v>2</v>
      </c>
      <c r="H1919" s="1" t="str">
        <f>IFERROR(__xludf.DUMMYFUNCTION("""COMPUTED_VALUE"""),"26")</f>
        <v>26</v>
      </c>
    </row>
    <row r="1920" ht="15.75" customHeight="1">
      <c r="D1920" s="1" t="str">
        <f>IFERROR(__xludf.DUMMYFUNCTION("""COMPUTED_VALUE"""),"15879")</f>
        <v>15879</v>
      </c>
      <c r="E1920" s="3">
        <f>IFERROR(__xludf.DUMMYFUNCTION("""COMPUTED_VALUE"""),70000.0)</f>
        <v>70000</v>
      </c>
      <c r="F1920" s="1" t="str">
        <f>IFERROR(__xludf.DUMMYFUNCTION("""COMPUTED_VALUE"""),"5")</f>
        <v>5</v>
      </c>
      <c r="G1920" s="1" t="str">
        <f>IFERROR(__xludf.DUMMYFUNCTION("""COMPUTED_VALUE"""),"2")</f>
        <v>2</v>
      </c>
      <c r="H1920" s="1" t="str">
        <f>IFERROR(__xludf.DUMMYFUNCTION("""COMPUTED_VALUE"""),"61")</f>
        <v>61</v>
      </c>
    </row>
    <row r="1921" ht="15.75" customHeight="1">
      <c r="D1921" s="1" t="str">
        <f>IFERROR(__xludf.DUMMYFUNCTION("""COMPUTED_VALUE"""),"28278")</f>
        <v>28278</v>
      </c>
      <c r="E1921" s="3">
        <f>IFERROR(__xludf.DUMMYFUNCTION("""COMPUTED_VALUE"""),50000.0)</f>
        <v>50000</v>
      </c>
      <c r="F1921" s="1" t="str">
        <f>IFERROR(__xludf.DUMMYFUNCTION("""COMPUTED_VALUE"""),"2")</f>
        <v>2</v>
      </c>
      <c r="G1921" s="1" t="str">
        <f>IFERROR(__xludf.DUMMYFUNCTION("""COMPUTED_VALUE"""),"2")</f>
        <v>2</v>
      </c>
      <c r="H1921" s="1" t="str">
        <f>IFERROR(__xludf.DUMMYFUNCTION("""COMPUTED_VALUE"""),"71")</f>
        <v>71</v>
      </c>
    </row>
    <row r="1922" ht="15.75" customHeight="1">
      <c r="D1922" s="1" t="str">
        <f>IFERROR(__xludf.DUMMYFUNCTION("""COMPUTED_VALUE"""),"24416")</f>
        <v>24416</v>
      </c>
      <c r="E1922" s="3">
        <f>IFERROR(__xludf.DUMMYFUNCTION("""COMPUTED_VALUE"""),90000.0)</f>
        <v>90000</v>
      </c>
      <c r="F1922" s="1" t="str">
        <f>IFERROR(__xludf.DUMMYFUNCTION("""COMPUTED_VALUE"""),"4")</f>
        <v>4</v>
      </c>
      <c r="G1922" s="1" t="str">
        <f>IFERROR(__xludf.DUMMYFUNCTION("""COMPUTED_VALUE"""),"2")</f>
        <v>2</v>
      </c>
      <c r="H1922" s="1" t="str">
        <f>IFERROR(__xludf.DUMMYFUNCTION("""COMPUTED_VALUE"""),"45")</f>
        <v>45</v>
      </c>
    </row>
    <row r="1923" ht="15.75" customHeight="1">
      <c r="D1923" s="1" t="str">
        <f>IFERROR(__xludf.DUMMYFUNCTION("""COMPUTED_VALUE"""),"28066")</f>
        <v>28066</v>
      </c>
      <c r="E1923" s="3">
        <f>IFERROR(__xludf.DUMMYFUNCTION("""COMPUTED_VALUE"""),80000.0)</f>
        <v>80000</v>
      </c>
      <c r="F1923" s="1" t="str">
        <f>IFERROR(__xludf.DUMMYFUNCTION("""COMPUTED_VALUE"""),"2")</f>
        <v>2</v>
      </c>
      <c r="G1923" s="1" t="str">
        <f>IFERROR(__xludf.DUMMYFUNCTION("""COMPUTED_VALUE"""),"0")</f>
        <v>0</v>
      </c>
      <c r="H1923" s="1" t="str">
        <f>IFERROR(__xludf.DUMMYFUNCTION("""COMPUTED_VALUE"""),"37")</f>
        <v>37</v>
      </c>
    </row>
    <row r="1924" ht="15.75" customHeight="1">
      <c r="D1924" s="1" t="str">
        <f>IFERROR(__xludf.DUMMYFUNCTION("""COMPUTED_VALUE"""),"11275")</f>
        <v>11275</v>
      </c>
      <c r="E1924" s="3">
        <f>IFERROR(__xludf.DUMMYFUNCTION("""COMPUTED_VALUE"""),80000.0)</f>
        <v>80000</v>
      </c>
      <c r="F1924" s="1" t="str">
        <f>IFERROR(__xludf.DUMMYFUNCTION("""COMPUTED_VALUE"""),"4")</f>
        <v>4</v>
      </c>
      <c r="G1924" s="1" t="str">
        <f>IFERROR(__xludf.DUMMYFUNCTION("""COMPUTED_VALUE"""),"2")</f>
        <v>2</v>
      </c>
      <c r="H1924" s="1" t="str">
        <f>IFERROR(__xludf.DUMMYFUNCTION("""COMPUTED_VALUE"""),"72")</f>
        <v>72</v>
      </c>
    </row>
    <row r="1925" ht="15.75" customHeight="1">
      <c r="D1925" s="1" t="str">
        <f>IFERROR(__xludf.DUMMYFUNCTION("""COMPUTED_VALUE"""),"14872")</f>
        <v>14872</v>
      </c>
      <c r="E1925" s="3">
        <f>IFERROR(__xludf.DUMMYFUNCTION("""COMPUTED_VALUE"""),30000.0)</f>
        <v>30000</v>
      </c>
      <c r="F1925" s="1" t="str">
        <f>IFERROR(__xludf.DUMMYFUNCTION("""COMPUTED_VALUE"""),"0")</f>
        <v>0</v>
      </c>
      <c r="G1925" s="1" t="str">
        <f>IFERROR(__xludf.DUMMYFUNCTION("""COMPUTED_VALUE"""),"0")</f>
        <v>0</v>
      </c>
      <c r="H1925" s="1" t="str">
        <f>IFERROR(__xludf.DUMMYFUNCTION("""COMPUTED_VALUE"""),"32")</f>
        <v>32</v>
      </c>
    </row>
    <row r="1926" ht="15.75" customHeight="1">
      <c r="D1926" s="1" t="str">
        <f>IFERROR(__xludf.DUMMYFUNCTION("""COMPUTED_VALUE"""),"16151")</f>
        <v>16151</v>
      </c>
      <c r="E1926" s="3">
        <f>IFERROR(__xludf.DUMMYFUNCTION("""COMPUTED_VALUE"""),60000.0)</f>
        <v>60000</v>
      </c>
      <c r="F1926" s="1" t="str">
        <f>IFERROR(__xludf.DUMMYFUNCTION("""COMPUTED_VALUE"""),"1")</f>
        <v>1</v>
      </c>
      <c r="G1926" s="1" t="str">
        <f>IFERROR(__xludf.DUMMYFUNCTION("""COMPUTED_VALUE"""),"1")</f>
        <v>1</v>
      </c>
      <c r="H1926" s="1" t="str">
        <f>IFERROR(__xludf.DUMMYFUNCTION("""COMPUTED_VALUE"""),"48")</f>
        <v>48</v>
      </c>
    </row>
    <row r="1927" ht="15.75" customHeight="1">
      <c r="D1927" s="1" t="str">
        <f>IFERROR(__xludf.DUMMYFUNCTION("""COMPUTED_VALUE"""),"19731")</f>
        <v>19731</v>
      </c>
      <c r="E1927" s="3">
        <f>IFERROR(__xludf.DUMMYFUNCTION("""COMPUTED_VALUE"""),80000.0)</f>
        <v>80000</v>
      </c>
      <c r="F1927" s="1" t="str">
        <f>IFERROR(__xludf.DUMMYFUNCTION("""COMPUTED_VALUE"""),"4")</f>
        <v>4</v>
      </c>
      <c r="G1927" s="1" t="str">
        <f>IFERROR(__xludf.DUMMYFUNCTION("""COMPUTED_VALUE"""),"2")</f>
        <v>2</v>
      </c>
      <c r="H1927" s="1" t="str">
        <f>IFERROR(__xludf.DUMMYFUNCTION("""COMPUTED_VALUE"""),"68")</f>
        <v>68</v>
      </c>
    </row>
    <row r="1928" ht="15.75" customHeight="1">
      <c r="D1928" s="1" t="str">
        <f>IFERROR(__xludf.DUMMYFUNCTION("""COMPUTED_VALUE"""),"23801")</f>
        <v>23801</v>
      </c>
      <c r="E1928" s="3">
        <f>IFERROR(__xludf.DUMMYFUNCTION("""COMPUTED_VALUE"""),20000.0)</f>
        <v>20000</v>
      </c>
      <c r="F1928" s="1" t="str">
        <f>IFERROR(__xludf.DUMMYFUNCTION("""COMPUTED_VALUE"""),"2")</f>
        <v>2</v>
      </c>
      <c r="G1928" s="1" t="str">
        <f>IFERROR(__xludf.DUMMYFUNCTION("""COMPUTED_VALUE"""),"2")</f>
        <v>2</v>
      </c>
      <c r="H1928" s="1" t="str">
        <f>IFERROR(__xludf.DUMMYFUNCTION("""COMPUTED_VALUE"""),"49")</f>
        <v>49</v>
      </c>
    </row>
    <row r="1929" ht="15.75" customHeight="1">
      <c r="D1929" s="1" t="str">
        <f>IFERROR(__xludf.DUMMYFUNCTION("""COMPUTED_VALUE"""),"11807")</f>
        <v>11807</v>
      </c>
      <c r="E1929" s="3">
        <f>IFERROR(__xludf.DUMMYFUNCTION("""COMPUTED_VALUE"""),70000.0)</f>
        <v>70000</v>
      </c>
      <c r="F1929" s="1" t="str">
        <f>IFERROR(__xludf.DUMMYFUNCTION("""COMPUTED_VALUE"""),"3")</f>
        <v>3</v>
      </c>
      <c r="G1929" s="1" t="str">
        <f>IFERROR(__xludf.DUMMYFUNCTION("""COMPUTED_VALUE"""),"0")</f>
        <v>0</v>
      </c>
      <c r="H1929" s="1" t="str">
        <f>IFERROR(__xludf.DUMMYFUNCTION("""COMPUTED_VALUE"""),"34")</f>
        <v>34</v>
      </c>
    </row>
    <row r="1930" ht="15.75" customHeight="1">
      <c r="D1930" s="1" t="str">
        <f>IFERROR(__xludf.DUMMYFUNCTION("""COMPUTED_VALUE"""),"11622")</f>
        <v>11622</v>
      </c>
      <c r="E1930" s="3">
        <f>IFERROR(__xludf.DUMMYFUNCTION("""COMPUTED_VALUE"""),50000.0)</f>
        <v>50000</v>
      </c>
      <c r="F1930" s="1" t="str">
        <f>IFERROR(__xludf.DUMMYFUNCTION("""COMPUTED_VALUE"""),"0")</f>
        <v>0</v>
      </c>
      <c r="G1930" s="1" t="str">
        <f>IFERROR(__xludf.DUMMYFUNCTION("""COMPUTED_VALUE"""),"0")</f>
        <v>0</v>
      </c>
      <c r="H1930" s="1" t="str">
        <f>IFERROR(__xludf.DUMMYFUNCTION("""COMPUTED_VALUE"""),"32")</f>
        <v>32</v>
      </c>
    </row>
    <row r="1931" ht="15.75" customHeight="1">
      <c r="D1931" s="1" t="str">
        <f>IFERROR(__xludf.DUMMYFUNCTION("""COMPUTED_VALUE"""),"26597")</f>
        <v>26597</v>
      </c>
      <c r="E1931" s="3">
        <f>IFERROR(__xludf.DUMMYFUNCTION("""COMPUTED_VALUE"""),60000.0)</f>
        <v>60000</v>
      </c>
      <c r="F1931" s="1" t="str">
        <f>IFERROR(__xludf.DUMMYFUNCTION("""COMPUTED_VALUE"""),"4")</f>
        <v>4</v>
      </c>
      <c r="G1931" s="1" t="str">
        <f>IFERROR(__xludf.DUMMYFUNCTION("""COMPUTED_VALUE"""),"2")</f>
        <v>2</v>
      </c>
      <c r="H1931" s="1" t="str">
        <f>IFERROR(__xludf.DUMMYFUNCTION("""COMPUTED_VALUE"""),"42")</f>
        <v>42</v>
      </c>
    </row>
    <row r="1932" ht="15.75" customHeight="1">
      <c r="D1932" s="1" t="str">
        <f>IFERROR(__xludf.DUMMYFUNCTION("""COMPUTED_VALUE"""),"27074")</f>
        <v>27074</v>
      </c>
      <c r="E1932" s="3">
        <f>IFERROR(__xludf.DUMMYFUNCTION("""COMPUTED_VALUE"""),70000.0)</f>
        <v>70000</v>
      </c>
      <c r="F1932" s="1" t="str">
        <f>IFERROR(__xludf.DUMMYFUNCTION("""COMPUTED_VALUE"""),"1")</f>
        <v>1</v>
      </c>
      <c r="G1932" s="1" t="str">
        <f>IFERROR(__xludf.DUMMYFUNCTION("""COMPUTED_VALUE"""),"0")</f>
        <v>0</v>
      </c>
      <c r="H1932" s="1" t="str">
        <f>IFERROR(__xludf.DUMMYFUNCTION("""COMPUTED_VALUE"""),"35")</f>
        <v>35</v>
      </c>
    </row>
    <row r="1933" ht="15.75" customHeight="1">
      <c r="D1933" s="1" t="str">
        <f>IFERROR(__xludf.DUMMYFUNCTION("""COMPUTED_VALUE"""),"19228")</f>
        <v>19228</v>
      </c>
      <c r="E1933" s="3">
        <f>IFERROR(__xludf.DUMMYFUNCTION("""COMPUTED_VALUE"""),40000.0)</f>
        <v>40000</v>
      </c>
      <c r="F1933" s="1" t="str">
        <f>IFERROR(__xludf.DUMMYFUNCTION("""COMPUTED_VALUE"""),"2")</f>
        <v>2</v>
      </c>
      <c r="G1933" s="1" t="str">
        <f>IFERROR(__xludf.DUMMYFUNCTION("""COMPUTED_VALUE"""),"1")</f>
        <v>1</v>
      </c>
      <c r="H1933" s="1" t="str">
        <f>IFERROR(__xludf.DUMMYFUNCTION("""COMPUTED_VALUE"""),"48")</f>
        <v>48</v>
      </c>
    </row>
    <row r="1934" ht="15.75" customHeight="1">
      <c r="D1934" s="1" t="str">
        <f>IFERROR(__xludf.DUMMYFUNCTION("""COMPUTED_VALUE"""),"13415")</f>
        <v>13415</v>
      </c>
      <c r="E1934" s="3">
        <f>IFERROR(__xludf.DUMMYFUNCTION("""COMPUTED_VALUE"""),100000.0)</f>
        <v>100000</v>
      </c>
      <c r="F1934" s="1" t="str">
        <f>IFERROR(__xludf.DUMMYFUNCTION("""COMPUTED_VALUE"""),"1")</f>
        <v>1</v>
      </c>
      <c r="G1934" s="1" t="str">
        <f>IFERROR(__xludf.DUMMYFUNCTION("""COMPUTED_VALUE"""),"3")</f>
        <v>3</v>
      </c>
      <c r="H1934" s="1" t="str">
        <f>IFERROR(__xludf.DUMMYFUNCTION("""COMPUTED_VALUE"""),"73")</f>
        <v>73</v>
      </c>
    </row>
    <row r="1935" ht="15.75" customHeight="1">
      <c r="D1935" s="1" t="str">
        <f>IFERROR(__xludf.DUMMYFUNCTION("""COMPUTED_VALUE"""),"17000")</f>
        <v>17000</v>
      </c>
      <c r="E1935" s="3">
        <f>IFERROR(__xludf.DUMMYFUNCTION("""COMPUTED_VALUE"""),70000.0)</f>
        <v>70000</v>
      </c>
      <c r="F1935" s="1" t="str">
        <f>IFERROR(__xludf.DUMMYFUNCTION("""COMPUTED_VALUE"""),"4")</f>
        <v>4</v>
      </c>
      <c r="G1935" s="1" t="str">
        <f>IFERROR(__xludf.DUMMYFUNCTION("""COMPUTED_VALUE"""),"2")</f>
        <v>2</v>
      </c>
      <c r="H1935" s="1" t="str">
        <f>IFERROR(__xludf.DUMMYFUNCTION("""COMPUTED_VALUE"""),"43")</f>
        <v>43</v>
      </c>
    </row>
    <row r="1936" ht="15.75" customHeight="1">
      <c r="D1936" s="1" t="str">
        <f>IFERROR(__xludf.DUMMYFUNCTION("""COMPUTED_VALUE"""),"14569")</f>
        <v>14569</v>
      </c>
      <c r="E1936" s="3">
        <f>IFERROR(__xludf.DUMMYFUNCTION("""COMPUTED_VALUE"""),60000.0)</f>
        <v>60000</v>
      </c>
      <c r="F1936" s="1" t="str">
        <f>IFERROR(__xludf.DUMMYFUNCTION("""COMPUTED_VALUE"""),"1")</f>
        <v>1</v>
      </c>
      <c r="G1936" s="1" t="str">
        <f>IFERROR(__xludf.DUMMYFUNCTION("""COMPUTED_VALUE"""),"0")</f>
        <v>0</v>
      </c>
      <c r="H1936" s="1" t="str">
        <f>IFERROR(__xludf.DUMMYFUNCTION("""COMPUTED_VALUE"""),"35")</f>
        <v>35</v>
      </c>
    </row>
    <row r="1937" ht="15.75" customHeight="1">
      <c r="D1937" s="1" t="str">
        <f>IFERROR(__xludf.DUMMYFUNCTION("""COMPUTED_VALUE"""),"13873")</f>
        <v>13873</v>
      </c>
      <c r="E1937" s="3">
        <f>IFERROR(__xludf.DUMMYFUNCTION("""COMPUTED_VALUE"""),70000.0)</f>
        <v>70000</v>
      </c>
      <c r="F1937" s="1" t="str">
        <f>IFERROR(__xludf.DUMMYFUNCTION("""COMPUTED_VALUE"""),"3")</f>
        <v>3</v>
      </c>
      <c r="G1937" s="1" t="str">
        <f>IFERROR(__xludf.DUMMYFUNCTION("""COMPUTED_VALUE"""),"0")</f>
        <v>0</v>
      </c>
      <c r="H1937" s="1" t="str">
        <f>IFERROR(__xludf.DUMMYFUNCTION("""COMPUTED_VALUE"""),"35")</f>
        <v>35</v>
      </c>
    </row>
    <row r="1938" ht="15.75" customHeight="1">
      <c r="D1938" s="1" t="str">
        <f>IFERROR(__xludf.DUMMYFUNCTION("""COMPUTED_VALUE"""),"20401")</f>
        <v>20401</v>
      </c>
      <c r="E1938" s="3">
        <f>IFERROR(__xludf.DUMMYFUNCTION("""COMPUTED_VALUE"""),50000.0)</f>
        <v>50000</v>
      </c>
      <c r="F1938" s="1" t="str">
        <f>IFERROR(__xludf.DUMMYFUNCTION("""COMPUTED_VALUE"""),"4")</f>
        <v>4</v>
      </c>
      <c r="G1938" s="1" t="str">
        <f>IFERROR(__xludf.DUMMYFUNCTION("""COMPUTED_VALUE"""),"2")</f>
        <v>2</v>
      </c>
      <c r="H1938" s="1" t="str">
        <f>IFERROR(__xludf.DUMMYFUNCTION("""COMPUTED_VALUE"""),"64")</f>
        <v>64</v>
      </c>
    </row>
    <row r="1939" ht="15.75" customHeight="1">
      <c r="D1939" s="1" t="str">
        <f>IFERROR(__xludf.DUMMYFUNCTION("""COMPUTED_VALUE"""),"21583")</f>
        <v>21583</v>
      </c>
      <c r="E1939" s="3">
        <f>IFERROR(__xludf.DUMMYFUNCTION("""COMPUTED_VALUE"""),50000.0)</f>
        <v>50000</v>
      </c>
      <c r="F1939" s="1" t="str">
        <f>IFERROR(__xludf.DUMMYFUNCTION("""COMPUTED_VALUE"""),"1")</f>
        <v>1</v>
      </c>
      <c r="G1939" s="1" t="str">
        <f>IFERROR(__xludf.DUMMYFUNCTION("""COMPUTED_VALUE"""),"0")</f>
        <v>0</v>
      </c>
      <c r="H1939" s="1" t="str">
        <f>IFERROR(__xludf.DUMMYFUNCTION("""COMPUTED_VALUE"""),"34")</f>
        <v>34</v>
      </c>
    </row>
    <row r="1940" ht="15.75" customHeight="1">
      <c r="D1940" s="1" t="str">
        <f>IFERROR(__xludf.DUMMYFUNCTION("""COMPUTED_VALUE"""),"12029")</f>
        <v>12029</v>
      </c>
      <c r="E1940" s="3">
        <f>IFERROR(__xludf.DUMMYFUNCTION("""COMPUTED_VALUE"""),30000.0)</f>
        <v>30000</v>
      </c>
      <c r="F1940" s="1" t="str">
        <f>IFERROR(__xludf.DUMMYFUNCTION("""COMPUTED_VALUE"""),"0")</f>
        <v>0</v>
      </c>
      <c r="G1940" s="1" t="str">
        <f>IFERROR(__xludf.DUMMYFUNCTION("""COMPUTED_VALUE"""),"2")</f>
        <v>2</v>
      </c>
      <c r="H1940" s="1" t="str">
        <f>IFERROR(__xludf.DUMMYFUNCTION("""COMPUTED_VALUE"""),"28")</f>
        <v>28</v>
      </c>
    </row>
    <row r="1941" ht="15.75" customHeight="1">
      <c r="D1941" s="1" t="str">
        <f>IFERROR(__xludf.DUMMYFUNCTION("""COMPUTED_VALUE"""),"18066")</f>
        <v>18066</v>
      </c>
      <c r="E1941" s="3">
        <f>IFERROR(__xludf.DUMMYFUNCTION("""COMPUTED_VALUE"""),70000.0)</f>
        <v>70000</v>
      </c>
      <c r="F1941" s="1" t="str">
        <f>IFERROR(__xludf.DUMMYFUNCTION("""COMPUTED_VALUE"""),"5")</f>
        <v>5</v>
      </c>
      <c r="G1941" s="1" t="str">
        <f>IFERROR(__xludf.DUMMYFUNCTION("""COMPUTED_VALUE"""),"3")</f>
        <v>3</v>
      </c>
      <c r="H1941" s="1" t="str">
        <f>IFERROR(__xludf.DUMMYFUNCTION("""COMPUTED_VALUE"""),"60")</f>
        <v>60</v>
      </c>
    </row>
    <row r="1942" ht="15.75" customHeight="1">
      <c r="D1942" s="1" t="str">
        <f>IFERROR(__xludf.DUMMYFUNCTION("""COMPUTED_VALUE"""),"28192")</f>
        <v>28192</v>
      </c>
      <c r="E1942" s="3">
        <f>IFERROR(__xludf.DUMMYFUNCTION("""COMPUTED_VALUE"""),70000.0)</f>
        <v>70000</v>
      </c>
      <c r="F1942" s="1" t="str">
        <f>IFERROR(__xludf.DUMMYFUNCTION("""COMPUTED_VALUE"""),"5")</f>
        <v>5</v>
      </c>
      <c r="G1942" s="1" t="str">
        <f>IFERROR(__xludf.DUMMYFUNCTION("""COMPUTED_VALUE"""),"3")</f>
        <v>3</v>
      </c>
      <c r="H1942" s="1" t="str">
        <f>IFERROR(__xludf.DUMMYFUNCTION("""COMPUTED_VALUE"""),"46")</f>
        <v>46</v>
      </c>
    </row>
    <row r="1943" ht="15.75" customHeight="1">
      <c r="D1943" s="1" t="str">
        <f>IFERROR(__xludf.DUMMYFUNCTION("""COMPUTED_VALUE"""),"16122")</f>
        <v>16122</v>
      </c>
      <c r="E1943" s="3">
        <f>IFERROR(__xludf.DUMMYFUNCTION("""COMPUTED_VALUE"""),40000.0)</f>
        <v>40000</v>
      </c>
      <c r="F1943" s="1" t="str">
        <f>IFERROR(__xludf.DUMMYFUNCTION("""COMPUTED_VALUE"""),"4")</f>
        <v>4</v>
      </c>
      <c r="G1943" s="1" t="str">
        <f>IFERROR(__xludf.DUMMYFUNCTION("""COMPUTED_VALUE"""),"2")</f>
        <v>2</v>
      </c>
      <c r="H1943" s="1" t="str">
        <f>IFERROR(__xludf.DUMMYFUNCTION("""COMPUTED_VALUE"""),"44")</f>
        <v>44</v>
      </c>
    </row>
    <row r="1944" ht="15.75" customHeight="1">
      <c r="D1944" s="1" t="str">
        <f>IFERROR(__xludf.DUMMYFUNCTION("""COMPUTED_VALUE"""),"18607")</f>
        <v>18607</v>
      </c>
      <c r="E1944" s="3">
        <f>IFERROR(__xludf.DUMMYFUNCTION("""COMPUTED_VALUE"""),60000.0)</f>
        <v>60000</v>
      </c>
      <c r="F1944" s="1" t="str">
        <f>IFERROR(__xludf.DUMMYFUNCTION("""COMPUTED_VALUE"""),"4")</f>
        <v>4</v>
      </c>
      <c r="G1944" s="1" t="str">
        <f>IFERROR(__xludf.DUMMYFUNCTION("""COMPUTED_VALUE"""),"2")</f>
        <v>2</v>
      </c>
      <c r="H1944" s="1" t="str">
        <f>IFERROR(__xludf.DUMMYFUNCTION("""COMPUTED_VALUE"""),"42")</f>
        <v>42</v>
      </c>
    </row>
    <row r="1945" ht="15.75" customHeight="1">
      <c r="D1945" s="1" t="str">
        <f>IFERROR(__xludf.DUMMYFUNCTION("""COMPUTED_VALUE"""),"28858")</f>
        <v>28858</v>
      </c>
      <c r="E1945" s="3">
        <f>IFERROR(__xludf.DUMMYFUNCTION("""COMPUTED_VALUE"""),80000.0)</f>
        <v>80000</v>
      </c>
      <c r="F1945" s="1" t="str">
        <f>IFERROR(__xludf.DUMMYFUNCTION("""COMPUTED_VALUE"""),"3")</f>
        <v>3</v>
      </c>
      <c r="G1945" s="1" t="str">
        <f>IFERROR(__xludf.DUMMYFUNCTION("""COMPUTED_VALUE"""),"0")</f>
        <v>0</v>
      </c>
      <c r="H1945" s="1" t="str">
        <f>IFERROR(__xludf.DUMMYFUNCTION("""COMPUTED_VALUE"""),"40")</f>
        <v>40</v>
      </c>
    </row>
    <row r="1946" ht="15.75" customHeight="1">
      <c r="D1946" s="1" t="str">
        <f>IFERROR(__xludf.DUMMYFUNCTION("""COMPUTED_VALUE"""),"14432")</f>
        <v>14432</v>
      </c>
      <c r="E1946" s="3">
        <f>IFERROR(__xludf.DUMMYFUNCTION("""COMPUTED_VALUE"""),90000.0)</f>
        <v>90000</v>
      </c>
      <c r="F1946" s="1" t="str">
        <f>IFERROR(__xludf.DUMMYFUNCTION("""COMPUTED_VALUE"""),"4")</f>
        <v>4</v>
      </c>
      <c r="G1946" s="1" t="str">
        <f>IFERROR(__xludf.DUMMYFUNCTION("""COMPUTED_VALUE"""),"1")</f>
        <v>1</v>
      </c>
      <c r="H1946" s="1" t="str">
        <f>IFERROR(__xludf.DUMMYFUNCTION("""COMPUTED_VALUE"""),"73")</f>
        <v>73</v>
      </c>
    </row>
    <row r="1947" ht="15.75" customHeight="1">
      <c r="D1947" s="1" t="str">
        <f>IFERROR(__xludf.DUMMYFUNCTION("""COMPUTED_VALUE"""),"26305")</f>
        <v>26305</v>
      </c>
      <c r="E1947" s="3">
        <f>IFERROR(__xludf.DUMMYFUNCTION("""COMPUTED_VALUE"""),60000.0)</f>
        <v>60000</v>
      </c>
      <c r="F1947" s="1" t="str">
        <f>IFERROR(__xludf.DUMMYFUNCTION("""COMPUTED_VALUE"""),"2")</f>
        <v>2</v>
      </c>
      <c r="G1947" s="1" t="str">
        <f>IFERROR(__xludf.DUMMYFUNCTION("""COMPUTED_VALUE"""),"0")</f>
        <v>0</v>
      </c>
      <c r="H1947" s="1" t="str">
        <f>IFERROR(__xludf.DUMMYFUNCTION("""COMPUTED_VALUE"""),"36")</f>
        <v>36</v>
      </c>
    </row>
    <row r="1948" ht="15.75" customHeight="1">
      <c r="D1948" s="1" t="str">
        <f>IFERROR(__xludf.DUMMYFUNCTION("""COMPUTED_VALUE"""),"22050")</f>
        <v>22050</v>
      </c>
      <c r="E1948" s="3">
        <f>IFERROR(__xludf.DUMMYFUNCTION("""COMPUTED_VALUE"""),90000.0)</f>
        <v>90000</v>
      </c>
      <c r="F1948" s="1" t="str">
        <f>IFERROR(__xludf.DUMMYFUNCTION("""COMPUTED_VALUE"""),"4")</f>
        <v>4</v>
      </c>
      <c r="G1948" s="1" t="str">
        <f>IFERROR(__xludf.DUMMYFUNCTION("""COMPUTED_VALUE"""),"1")</f>
        <v>1</v>
      </c>
      <c r="H1948" s="1" t="str">
        <f>IFERROR(__xludf.DUMMYFUNCTION("""COMPUTED_VALUE"""),"38")</f>
        <v>38</v>
      </c>
    </row>
    <row r="1949" ht="15.75" customHeight="1">
      <c r="D1949" s="1" t="str">
        <f>IFERROR(__xludf.DUMMYFUNCTION("""COMPUTED_VALUE"""),"25394")</f>
        <v>25394</v>
      </c>
      <c r="E1949" s="3">
        <f>IFERROR(__xludf.DUMMYFUNCTION("""COMPUTED_VALUE"""),60000.0)</f>
        <v>60000</v>
      </c>
      <c r="F1949" s="1" t="str">
        <f>IFERROR(__xludf.DUMMYFUNCTION("""COMPUTED_VALUE"""),"1")</f>
        <v>1</v>
      </c>
      <c r="G1949" s="1" t="str">
        <f>IFERROR(__xludf.DUMMYFUNCTION("""COMPUTED_VALUE"""),"0")</f>
        <v>0</v>
      </c>
      <c r="H1949" s="1" t="str">
        <f>IFERROR(__xludf.DUMMYFUNCTION("""COMPUTED_VALUE"""),"34")</f>
        <v>34</v>
      </c>
    </row>
    <row r="1950" ht="15.75" customHeight="1">
      <c r="D1950" s="1" t="str">
        <f>IFERROR(__xludf.DUMMYFUNCTION("""COMPUTED_VALUE"""),"19747")</f>
        <v>19747</v>
      </c>
      <c r="E1950" s="3">
        <f>IFERROR(__xludf.DUMMYFUNCTION("""COMPUTED_VALUE"""),50000.0)</f>
        <v>50000</v>
      </c>
      <c r="F1950" s="1" t="str">
        <f>IFERROR(__xludf.DUMMYFUNCTION("""COMPUTED_VALUE"""),"4")</f>
        <v>4</v>
      </c>
      <c r="G1950" s="1" t="str">
        <f>IFERROR(__xludf.DUMMYFUNCTION("""COMPUTED_VALUE"""),"2")</f>
        <v>2</v>
      </c>
      <c r="H1950" s="1" t="str">
        <f>IFERROR(__xludf.DUMMYFUNCTION("""COMPUTED_VALUE"""),"63")</f>
        <v>63</v>
      </c>
    </row>
    <row r="1951" ht="15.75" customHeight="1">
      <c r="D1951" s="1" t="str">
        <f>IFERROR(__xludf.DUMMYFUNCTION("""COMPUTED_VALUE"""),"23195")</f>
        <v>23195</v>
      </c>
      <c r="E1951" s="3">
        <f>IFERROR(__xludf.DUMMYFUNCTION("""COMPUTED_VALUE"""),50000.0)</f>
        <v>50000</v>
      </c>
      <c r="F1951" s="1" t="str">
        <f>IFERROR(__xludf.DUMMYFUNCTION("""COMPUTED_VALUE"""),"3")</f>
        <v>3</v>
      </c>
      <c r="G1951" s="1" t="str">
        <f>IFERROR(__xludf.DUMMYFUNCTION("""COMPUTED_VALUE"""),"2")</f>
        <v>2</v>
      </c>
      <c r="H1951" s="1" t="str">
        <f>IFERROR(__xludf.DUMMYFUNCTION("""COMPUTED_VALUE"""),"41")</f>
        <v>41</v>
      </c>
    </row>
    <row r="1952" ht="15.75" customHeight="1">
      <c r="D1952" s="1" t="str">
        <f>IFERROR(__xludf.DUMMYFUNCTION("""COMPUTED_VALUE"""),"21695")</f>
        <v>21695</v>
      </c>
      <c r="E1952" s="3">
        <f>IFERROR(__xludf.DUMMYFUNCTION("""COMPUTED_VALUE"""),60000.0)</f>
        <v>60000</v>
      </c>
      <c r="F1952" s="1" t="str">
        <f>IFERROR(__xludf.DUMMYFUNCTION("""COMPUTED_VALUE"""),"0")</f>
        <v>0</v>
      </c>
      <c r="G1952" s="1" t="str">
        <f>IFERROR(__xludf.DUMMYFUNCTION("""COMPUTED_VALUE"""),"0")</f>
        <v>0</v>
      </c>
      <c r="H1952" s="1" t="str">
        <f>IFERROR(__xludf.DUMMYFUNCTION("""COMPUTED_VALUE"""),"39")</f>
        <v>39</v>
      </c>
    </row>
    <row r="1953" ht="15.75" customHeight="1">
      <c r="D1953" s="1" t="str">
        <f>IFERROR(__xludf.DUMMYFUNCTION("""COMPUTED_VALUE"""),"13934")</f>
        <v>13934</v>
      </c>
      <c r="E1953" s="3">
        <f>IFERROR(__xludf.DUMMYFUNCTION("""COMPUTED_VALUE"""),40000.0)</f>
        <v>40000</v>
      </c>
      <c r="F1953" s="1" t="str">
        <f>IFERROR(__xludf.DUMMYFUNCTION("""COMPUTED_VALUE"""),"4")</f>
        <v>4</v>
      </c>
      <c r="G1953" s="1" t="str">
        <f>IFERROR(__xludf.DUMMYFUNCTION("""COMPUTED_VALUE"""),"2")</f>
        <v>2</v>
      </c>
      <c r="H1953" s="1" t="str">
        <f>IFERROR(__xludf.DUMMYFUNCTION("""COMPUTED_VALUE"""),"46")</f>
        <v>46</v>
      </c>
    </row>
    <row r="1954" ht="15.75" customHeight="1">
      <c r="D1954" s="1" t="str">
        <f>IFERROR(__xludf.DUMMYFUNCTION("""COMPUTED_VALUE"""),"13337")</f>
        <v>13337</v>
      </c>
      <c r="E1954" s="3">
        <f>IFERROR(__xludf.DUMMYFUNCTION("""COMPUTED_VALUE"""),80000.0)</f>
        <v>80000</v>
      </c>
      <c r="F1954" s="1" t="str">
        <f>IFERROR(__xludf.DUMMYFUNCTION("""COMPUTED_VALUE"""),"5")</f>
        <v>5</v>
      </c>
      <c r="G1954" s="1" t="str">
        <f>IFERROR(__xludf.DUMMYFUNCTION("""COMPUTED_VALUE"""),"2")</f>
        <v>2</v>
      </c>
      <c r="H1954" s="1" t="str">
        <f>IFERROR(__xludf.DUMMYFUNCTION("""COMPUTED_VALUE"""),"64")</f>
        <v>64</v>
      </c>
    </row>
    <row r="1955" ht="15.75" customHeight="1">
      <c r="D1955" s="1" t="str">
        <f>IFERROR(__xludf.DUMMYFUNCTION("""COMPUTED_VALUE"""),"27190")</f>
        <v>27190</v>
      </c>
      <c r="E1955" s="3">
        <f>IFERROR(__xludf.DUMMYFUNCTION("""COMPUTED_VALUE"""),40000.0)</f>
        <v>40000</v>
      </c>
      <c r="F1955" s="1" t="str">
        <f>IFERROR(__xludf.DUMMYFUNCTION("""COMPUTED_VALUE"""),"3")</f>
        <v>3</v>
      </c>
      <c r="G1955" s="1" t="str">
        <f>IFERROR(__xludf.DUMMYFUNCTION("""COMPUTED_VALUE"""),"1")</f>
        <v>1</v>
      </c>
      <c r="H1955" s="1" t="str">
        <f>IFERROR(__xludf.DUMMYFUNCTION("""COMPUTED_VALUE"""),"32")</f>
        <v>32</v>
      </c>
    </row>
    <row r="1956" ht="15.75" customHeight="1">
      <c r="D1956" s="1" t="str">
        <f>IFERROR(__xludf.DUMMYFUNCTION("""COMPUTED_VALUE"""),"28657")</f>
        <v>28657</v>
      </c>
      <c r="E1956" s="3">
        <f>IFERROR(__xludf.DUMMYFUNCTION("""COMPUTED_VALUE"""),60000.0)</f>
        <v>60000</v>
      </c>
      <c r="F1956" s="1" t="str">
        <f>IFERROR(__xludf.DUMMYFUNCTION("""COMPUTED_VALUE"""),"2")</f>
        <v>2</v>
      </c>
      <c r="G1956" s="1" t="str">
        <f>IFERROR(__xludf.DUMMYFUNCTION("""COMPUTED_VALUE"""),"0")</f>
        <v>0</v>
      </c>
      <c r="H1956" s="1" t="str">
        <f>IFERROR(__xludf.DUMMYFUNCTION("""COMPUTED_VALUE"""),"36")</f>
        <v>36</v>
      </c>
    </row>
    <row r="1957" ht="15.75" customHeight="1">
      <c r="D1957" s="1" t="str">
        <f>IFERROR(__xludf.DUMMYFUNCTION("""COMPUTED_VALUE"""),"21713")</f>
        <v>21713</v>
      </c>
      <c r="E1957" s="3">
        <f>IFERROR(__xludf.DUMMYFUNCTION("""COMPUTED_VALUE"""),80000.0)</f>
        <v>80000</v>
      </c>
      <c r="F1957" s="1" t="str">
        <f>IFERROR(__xludf.DUMMYFUNCTION("""COMPUTED_VALUE"""),"5")</f>
        <v>5</v>
      </c>
      <c r="G1957" s="1" t="str">
        <f>IFERROR(__xludf.DUMMYFUNCTION("""COMPUTED_VALUE"""),"0")</f>
        <v>0</v>
      </c>
      <c r="H1957" s="1" t="str">
        <f>IFERROR(__xludf.DUMMYFUNCTION("""COMPUTED_VALUE"""),"47")</f>
        <v>47</v>
      </c>
    </row>
    <row r="1958" ht="15.75" customHeight="1">
      <c r="D1958" s="1" t="str">
        <f>IFERROR(__xludf.DUMMYFUNCTION("""COMPUTED_VALUE"""),"21752")</f>
        <v>21752</v>
      </c>
      <c r="E1958" s="3">
        <f>IFERROR(__xludf.DUMMYFUNCTION("""COMPUTED_VALUE"""),60000.0)</f>
        <v>60000</v>
      </c>
      <c r="F1958" s="1" t="str">
        <f>IFERROR(__xludf.DUMMYFUNCTION("""COMPUTED_VALUE"""),"3")</f>
        <v>3</v>
      </c>
      <c r="G1958" s="1" t="str">
        <f>IFERROR(__xludf.DUMMYFUNCTION("""COMPUTED_VALUE"""),"2")</f>
        <v>2</v>
      </c>
      <c r="H1958" s="1" t="str">
        <f>IFERROR(__xludf.DUMMYFUNCTION("""COMPUTED_VALUE"""),"64")</f>
        <v>64</v>
      </c>
    </row>
    <row r="1959" ht="15.75" customHeight="1">
      <c r="D1959" s="1" t="str">
        <f>IFERROR(__xludf.DUMMYFUNCTION("""COMPUTED_VALUE"""),"27273")</f>
        <v>27273</v>
      </c>
      <c r="E1959" s="3">
        <f>IFERROR(__xludf.DUMMYFUNCTION("""COMPUTED_VALUE"""),70000.0)</f>
        <v>70000</v>
      </c>
      <c r="F1959" s="1" t="str">
        <f>IFERROR(__xludf.DUMMYFUNCTION("""COMPUTED_VALUE"""),"3")</f>
        <v>3</v>
      </c>
      <c r="G1959" s="1" t="str">
        <f>IFERROR(__xludf.DUMMYFUNCTION("""COMPUTED_VALUE"""),"0")</f>
        <v>0</v>
      </c>
      <c r="H1959" s="1" t="str">
        <f>IFERROR(__xludf.DUMMYFUNCTION("""COMPUTED_VALUE"""),"35")</f>
        <v>35</v>
      </c>
    </row>
    <row r="1960" ht="15.75" customHeight="1">
      <c r="D1960" s="1" t="str">
        <f>IFERROR(__xludf.DUMMYFUNCTION("""COMPUTED_VALUE"""),"22719")</f>
        <v>22719</v>
      </c>
      <c r="E1960" s="3">
        <f>IFERROR(__xludf.DUMMYFUNCTION("""COMPUTED_VALUE"""),110000.0)</f>
        <v>110000</v>
      </c>
      <c r="F1960" s="1" t="str">
        <f>IFERROR(__xludf.DUMMYFUNCTION("""COMPUTED_VALUE"""),"3")</f>
        <v>3</v>
      </c>
      <c r="G1960" s="1" t="str">
        <f>IFERROR(__xludf.DUMMYFUNCTION("""COMPUTED_VALUE"""),"4")</f>
        <v>4</v>
      </c>
      <c r="H1960" s="1" t="str">
        <f>IFERROR(__xludf.DUMMYFUNCTION("""COMPUTED_VALUE"""),"40")</f>
        <v>40</v>
      </c>
    </row>
    <row r="1961" ht="15.75" customHeight="1">
      <c r="D1961" s="1" t="str">
        <f>IFERROR(__xludf.DUMMYFUNCTION("""COMPUTED_VALUE"""),"22042")</f>
        <v>22042</v>
      </c>
      <c r="E1961" s="3">
        <f>IFERROR(__xludf.DUMMYFUNCTION("""COMPUTED_VALUE"""),70000.0)</f>
        <v>70000</v>
      </c>
      <c r="F1961" s="1" t="str">
        <f>IFERROR(__xludf.DUMMYFUNCTION("""COMPUTED_VALUE"""),"0")</f>
        <v>0</v>
      </c>
      <c r="G1961" s="1" t="str">
        <f>IFERROR(__xludf.DUMMYFUNCTION("""COMPUTED_VALUE"""),"2")</f>
        <v>2</v>
      </c>
      <c r="H1961" s="1" t="str">
        <f>IFERROR(__xludf.DUMMYFUNCTION("""COMPUTED_VALUE"""),"34")</f>
        <v>34</v>
      </c>
    </row>
    <row r="1962" ht="15.75" customHeight="1">
      <c r="D1962" s="1" t="str">
        <f>IFERROR(__xludf.DUMMYFUNCTION("""COMPUTED_VALUE"""),"21451")</f>
        <v>21451</v>
      </c>
      <c r="E1962" s="3">
        <f>IFERROR(__xludf.DUMMYFUNCTION("""COMPUTED_VALUE"""),40000.0)</f>
        <v>40000</v>
      </c>
      <c r="F1962" s="1" t="str">
        <f>IFERROR(__xludf.DUMMYFUNCTION("""COMPUTED_VALUE"""),"4")</f>
        <v>4</v>
      </c>
      <c r="G1962" s="1" t="str">
        <f>IFERROR(__xludf.DUMMYFUNCTION("""COMPUTED_VALUE"""),"2")</f>
        <v>2</v>
      </c>
      <c r="H1962" s="1" t="str">
        <f>IFERROR(__xludf.DUMMYFUNCTION("""COMPUTED_VALUE"""),"61")</f>
        <v>61</v>
      </c>
    </row>
    <row r="1963" ht="15.75" customHeight="1">
      <c r="D1963" s="1" t="str">
        <f>IFERROR(__xludf.DUMMYFUNCTION("""COMPUTED_VALUE"""),"20754")</f>
        <v>20754</v>
      </c>
      <c r="E1963" s="3">
        <f>IFERROR(__xludf.DUMMYFUNCTION("""COMPUTED_VALUE"""),30000.0)</f>
        <v>30000</v>
      </c>
      <c r="F1963" s="1" t="str">
        <f>IFERROR(__xludf.DUMMYFUNCTION("""COMPUTED_VALUE"""),"2")</f>
        <v>2</v>
      </c>
      <c r="G1963" s="1" t="str">
        <f>IFERROR(__xludf.DUMMYFUNCTION("""COMPUTED_VALUE"""),"2")</f>
        <v>2</v>
      </c>
      <c r="H1963" s="1" t="str">
        <f>IFERROR(__xludf.DUMMYFUNCTION("""COMPUTED_VALUE"""),"51")</f>
        <v>51</v>
      </c>
    </row>
    <row r="1964" ht="15.75" customHeight="1">
      <c r="D1964" s="1" t="str">
        <f>IFERROR(__xludf.DUMMYFUNCTION("""COMPUTED_VALUE"""),"12153")</f>
        <v>12153</v>
      </c>
      <c r="E1964" s="3">
        <f>IFERROR(__xludf.DUMMYFUNCTION("""COMPUTED_VALUE"""),70000.0)</f>
        <v>70000</v>
      </c>
      <c r="F1964" s="1" t="str">
        <f>IFERROR(__xludf.DUMMYFUNCTION("""COMPUTED_VALUE"""),"3")</f>
        <v>3</v>
      </c>
      <c r="G1964" s="1" t="str">
        <f>IFERROR(__xludf.DUMMYFUNCTION("""COMPUTED_VALUE"""),"1")</f>
        <v>1</v>
      </c>
      <c r="H1964" s="1" t="str">
        <f>IFERROR(__xludf.DUMMYFUNCTION("""COMPUTED_VALUE"""),"49")</f>
        <v>49</v>
      </c>
    </row>
    <row r="1965" ht="15.75" customHeight="1">
      <c r="D1965" s="1" t="str">
        <f>IFERROR(__xludf.DUMMYFUNCTION("""COMPUTED_VALUE"""),"16895")</f>
        <v>16895</v>
      </c>
      <c r="E1965" s="3">
        <f>IFERROR(__xludf.DUMMYFUNCTION("""COMPUTED_VALUE"""),40000.0)</f>
        <v>40000</v>
      </c>
      <c r="F1965" s="1" t="str">
        <f>IFERROR(__xludf.DUMMYFUNCTION("""COMPUTED_VALUE"""),"3")</f>
        <v>3</v>
      </c>
      <c r="G1965" s="1" t="str">
        <f>IFERROR(__xludf.DUMMYFUNCTION("""COMPUTED_VALUE"""),"2")</f>
        <v>2</v>
      </c>
      <c r="H1965" s="1" t="str">
        <f>IFERROR(__xludf.DUMMYFUNCTION("""COMPUTED_VALUE"""),"54")</f>
        <v>54</v>
      </c>
    </row>
    <row r="1966" ht="15.75" customHeight="1">
      <c r="D1966" s="1" t="str">
        <f>IFERROR(__xludf.DUMMYFUNCTION("""COMPUTED_VALUE"""),"26728")</f>
        <v>26728</v>
      </c>
      <c r="E1966" s="3">
        <f>IFERROR(__xludf.DUMMYFUNCTION("""COMPUTED_VALUE"""),70000.0)</f>
        <v>70000</v>
      </c>
      <c r="F1966" s="1" t="str">
        <f>IFERROR(__xludf.DUMMYFUNCTION("""COMPUTED_VALUE"""),"3")</f>
        <v>3</v>
      </c>
      <c r="G1966" s="1" t="str">
        <f>IFERROR(__xludf.DUMMYFUNCTION("""COMPUTED_VALUE"""),"2")</f>
        <v>2</v>
      </c>
      <c r="H1966" s="1" t="str">
        <f>IFERROR(__xludf.DUMMYFUNCTION("""COMPUTED_VALUE"""),"53")</f>
        <v>53</v>
      </c>
    </row>
    <row r="1967" ht="15.75" customHeight="1">
      <c r="D1967" s="1" t="str">
        <f>IFERROR(__xludf.DUMMYFUNCTION("""COMPUTED_VALUE"""),"11090")</f>
        <v>11090</v>
      </c>
      <c r="E1967" s="3">
        <f>IFERROR(__xludf.DUMMYFUNCTION("""COMPUTED_VALUE"""),90000.0)</f>
        <v>90000</v>
      </c>
      <c r="F1967" s="1" t="str">
        <f>IFERROR(__xludf.DUMMYFUNCTION("""COMPUTED_VALUE"""),"2")</f>
        <v>2</v>
      </c>
      <c r="G1967" s="1" t="str">
        <f>IFERROR(__xludf.DUMMYFUNCTION("""COMPUTED_VALUE"""),"1")</f>
        <v>1</v>
      </c>
      <c r="H1967" s="1" t="str">
        <f>IFERROR(__xludf.DUMMYFUNCTION("""COMPUTED_VALUE"""),"48")</f>
        <v>48</v>
      </c>
    </row>
    <row r="1968" ht="15.75" customHeight="1">
      <c r="D1968" s="1" t="str">
        <f>IFERROR(__xludf.DUMMYFUNCTION("""COMPUTED_VALUE"""),"15862")</f>
        <v>15862</v>
      </c>
      <c r="E1968" s="3">
        <f>IFERROR(__xludf.DUMMYFUNCTION("""COMPUTED_VALUE"""),50000.0)</f>
        <v>50000</v>
      </c>
      <c r="F1968" s="1" t="str">
        <f>IFERROR(__xludf.DUMMYFUNCTION("""COMPUTED_VALUE"""),"0")</f>
        <v>0</v>
      </c>
      <c r="G1968" s="1" t="str">
        <f>IFERROR(__xludf.DUMMYFUNCTION("""COMPUTED_VALUE"""),"0")</f>
        <v>0</v>
      </c>
      <c r="H1968" s="1" t="str">
        <f>IFERROR(__xludf.DUMMYFUNCTION("""COMPUTED_VALUE"""),"33")</f>
        <v>33</v>
      </c>
    </row>
    <row r="1969" ht="15.75" customHeight="1">
      <c r="D1969" s="1" t="str">
        <f>IFERROR(__xludf.DUMMYFUNCTION("""COMPUTED_VALUE"""),"26495")</f>
        <v>26495</v>
      </c>
      <c r="E1969" s="3">
        <f>IFERROR(__xludf.DUMMYFUNCTION("""COMPUTED_VALUE"""),40000.0)</f>
        <v>40000</v>
      </c>
      <c r="F1969" s="1" t="str">
        <f>IFERROR(__xludf.DUMMYFUNCTION("""COMPUTED_VALUE"""),"2")</f>
        <v>2</v>
      </c>
      <c r="G1969" s="1" t="str">
        <f>IFERROR(__xludf.DUMMYFUNCTION("""COMPUTED_VALUE"""),"2")</f>
        <v>2</v>
      </c>
      <c r="H1969" s="1" t="str">
        <f>IFERROR(__xludf.DUMMYFUNCTION("""COMPUTED_VALUE"""),"57")</f>
        <v>57</v>
      </c>
    </row>
    <row r="1970" ht="15.75" customHeight="1">
      <c r="D1970" s="1" t="str">
        <f>IFERROR(__xludf.DUMMYFUNCTION("""COMPUTED_VALUE"""),"11823")</f>
        <v>11823</v>
      </c>
      <c r="E1970" s="3">
        <f>IFERROR(__xludf.DUMMYFUNCTION("""COMPUTED_VALUE"""),70000.0)</f>
        <v>70000</v>
      </c>
      <c r="F1970" s="1" t="str">
        <f>IFERROR(__xludf.DUMMYFUNCTION("""COMPUTED_VALUE"""),"0")</f>
        <v>0</v>
      </c>
      <c r="G1970" s="1" t="str">
        <f>IFERROR(__xludf.DUMMYFUNCTION("""COMPUTED_VALUE"""),"0")</f>
        <v>0</v>
      </c>
      <c r="H1970" s="1" t="str">
        <f>IFERROR(__xludf.DUMMYFUNCTION("""COMPUTED_VALUE"""),"39")</f>
        <v>39</v>
      </c>
    </row>
    <row r="1971" ht="15.75" customHeight="1">
      <c r="D1971" s="1" t="str">
        <f>IFERROR(__xludf.DUMMYFUNCTION("""COMPUTED_VALUE"""),"23449")</f>
        <v>23449</v>
      </c>
      <c r="E1971" s="3">
        <f>IFERROR(__xludf.DUMMYFUNCTION("""COMPUTED_VALUE"""),60000.0)</f>
        <v>60000</v>
      </c>
      <c r="F1971" s="1" t="str">
        <f>IFERROR(__xludf.DUMMYFUNCTION("""COMPUTED_VALUE"""),"2")</f>
        <v>2</v>
      </c>
      <c r="G1971" s="1" t="str">
        <f>IFERROR(__xludf.DUMMYFUNCTION("""COMPUTED_VALUE"""),"2")</f>
        <v>2</v>
      </c>
      <c r="H1971" s="1" t="str">
        <f>IFERROR(__xludf.DUMMYFUNCTION("""COMPUTED_VALUE"""),"48")</f>
        <v>48</v>
      </c>
    </row>
    <row r="1972" ht="15.75" customHeight="1">
      <c r="D1972" s="1" t="str">
        <f>IFERROR(__xludf.DUMMYFUNCTION("""COMPUTED_VALUE"""),"23459")</f>
        <v>23459</v>
      </c>
      <c r="E1972" s="3">
        <f>IFERROR(__xludf.DUMMYFUNCTION("""COMPUTED_VALUE"""),60000.0)</f>
        <v>60000</v>
      </c>
      <c r="F1972" s="1" t="str">
        <f>IFERROR(__xludf.DUMMYFUNCTION("""COMPUTED_VALUE"""),"2")</f>
        <v>2</v>
      </c>
      <c r="G1972" s="1" t="str">
        <f>IFERROR(__xludf.DUMMYFUNCTION("""COMPUTED_VALUE"""),"2")</f>
        <v>2</v>
      </c>
      <c r="H1972" s="1" t="str">
        <f>IFERROR(__xludf.DUMMYFUNCTION("""COMPUTED_VALUE"""),"50")</f>
        <v>50</v>
      </c>
    </row>
    <row r="1973" ht="15.75" customHeight="1">
      <c r="D1973" s="1" t="str">
        <f>IFERROR(__xludf.DUMMYFUNCTION("""COMPUTED_VALUE"""),"19543")</f>
        <v>19543</v>
      </c>
      <c r="E1973" s="3">
        <f>IFERROR(__xludf.DUMMYFUNCTION("""COMPUTED_VALUE"""),70000.0)</f>
        <v>70000</v>
      </c>
      <c r="F1973" s="1" t="str">
        <f>IFERROR(__xludf.DUMMYFUNCTION("""COMPUTED_VALUE"""),"5")</f>
        <v>5</v>
      </c>
      <c r="G1973" s="1" t="str">
        <f>IFERROR(__xludf.DUMMYFUNCTION("""COMPUTED_VALUE"""),"3")</f>
        <v>3</v>
      </c>
      <c r="H1973" s="1" t="str">
        <f>IFERROR(__xludf.DUMMYFUNCTION("""COMPUTED_VALUE"""),"47")</f>
        <v>47</v>
      </c>
    </row>
    <row r="1974" ht="15.75" customHeight="1">
      <c r="D1974" s="1" t="str">
        <f>IFERROR(__xludf.DUMMYFUNCTION("""COMPUTED_VALUE"""),"14914")</f>
        <v>14914</v>
      </c>
      <c r="E1974" s="3">
        <f>IFERROR(__xludf.DUMMYFUNCTION("""COMPUTED_VALUE"""),40000.0)</f>
        <v>40000</v>
      </c>
      <c r="F1974" s="1" t="str">
        <f>IFERROR(__xludf.DUMMYFUNCTION("""COMPUTED_VALUE"""),"1")</f>
        <v>1</v>
      </c>
      <c r="G1974" s="1" t="str">
        <f>IFERROR(__xludf.DUMMYFUNCTION("""COMPUTED_VALUE"""),"1")</f>
        <v>1</v>
      </c>
      <c r="H1974" s="1" t="str">
        <f>IFERROR(__xludf.DUMMYFUNCTION("""COMPUTED_VALUE"""),"49")</f>
        <v>49</v>
      </c>
    </row>
    <row r="1975" ht="15.75" customHeight="1">
      <c r="D1975" s="1" t="str">
        <f>IFERROR(__xludf.DUMMYFUNCTION("""COMPUTED_VALUE"""),"12033")</f>
        <v>12033</v>
      </c>
      <c r="E1975" s="3">
        <f>IFERROR(__xludf.DUMMYFUNCTION("""COMPUTED_VALUE"""),40000.0)</f>
        <v>40000</v>
      </c>
      <c r="F1975" s="1" t="str">
        <f>IFERROR(__xludf.DUMMYFUNCTION("""COMPUTED_VALUE"""),"0")</f>
        <v>0</v>
      </c>
      <c r="G1975" s="1" t="str">
        <f>IFERROR(__xludf.DUMMYFUNCTION("""COMPUTED_VALUE"""),"2")</f>
        <v>2</v>
      </c>
      <c r="H1975" s="1" t="str">
        <f>IFERROR(__xludf.DUMMYFUNCTION("""COMPUTED_VALUE"""),"27")</f>
        <v>27</v>
      </c>
    </row>
    <row r="1976" ht="15.75" customHeight="1">
      <c r="D1976" s="1" t="str">
        <f>IFERROR(__xludf.DUMMYFUNCTION("""COMPUTED_VALUE"""),"14389")</f>
        <v>14389</v>
      </c>
      <c r="E1976" s="3">
        <f>IFERROR(__xludf.DUMMYFUNCTION("""COMPUTED_VALUE"""),60000.0)</f>
        <v>60000</v>
      </c>
      <c r="F1976" s="1" t="str">
        <f>IFERROR(__xludf.DUMMYFUNCTION("""COMPUTED_VALUE"""),"2")</f>
        <v>2</v>
      </c>
      <c r="G1976" s="1" t="str">
        <f>IFERROR(__xludf.DUMMYFUNCTION("""COMPUTED_VALUE"""),"0")</f>
        <v>0</v>
      </c>
      <c r="H1976" s="1" t="str">
        <f>IFERROR(__xludf.DUMMYFUNCTION("""COMPUTED_VALUE"""),"59")</f>
        <v>59</v>
      </c>
    </row>
    <row r="1977" ht="15.75" customHeight="1">
      <c r="D1977" s="1" t="str">
        <f>IFERROR(__xludf.DUMMYFUNCTION("""COMPUTED_VALUE"""),"18050")</f>
        <v>18050</v>
      </c>
      <c r="E1977" s="3">
        <f>IFERROR(__xludf.DUMMYFUNCTION("""COMPUTED_VALUE"""),60000.0)</f>
        <v>60000</v>
      </c>
      <c r="F1977" s="1" t="str">
        <f>IFERROR(__xludf.DUMMYFUNCTION("""COMPUTED_VALUE"""),"1")</f>
        <v>1</v>
      </c>
      <c r="G1977" s="1" t="str">
        <f>IFERROR(__xludf.DUMMYFUNCTION("""COMPUTED_VALUE"""),"1")</f>
        <v>1</v>
      </c>
      <c r="H1977" s="1" t="str">
        <f>IFERROR(__xludf.DUMMYFUNCTION("""COMPUTED_VALUE"""),"45")</f>
        <v>45</v>
      </c>
    </row>
    <row r="1978" ht="15.75" customHeight="1">
      <c r="D1978" s="1" t="str">
        <f>IFERROR(__xludf.DUMMYFUNCTION("""COMPUTED_VALUE"""),"19856")</f>
        <v>19856</v>
      </c>
      <c r="E1978" s="3">
        <f>IFERROR(__xludf.DUMMYFUNCTION("""COMPUTED_VALUE"""),60000.0)</f>
        <v>60000</v>
      </c>
      <c r="F1978" s="1" t="str">
        <f>IFERROR(__xludf.DUMMYFUNCTION("""COMPUTED_VALUE"""),"4")</f>
        <v>4</v>
      </c>
      <c r="G1978" s="1" t="str">
        <f>IFERROR(__xludf.DUMMYFUNCTION("""COMPUTED_VALUE"""),"2")</f>
        <v>2</v>
      </c>
      <c r="H1978" s="1" t="str">
        <f>IFERROR(__xludf.DUMMYFUNCTION("""COMPUTED_VALUE"""),"60")</f>
        <v>60</v>
      </c>
    </row>
    <row r="1979" ht="15.75" customHeight="1">
      <c r="D1979" s="1" t="str">
        <f>IFERROR(__xludf.DUMMYFUNCTION("""COMPUTED_VALUE"""),"11663")</f>
        <v>11663</v>
      </c>
      <c r="E1979" s="3">
        <f>IFERROR(__xludf.DUMMYFUNCTION("""COMPUTED_VALUE"""),70000.0)</f>
        <v>70000</v>
      </c>
      <c r="F1979" s="1" t="str">
        <f>IFERROR(__xludf.DUMMYFUNCTION("""COMPUTED_VALUE"""),"4")</f>
        <v>4</v>
      </c>
      <c r="G1979" s="1" t="str">
        <f>IFERROR(__xludf.DUMMYFUNCTION("""COMPUTED_VALUE"""),"0")</f>
        <v>0</v>
      </c>
      <c r="H1979" s="1" t="str">
        <f>IFERROR(__xludf.DUMMYFUNCTION("""COMPUTED_VALUE"""),"36")</f>
        <v>36</v>
      </c>
    </row>
    <row r="1980" ht="15.75" customHeight="1">
      <c r="D1980" s="1" t="str">
        <f>IFERROR(__xludf.DUMMYFUNCTION("""COMPUTED_VALUE"""),"27740")</f>
        <v>27740</v>
      </c>
      <c r="E1980" s="3">
        <f>IFERROR(__xludf.DUMMYFUNCTION("""COMPUTED_VALUE"""),40000.0)</f>
        <v>40000</v>
      </c>
      <c r="F1980" s="1" t="str">
        <f>IFERROR(__xludf.DUMMYFUNCTION("""COMPUTED_VALUE"""),"0")</f>
        <v>0</v>
      </c>
      <c r="G1980" s="1" t="str">
        <f>IFERROR(__xludf.DUMMYFUNCTION("""COMPUTED_VALUE"""),"2")</f>
        <v>2</v>
      </c>
      <c r="H1980" s="1" t="str">
        <f>IFERROR(__xludf.DUMMYFUNCTION("""COMPUTED_VALUE"""),"27")</f>
        <v>27</v>
      </c>
    </row>
    <row r="1981" ht="15.75" customHeight="1">
      <c r="D1981" s="1" t="str">
        <f>IFERROR(__xludf.DUMMYFUNCTION("""COMPUTED_VALUE"""),"23455")</f>
        <v>23455</v>
      </c>
      <c r="E1981" s="3">
        <f>IFERROR(__xludf.DUMMYFUNCTION("""COMPUTED_VALUE"""),80000.0)</f>
        <v>80000</v>
      </c>
      <c r="F1981" s="1" t="str">
        <f>IFERROR(__xludf.DUMMYFUNCTION("""COMPUTED_VALUE"""),"2")</f>
        <v>2</v>
      </c>
      <c r="G1981" s="1" t="str">
        <f>IFERROR(__xludf.DUMMYFUNCTION("""COMPUTED_VALUE"""),"2")</f>
        <v>2</v>
      </c>
      <c r="H1981" s="1" t="str">
        <f>IFERROR(__xludf.DUMMYFUNCTION("""COMPUTED_VALUE"""),"50")</f>
        <v>50</v>
      </c>
    </row>
    <row r="1982" ht="15.75" customHeight="1">
      <c r="D1982" s="1" t="str">
        <f>IFERROR(__xludf.DUMMYFUNCTION("""COMPUTED_VALUE"""),"15292")</f>
        <v>15292</v>
      </c>
      <c r="E1982" s="3">
        <f>IFERROR(__xludf.DUMMYFUNCTION("""COMPUTED_VALUE"""),60000.0)</f>
        <v>60000</v>
      </c>
      <c r="F1982" s="1" t="str">
        <f>IFERROR(__xludf.DUMMYFUNCTION("""COMPUTED_VALUE"""),"1")</f>
        <v>1</v>
      </c>
      <c r="G1982" s="1" t="str">
        <f>IFERROR(__xludf.DUMMYFUNCTION("""COMPUTED_VALUE"""),"0")</f>
        <v>0</v>
      </c>
      <c r="H1982" s="1" t="str">
        <f>IFERROR(__xludf.DUMMYFUNCTION("""COMPUTED_VALUE"""),"35")</f>
        <v>35</v>
      </c>
    </row>
    <row r="1983" ht="15.75" customHeight="1">
      <c r="D1983" s="1" t="str">
        <f>IFERROR(__xludf.DUMMYFUNCTION("""COMPUTED_VALUE"""),"21587")</f>
        <v>21587</v>
      </c>
      <c r="E1983" s="3">
        <f>IFERROR(__xludf.DUMMYFUNCTION("""COMPUTED_VALUE"""),60000.0)</f>
        <v>60000</v>
      </c>
      <c r="F1983" s="1" t="str">
        <f>IFERROR(__xludf.DUMMYFUNCTION("""COMPUTED_VALUE"""),"1")</f>
        <v>1</v>
      </c>
      <c r="G1983" s="1" t="str">
        <f>IFERROR(__xludf.DUMMYFUNCTION("""COMPUTED_VALUE"""),"0")</f>
        <v>0</v>
      </c>
      <c r="H1983" s="1" t="str">
        <f>IFERROR(__xludf.DUMMYFUNCTION("""COMPUTED_VALUE"""),"34")</f>
        <v>34</v>
      </c>
    </row>
    <row r="1984" ht="15.75" customHeight="1">
      <c r="D1984" s="1" t="str">
        <f>IFERROR(__xludf.DUMMYFUNCTION("""COMPUTED_VALUE"""),"23513")</f>
        <v>23513</v>
      </c>
      <c r="E1984" s="3">
        <f>IFERROR(__xludf.DUMMYFUNCTION("""COMPUTED_VALUE"""),40000.0)</f>
        <v>40000</v>
      </c>
      <c r="F1984" s="1" t="str">
        <f>IFERROR(__xludf.DUMMYFUNCTION("""COMPUTED_VALUE"""),"3")</f>
        <v>3</v>
      </c>
      <c r="G1984" s="1" t="str">
        <f>IFERROR(__xludf.DUMMYFUNCTION("""COMPUTED_VALUE"""),"2")</f>
        <v>2</v>
      </c>
      <c r="H1984" s="1" t="str">
        <f>IFERROR(__xludf.DUMMYFUNCTION("""COMPUTED_VALUE"""),"54")</f>
        <v>54</v>
      </c>
    </row>
    <row r="1985" ht="15.75" customHeight="1">
      <c r="D1985" s="1" t="str">
        <f>IFERROR(__xludf.DUMMYFUNCTION("""COMPUTED_VALUE"""),"24322")</f>
        <v>24322</v>
      </c>
      <c r="E1985" s="3">
        <f>IFERROR(__xludf.DUMMYFUNCTION("""COMPUTED_VALUE"""),60000.0)</f>
        <v>60000</v>
      </c>
      <c r="F1985" s="1" t="str">
        <f>IFERROR(__xludf.DUMMYFUNCTION("""COMPUTED_VALUE"""),"4")</f>
        <v>4</v>
      </c>
      <c r="G1985" s="1" t="str">
        <f>IFERROR(__xludf.DUMMYFUNCTION("""COMPUTED_VALUE"""),"2")</f>
        <v>2</v>
      </c>
      <c r="H1985" s="1" t="str">
        <f>IFERROR(__xludf.DUMMYFUNCTION("""COMPUTED_VALUE"""),"42")</f>
        <v>42</v>
      </c>
    </row>
    <row r="1986" ht="15.75" customHeight="1">
      <c r="D1986" s="1" t="str">
        <f>IFERROR(__xludf.DUMMYFUNCTION("""COMPUTED_VALUE"""),"26298")</f>
        <v>26298</v>
      </c>
      <c r="E1986" s="3">
        <f>IFERROR(__xludf.DUMMYFUNCTION("""COMPUTED_VALUE"""),50000.0)</f>
        <v>50000</v>
      </c>
      <c r="F1986" s="1" t="str">
        <f>IFERROR(__xludf.DUMMYFUNCTION("""COMPUTED_VALUE"""),"1")</f>
        <v>1</v>
      </c>
      <c r="G1986" s="1" t="str">
        <f>IFERROR(__xludf.DUMMYFUNCTION("""COMPUTED_VALUE"""),"0")</f>
        <v>0</v>
      </c>
      <c r="H1986" s="1" t="str">
        <f>IFERROR(__xludf.DUMMYFUNCTION("""COMPUTED_VALUE"""),"34")</f>
        <v>34</v>
      </c>
    </row>
    <row r="1987" ht="15.75" customHeight="1">
      <c r="D1987" s="1" t="str">
        <f>IFERROR(__xludf.DUMMYFUNCTION("""COMPUTED_VALUE"""),"25419")</f>
        <v>25419</v>
      </c>
      <c r="E1987" s="3">
        <f>IFERROR(__xludf.DUMMYFUNCTION("""COMPUTED_VALUE"""),50000.0)</f>
        <v>50000</v>
      </c>
      <c r="F1987" s="1" t="str">
        <f>IFERROR(__xludf.DUMMYFUNCTION("""COMPUTED_VALUE"""),"2")</f>
        <v>2</v>
      </c>
      <c r="G1987" s="1" t="str">
        <f>IFERROR(__xludf.DUMMYFUNCTION("""COMPUTED_VALUE"""),"1")</f>
        <v>1</v>
      </c>
      <c r="H1987" s="1" t="str">
        <f>IFERROR(__xludf.DUMMYFUNCTION("""COMPUTED_VALUE"""),"38")</f>
        <v>38</v>
      </c>
    </row>
    <row r="1988" ht="15.75" customHeight="1">
      <c r="D1988" s="1" t="str">
        <f>IFERROR(__xludf.DUMMYFUNCTION("""COMPUTED_VALUE"""),"13343")</f>
        <v>13343</v>
      </c>
      <c r="E1988" s="3">
        <f>IFERROR(__xludf.DUMMYFUNCTION("""COMPUTED_VALUE"""),90000.0)</f>
        <v>90000</v>
      </c>
      <c r="F1988" s="1" t="str">
        <f>IFERROR(__xludf.DUMMYFUNCTION("""COMPUTED_VALUE"""),"5")</f>
        <v>5</v>
      </c>
      <c r="G1988" s="1" t="str">
        <f>IFERROR(__xludf.DUMMYFUNCTION("""COMPUTED_VALUE"""),"2")</f>
        <v>2</v>
      </c>
      <c r="H1988" s="1" t="str">
        <f>IFERROR(__xludf.DUMMYFUNCTION("""COMPUTED_VALUE"""),"63")</f>
        <v>63</v>
      </c>
    </row>
    <row r="1989" ht="15.75" customHeight="1">
      <c r="D1989" s="1" t="str">
        <f>IFERROR(__xludf.DUMMYFUNCTION("""COMPUTED_VALUE"""),"11303")</f>
        <v>11303</v>
      </c>
      <c r="E1989" s="3">
        <f>IFERROR(__xludf.DUMMYFUNCTION("""COMPUTED_VALUE"""),90000.0)</f>
        <v>90000</v>
      </c>
      <c r="F1989" s="1" t="str">
        <f>IFERROR(__xludf.DUMMYFUNCTION("""COMPUTED_VALUE"""),"4")</f>
        <v>4</v>
      </c>
      <c r="G1989" s="1" t="str">
        <f>IFERROR(__xludf.DUMMYFUNCTION("""COMPUTED_VALUE"""),"3")</f>
        <v>3</v>
      </c>
      <c r="H1989" s="1" t="str">
        <f>IFERROR(__xludf.DUMMYFUNCTION("""COMPUTED_VALUE"""),"45")</f>
        <v>45</v>
      </c>
    </row>
    <row r="1990" ht="15.75" customHeight="1">
      <c r="D1990" s="1" t="str">
        <f>IFERROR(__xludf.DUMMYFUNCTION("""COMPUTED_VALUE"""),"21693")</f>
        <v>21693</v>
      </c>
      <c r="E1990" s="3">
        <f>IFERROR(__xludf.DUMMYFUNCTION("""COMPUTED_VALUE"""),60000.0)</f>
        <v>60000</v>
      </c>
      <c r="F1990" s="1" t="str">
        <f>IFERROR(__xludf.DUMMYFUNCTION("""COMPUTED_VALUE"""),"0")</f>
        <v>0</v>
      </c>
      <c r="G1990" s="1" t="str">
        <f>IFERROR(__xludf.DUMMYFUNCTION("""COMPUTED_VALUE"""),"0")</f>
        <v>0</v>
      </c>
      <c r="H1990" s="1" t="str">
        <f>IFERROR(__xludf.DUMMYFUNCTION("""COMPUTED_VALUE"""),"40")</f>
        <v>40</v>
      </c>
    </row>
    <row r="1991" ht="15.75" customHeight="1">
      <c r="D1991" s="1" t="str">
        <f>IFERROR(__xludf.DUMMYFUNCTION("""COMPUTED_VALUE"""),"28056")</f>
        <v>28056</v>
      </c>
      <c r="E1991" s="3">
        <f>IFERROR(__xludf.DUMMYFUNCTION("""COMPUTED_VALUE"""),70000.0)</f>
        <v>70000</v>
      </c>
      <c r="F1991" s="1" t="str">
        <f>IFERROR(__xludf.DUMMYFUNCTION("""COMPUTED_VALUE"""),"2")</f>
        <v>2</v>
      </c>
      <c r="G1991" s="1" t="str">
        <f>IFERROR(__xludf.DUMMYFUNCTION("""COMPUTED_VALUE"""),"2")</f>
        <v>2</v>
      </c>
      <c r="H1991" s="1" t="str">
        <f>IFERROR(__xludf.DUMMYFUNCTION("""COMPUTED_VALUE"""),"53")</f>
        <v>53</v>
      </c>
    </row>
    <row r="1992" ht="15.75" customHeight="1">
      <c r="D1992" s="1" t="str">
        <f>IFERROR(__xludf.DUMMYFUNCTION("""COMPUTED_VALUE"""),"11788")</f>
        <v>11788</v>
      </c>
      <c r="E1992" s="3">
        <f>IFERROR(__xludf.DUMMYFUNCTION("""COMPUTED_VALUE"""),70000.0)</f>
        <v>70000</v>
      </c>
      <c r="F1992" s="1" t="str">
        <f>IFERROR(__xludf.DUMMYFUNCTION("""COMPUTED_VALUE"""),"1")</f>
        <v>1</v>
      </c>
      <c r="G1992" s="1" t="str">
        <f>IFERROR(__xludf.DUMMYFUNCTION("""COMPUTED_VALUE"""),"0")</f>
        <v>0</v>
      </c>
      <c r="H1992" s="1" t="str">
        <f>IFERROR(__xludf.DUMMYFUNCTION("""COMPUTED_VALUE"""),"34")</f>
        <v>34</v>
      </c>
    </row>
    <row r="1993" ht="15.75" customHeight="1">
      <c r="D1993" s="1" t="str">
        <f>IFERROR(__xludf.DUMMYFUNCTION("""COMPUTED_VALUE"""),"22296")</f>
        <v>22296</v>
      </c>
      <c r="E1993" s="3">
        <f>IFERROR(__xludf.DUMMYFUNCTION("""COMPUTED_VALUE"""),70000.0)</f>
        <v>70000</v>
      </c>
      <c r="F1993" s="1" t="str">
        <f>IFERROR(__xludf.DUMMYFUNCTION("""COMPUTED_VALUE"""),"0")</f>
        <v>0</v>
      </c>
      <c r="G1993" s="1" t="str">
        <f>IFERROR(__xludf.DUMMYFUNCTION("""COMPUTED_VALUE"""),"1")</f>
        <v>1</v>
      </c>
      <c r="H1993" s="1" t="str">
        <f>IFERROR(__xludf.DUMMYFUNCTION("""COMPUTED_VALUE"""),"38")</f>
        <v>38</v>
      </c>
    </row>
    <row r="1994" ht="15.75" customHeight="1">
      <c r="D1994" s="1" t="str">
        <f>IFERROR(__xludf.DUMMYFUNCTION("""COMPUTED_VALUE"""),"15319")</f>
        <v>15319</v>
      </c>
      <c r="E1994" s="3">
        <f>IFERROR(__xludf.DUMMYFUNCTION("""COMPUTED_VALUE"""),70000.0)</f>
        <v>70000</v>
      </c>
      <c r="F1994" s="1" t="str">
        <f>IFERROR(__xludf.DUMMYFUNCTION("""COMPUTED_VALUE"""),"4")</f>
        <v>4</v>
      </c>
      <c r="G1994" s="1" t="str">
        <f>IFERROR(__xludf.DUMMYFUNCTION("""COMPUTED_VALUE"""),"1")</f>
        <v>1</v>
      </c>
      <c r="H1994" s="1" t="str">
        <f>IFERROR(__xludf.DUMMYFUNCTION("""COMPUTED_VALUE"""),"59")</f>
        <v>59</v>
      </c>
    </row>
    <row r="1995" ht="15.75" customHeight="1">
      <c r="D1995" s="1" t="str">
        <f>IFERROR(__xludf.DUMMYFUNCTION("""COMPUTED_VALUE"""),"17654")</f>
        <v>17654</v>
      </c>
      <c r="E1995" s="3">
        <f>IFERROR(__xludf.DUMMYFUNCTION("""COMPUTED_VALUE"""),40000.0)</f>
        <v>40000</v>
      </c>
      <c r="F1995" s="1" t="str">
        <f>IFERROR(__xludf.DUMMYFUNCTION("""COMPUTED_VALUE"""),"3")</f>
        <v>3</v>
      </c>
      <c r="G1995" s="1" t="str">
        <f>IFERROR(__xludf.DUMMYFUNCTION("""COMPUTED_VALUE"""),"1")</f>
        <v>1</v>
      </c>
      <c r="H1995" s="1" t="str">
        <f>IFERROR(__xludf.DUMMYFUNCTION("""COMPUTED_VALUE"""),"30")</f>
        <v>30</v>
      </c>
    </row>
    <row r="1996" ht="15.75" customHeight="1">
      <c r="D1996" s="1" t="str">
        <f>IFERROR(__xludf.DUMMYFUNCTION("""COMPUTED_VALUE"""),"14662")</f>
        <v>14662</v>
      </c>
      <c r="E1996" s="3">
        <f>IFERROR(__xludf.DUMMYFUNCTION("""COMPUTED_VALUE"""),60000.0)</f>
        <v>60000</v>
      </c>
      <c r="F1996" s="1" t="str">
        <f>IFERROR(__xludf.DUMMYFUNCTION("""COMPUTED_VALUE"""),"1")</f>
        <v>1</v>
      </c>
      <c r="G1996" s="1" t="str">
        <f>IFERROR(__xludf.DUMMYFUNCTION("""COMPUTED_VALUE"""),"1")</f>
        <v>1</v>
      </c>
      <c r="H1996" s="1" t="str">
        <f>IFERROR(__xludf.DUMMYFUNCTION("""COMPUTED_VALUE"""),"48")</f>
        <v>48</v>
      </c>
    </row>
    <row r="1997" ht="15.75" customHeight="1">
      <c r="D1997" s="1" t="str">
        <f>IFERROR(__xludf.DUMMYFUNCTION("""COMPUTED_VALUE"""),"17541")</f>
        <v>17541</v>
      </c>
      <c r="E1997" s="3">
        <f>IFERROR(__xludf.DUMMYFUNCTION("""COMPUTED_VALUE"""),40000.0)</f>
        <v>40000</v>
      </c>
      <c r="F1997" s="1" t="str">
        <f>IFERROR(__xludf.DUMMYFUNCTION("""COMPUTED_VALUE"""),"4")</f>
        <v>4</v>
      </c>
      <c r="G1997" s="1" t="str">
        <f>IFERROR(__xludf.DUMMYFUNCTION("""COMPUTED_VALUE"""),"2")</f>
        <v>2</v>
      </c>
      <c r="H1997" s="1" t="str">
        <f>IFERROR(__xludf.DUMMYFUNCTION("""COMPUTED_VALUE"""),"43")</f>
        <v>43</v>
      </c>
    </row>
    <row r="1998" ht="15.75" customHeight="1">
      <c r="D1998" s="1" t="str">
        <f>IFERROR(__xludf.DUMMYFUNCTION("""COMPUTED_VALUE"""),"13886")</f>
        <v>13886</v>
      </c>
      <c r="E1998" s="3">
        <f>IFERROR(__xludf.DUMMYFUNCTION("""COMPUTED_VALUE"""),70000.0)</f>
        <v>70000</v>
      </c>
      <c r="F1998" s="1" t="str">
        <f>IFERROR(__xludf.DUMMYFUNCTION("""COMPUTED_VALUE"""),"4")</f>
        <v>4</v>
      </c>
      <c r="G1998" s="1" t="str">
        <f>IFERROR(__xludf.DUMMYFUNCTION("""COMPUTED_VALUE"""),"0")</f>
        <v>0</v>
      </c>
      <c r="H1998" s="1" t="str">
        <f>IFERROR(__xludf.DUMMYFUNCTION("""COMPUTED_VALUE"""),"35")</f>
        <v>35</v>
      </c>
    </row>
    <row r="1999" ht="15.75" customHeight="1">
      <c r="D1999" s="1" t="str">
        <f>IFERROR(__xludf.DUMMYFUNCTION("""COMPUTED_VALUE"""),"13073")</f>
        <v>13073</v>
      </c>
      <c r="E1999" s="3">
        <f>IFERROR(__xludf.DUMMYFUNCTION("""COMPUTED_VALUE"""),60000.0)</f>
        <v>60000</v>
      </c>
      <c r="F1999" s="1" t="str">
        <f>IFERROR(__xludf.DUMMYFUNCTION("""COMPUTED_VALUE"""),"0")</f>
        <v>0</v>
      </c>
      <c r="G1999" s="1" t="str">
        <f>IFERROR(__xludf.DUMMYFUNCTION("""COMPUTED_VALUE"""),"2")</f>
        <v>2</v>
      </c>
      <c r="H1999" s="1" t="str">
        <f>IFERROR(__xludf.DUMMYFUNCTION("""COMPUTED_VALUE"""),"30")</f>
        <v>30</v>
      </c>
    </row>
    <row r="2000" ht="15.75" customHeight="1">
      <c r="D2000" s="1" t="str">
        <f>IFERROR(__xludf.DUMMYFUNCTION("""COMPUTED_VALUE"""),"21940")</f>
        <v>21940</v>
      </c>
      <c r="E2000" s="3">
        <f>IFERROR(__xludf.DUMMYFUNCTION("""COMPUTED_VALUE"""),90000.0)</f>
        <v>90000</v>
      </c>
      <c r="F2000" s="1" t="str">
        <f>IFERROR(__xludf.DUMMYFUNCTION("""COMPUTED_VALUE"""),"5")</f>
        <v>5</v>
      </c>
      <c r="G2000" s="1" t="str">
        <f>IFERROR(__xludf.DUMMYFUNCTION("""COMPUTED_VALUE"""),"0")</f>
        <v>0</v>
      </c>
      <c r="H2000" s="1" t="str">
        <f>IFERROR(__xludf.DUMMYFUNCTION("""COMPUTED_VALUE"""),"47")</f>
        <v>47</v>
      </c>
    </row>
    <row r="2001" ht="15.75" customHeight="1">
      <c r="D2001" s="1" t="str">
        <f>IFERROR(__xludf.DUMMYFUNCTION("""COMPUTED_VALUE"""),"20196")</f>
        <v>20196</v>
      </c>
      <c r="E2001" s="3">
        <f>IFERROR(__xludf.DUMMYFUNCTION("""COMPUTED_VALUE"""),60000.0)</f>
        <v>60000</v>
      </c>
      <c r="F2001" s="1" t="str">
        <f>IFERROR(__xludf.DUMMYFUNCTION("""COMPUTED_VALUE"""),"1")</f>
        <v>1</v>
      </c>
      <c r="G2001" s="1" t="str">
        <f>IFERROR(__xludf.DUMMYFUNCTION("""COMPUTED_VALUE"""),"1")</f>
        <v>1</v>
      </c>
      <c r="H2001" s="1" t="str">
        <f>IFERROR(__xludf.DUMMYFUNCTION("""COMPUTED_VALUE"""),"45")</f>
        <v>45</v>
      </c>
    </row>
    <row r="2002" ht="15.75" customHeight="1">
      <c r="D2002" s="1" t="str">
        <f>IFERROR(__xludf.DUMMYFUNCTION("""COMPUTED_VALUE"""),"23491")</f>
        <v>23491</v>
      </c>
      <c r="E2002" s="3">
        <f>IFERROR(__xludf.DUMMYFUNCTION("""COMPUTED_VALUE"""),100000.0)</f>
        <v>100000</v>
      </c>
      <c r="F2002" s="1" t="str">
        <f>IFERROR(__xludf.DUMMYFUNCTION("""COMPUTED_VALUE"""),"0")</f>
        <v>0</v>
      </c>
      <c r="G2002" s="1" t="str">
        <f>IFERROR(__xludf.DUMMYFUNCTION("""COMPUTED_VALUE"""),"4")</f>
        <v>4</v>
      </c>
      <c r="H2002" s="1" t="str">
        <f>IFERROR(__xludf.DUMMYFUNCTION("""COMPUTED_VALUE"""),"45")</f>
        <v>45</v>
      </c>
    </row>
    <row r="2003" ht="15.75" customHeight="1">
      <c r="D2003" s="1" t="str">
        <f>IFERROR(__xludf.DUMMYFUNCTION("""COMPUTED_VALUE"""),"16651")</f>
        <v>16651</v>
      </c>
      <c r="E2003" s="3">
        <f>IFERROR(__xludf.DUMMYFUNCTION("""COMPUTED_VALUE"""),120000.0)</f>
        <v>120000</v>
      </c>
      <c r="F2003" s="1" t="str">
        <f>IFERROR(__xludf.DUMMYFUNCTION("""COMPUTED_VALUE"""),"2")</f>
        <v>2</v>
      </c>
      <c r="G2003" s="1" t="str">
        <f>IFERROR(__xludf.DUMMYFUNCTION("""COMPUTED_VALUE"""),"3")</f>
        <v>3</v>
      </c>
      <c r="H2003" s="1" t="str">
        <f>IFERROR(__xludf.DUMMYFUNCTION("""COMPUTED_VALUE"""),"62")</f>
        <v>62</v>
      </c>
    </row>
    <row r="2004" ht="15.75" customHeight="1">
      <c r="D2004" s="1" t="str">
        <f>IFERROR(__xludf.DUMMYFUNCTION("""COMPUTED_VALUE"""),"16813")</f>
        <v>16813</v>
      </c>
      <c r="E2004" s="3">
        <f>IFERROR(__xludf.DUMMYFUNCTION("""COMPUTED_VALUE"""),60000.0)</f>
        <v>60000</v>
      </c>
      <c r="F2004" s="1" t="str">
        <f>IFERROR(__xludf.DUMMYFUNCTION("""COMPUTED_VALUE"""),"2")</f>
        <v>2</v>
      </c>
      <c r="G2004" s="1" t="str">
        <f>IFERROR(__xludf.DUMMYFUNCTION("""COMPUTED_VALUE"""),"2")</f>
        <v>2</v>
      </c>
      <c r="H2004" s="1" t="str">
        <f>IFERROR(__xludf.DUMMYFUNCTION("""COMPUTED_VALUE"""),"55")</f>
        <v>55</v>
      </c>
    </row>
    <row r="2005" ht="15.75" customHeight="1">
      <c r="D2005" s="1" t="str">
        <f>IFERROR(__xludf.DUMMYFUNCTION("""COMPUTED_VALUE"""),"16007")</f>
        <v>16007</v>
      </c>
      <c r="E2005" s="3">
        <f>IFERROR(__xludf.DUMMYFUNCTION("""COMPUTED_VALUE"""),90000.0)</f>
        <v>90000</v>
      </c>
      <c r="F2005" s="1" t="str">
        <f>IFERROR(__xludf.DUMMYFUNCTION("""COMPUTED_VALUE"""),"5")</f>
        <v>5</v>
      </c>
      <c r="G2005" s="1" t="str">
        <f>IFERROR(__xludf.DUMMYFUNCTION("""COMPUTED_VALUE"""),"2")</f>
        <v>2</v>
      </c>
      <c r="H2005" s="1" t="str">
        <f>IFERROR(__xludf.DUMMYFUNCTION("""COMPUTED_VALUE"""),"66")</f>
        <v>66</v>
      </c>
    </row>
    <row r="2006" ht="15.75" customHeight="1">
      <c r="D2006" s="1" t="str">
        <f>IFERROR(__xludf.DUMMYFUNCTION("""COMPUTED_VALUE"""),"27434")</f>
        <v>27434</v>
      </c>
      <c r="E2006" s="3">
        <f>IFERROR(__xludf.DUMMYFUNCTION("""COMPUTED_VALUE"""),70000.0)</f>
        <v>70000</v>
      </c>
      <c r="F2006" s="1" t="str">
        <f>IFERROR(__xludf.DUMMYFUNCTION("""COMPUTED_VALUE"""),"4")</f>
        <v>4</v>
      </c>
      <c r="G2006" s="1" t="str">
        <f>IFERROR(__xludf.DUMMYFUNCTION("""COMPUTED_VALUE"""),"1")</f>
        <v>1</v>
      </c>
      <c r="H2006" s="1" t="str">
        <f>IFERROR(__xludf.DUMMYFUNCTION("""COMPUTED_VALUE"""),"56")</f>
        <v>56</v>
      </c>
    </row>
    <row r="2007" ht="15.75" customHeight="1">
      <c r="D2007" s="1" t="str">
        <f>IFERROR(__xludf.DUMMYFUNCTION("""COMPUTED_VALUE"""),"27756")</f>
        <v>27756</v>
      </c>
      <c r="E2007" s="3">
        <f>IFERROR(__xludf.DUMMYFUNCTION("""COMPUTED_VALUE"""),50000.0)</f>
        <v>50000</v>
      </c>
      <c r="F2007" s="1" t="str">
        <f>IFERROR(__xludf.DUMMYFUNCTION("""COMPUTED_VALUE"""),"3")</f>
        <v>3</v>
      </c>
      <c r="G2007" s="1" t="str">
        <f>IFERROR(__xludf.DUMMYFUNCTION("""COMPUTED_VALUE"""),"1")</f>
        <v>1</v>
      </c>
      <c r="H2007" s="1" t="str">
        <f>IFERROR(__xludf.DUMMYFUNCTION("""COMPUTED_VALUE"""),"40")</f>
        <v>40</v>
      </c>
    </row>
    <row r="2008" ht="15.75" customHeight="1">
      <c r="D2008" s="1" t="str">
        <f>IFERROR(__xludf.DUMMYFUNCTION("""COMPUTED_VALUE"""),"23818")</f>
        <v>23818</v>
      </c>
      <c r="E2008" s="3">
        <f>IFERROR(__xludf.DUMMYFUNCTION("""COMPUTED_VALUE"""),50000.0)</f>
        <v>50000</v>
      </c>
      <c r="F2008" s="1" t="str">
        <f>IFERROR(__xludf.DUMMYFUNCTION("""COMPUTED_VALUE"""),"0")</f>
        <v>0</v>
      </c>
      <c r="G2008" s="1" t="str">
        <f>IFERROR(__xludf.DUMMYFUNCTION("""COMPUTED_VALUE"""),"0")</f>
        <v>0</v>
      </c>
      <c r="H2008" s="1" t="str">
        <f>IFERROR(__xludf.DUMMYFUNCTION("""COMPUTED_VALUE"""),"33")</f>
        <v>33</v>
      </c>
    </row>
    <row r="2009" ht="15.75" customHeight="1">
      <c r="D2009" s="1" t="str">
        <f>IFERROR(__xludf.DUMMYFUNCTION("""COMPUTED_VALUE"""),"19012")</f>
        <v>19012</v>
      </c>
      <c r="E2009" s="3">
        <f>IFERROR(__xludf.DUMMYFUNCTION("""COMPUTED_VALUE"""),80000.0)</f>
        <v>80000</v>
      </c>
      <c r="F2009" s="1" t="str">
        <f>IFERROR(__xludf.DUMMYFUNCTION("""COMPUTED_VALUE"""),"3")</f>
        <v>3</v>
      </c>
      <c r="G2009" s="1" t="str">
        <f>IFERROR(__xludf.DUMMYFUNCTION("""COMPUTED_VALUE"""),"1")</f>
        <v>1</v>
      </c>
      <c r="H2009" s="1" t="str">
        <f>IFERROR(__xludf.DUMMYFUNCTION("""COMPUTED_VALUE"""),"56")</f>
        <v>56</v>
      </c>
    </row>
    <row r="2010" ht="15.75" customHeight="1">
      <c r="D2010" s="1" t="str">
        <f>IFERROR(__xludf.DUMMYFUNCTION("""COMPUTED_VALUE"""),"18329")</f>
        <v>18329</v>
      </c>
      <c r="E2010" s="3">
        <f>IFERROR(__xludf.DUMMYFUNCTION("""COMPUTED_VALUE"""),30000.0)</f>
        <v>30000</v>
      </c>
      <c r="F2010" s="1" t="str">
        <f>IFERROR(__xludf.DUMMYFUNCTION("""COMPUTED_VALUE"""),"0")</f>
        <v>0</v>
      </c>
      <c r="G2010" s="1" t="str">
        <f>IFERROR(__xludf.DUMMYFUNCTION("""COMPUTED_VALUE"""),"2")</f>
        <v>2</v>
      </c>
      <c r="H2010" s="1" t="str">
        <f>IFERROR(__xludf.DUMMYFUNCTION("""COMPUTED_VALUE"""),"27")</f>
        <v>27</v>
      </c>
    </row>
    <row r="2011" ht="15.75" customHeight="1">
      <c r="D2011" s="1" t="str">
        <f>IFERROR(__xludf.DUMMYFUNCTION("""COMPUTED_VALUE"""),"29037")</f>
        <v>29037</v>
      </c>
      <c r="E2011" s="3">
        <f>IFERROR(__xludf.DUMMYFUNCTION("""COMPUTED_VALUE"""),60000.0)</f>
        <v>60000</v>
      </c>
      <c r="F2011" s="1" t="str">
        <f>IFERROR(__xludf.DUMMYFUNCTION("""COMPUTED_VALUE"""),"0")</f>
        <v>0</v>
      </c>
      <c r="G2011" s="1" t="str">
        <f>IFERROR(__xludf.DUMMYFUNCTION("""COMPUTED_VALUE"""),"0")</f>
        <v>0</v>
      </c>
      <c r="H2011" s="1" t="str">
        <f>IFERROR(__xludf.DUMMYFUNCTION("""COMPUTED_VALUE"""),"39")</f>
        <v>39</v>
      </c>
    </row>
    <row r="2012" ht="15.75" customHeight="1">
      <c r="D2012" s="1" t="str">
        <f>IFERROR(__xludf.DUMMYFUNCTION("""COMPUTED_VALUE"""),"26576")</f>
        <v>26576</v>
      </c>
      <c r="E2012" s="3">
        <f>IFERROR(__xludf.DUMMYFUNCTION("""COMPUTED_VALUE"""),60000.0)</f>
        <v>60000</v>
      </c>
      <c r="F2012" s="1" t="str">
        <f>IFERROR(__xludf.DUMMYFUNCTION("""COMPUTED_VALUE"""),"0")</f>
        <v>0</v>
      </c>
      <c r="G2012" s="1" t="str">
        <f>IFERROR(__xludf.DUMMYFUNCTION("""COMPUTED_VALUE"""),"2")</f>
        <v>2</v>
      </c>
      <c r="H2012" s="1" t="str">
        <f>IFERROR(__xludf.DUMMYFUNCTION("""COMPUTED_VALUE"""),"31")</f>
        <v>31</v>
      </c>
    </row>
    <row r="2013" ht="15.75" customHeight="1">
      <c r="D2013" s="1" t="str">
        <f>IFERROR(__xludf.DUMMYFUNCTION("""COMPUTED_VALUE"""),"12192")</f>
        <v>12192</v>
      </c>
      <c r="E2013" s="3">
        <f>IFERROR(__xludf.DUMMYFUNCTION("""COMPUTED_VALUE"""),60000.0)</f>
        <v>60000</v>
      </c>
      <c r="F2013" s="1" t="str">
        <f>IFERROR(__xludf.DUMMYFUNCTION("""COMPUTED_VALUE"""),"2")</f>
        <v>2</v>
      </c>
      <c r="G2013" s="1" t="str">
        <f>IFERROR(__xludf.DUMMYFUNCTION("""COMPUTED_VALUE"""),"2")</f>
        <v>2</v>
      </c>
      <c r="H2013" s="1" t="str">
        <f>IFERROR(__xludf.DUMMYFUNCTION("""COMPUTED_VALUE"""),"51")</f>
        <v>51</v>
      </c>
    </row>
    <row r="2014" ht="15.75" customHeight="1">
      <c r="D2014" s="1" t="str">
        <f>IFERROR(__xludf.DUMMYFUNCTION("""COMPUTED_VALUE"""),"14887")</f>
        <v>14887</v>
      </c>
      <c r="E2014" s="3">
        <f>IFERROR(__xludf.DUMMYFUNCTION("""COMPUTED_VALUE"""),30000.0)</f>
        <v>30000</v>
      </c>
      <c r="F2014" s="1" t="str">
        <f>IFERROR(__xludf.DUMMYFUNCTION("""COMPUTED_VALUE"""),"1")</f>
        <v>1</v>
      </c>
      <c r="G2014" s="1" t="str">
        <f>IFERROR(__xludf.DUMMYFUNCTION("""COMPUTED_VALUE"""),"1")</f>
        <v>1</v>
      </c>
      <c r="H2014" s="1" t="str">
        <f>IFERROR(__xludf.DUMMYFUNCTION("""COMPUTED_VALUE"""),"52")</f>
        <v>52</v>
      </c>
    </row>
    <row r="2015" ht="15.75" customHeight="1">
      <c r="D2015" s="1" t="str">
        <f>IFERROR(__xludf.DUMMYFUNCTION("""COMPUTED_VALUE"""),"11734")</f>
        <v>11734</v>
      </c>
      <c r="E2015" s="3">
        <f>IFERROR(__xludf.DUMMYFUNCTION("""COMPUTED_VALUE"""),60000.0)</f>
        <v>60000</v>
      </c>
      <c r="F2015" s="1" t="str">
        <f>IFERROR(__xludf.DUMMYFUNCTION("""COMPUTED_VALUE"""),"1")</f>
        <v>1</v>
      </c>
      <c r="G2015" s="1" t="str">
        <f>IFERROR(__xludf.DUMMYFUNCTION("""COMPUTED_VALUE"""),"1")</f>
        <v>1</v>
      </c>
      <c r="H2015" s="1" t="str">
        <f>IFERROR(__xludf.DUMMYFUNCTION("""COMPUTED_VALUE"""),"47")</f>
        <v>47</v>
      </c>
    </row>
    <row r="2016" ht="15.75" customHeight="1">
      <c r="D2016" s="1" t="str">
        <f>IFERROR(__xludf.DUMMYFUNCTION("""COMPUTED_VALUE"""),"17462")</f>
        <v>17462</v>
      </c>
      <c r="E2016" s="3">
        <f>IFERROR(__xludf.DUMMYFUNCTION("""COMPUTED_VALUE"""),70000.0)</f>
        <v>70000</v>
      </c>
      <c r="F2016" s="1" t="str">
        <f>IFERROR(__xludf.DUMMYFUNCTION("""COMPUTED_VALUE"""),"3")</f>
        <v>3</v>
      </c>
      <c r="G2016" s="1" t="str">
        <f>IFERROR(__xludf.DUMMYFUNCTION("""COMPUTED_VALUE"""),"2")</f>
        <v>2</v>
      </c>
      <c r="H2016" s="1" t="str">
        <f>IFERROR(__xludf.DUMMYFUNCTION("""COMPUTED_VALUE"""),"53")</f>
        <v>53</v>
      </c>
    </row>
    <row r="2017" ht="15.75" customHeight="1">
      <c r="D2017" s="1" t="str">
        <f>IFERROR(__xludf.DUMMYFUNCTION("""COMPUTED_VALUE"""),"20659")</f>
        <v>20659</v>
      </c>
      <c r="E2017" s="3">
        <f>IFERROR(__xludf.DUMMYFUNCTION("""COMPUTED_VALUE"""),70000.0)</f>
        <v>70000</v>
      </c>
      <c r="F2017" s="1" t="str">
        <f>IFERROR(__xludf.DUMMYFUNCTION("""COMPUTED_VALUE"""),"3")</f>
        <v>3</v>
      </c>
      <c r="G2017" s="1" t="str">
        <f>IFERROR(__xludf.DUMMYFUNCTION("""COMPUTED_VALUE"""),"0")</f>
        <v>0</v>
      </c>
      <c r="H2017" s="1" t="str">
        <f>IFERROR(__xludf.DUMMYFUNCTION("""COMPUTED_VALUE"""),"35")</f>
        <v>35</v>
      </c>
    </row>
    <row r="2018" ht="15.75" customHeight="1">
      <c r="D2018" s="1" t="str">
        <f>IFERROR(__xludf.DUMMYFUNCTION("""COMPUTED_VALUE"""),"28004")</f>
        <v>28004</v>
      </c>
      <c r="E2018" s="3">
        <f>IFERROR(__xludf.DUMMYFUNCTION("""COMPUTED_VALUE"""),60000.0)</f>
        <v>60000</v>
      </c>
      <c r="F2018" s="1" t="str">
        <f>IFERROR(__xludf.DUMMYFUNCTION("""COMPUTED_VALUE"""),"3")</f>
        <v>3</v>
      </c>
      <c r="G2018" s="1" t="str">
        <f>IFERROR(__xludf.DUMMYFUNCTION("""COMPUTED_VALUE"""),"2")</f>
        <v>2</v>
      </c>
      <c r="H2018" s="1" t="str">
        <f>IFERROR(__xludf.DUMMYFUNCTION("""COMPUTED_VALUE"""),"66")</f>
        <v>66</v>
      </c>
    </row>
    <row r="2019" ht="15.75" customHeight="1">
      <c r="D2019" s="1" t="str">
        <f>IFERROR(__xludf.DUMMYFUNCTION("""COMPUTED_VALUE"""),"19741")</f>
        <v>19741</v>
      </c>
      <c r="E2019" s="3">
        <f>IFERROR(__xludf.DUMMYFUNCTION("""COMPUTED_VALUE"""),80000.0)</f>
        <v>80000</v>
      </c>
      <c r="F2019" s="1" t="str">
        <f>IFERROR(__xludf.DUMMYFUNCTION("""COMPUTED_VALUE"""),"4")</f>
        <v>4</v>
      </c>
      <c r="G2019" s="1" t="str">
        <f>IFERROR(__xludf.DUMMYFUNCTION("""COMPUTED_VALUE"""),"2")</f>
        <v>2</v>
      </c>
      <c r="H2019" s="1" t="str">
        <f>IFERROR(__xludf.DUMMYFUNCTION("""COMPUTED_VALUE"""),"65")</f>
        <v>65</v>
      </c>
    </row>
    <row r="2020" ht="15.75" customHeight="1">
      <c r="D2020" s="1" t="str">
        <f>IFERROR(__xludf.DUMMYFUNCTION("""COMPUTED_VALUE"""),"17450")</f>
        <v>17450</v>
      </c>
      <c r="E2020" s="3">
        <f>IFERROR(__xludf.DUMMYFUNCTION("""COMPUTED_VALUE"""),80000.0)</f>
        <v>80000</v>
      </c>
      <c r="F2020" s="1" t="str">
        <f>IFERROR(__xludf.DUMMYFUNCTION("""COMPUTED_VALUE"""),"5")</f>
        <v>5</v>
      </c>
      <c r="G2020" s="1" t="str">
        <f>IFERROR(__xludf.DUMMYFUNCTION("""COMPUTED_VALUE"""),"3")</f>
        <v>3</v>
      </c>
      <c r="H2020" s="1" t="str">
        <f>IFERROR(__xludf.DUMMYFUNCTION("""COMPUTED_VALUE"""),"45")</f>
        <v>45</v>
      </c>
    </row>
    <row r="2021" ht="15.75" customHeight="1">
      <c r="D2021" s="1" t="str">
        <f>IFERROR(__xludf.DUMMYFUNCTION("""COMPUTED_VALUE"""),"17337")</f>
        <v>17337</v>
      </c>
      <c r="E2021" s="3">
        <f>IFERROR(__xludf.DUMMYFUNCTION("""COMPUTED_VALUE"""),40000.0)</f>
        <v>40000</v>
      </c>
      <c r="F2021" s="1" t="str">
        <f>IFERROR(__xludf.DUMMYFUNCTION("""COMPUTED_VALUE"""),"0")</f>
        <v>0</v>
      </c>
      <c r="G2021" s="1" t="str">
        <f>IFERROR(__xludf.DUMMYFUNCTION("""COMPUTED_VALUE"""),"1")</f>
        <v>1</v>
      </c>
      <c r="H2021" s="1" t="str">
        <f>IFERROR(__xludf.DUMMYFUNCTION("""COMPUTED_VALUE"""),"31")</f>
        <v>31</v>
      </c>
    </row>
    <row r="2022" ht="15.75" customHeight="1">
      <c r="D2022" s="1" t="str">
        <f>IFERROR(__xludf.DUMMYFUNCTION("""COMPUTED_VALUE"""),"18594")</f>
        <v>18594</v>
      </c>
      <c r="E2022" s="3">
        <f>IFERROR(__xludf.DUMMYFUNCTION("""COMPUTED_VALUE"""),80000.0)</f>
        <v>80000</v>
      </c>
      <c r="F2022" s="1" t="str">
        <f>IFERROR(__xludf.DUMMYFUNCTION("""COMPUTED_VALUE"""),"3")</f>
        <v>3</v>
      </c>
      <c r="G2022" s="1" t="str">
        <f>IFERROR(__xludf.DUMMYFUNCTION("""COMPUTED_VALUE"""),"3")</f>
        <v>3</v>
      </c>
      <c r="H2022" s="1" t="str">
        <f>IFERROR(__xludf.DUMMYFUNCTION("""COMPUTED_VALUE"""),"40")</f>
        <v>40</v>
      </c>
    </row>
    <row r="2023" ht="15.75" customHeight="1">
      <c r="D2023" s="1" t="str">
        <f>IFERROR(__xludf.DUMMYFUNCTION("""COMPUTED_VALUE"""),"15982")</f>
        <v>15982</v>
      </c>
      <c r="E2023" s="3">
        <f>IFERROR(__xludf.DUMMYFUNCTION("""COMPUTED_VALUE"""),110000.0)</f>
        <v>110000</v>
      </c>
      <c r="F2023" s="1" t="str">
        <f>IFERROR(__xludf.DUMMYFUNCTION("""COMPUTED_VALUE"""),"5")</f>
        <v>5</v>
      </c>
      <c r="G2023" s="1" t="str">
        <f>IFERROR(__xludf.DUMMYFUNCTION("""COMPUTED_VALUE"""),"4")</f>
        <v>4</v>
      </c>
      <c r="H2023" s="1" t="str">
        <f>IFERROR(__xludf.DUMMYFUNCTION("""COMPUTED_VALUE"""),"46")</f>
        <v>46</v>
      </c>
    </row>
    <row r="2024" ht="15.75" customHeight="1">
      <c r="D2024" s="1" t="str">
        <f>IFERROR(__xludf.DUMMYFUNCTION("""COMPUTED_VALUE"""),"28625")</f>
        <v>28625</v>
      </c>
      <c r="E2024" s="3">
        <f>IFERROR(__xludf.DUMMYFUNCTION("""COMPUTED_VALUE"""),40000.0)</f>
        <v>40000</v>
      </c>
      <c r="F2024" s="1" t="str">
        <f>IFERROR(__xludf.DUMMYFUNCTION("""COMPUTED_VALUE"""),"2")</f>
        <v>2</v>
      </c>
      <c r="G2024" s="1" t="str">
        <f>IFERROR(__xludf.DUMMYFUNCTION("""COMPUTED_VALUE"""),"1")</f>
        <v>1</v>
      </c>
      <c r="H2024" s="1" t="str">
        <f>IFERROR(__xludf.DUMMYFUNCTION("""COMPUTED_VALUE"""),"47")</f>
        <v>47</v>
      </c>
    </row>
    <row r="2025" ht="15.75" customHeight="1">
      <c r="D2025" s="1" t="str">
        <f>IFERROR(__xludf.DUMMYFUNCTION("""COMPUTED_VALUE"""),"11269")</f>
        <v>11269</v>
      </c>
      <c r="E2025" s="3">
        <f>IFERROR(__xludf.DUMMYFUNCTION("""COMPUTED_VALUE"""),130000.0)</f>
        <v>130000</v>
      </c>
      <c r="F2025" s="1" t="str">
        <f>IFERROR(__xludf.DUMMYFUNCTION("""COMPUTED_VALUE"""),"2")</f>
        <v>2</v>
      </c>
      <c r="G2025" s="1" t="str">
        <f>IFERROR(__xludf.DUMMYFUNCTION("""COMPUTED_VALUE"""),"2")</f>
        <v>2</v>
      </c>
      <c r="H2025" s="1" t="str">
        <f>IFERROR(__xludf.DUMMYFUNCTION("""COMPUTED_VALUE"""),"41")</f>
        <v>41</v>
      </c>
    </row>
    <row r="2026" ht="15.75" customHeight="1">
      <c r="D2026" s="1" t="str">
        <f>IFERROR(__xludf.DUMMYFUNCTION("""COMPUTED_VALUE"""),"25148")</f>
        <v>25148</v>
      </c>
      <c r="E2026" s="3">
        <f>IFERROR(__xludf.DUMMYFUNCTION("""COMPUTED_VALUE"""),60000.0)</f>
        <v>60000</v>
      </c>
      <c r="F2026" s="1" t="str">
        <f>IFERROR(__xludf.DUMMYFUNCTION("""COMPUTED_VALUE"""),"2")</f>
        <v>2</v>
      </c>
      <c r="G2026" s="1" t="str">
        <f>IFERROR(__xludf.DUMMYFUNCTION("""COMPUTED_VALUE"""),"2")</f>
        <v>2</v>
      </c>
      <c r="H2026" s="1" t="str">
        <f>IFERROR(__xludf.DUMMYFUNCTION("""COMPUTED_VALUE"""),"48")</f>
        <v>48</v>
      </c>
    </row>
    <row r="2027" ht="15.75" customHeight="1">
      <c r="D2027" s="1" t="str">
        <f>IFERROR(__xludf.DUMMYFUNCTION("""COMPUTED_VALUE"""),"13920")</f>
        <v>13920</v>
      </c>
      <c r="E2027" s="3">
        <f>IFERROR(__xludf.DUMMYFUNCTION("""COMPUTED_VALUE"""),50000.0)</f>
        <v>50000</v>
      </c>
      <c r="F2027" s="1" t="str">
        <f>IFERROR(__xludf.DUMMYFUNCTION("""COMPUTED_VALUE"""),"4")</f>
        <v>4</v>
      </c>
      <c r="G2027" s="1" t="str">
        <f>IFERROR(__xludf.DUMMYFUNCTION("""COMPUTED_VALUE"""),"2")</f>
        <v>2</v>
      </c>
      <c r="H2027" s="1" t="str">
        <f>IFERROR(__xludf.DUMMYFUNCTION("""COMPUTED_VALUE"""),"42")</f>
        <v>42</v>
      </c>
    </row>
    <row r="2028" ht="15.75" customHeight="1">
      <c r="D2028" s="1" t="str">
        <f>IFERROR(__xludf.DUMMYFUNCTION("""COMPUTED_VALUE"""),"28972")</f>
        <v>28972</v>
      </c>
      <c r="E2028" s="3">
        <f>IFERROR(__xludf.DUMMYFUNCTION("""COMPUTED_VALUE"""),60000.0)</f>
        <v>60000</v>
      </c>
      <c r="F2028" s="1" t="str">
        <f>IFERROR(__xludf.DUMMYFUNCTION("""COMPUTED_VALUE"""),"3")</f>
        <v>3</v>
      </c>
      <c r="G2028" s="1" t="str">
        <f>IFERROR(__xludf.DUMMYFUNCTION("""COMPUTED_VALUE"""),"2")</f>
        <v>2</v>
      </c>
      <c r="H2028" s="1" t="str">
        <f>IFERROR(__xludf.DUMMYFUNCTION("""COMPUTED_VALUE"""),"66")</f>
        <v>66</v>
      </c>
    </row>
    <row r="2029" ht="15.75" customHeight="1">
      <c r="D2029" s="1" t="str">
        <f>IFERROR(__xludf.DUMMYFUNCTION("""COMPUTED_VALUE"""),"22730")</f>
        <v>22730</v>
      </c>
      <c r="E2029" s="3">
        <f>IFERROR(__xludf.DUMMYFUNCTION("""COMPUTED_VALUE"""),70000.0)</f>
        <v>70000</v>
      </c>
      <c r="F2029" s="1" t="str">
        <f>IFERROR(__xludf.DUMMYFUNCTION("""COMPUTED_VALUE"""),"5")</f>
        <v>5</v>
      </c>
      <c r="G2029" s="1" t="str">
        <f>IFERROR(__xludf.DUMMYFUNCTION("""COMPUTED_VALUE"""),"2")</f>
        <v>2</v>
      </c>
      <c r="H2029" s="1" t="str">
        <f>IFERROR(__xludf.DUMMYFUNCTION("""COMPUTED_VALUE"""),"63")</f>
        <v>63</v>
      </c>
    </row>
    <row r="2030" ht="15.75" customHeight="1">
      <c r="D2030" s="1" t="str">
        <f>IFERROR(__xludf.DUMMYFUNCTION("""COMPUTED_VALUE"""),"29134")</f>
        <v>29134</v>
      </c>
      <c r="E2030" s="3">
        <f>IFERROR(__xludf.DUMMYFUNCTION("""COMPUTED_VALUE"""),60000.0)</f>
        <v>60000</v>
      </c>
      <c r="F2030" s="1" t="str">
        <f>IFERROR(__xludf.DUMMYFUNCTION("""COMPUTED_VALUE"""),"4")</f>
        <v>4</v>
      </c>
      <c r="G2030" s="1" t="str">
        <f>IFERROR(__xludf.DUMMYFUNCTION("""COMPUTED_VALUE"""),"3")</f>
        <v>3</v>
      </c>
      <c r="H2030" s="1" t="str">
        <f>IFERROR(__xludf.DUMMYFUNCTION("""COMPUTED_VALUE"""),"42")</f>
        <v>42</v>
      </c>
    </row>
    <row r="2031" ht="15.75" customHeight="1">
      <c r="D2031" s="1" t="str">
        <f>IFERROR(__xludf.DUMMYFUNCTION("""COMPUTED_VALUE"""),"14332")</f>
        <v>14332</v>
      </c>
      <c r="E2031" s="3">
        <f>IFERROR(__xludf.DUMMYFUNCTION("""COMPUTED_VALUE"""),30000.0)</f>
        <v>30000</v>
      </c>
      <c r="F2031" s="1" t="str">
        <f>IFERROR(__xludf.DUMMYFUNCTION("""COMPUTED_VALUE"""),"0")</f>
        <v>0</v>
      </c>
      <c r="G2031" s="1" t="str">
        <f>IFERROR(__xludf.DUMMYFUNCTION("""COMPUTED_VALUE"""),"2")</f>
        <v>2</v>
      </c>
      <c r="H2031" s="1" t="str">
        <f>IFERROR(__xludf.DUMMYFUNCTION("""COMPUTED_VALUE"""),"26")</f>
        <v>26</v>
      </c>
    </row>
    <row r="2032" ht="15.75" customHeight="1">
      <c r="D2032" s="1" t="str">
        <f>IFERROR(__xludf.DUMMYFUNCTION("""COMPUTED_VALUE"""),"19117")</f>
        <v>19117</v>
      </c>
      <c r="E2032" s="3">
        <f>IFERROR(__xludf.DUMMYFUNCTION("""COMPUTED_VALUE"""),60000.0)</f>
        <v>60000</v>
      </c>
      <c r="F2032" s="1" t="str">
        <f>IFERROR(__xludf.DUMMYFUNCTION("""COMPUTED_VALUE"""),"1")</f>
        <v>1</v>
      </c>
      <c r="G2032" s="1" t="str">
        <f>IFERROR(__xludf.DUMMYFUNCTION("""COMPUTED_VALUE"""),"0")</f>
        <v>0</v>
      </c>
      <c r="H2032" s="1" t="str">
        <f>IFERROR(__xludf.DUMMYFUNCTION("""COMPUTED_VALUE"""),"36")</f>
        <v>36</v>
      </c>
    </row>
    <row r="2033" ht="15.75" customHeight="1">
      <c r="D2033" s="1" t="str">
        <f>IFERROR(__xludf.DUMMYFUNCTION("""COMPUTED_VALUE"""),"22864")</f>
        <v>22864</v>
      </c>
      <c r="E2033" s="3">
        <f>IFERROR(__xludf.DUMMYFUNCTION("""COMPUTED_VALUE"""),90000.0)</f>
        <v>90000</v>
      </c>
      <c r="F2033" s="1" t="str">
        <f>IFERROR(__xludf.DUMMYFUNCTION("""COMPUTED_VALUE"""),"2")</f>
        <v>2</v>
      </c>
      <c r="G2033" s="1" t="str">
        <f>IFERROR(__xludf.DUMMYFUNCTION("""COMPUTED_VALUE"""),"0")</f>
        <v>0</v>
      </c>
      <c r="H2033" s="1" t="str">
        <f>IFERROR(__xludf.DUMMYFUNCTION("""COMPUTED_VALUE"""),"49")</f>
        <v>49</v>
      </c>
    </row>
    <row r="2034" ht="15.75" customHeight="1">
      <c r="D2034" s="1" t="str">
        <f>IFERROR(__xludf.DUMMYFUNCTION("""COMPUTED_VALUE"""),"11292")</f>
        <v>11292</v>
      </c>
      <c r="E2034" s="3">
        <f>IFERROR(__xludf.DUMMYFUNCTION("""COMPUTED_VALUE"""),150000.0)</f>
        <v>150000</v>
      </c>
      <c r="F2034" s="1" t="str">
        <f>IFERROR(__xludf.DUMMYFUNCTION("""COMPUTED_VALUE"""),"1")</f>
        <v>1</v>
      </c>
      <c r="G2034" s="1" t="str">
        <f>IFERROR(__xludf.DUMMYFUNCTION("""COMPUTED_VALUE"""),"3")</f>
        <v>3</v>
      </c>
      <c r="H2034" s="1" t="str">
        <f>IFERROR(__xludf.DUMMYFUNCTION("""COMPUTED_VALUE"""),"44")</f>
        <v>44</v>
      </c>
    </row>
    <row r="2035" ht="15.75" customHeight="1">
      <c r="D2035" s="1" t="str">
        <f>IFERROR(__xludf.DUMMYFUNCTION("""COMPUTED_VALUE"""),"13466")</f>
        <v>13466</v>
      </c>
      <c r="E2035" s="3">
        <f>IFERROR(__xludf.DUMMYFUNCTION("""COMPUTED_VALUE"""),80000.0)</f>
        <v>80000</v>
      </c>
      <c r="F2035" s="1" t="str">
        <f>IFERROR(__xludf.DUMMYFUNCTION("""COMPUTED_VALUE"""),"5")</f>
        <v>5</v>
      </c>
      <c r="G2035" s="1" t="str">
        <f>IFERROR(__xludf.DUMMYFUNCTION("""COMPUTED_VALUE"""),"3")</f>
        <v>3</v>
      </c>
      <c r="H2035" s="1" t="str">
        <f>IFERROR(__xludf.DUMMYFUNCTION("""COMPUTED_VALUE"""),"46")</f>
        <v>46</v>
      </c>
    </row>
    <row r="2036" ht="15.75" customHeight="1">
      <c r="D2036" s="1" t="str">
        <f>IFERROR(__xludf.DUMMYFUNCTION("""COMPUTED_VALUE"""),"23731")</f>
        <v>23731</v>
      </c>
      <c r="E2036" s="3">
        <f>IFERROR(__xludf.DUMMYFUNCTION("""COMPUTED_VALUE"""),60000.0)</f>
        <v>60000</v>
      </c>
      <c r="F2036" s="1" t="str">
        <f>IFERROR(__xludf.DUMMYFUNCTION("""COMPUTED_VALUE"""),"2")</f>
        <v>2</v>
      </c>
      <c r="G2036" s="1" t="str">
        <f>IFERROR(__xludf.DUMMYFUNCTION("""COMPUTED_VALUE"""),"2")</f>
        <v>2</v>
      </c>
      <c r="H2036" s="1" t="str">
        <f>IFERROR(__xludf.DUMMYFUNCTION("""COMPUTED_VALUE"""),"54")</f>
        <v>54</v>
      </c>
    </row>
    <row r="2037" ht="15.75" customHeight="1">
      <c r="D2037" s="1" t="str">
        <f>IFERROR(__xludf.DUMMYFUNCTION("""COMPUTED_VALUE"""),"28672")</f>
        <v>28672</v>
      </c>
      <c r="E2037" s="3">
        <f>IFERROR(__xludf.DUMMYFUNCTION("""COMPUTED_VALUE"""),70000.0)</f>
        <v>70000</v>
      </c>
      <c r="F2037" s="1" t="str">
        <f>IFERROR(__xludf.DUMMYFUNCTION("""COMPUTED_VALUE"""),"4")</f>
        <v>4</v>
      </c>
      <c r="G2037" s="1" t="str">
        <f>IFERROR(__xludf.DUMMYFUNCTION("""COMPUTED_VALUE"""),"0")</f>
        <v>0</v>
      </c>
      <c r="H2037" s="1" t="str">
        <f>IFERROR(__xludf.DUMMYFUNCTION("""COMPUTED_VALUE"""),"35")</f>
        <v>35</v>
      </c>
    </row>
    <row r="2038" ht="15.75" customHeight="1">
      <c r="D2038" s="1" t="str">
        <f>IFERROR(__xludf.DUMMYFUNCTION("""COMPUTED_VALUE"""),"11809")</f>
        <v>11809</v>
      </c>
      <c r="E2038" s="3">
        <f>IFERROR(__xludf.DUMMYFUNCTION("""COMPUTED_VALUE"""),60000.0)</f>
        <v>60000</v>
      </c>
      <c r="F2038" s="1" t="str">
        <f>IFERROR(__xludf.DUMMYFUNCTION("""COMPUTED_VALUE"""),"2")</f>
        <v>2</v>
      </c>
      <c r="G2038" s="1" t="str">
        <f>IFERROR(__xludf.DUMMYFUNCTION("""COMPUTED_VALUE"""),"0")</f>
        <v>0</v>
      </c>
      <c r="H2038" s="1" t="str">
        <f>IFERROR(__xludf.DUMMYFUNCTION("""COMPUTED_VALUE"""),"38")</f>
        <v>38</v>
      </c>
    </row>
    <row r="2039" ht="15.75" customHeight="1">
      <c r="D2039" s="1" t="str">
        <f>IFERROR(__xludf.DUMMYFUNCTION("""COMPUTED_VALUE"""),"19664")</f>
        <v>19664</v>
      </c>
      <c r="E2039" s="3">
        <f>IFERROR(__xludf.DUMMYFUNCTION("""COMPUTED_VALUE"""),100000.0)</f>
        <v>100000</v>
      </c>
      <c r="F2039" s="1" t="str">
        <f>IFERROR(__xludf.DUMMYFUNCTION("""COMPUTED_VALUE"""),"3")</f>
        <v>3</v>
      </c>
      <c r="G2039" s="1" t="str">
        <f>IFERROR(__xludf.DUMMYFUNCTION("""COMPUTED_VALUE"""),"3")</f>
        <v>3</v>
      </c>
      <c r="H2039" s="1" t="str">
        <f>IFERROR(__xludf.DUMMYFUNCTION("""COMPUTED_VALUE"""),"38")</f>
        <v>38</v>
      </c>
    </row>
    <row r="2040" ht="15.75" customHeight="1">
      <c r="D2040" s="1" t="str">
        <f>IFERROR(__xludf.DUMMYFUNCTION("""COMPUTED_VALUE"""),"12121")</f>
        <v>12121</v>
      </c>
      <c r="E2040" s="3">
        <f>IFERROR(__xludf.DUMMYFUNCTION("""COMPUTED_VALUE"""),60000.0)</f>
        <v>60000</v>
      </c>
      <c r="F2040" s="1" t="str">
        <f>IFERROR(__xludf.DUMMYFUNCTION("""COMPUTED_VALUE"""),"3")</f>
        <v>3</v>
      </c>
      <c r="G2040" s="1" t="str">
        <f>IFERROR(__xludf.DUMMYFUNCTION("""COMPUTED_VALUE"""),"2")</f>
        <v>2</v>
      </c>
      <c r="H2040" s="1" t="str">
        <f>IFERROR(__xludf.DUMMYFUNCTION("""COMPUTED_VALUE"""),"53")</f>
        <v>53</v>
      </c>
    </row>
    <row r="2041" ht="15.75" customHeight="1">
      <c r="D2041" s="1"/>
      <c r="E2041" s="3"/>
      <c r="F2041" s="1"/>
      <c r="G2041" s="1"/>
      <c r="H2041" s="1"/>
    </row>
    <row r="2042" ht="15.75" customHeight="1">
      <c r="D2042" s="1"/>
      <c r="E2042" s="3"/>
      <c r="F2042" s="1"/>
      <c r="G2042" s="1"/>
      <c r="H2042" s="1"/>
    </row>
    <row r="2043" ht="15.75" customHeight="1">
      <c r="D2043" s="1"/>
      <c r="E2043" s="3"/>
      <c r="F2043" s="1"/>
      <c r="G2043" s="1"/>
      <c r="H2043" s="1"/>
    </row>
    <row r="2044" ht="15.75" customHeight="1">
      <c r="D2044" s="1"/>
      <c r="E2044" s="3"/>
      <c r="F2044" s="1"/>
      <c r="G2044" s="1"/>
      <c r="H2044" s="1"/>
    </row>
    <row r="2045" ht="15.75" customHeight="1">
      <c r="D2045" s="1"/>
      <c r="E2045" s="3"/>
      <c r="F2045" s="1"/>
      <c r="G2045" s="1"/>
      <c r="H2045" s="1"/>
    </row>
    <row r="2046" ht="15.75" customHeight="1">
      <c r="D2046" s="1"/>
      <c r="E2046" s="3"/>
      <c r="F2046" s="1"/>
      <c r="G2046" s="1"/>
      <c r="H2046" s="1"/>
    </row>
    <row r="2047" ht="15.75" customHeight="1">
      <c r="D2047" s="1"/>
      <c r="E2047" s="3"/>
      <c r="F2047" s="1"/>
      <c r="G2047" s="1"/>
      <c r="H2047" s="1"/>
    </row>
    <row r="2048" ht="15.75" customHeight="1">
      <c r="D2048" s="1"/>
      <c r="E2048" s="3"/>
      <c r="F2048" s="1"/>
      <c r="G2048" s="1"/>
      <c r="H2048" s="1"/>
    </row>
    <row r="2049" ht="15.75" customHeight="1">
      <c r="D2049" s="1"/>
      <c r="E2049" s="3"/>
      <c r="F2049" s="1"/>
      <c r="G2049" s="1"/>
      <c r="H2049" s="1"/>
    </row>
    <row r="2050" ht="15.75" customHeight="1">
      <c r="D2050" s="1"/>
      <c r="E2050" s="3"/>
      <c r="F2050" s="1"/>
      <c r="G2050" s="1"/>
      <c r="H2050" s="1"/>
    </row>
    <row r="2051" ht="15.75" customHeight="1">
      <c r="D2051" s="1"/>
      <c r="E2051" s="3"/>
      <c r="F2051" s="1"/>
      <c r="G2051" s="1"/>
      <c r="H2051" s="1"/>
    </row>
    <row r="2052" ht="15.75" customHeight="1">
      <c r="D2052" s="1"/>
      <c r="E2052" s="3"/>
      <c r="F2052" s="1"/>
      <c r="G2052" s="1"/>
      <c r="H2052" s="1"/>
    </row>
    <row r="2053" ht="15.75" customHeight="1">
      <c r="D2053" s="1"/>
      <c r="E2053" s="3"/>
      <c r="F2053" s="1"/>
      <c r="G2053" s="1"/>
      <c r="H2053" s="1"/>
    </row>
    <row r="2054" ht="15.75" customHeight="1">
      <c r="D2054" s="1"/>
      <c r="E2054" s="3"/>
      <c r="F2054" s="1"/>
      <c r="G2054" s="1"/>
      <c r="H2054" s="1"/>
    </row>
    <row r="2055" ht="15.75" customHeight="1">
      <c r="D2055" s="1"/>
      <c r="E2055" s="3"/>
      <c r="F2055" s="1"/>
      <c r="G2055" s="1"/>
      <c r="H2055" s="1"/>
    </row>
    <row r="2056" ht="15.75" customHeight="1">
      <c r="D2056" s="1"/>
      <c r="E2056" s="3"/>
      <c r="F2056" s="1"/>
      <c r="G2056" s="1"/>
      <c r="H2056" s="1"/>
    </row>
    <row r="2057" ht="15.75" customHeight="1">
      <c r="D2057" s="1"/>
      <c r="E2057" s="3"/>
      <c r="F2057" s="1"/>
      <c r="G2057" s="1"/>
      <c r="H2057" s="1"/>
    </row>
    <row r="2058" ht="15.75" customHeight="1">
      <c r="D2058" s="1"/>
      <c r="E2058" s="3"/>
      <c r="F2058" s="1"/>
      <c r="G2058" s="1"/>
      <c r="H2058" s="1"/>
    </row>
    <row r="2059" ht="15.75" customHeight="1">
      <c r="D2059" s="1"/>
      <c r="E2059" s="3"/>
      <c r="F2059" s="1"/>
      <c r="G2059" s="1"/>
      <c r="H2059" s="1"/>
    </row>
    <row r="2060" ht="15.75" customHeight="1">
      <c r="D2060" s="1"/>
      <c r="E2060" s="3"/>
      <c r="F2060" s="1"/>
      <c r="G2060" s="1"/>
      <c r="H2060" s="1"/>
    </row>
    <row r="2061" ht="15.75" customHeight="1">
      <c r="D2061" s="1"/>
      <c r="E2061" s="3"/>
      <c r="F2061" s="1"/>
      <c r="G2061" s="1"/>
      <c r="H2061" s="1"/>
    </row>
    <row r="2062" ht="15.75" customHeight="1">
      <c r="D2062" s="1"/>
      <c r="E2062" s="3"/>
      <c r="F2062" s="1"/>
      <c r="G2062" s="1"/>
      <c r="H2062" s="1"/>
    </row>
    <row r="2063" ht="15.75" customHeight="1">
      <c r="D2063" s="1"/>
      <c r="E2063" s="3"/>
      <c r="F2063" s="1"/>
      <c r="G2063" s="1"/>
      <c r="H2063" s="1"/>
    </row>
    <row r="2064" ht="15.75" customHeight="1">
      <c r="D2064" s="1"/>
      <c r="E2064" s="3"/>
      <c r="F2064" s="1"/>
      <c r="G2064" s="1"/>
      <c r="H2064" s="1"/>
    </row>
    <row r="2065" ht="15.75" customHeight="1">
      <c r="D2065" s="1"/>
      <c r="E2065" s="3"/>
      <c r="F2065" s="1"/>
      <c r="G2065" s="1"/>
      <c r="H2065" s="1"/>
    </row>
    <row r="2066" ht="15.75" customHeight="1">
      <c r="D2066" s="1"/>
      <c r="E2066" s="3"/>
      <c r="F2066" s="1"/>
      <c r="G2066" s="1"/>
      <c r="H2066" s="1"/>
    </row>
    <row r="2067" ht="15.75" customHeight="1">
      <c r="D2067" s="1"/>
      <c r="E2067" s="3"/>
      <c r="F2067" s="1"/>
      <c r="G2067" s="1"/>
      <c r="H2067" s="1"/>
    </row>
    <row r="2068" ht="15.75" customHeight="1">
      <c r="D2068" s="1"/>
      <c r="E2068" s="3"/>
      <c r="F2068" s="1"/>
      <c r="G2068" s="1"/>
      <c r="H2068" s="1"/>
    </row>
    <row r="2069" ht="15.75" customHeight="1">
      <c r="D2069" s="1"/>
      <c r="E2069" s="3"/>
      <c r="F2069" s="1"/>
      <c r="G2069" s="1"/>
      <c r="H2069" s="1"/>
    </row>
    <row r="2070" ht="15.75" customHeight="1">
      <c r="D2070" s="1"/>
      <c r="E2070" s="3"/>
      <c r="F2070" s="1"/>
      <c r="G2070" s="1"/>
      <c r="H2070" s="1"/>
    </row>
    <row r="2071" ht="15.75" customHeight="1">
      <c r="D2071" s="1"/>
      <c r="E2071" s="3"/>
      <c r="F2071" s="1"/>
      <c r="G2071" s="1"/>
      <c r="H2071" s="1"/>
    </row>
    <row r="2072" ht="15.75" customHeight="1">
      <c r="D2072" s="1"/>
      <c r="E2072" s="3"/>
      <c r="F2072" s="1"/>
      <c r="G2072" s="1"/>
      <c r="H2072" s="1"/>
    </row>
    <row r="2073" ht="15.75" customHeight="1">
      <c r="D2073" s="1"/>
      <c r="E2073" s="3"/>
      <c r="F2073" s="1"/>
      <c r="G2073" s="1"/>
      <c r="H2073" s="1"/>
    </row>
    <row r="2074" ht="15.75" customHeight="1">
      <c r="D2074" s="1"/>
      <c r="E2074" s="3"/>
      <c r="F2074" s="1"/>
      <c r="G2074" s="1"/>
      <c r="H2074" s="1"/>
    </row>
    <row r="2075" ht="15.75" customHeight="1">
      <c r="D2075" s="1"/>
      <c r="E2075" s="3"/>
      <c r="F2075" s="1"/>
      <c r="G2075" s="1"/>
      <c r="H2075" s="1"/>
    </row>
    <row r="2076" ht="15.75" customHeight="1">
      <c r="D2076" s="1"/>
      <c r="E2076" s="3"/>
      <c r="F2076" s="1"/>
      <c r="G2076" s="1"/>
      <c r="H2076" s="1"/>
    </row>
    <row r="2077" ht="15.75" customHeight="1">
      <c r="D2077" s="1"/>
      <c r="E2077" s="3"/>
      <c r="F2077" s="1"/>
      <c r="G2077" s="1"/>
      <c r="H2077" s="1"/>
    </row>
    <row r="2078" ht="15.75" customHeight="1">
      <c r="D2078" s="1"/>
      <c r="E2078" s="3"/>
      <c r="F2078" s="1"/>
      <c r="G2078" s="1"/>
      <c r="H2078" s="1"/>
    </row>
    <row r="2079" ht="15.75" customHeight="1">
      <c r="D2079" s="1"/>
      <c r="E2079" s="3"/>
      <c r="F2079" s="1"/>
      <c r="G2079" s="1"/>
      <c r="H2079" s="1"/>
    </row>
    <row r="2080" ht="15.75" customHeight="1">
      <c r="D2080" s="1"/>
      <c r="E2080" s="3"/>
      <c r="F2080" s="1"/>
      <c r="G2080" s="1"/>
      <c r="H2080" s="1"/>
    </row>
    <row r="2081" ht="15.75" customHeight="1">
      <c r="D2081" s="1"/>
      <c r="E2081" s="3"/>
      <c r="F2081" s="1"/>
      <c r="G2081" s="1"/>
      <c r="H2081" s="1"/>
    </row>
    <row r="2082" ht="15.75" customHeight="1">
      <c r="D2082" s="1"/>
      <c r="E2082" s="3"/>
      <c r="F2082" s="1"/>
      <c r="G2082" s="1"/>
      <c r="H2082" s="1"/>
    </row>
    <row r="2083" ht="15.75" customHeight="1">
      <c r="D2083" s="1"/>
      <c r="E2083" s="3"/>
      <c r="F2083" s="1"/>
      <c r="G2083" s="1"/>
      <c r="H2083" s="1"/>
    </row>
    <row r="2084" ht="15.75" customHeight="1">
      <c r="D2084" s="1"/>
      <c r="E2084" s="3"/>
      <c r="F2084" s="1"/>
      <c r="G2084" s="1"/>
      <c r="H2084" s="1"/>
    </row>
    <row r="2085" ht="15.75" customHeight="1">
      <c r="D2085" s="1"/>
      <c r="E2085" s="3"/>
      <c r="F2085" s="1"/>
      <c r="G2085" s="1"/>
      <c r="H2085" s="1"/>
    </row>
    <row r="2086" ht="15.75" customHeight="1">
      <c r="D2086" s="1"/>
      <c r="E2086" s="3"/>
      <c r="F2086" s="1"/>
      <c r="G2086" s="1"/>
      <c r="H2086" s="1"/>
    </row>
    <row r="2087" ht="15.75" customHeight="1">
      <c r="D2087" s="1"/>
      <c r="E2087" s="3"/>
      <c r="F2087" s="1"/>
      <c r="G2087" s="1"/>
      <c r="H2087" s="1"/>
    </row>
    <row r="2088" ht="15.75" customHeight="1">
      <c r="D2088" s="1"/>
      <c r="E2088" s="3"/>
      <c r="F2088" s="1"/>
      <c r="G2088" s="1"/>
      <c r="H2088" s="1"/>
    </row>
    <row r="2089" ht="15.75" customHeight="1">
      <c r="D2089" s="1"/>
      <c r="E2089" s="3"/>
      <c r="F2089" s="1"/>
      <c r="G2089" s="1"/>
      <c r="H2089" s="1"/>
    </row>
    <row r="2090" ht="15.75" customHeight="1">
      <c r="D2090" s="1"/>
      <c r="E2090" s="3"/>
      <c r="F2090" s="1"/>
      <c r="G2090" s="1"/>
      <c r="H2090" s="1"/>
    </row>
    <row r="2091" ht="15.75" customHeight="1">
      <c r="D2091" s="1"/>
      <c r="E2091" s="3"/>
      <c r="F2091" s="1"/>
      <c r="G2091" s="1"/>
      <c r="H2091" s="1"/>
    </row>
    <row r="2092" ht="15.75" customHeight="1">
      <c r="D2092" s="1"/>
      <c r="E2092" s="3"/>
      <c r="F2092" s="1"/>
      <c r="G2092" s="1"/>
      <c r="H2092" s="1"/>
    </row>
    <row r="2093" ht="15.75" customHeight="1">
      <c r="D2093" s="1"/>
      <c r="E2093" s="3"/>
      <c r="F2093" s="1"/>
      <c r="G2093" s="1"/>
      <c r="H2093" s="1"/>
    </row>
    <row r="2094" ht="15.75" customHeight="1">
      <c r="D2094" s="1"/>
      <c r="E2094" s="3"/>
      <c r="F2094" s="1"/>
      <c r="G2094" s="1"/>
      <c r="H2094" s="1"/>
    </row>
    <row r="2095" ht="15.75" customHeight="1">
      <c r="D2095" s="1"/>
      <c r="E2095" s="3"/>
      <c r="F2095" s="1"/>
      <c r="G2095" s="1"/>
      <c r="H2095" s="1"/>
    </row>
    <row r="2096" ht="15.75" customHeight="1">
      <c r="D2096" s="1"/>
      <c r="E2096" s="3"/>
      <c r="F2096" s="1"/>
      <c r="G2096" s="1"/>
      <c r="H2096" s="1"/>
    </row>
    <row r="2097" ht="15.75" customHeight="1">
      <c r="D2097" s="1"/>
      <c r="E2097" s="3"/>
      <c r="F2097" s="1"/>
      <c r="G2097" s="1"/>
      <c r="H2097" s="1"/>
    </row>
    <row r="2098" ht="15.75" customHeight="1">
      <c r="D2098" s="1"/>
      <c r="E2098" s="3"/>
      <c r="F2098" s="1"/>
      <c r="G2098" s="1"/>
      <c r="H2098" s="1"/>
    </row>
    <row r="2099" ht="15.75" customHeight="1">
      <c r="D2099" s="1"/>
      <c r="E2099" s="3"/>
      <c r="F2099" s="1"/>
      <c r="G2099" s="1"/>
      <c r="H2099" s="1"/>
    </row>
    <row r="2100" ht="15.75" customHeight="1">
      <c r="D2100" s="1"/>
      <c r="E2100" s="3"/>
      <c r="F2100" s="1"/>
      <c r="G2100" s="1"/>
      <c r="H2100" s="1"/>
    </row>
    <row r="2101" ht="15.75" customHeight="1">
      <c r="D2101" s="1"/>
      <c r="E2101" s="3"/>
      <c r="F2101" s="1"/>
      <c r="G2101" s="1"/>
      <c r="H2101" s="1"/>
    </row>
    <row r="2102" ht="15.75" customHeight="1">
      <c r="D2102" s="1"/>
      <c r="E2102" s="3"/>
      <c r="F2102" s="1"/>
      <c r="G2102" s="1"/>
      <c r="H2102" s="1"/>
    </row>
    <row r="2103" ht="15.75" customHeight="1">
      <c r="D2103" s="1"/>
      <c r="E2103" s="3"/>
      <c r="F2103" s="1"/>
      <c r="G2103" s="1"/>
      <c r="H2103" s="1"/>
    </row>
    <row r="2104" ht="15.75" customHeight="1">
      <c r="D2104" s="1"/>
      <c r="E2104" s="3"/>
      <c r="F2104" s="1"/>
      <c r="G2104" s="1"/>
      <c r="H2104" s="1"/>
    </row>
    <row r="2105" ht="15.75" customHeight="1">
      <c r="D2105" s="1"/>
      <c r="E2105" s="3"/>
      <c r="F2105" s="1"/>
      <c r="G2105" s="1"/>
      <c r="H2105" s="1"/>
    </row>
    <row r="2106" ht="15.75" customHeight="1">
      <c r="D2106" s="1"/>
      <c r="E2106" s="3"/>
      <c r="F2106" s="1"/>
      <c r="G2106" s="1"/>
      <c r="H2106" s="1"/>
    </row>
    <row r="2107" ht="15.75" customHeight="1">
      <c r="D2107" s="1"/>
      <c r="E2107" s="3"/>
      <c r="F2107" s="1"/>
      <c r="G2107" s="1"/>
      <c r="H2107" s="1"/>
    </row>
    <row r="2108" ht="15.75" customHeight="1">
      <c r="D2108" s="1"/>
      <c r="E2108" s="3"/>
      <c r="F2108" s="1"/>
      <c r="G2108" s="1"/>
      <c r="H2108" s="1"/>
    </row>
    <row r="2109" ht="15.75" customHeight="1">
      <c r="D2109" s="1"/>
      <c r="E2109" s="3"/>
      <c r="F2109" s="1"/>
      <c r="G2109" s="1"/>
      <c r="H2109" s="1"/>
    </row>
    <row r="2110" ht="15.75" customHeight="1">
      <c r="D2110" s="1"/>
      <c r="E2110" s="3"/>
      <c r="F2110" s="1"/>
      <c r="G2110" s="1"/>
      <c r="H2110" s="1"/>
    </row>
    <row r="2111" ht="15.75" customHeight="1">
      <c r="D2111" s="1"/>
      <c r="E2111" s="3"/>
      <c r="F2111" s="1"/>
      <c r="G2111" s="1"/>
      <c r="H2111" s="1"/>
    </row>
    <row r="2112" ht="15.75" customHeight="1">
      <c r="D2112" s="1"/>
      <c r="E2112" s="3"/>
      <c r="F2112" s="1"/>
      <c r="G2112" s="1"/>
      <c r="H2112" s="1"/>
    </row>
    <row r="2113" ht="15.75" customHeight="1">
      <c r="D2113" s="1"/>
      <c r="E2113" s="3"/>
      <c r="F2113" s="1"/>
      <c r="G2113" s="1"/>
      <c r="H2113" s="1"/>
    </row>
    <row r="2114" ht="15.75" customHeight="1">
      <c r="D2114" s="1"/>
      <c r="E2114" s="3"/>
      <c r="F2114" s="1"/>
      <c r="G2114" s="1"/>
      <c r="H2114" s="1"/>
    </row>
    <row r="2115" ht="15.75" customHeight="1">
      <c r="D2115" s="1"/>
      <c r="E2115" s="3"/>
      <c r="F2115" s="1"/>
      <c r="G2115" s="1"/>
      <c r="H2115" s="1"/>
    </row>
    <row r="2116" ht="15.75" customHeight="1">
      <c r="D2116" s="1"/>
      <c r="E2116" s="3"/>
      <c r="F2116" s="1"/>
      <c r="G2116" s="1"/>
      <c r="H2116" s="1"/>
    </row>
    <row r="2117" ht="15.75" customHeight="1">
      <c r="D2117" s="1"/>
      <c r="E2117" s="3"/>
      <c r="F2117" s="1"/>
      <c r="G2117" s="1"/>
      <c r="H2117" s="1"/>
    </row>
    <row r="2118" ht="15.75" customHeight="1">
      <c r="D2118" s="1"/>
      <c r="E2118" s="3"/>
      <c r="F2118" s="1"/>
      <c r="G2118" s="1"/>
      <c r="H2118" s="1"/>
    </row>
    <row r="2119" ht="15.75" customHeight="1">
      <c r="D2119" s="1"/>
      <c r="E2119" s="3"/>
      <c r="F2119" s="1"/>
      <c r="G2119" s="1"/>
      <c r="H2119" s="1"/>
    </row>
    <row r="2120" ht="15.75" customHeight="1">
      <c r="D2120" s="1"/>
      <c r="E2120" s="3"/>
      <c r="F2120" s="1"/>
      <c r="G2120" s="1"/>
      <c r="H2120" s="1"/>
    </row>
    <row r="2121" ht="15.75" customHeight="1">
      <c r="D2121" s="1"/>
      <c r="E2121" s="3"/>
      <c r="F2121" s="1"/>
      <c r="G2121" s="1"/>
      <c r="H2121" s="1"/>
    </row>
    <row r="2122" ht="15.75" customHeight="1">
      <c r="D2122" s="1"/>
      <c r="E2122" s="3"/>
      <c r="F2122" s="1"/>
      <c r="G2122" s="1"/>
      <c r="H2122" s="1"/>
    </row>
    <row r="2123" ht="15.75" customHeight="1">
      <c r="D2123" s="1"/>
      <c r="E2123" s="3"/>
      <c r="F2123" s="1"/>
      <c r="G2123" s="1"/>
      <c r="H2123" s="1"/>
    </row>
    <row r="2124" ht="15.75" customHeight="1">
      <c r="D2124" s="1"/>
      <c r="E2124" s="3"/>
      <c r="F2124" s="1"/>
      <c r="G2124" s="1"/>
      <c r="H2124" s="1"/>
    </row>
    <row r="2125" ht="15.75" customHeight="1">
      <c r="D2125" s="1"/>
      <c r="E2125" s="3"/>
      <c r="F2125" s="1"/>
      <c r="G2125" s="1"/>
      <c r="H2125" s="1"/>
    </row>
    <row r="2126" ht="15.75" customHeight="1">
      <c r="D2126" s="1"/>
      <c r="E2126" s="3"/>
      <c r="F2126" s="1"/>
      <c r="G2126" s="1"/>
      <c r="H2126" s="1"/>
    </row>
    <row r="2127" ht="15.75" customHeight="1">
      <c r="D2127" s="1"/>
      <c r="E2127" s="3"/>
      <c r="F2127" s="1"/>
      <c r="G2127" s="1"/>
      <c r="H2127" s="1"/>
    </row>
    <row r="2128" ht="15.75" customHeight="1">
      <c r="D2128" s="1"/>
      <c r="E2128" s="3"/>
      <c r="F2128" s="1"/>
      <c r="G2128" s="1"/>
      <c r="H2128" s="1"/>
    </row>
    <row r="2129" ht="15.75" customHeight="1">
      <c r="D2129" s="1"/>
      <c r="E2129" s="3"/>
      <c r="F2129" s="1"/>
      <c r="G2129" s="1"/>
      <c r="H2129" s="1"/>
    </row>
    <row r="2130" ht="15.75" customHeight="1">
      <c r="D2130" s="1"/>
      <c r="E2130" s="3"/>
      <c r="F2130" s="1"/>
      <c r="G2130" s="1"/>
      <c r="H2130" s="1"/>
    </row>
    <row r="2131" ht="15.75" customHeight="1">
      <c r="D2131" s="1"/>
      <c r="E2131" s="3"/>
      <c r="F2131" s="1"/>
      <c r="G2131" s="1"/>
      <c r="H2131" s="1"/>
    </row>
    <row r="2132" ht="15.75" customHeight="1">
      <c r="D2132" s="1"/>
      <c r="E2132" s="3"/>
      <c r="F2132" s="1"/>
      <c r="G2132" s="1"/>
      <c r="H2132" s="1"/>
    </row>
    <row r="2133" ht="15.75" customHeight="1">
      <c r="D2133" s="1"/>
      <c r="E2133" s="3"/>
      <c r="F2133" s="1"/>
      <c r="G2133" s="1"/>
      <c r="H2133" s="1"/>
    </row>
    <row r="2134" ht="15.75" customHeight="1">
      <c r="D2134" s="1"/>
      <c r="E2134" s="3"/>
      <c r="F2134" s="1"/>
      <c r="G2134" s="1"/>
      <c r="H2134" s="1"/>
    </row>
    <row r="2135" ht="15.75" customHeight="1">
      <c r="D2135" s="1"/>
      <c r="E2135" s="3"/>
      <c r="F2135" s="1"/>
      <c r="G2135" s="1"/>
      <c r="H2135" s="1"/>
    </row>
    <row r="2136" ht="15.75" customHeight="1">
      <c r="D2136" s="1"/>
      <c r="E2136" s="3"/>
      <c r="F2136" s="1"/>
      <c r="G2136" s="1"/>
      <c r="H2136" s="1"/>
    </row>
    <row r="2137" ht="15.75" customHeight="1">
      <c r="D2137" s="1"/>
      <c r="E2137" s="3"/>
      <c r="F2137" s="1"/>
      <c r="G2137" s="1"/>
      <c r="H2137" s="1"/>
    </row>
    <row r="2138" ht="15.75" customHeight="1">
      <c r="D2138" s="1"/>
      <c r="E2138" s="3"/>
      <c r="F2138" s="1"/>
      <c r="G2138" s="1"/>
      <c r="H2138" s="1"/>
    </row>
    <row r="2139" ht="15.75" customHeight="1">
      <c r="D2139" s="1"/>
      <c r="E2139" s="3"/>
      <c r="F2139" s="1"/>
      <c r="G2139" s="1"/>
      <c r="H2139" s="1"/>
    </row>
    <row r="2140" ht="15.75" customHeight="1">
      <c r="D2140" s="1"/>
      <c r="E2140" s="3"/>
      <c r="F2140" s="1"/>
      <c r="G2140" s="1"/>
      <c r="H2140" s="1"/>
    </row>
    <row r="2141" ht="15.75" customHeight="1">
      <c r="D2141" s="1"/>
      <c r="E2141" s="3"/>
      <c r="F2141" s="1"/>
      <c r="G2141" s="1"/>
      <c r="H2141" s="1"/>
    </row>
    <row r="2142" ht="15.75" customHeight="1">
      <c r="D2142" s="1"/>
      <c r="E2142" s="3"/>
      <c r="F2142" s="1"/>
      <c r="G2142" s="1"/>
      <c r="H2142" s="1"/>
    </row>
    <row r="2143" ht="15.75" customHeight="1">
      <c r="D2143" s="1"/>
      <c r="E2143" s="3"/>
      <c r="F2143" s="1"/>
      <c r="G2143" s="1"/>
      <c r="H2143" s="1"/>
    </row>
    <row r="2144" ht="15.75" customHeight="1">
      <c r="D2144" s="1"/>
      <c r="E2144" s="3"/>
      <c r="F2144" s="1"/>
      <c r="G2144" s="1"/>
      <c r="H2144" s="1"/>
    </row>
    <row r="2145" ht="15.75" customHeight="1">
      <c r="D2145" s="1"/>
      <c r="E2145" s="3"/>
      <c r="F2145" s="1"/>
      <c r="G2145" s="1"/>
      <c r="H2145" s="1"/>
    </row>
    <row r="2146" ht="15.75" customHeight="1">
      <c r="D2146" s="1"/>
      <c r="E2146" s="3"/>
      <c r="F2146" s="1"/>
      <c r="G2146" s="1"/>
      <c r="H2146" s="1"/>
    </row>
    <row r="2147" ht="15.75" customHeight="1">
      <c r="D2147" s="1"/>
      <c r="E2147" s="3"/>
      <c r="F2147" s="1"/>
      <c r="G2147" s="1"/>
      <c r="H2147" s="1"/>
    </row>
    <row r="2148" ht="15.75" customHeight="1">
      <c r="D2148" s="1"/>
      <c r="E2148" s="3"/>
      <c r="F2148" s="1"/>
      <c r="G2148" s="1"/>
      <c r="H2148" s="1"/>
    </row>
    <row r="2149" ht="15.75" customHeight="1">
      <c r="D2149" s="1"/>
      <c r="E2149" s="3"/>
      <c r="F2149" s="1"/>
      <c r="G2149" s="1"/>
      <c r="H2149" s="1"/>
    </row>
    <row r="2150" ht="15.75" customHeight="1">
      <c r="D2150" s="1"/>
      <c r="E2150" s="3"/>
      <c r="F2150" s="1"/>
      <c r="G2150" s="1"/>
      <c r="H2150" s="1"/>
    </row>
    <row r="2151" ht="15.75" customHeight="1">
      <c r="D2151" s="1"/>
      <c r="E2151" s="3"/>
      <c r="F2151" s="1"/>
      <c r="G2151" s="1"/>
      <c r="H2151" s="1"/>
    </row>
    <row r="2152" ht="15.75" customHeight="1">
      <c r="D2152" s="1"/>
      <c r="E2152" s="3"/>
      <c r="F2152" s="1"/>
      <c r="G2152" s="1"/>
      <c r="H2152" s="1"/>
    </row>
    <row r="2153" ht="15.75" customHeight="1">
      <c r="D2153" s="1"/>
      <c r="E2153" s="3"/>
      <c r="F2153" s="1"/>
      <c r="G2153" s="1"/>
      <c r="H2153" s="1"/>
    </row>
    <row r="2154" ht="15.75" customHeight="1">
      <c r="D2154" s="1"/>
      <c r="E2154" s="3"/>
      <c r="F2154" s="1"/>
      <c r="G2154" s="1"/>
      <c r="H2154" s="1"/>
    </row>
    <row r="2155" ht="15.75" customHeight="1">
      <c r="D2155" s="1"/>
      <c r="E2155" s="3"/>
      <c r="F2155" s="1"/>
      <c r="G2155" s="1"/>
      <c r="H2155" s="1"/>
    </row>
    <row r="2156" ht="15.75" customHeight="1">
      <c r="D2156" s="1"/>
      <c r="E2156" s="3"/>
      <c r="F2156" s="1"/>
      <c r="G2156" s="1"/>
      <c r="H2156" s="1"/>
    </row>
    <row r="2157" ht="15.75" customHeight="1">
      <c r="D2157" s="1"/>
      <c r="E2157" s="3"/>
      <c r="F2157" s="1"/>
      <c r="G2157" s="1"/>
      <c r="H2157" s="1"/>
    </row>
    <row r="2158" ht="15.75" customHeight="1">
      <c r="D2158" s="1"/>
      <c r="E2158" s="3"/>
      <c r="F2158" s="1"/>
      <c r="G2158" s="1"/>
      <c r="H2158" s="1"/>
    </row>
    <row r="2159" ht="15.75" customHeight="1">
      <c r="D2159" s="1"/>
      <c r="E2159" s="3"/>
      <c r="F2159" s="1"/>
      <c r="G2159" s="1"/>
      <c r="H2159" s="1"/>
    </row>
    <row r="2160" ht="15.75" customHeight="1">
      <c r="D2160" s="1"/>
      <c r="E2160" s="3"/>
      <c r="F2160" s="1"/>
      <c r="G2160" s="1"/>
      <c r="H2160" s="1"/>
    </row>
    <row r="2161" ht="15.75" customHeight="1">
      <c r="D2161" s="1"/>
      <c r="E2161" s="3"/>
      <c r="F2161" s="1"/>
      <c r="G2161" s="1"/>
      <c r="H2161" s="1"/>
    </row>
    <row r="2162" ht="15.75" customHeight="1">
      <c r="D2162" s="1"/>
      <c r="E2162" s="3"/>
      <c r="F2162" s="1"/>
      <c r="G2162" s="1"/>
      <c r="H2162" s="1"/>
    </row>
    <row r="2163" ht="15.75" customHeight="1">
      <c r="D2163" s="1"/>
      <c r="E2163" s="3"/>
      <c r="F2163" s="1"/>
      <c r="G2163" s="1"/>
      <c r="H2163" s="1"/>
    </row>
    <row r="2164" ht="15.75" customHeight="1">
      <c r="D2164" s="1"/>
      <c r="E2164" s="3"/>
      <c r="F2164" s="1"/>
      <c r="G2164" s="1"/>
      <c r="H2164" s="1"/>
    </row>
    <row r="2165" ht="15.75" customHeight="1">
      <c r="D2165" s="1"/>
      <c r="E2165" s="3"/>
      <c r="F2165" s="1"/>
      <c r="G2165" s="1"/>
      <c r="H2165" s="1"/>
    </row>
    <row r="2166" ht="15.75" customHeight="1">
      <c r="D2166" s="1"/>
      <c r="E2166" s="3"/>
      <c r="F2166" s="1"/>
      <c r="G2166" s="1"/>
      <c r="H2166" s="1"/>
    </row>
    <row r="2167" ht="15.75" customHeight="1">
      <c r="D2167" s="1"/>
      <c r="E2167" s="3"/>
      <c r="F2167" s="1"/>
      <c r="G2167" s="1"/>
      <c r="H2167" s="1"/>
    </row>
    <row r="2168" ht="15.75" customHeight="1">
      <c r="D2168" s="1"/>
      <c r="E2168" s="3"/>
      <c r="F2168" s="1"/>
      <c r="G2168" s="1"/>
      <c r="H2168" s="1"/>
    </row>
    <row r="2169" ht="15.75" customHeight="1">
      <c r="D2169" s="1"/>
      <c r="E2169" s="3"/>
      <c r="F2169" s="1"/>
      <c r="G2169" s="1"/>
      <c r="H2169" s="1"/>
    </row>
    <row r="2170" ht="15.75" customHeight="1">
      <c r="D2170" s="1"/>
      <c r="E2170" s="3"/>
      <c r="F2170" s="1"/>
      <c r="G2170" s="1"/>
      <c r="H2170" s="1"/>
    </row>
    <row r="2171" ht="15.75" customHeight="1">
      <c r="D2171" s="1"/>
      <c r="E2171" s="3"/>
      <c r="F2171" s="1"/>
      <c r="G2171" s="1"/>
      <c r="H2171" s="1"/>
    </row>
    <row r="2172" ht="15.75" customHeight="1">
      <c r="D2172" s="1"/>
      <c r="E2172" s="3"/>
      <c r="F2172" s="1"/>
      <c r="G2172" s="1"/>
      <c r="H2172" s="1"/>
    </row>
    <row r="2173" ht="15.75" customHeight="1">
      <c r="D2173" s="1"/>
      <c r="E2173" s="3"/>
      <c r="F2173" s="1"/>
      <c r="G2173" s="1"/>
      <c r="H2173" s="1"/>
    </row>
    <row r="2174" ht="15.75" customHeight="1">
      <c r="D2174" s="1"/>
      <c r="E2174" s="3"/>
      <c r="F2174" s="1"/>
      <c r="G2174" s="1"/>
      <c r="H2174" s="1"/>
    </row>
    <row r="2175" ht="15.75" customHeight="1">
      <c r="D2175" s="1"/>
      <c r="E2175" s="3"/>
      <c r="F2175" s="1"/>
      <c r="G2175" s="1"/>
      <c r="H2175" s="1"/>
    </row>
    <row r="2176" ht="15.75" customHeight="1">
      <c r="D2176" s="1"/>
      <c r="E2176" s="3"/>
      <c r="F2176" s="1"/>
      <c r="G2176" s="1"/>
      <c r="H2176" s="1"/>
    </row>
    <row r="2177" ht="15.75" customHeight="1">
      <c r="D2177" s="1"/>
      <c r="E2177" s="3"/>
      <c r="F2177" s="1"/>
      <c r="G2177" s="1"/>
      <c r="H2177" s="1"/>
    </row>
    <row r="2178" ht="15.75" customHeight="1">
      <c r="D2178" s="1"/>
      <c r="E2178" s="3"/>
      <c r="F2178" s="1"/>
      <c r="G2178" s="1"/>
      <c r="H2178" s="1"/>
    </row>
    <row r="2179" ht="15.75" customHeight="1">
      <c r="D2179" s="1"/>
      <c r="E2179" s="3"/>
      <c r="F2179" s="1"/>
      <c r="G2179" s="1"/>
      <c r="H2179" s="1"/>
    </row>
    <row r="2180" ht="15.75" customHeight="1">
      <c r="D2180" s="1"/>
      <c r="E2180" s="3"/>
      <c r="F2180" s="1"/>
      <c r="G2180" s="1"/>
      <c r="H2180" s="1"/>
    </row>
    <row r="2181" ht="15.75" customHeight="1">
      <c r="D2181" s="1"/>
      <c r="E2181" s="3"/>
      <c r="F2181" s="1"/>
      <c r="G2181" s="1"/>
      <c r="H2181" s="1"/>
    </row>
    <row r="2182" ht="15.75" customHeight="1">
      <c r="D2182" s="1"/>
      <c r="E2182" s="3"/>
      <c r="F2182" s="1"/>
      <c r="G2182" s="1"/>
      <c r="H2182" s="1"/>
    </row>
    <row r="2183" ht="15.75" customHeight="1">
      <c r="D2183" s="1"/>
      <c r="E2183" s="3"/>
      <c r="F2183" s="1"/>
      <c r="G2183" s="1"/>
      <c r="H2183" s="1"/>
    </row>
    <row r="2184" ht="15.75" customHeight="1">
      <c r="D2184" s="1"/>
      <c r="E2184" s="3"/>
      <c r="F2184" s="1"/>
      <c r="G2184" s="1"/>
      <c r="H2184" s="1"/>
    </row>
    <row r="2185" ht="15.75" customHeight="1">
      <c r="D2185" s="1"/>
      <c r="E2185" s="3"/>
      <c r="F2185" s="1"/>
      <c r="G2185" s="1"/>
      <c r="H2185" s="1"/>
    </row>
    <row r="2186" ht="15.75" customHeight="1">
      <c r="D2186" s="1"/>
      <c r="E2186" s="3"/>
      <c r="F2186" s="1"/>
      <c r="G2186" s="1"/>
      <c r="H2186" s="1"/>
    </row>
    <row r="2187" ht="15.75" customHeight="1">
      <c r="D2187" s="1"/>
      <c r="E2187" s="3"/>
      <c r="F2187" s="1"/>
      <c r="G2187" s="1"/>
      <c r="H2187" s="1"/>
    </row>
    <row r="2188" ht="15.75" customHeight="1">
      <c r="D2188" s="1"/>
      <c r="E2188" s="3"/>
      <c r="F2188" s="1"/>
      <c r="G2188" s="1"/>
      <c r="H2188" s="1"/>
    </row>
    <row r="2189" ht="15.75" customHeight="1">
      <c r="D2189" s="1"/>
      <c r="E2189" s="3"/>
      <c r="F2189" s="1"/>
      <c r="G2189" s="1"/>
      <c r="H2189" s="1"/>
    </row>
    <row r="2190" ht="15.75" customHeight="1">
      <c r="D2190" s="1"/>
      <c r="E2190" s="3"/>
      <c r="F2190" s="1"/>
      <c r="G2190" s="1"/>
      <c r="H2190" s="1"/>
    </row>
    <row r="2191" ht="15.75" customHeight="1">
      <c r="D2191" s="1"/>
      <c r="E2191" s="3"/>
      <c r="F2191" s="1"/>
      <c r="G2191" s="1"/>
      <c r="H2191" s="1"/>
    </row>
    <row r="2192" ht="15.75" customHeight="1">
      <c r="D2192" s="1"/>
      <c r="E2192" s="3"/>
      <c r="F2192" s="1"/>
      <c r="G2192" s="1"/>
      <c r="H2192" s="1"/>
    </row>
    <row r="2193" ht="15.75" customHeight="1">
      <c r="D2193" s="1"/>
      <c r="E2193" s="3"/>
      <c r="F2193" s="1"/>
      <c r="G2193" s="1"/>
      <c r="H2193" s="1"/>
    </row>
    <row r="2194" ht="15.75" customHeight="1">
      <c r="D2194" s="1"/>
      <c r="E2194" s="3"/>
      <c r="F2194" s="1"/>
      <c r="G2194" s="1"/>
      <c r="H2194" s="1"/>
    </row>
    <row r="2195" ht="15.75" customHeight="1">
      <c r="D2195" s="1"/>
      <c r="E2195" s="3"/>
      <c r="F2195" s="1"/>
      <c r="G2195" s="1"/>
      <c r="H2195" s="1"/>
    </row>
    <row r="2196" ht="15.75" customHeight="1">
      <c r="D2196" s="1"/>
      <c r="E2196" s="3"/>
      <c r="F2196" s="1"/>
      <c r="G2196" s="1"/>
      <c r="H2196" s="1"/>
    </row>
    <row r="2197" ht="15.75" customHeight="1">
      <c r="D2197" s="1"/>
      <c r="E2197" s="3"/>
      <c r="F2197" s="1"/>
      <c r="G2197" s="1"/>
      <c r="H2197" s="1"/>
    </row>
    <row r="2198" ht="15.75" customHeight="1">
      <c r="D2198" s="1"/>
      <c r="E2198" s="3"/>
      <c r="F2198" s="1"/>
      <c r="G2198" s="1"/>
      <c r="H2198" s="1"/>
    </row>
    <row r="2199" ht="15.75" customHeight="1">
      <c r="D2199" s="1"/>
      <c r="E2199" s="3"/>
      <c r="F2199" s="1"/>
      <c r="G2199" s="1"/>
      <c r="H2199" s="1"/>
    </row>
    <row r="2200" ht="15.75" customHeight="1">
      <c r="D2200" s="1"/>
      <c r="E2200" s="3"/>
      <c r="F2200" s="1"/>
      <c r="G2200" s="1"/>
      <c r="H2200" s="1"/>
    </row>
    <row r="2201" ht="15.75" customHeight="1">
      <c r="D2201" s="1"/>
      <c r="E2201" s="3"/>
      <c r="F2201" s="1"/>
      <c r="G2201" s="1"/>
      <c r="H2201" s="1"/>
    </row>
    <row r="2202" ht="15.75" customHeight="1">
      <c r="D2202" s="1"/>
      <c r="E2202" s="3"/>
      <c r="F2202" s="1"/>
      <c r="G2202" s="1"/>
      <c r="H2202" s="1"/>
    </row>
    <row r="2203" ht="15.75" customHeight="1">
      <c r="D2203" s="1"/>
      <c r="E2203" s="3"/>
      <c r="F2203" s="1"/>
      <c r="G2203" s="1"/>
      <c r="H2203" s="1"/>
    </row>
    <row r="2204" ht="15.75" customHeight="1">
      <c r="D2204" s="1"/>
      <c r="E2204" s="3"/>
      <c r="F2204" s="1"/>
      <c r="G2204" s="1"/>
      <c r="H2204" s="1"/>
    </row>
    <row r="2205" ht="15.75" customHeight="1">
      <c r="D2205" s="1"/>
      <c r="E2205" s="3"/>
      <c r="F2205" s="1"/>
      <c r="G2205" s="1"/>
      <c r="H2205" s="1"/>
    </row>
    <row r="2206" ht="15.75" customHeight="1">
      <c r="D2206" s="1"/>
      <c r="E2206" s="3"/>
      <c r="F2206" s="1"/>
      <c r="G2206" s="1"/>
      <c r="H2206" s="1"/>
    </row>
    <row r="2207" ht="15.75" customHeight="1">
      <c r="D2207" s="1"/>
      <c r="E2207" s="3"/>
      <c r="F2207" s="1"/>
      <c r="G2207" s="1"/>
      <c r="H2207" s="1"/>
    </row>
    <row r="2208" ht="15.75" customHeight="1">
      <c r="D2208" s="1"/>
      <c r="E2208" s="3"/>
      <c r="F2208" s="1"/>
      <c r="G2208" s="1"/>
      <c r="H2208" s="1"/>
    </row>
    <row r="2209" ht="15.75" customHeight="1">
      <c r="D2209" s="1"/>
      <c r="E2209" s="3"/>
      <c r="F2209" s="1"/>
      <c r="G2209" s="1"/>
      <c r="H2209" s="1"/>
    </row>
    <row r="2210" ht="15.75" customHeight="1">
      <c r="D2210" s="1"/>
      <c r="E2210" s="3"/>
      <c r="F2210" s="1"/>
      <c r="G2210" s="1"/>
      <c r="H2210" s="1"/>
    </row>
    <row r="2211" ht="15.75" customHeight="1">
      <c r="D2211" s="1"/>
      <c r="E2211" s="3"/>
      <c r="F2211" s="1"/>
      <c r="G2211" s="1"/>
      <c r="H2211" s="1"/>
    </row>
    <row r="2212" ht="15.75" customHeight="1">
      <c r="D2212" s="1"/>
      <c r="E2212" s="3"/>
      <c r="F2212" s="1"/>
      <c r="G2212" s="1"/>
      <c r="H2212" s="1"/>
    </row>
    <row r="2213" ht="15.75" customHeight="1">
      <c r="D2213" s="1"/>
      <c r="E2213" s="3"/>
      <c r="F2213" s="1"/>
      <c r="G2213" s="1"/>
      <c r="H2213" s="1"/>
    </row>
    <row r="2214" ht="15.75" customHeight="1">
      <c r="D2214" s="1"/>
      <c r="E2214" s="3"/>
      <c r="F2214" s="1"/>
      <c r="G2214" s="1"/>
      <c r="H2214" s="1"/>
    </row>
    <row r="2215" ht="15.75" customHeight="1">
      <c r="D2215" s="1"/>
      <c r="E2215" s="3"/>
      <c r="F2215" s="1"/>
      <c r="G2215" s="1"/>
      <c r="H2215" s="1"/>
    </row>
    <row r="2216" ht="15.75" customHeight="1">
      <c r="D2216" s="1"/>
      <c r="E2216" s="3"/>
      <c r="F2216" s="1"/>
      <c r="G2216" s="1"/>
      <c r="H2216" s="1"/>
    </row>
    <row r="2217" ht="15.75" customHeight="1">
      <c r="D2217" s="1"/>
      <c r="E2217" s="3"/>
      <c r="F2217" s="1"/>
      <c r="G2217" s="1"/>
      <c r="H2217" s="1"/>
    </row>
    <row r="2218" ht="15.75" customHeight="1">
      <c r="D2218" s="1"/>
      <c r="E2218" s="3"/>
      <c r="F2218" s="1"/>
      <c r="G2218" s="1"/>
      <c r="H2218" s="1"/>
    </row>
    <row r="2219" ht="15.75" customHeight="1">
      <c r="D2219" s="1"/>
      <c r="E2219" s="3"/>
      <c r="F2219" s="1"/>
      <c r="G2219" s="1"/>
      <c r="H2219" s="1"/>
    </row>
    <row r="2220" ht="15.75" customHeight="1">
      <c r="D2220" s="1"/>
      <c r="E2220" s="3"/>
      <c r="F2220" s="1"/>
      <c r="G2220" s="1"/>
      <c r="H2220" s="1"/>
    </row>
    <row r="2221" ht="15.75" customHeight="1">
      <c r="D2221" s="1"/>
      <c r="E2221" s="3"/>
      <c r="F2221" s="1"/>
      <c r="G2221" s="1"/>
      <c r="H2221" s="1"/>
    </row>
    <row r="2222" ht="15.75" customHeight="1">
      <c r="D2222" s="1"/>
      <c r="E2222" s="3"/>
      <c r="F2222" s="1"/>
      <c r="G2222" s="1"/>
      <c r="H2222" s="1"/>
    </row>
    <row r="2223" ht="15.75" customHeight="1">
      <c r="D2223" s="1"/>
      <c r="E2223" s="3"/>
      <c r="F2223" s="1"/>
      <c r="G2223" s="1"/>
      <c r="H2223" s="1"/>
    </row>
    <row r="2224" ht="15.75" customHeight="1">
      <c r="D2224" s="1"/>
      <c r="E2224" s="3"/>
      <c r="F2224" s="1"/>
      <c r="G2224" s="1"/>
      <c r="H2224" s="1"/>
    </row>
    <row r="2225" ht="15.75" customHeight="1">
      <c r="D2225" s="1"/>
      <c r="E2225" s="3"/>
      <c r="F2225" s="1"/>
      <c r="G2225" s="1"/>
      <c r="H2225" s="1"/>
    </row>
    <row r="2226" ht="15.75" customHeight="1">
      <c r="D2226" s="1"/>
      <c r="E2226" s="3"/>
      <c r="F2226" s="1"/>
      <c r="G2226" s="1"/>
      <c r="H2226" s="1"/>
    </row>
    <row r="2227" ht="15.75" customHeight="1">
      <c r="D2227" s="1"/>
      <c r="E2227" s="3"/>
      <c r="F2227" s="1"/>
      <c r="G2227" s="1"/>
      <c r="H2227" s="1"/>
    </row>
    <row r="2228" ht="15.75" customHeight="1">
      <c r="D2228" s="1"/>
      <c r="E2228" s="3"/>
      <c r="F2228" s="1"/>
      <c r="G2228" s="1"/>
      <c r="H2228" s="1"/>
    </row>
    <row r="2229" ht="15.75" customHeight="1">
      <c r="D2229" s="1"/>
      <c r="E2229" s="3"/>
      <c r="F2229" s="1"/>
      <c r="G2229" s="1"/>
      <c r="H2229" s="1"/>
    </row>
    <row r="2230" ht="15.75" customHeight="1">
      <c r="D2230" s="1"/>
      <c r="E2230" s="3"/>
      <c r="F2230" s="1"/>
      <c r="G2230" s="1"/>
      <c r="H2230" s="1"/>
    </row>
    <row r="2231" ht="15.75" customHeight="1">
      <c r="D2231" s="1"/>
      <c r="E2231" s="3"/>
      <c r="F2231" s="1"/>
      <c r="G2231" s="1"/>
      <c r="H2231" s="1"/>
    </row>
    <row r="2232" ht="15.75" customHeight="1">
      <c r="D2232" s="1"/>
      <c r="E2232" s="3"/>
      <c r="F2232" s="1"/>
      <c r="G2232" s="1"/>
      <c r="H2232" s="1"/>
    </row>
    <row r="2233" ht="15.75" customHeight="1">
      <c r="D2233" s="1"/>
      <c r="E2233" s="3"/>
      <c r="F2233" s="1"/>
      <c r="G2233" s="1"/>
      <c r="H2233" s="1"/>
    </row>
    <row r="2234" ht="15.75" customHeight="1">
      <c r="D2234" s="1"/>
      <c r="E2234" s="3"/>
      <c r="F2234" s="1"/>
      <c r="G2234" s="1"/>
      <c r="H2234" s="1"/>
    </row>
    <row r="2235" ht="15.75" customHeight="1">
      <c r="D2235" s="1"/>
      <c r="E2235" s="3"/>
      <c r="F2235" s="1"/>
      <c r="G2235" s="1"/>
      <c r="H2235" s="1"/>
    </row>
    <row r="2236" ht="15.75" customHeight="1">
      <c r="D2236" s="1"/>
      <c r="E2236" s="3"/>
      <c r="F2236" s="1"/>
      <c r="G2236" s="1"/>
      <c r="H2236" s="1"/>
    </row>
    <row r="2237" ht="15.75" customHeight="1">
      <c r="D2237" s="1"/>
      <c r="E2237" s="3"/>
      <c r="F2237" s="1"/>
      <c r="G2237" s="1"/>
      <c r="H2237" s="1"/>
    </row>
    <row r="2238" ht="15.75" customHeight="1">
      <c r="D2238" s="1"/>
      <c r="E2238" s="3"/>
      <c r="F2238" s="1"/>
      <c r="G2238" s="1"/>
      <c r="H2238" s="1"/>
    </row>
    <row r="2239" ht="15.75" customHeight="1">
      <c r="D2239" s="1"/>
      <c r="E2239" s="3"/>
      <c r="F2239" s="1"/>
      <c r="G2239" s="1"/>
      <c r="H2239" s="1"/>
    </row>
    <row r="2240" ht="15.75" customHeight="1">
      <c r="D2240" s="1"/>
      <c r="E2240" s="3"/>
      <c r="F2240" s="1"/>
      <c r="G2240" s="1"/>
      <c r="H2240" s="1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0.13"/>
    <col customWidth="1" min="5" max="6" width="12.63"/>
  </cols>
  <sheetData>
    <row r="1" ht="15.75" customHeight="1">
      <c r="A1" s="9" t="str">
        <f>IFERROR(__xludf.DUMMYFUNCTION("QUERY(Import!D:L, ""SELECT D, L WHERE D IS NOT NULL AND L IS NOT NULL"", 1)"),"Income")</f>
        <v>Income</v>
      </c>
      <c r="B1" s="1" t="str">
        <f>IFERROR(__xludf.DUMMYFUNCTION("""COMPUTED_VALUE"""),"Age")</f>
        <v>Age</v>
      </c>
    </row>
    <row r="2" ht="15.75" customHeight="1">
      <c r="A2" s="3">
        <f>IFERROR(__xludf.DUMMYFUNCTION("""COMPUTED_VALUE"""),40000.0)</f>
        <v>40000</v>
      </c>
      <c r="B2" s="1" t="str">
        <f>IFERROR(__xludf.DUMMYFUNCTION("""COMPUTED_VALUE"""),"42")</f>
        <v>42</v>
      </c>
    </row>
    <row r="3" ht="15.75" customHeight="1">
      <c r="A3" s="3">
        <f>IFERROR(__xludf.DUMMYFUNCTION("""COMPUTED_VALUE"""),30000.0)</f>
        <v>30000</v>
      </c>
      <c r="B3" s="1" t="str">
        <f>IFERROR(__xludf.DUMMYFUNCTION("""COMPUTED_VALUE"""),"43")</f>
        <v>43</v>
      </c>
      <c r="M3" s="1" t="s">
        <v>1131</v>
      </c>
      <c r="N3" s="1" t="s">
        <v>1132</v>
      </c>
      <c r="O3" s="1" t="s">
        <v>1133</v>
      </c>
      <c r="P3" s="1" t="s">
        <v>1134</v>
      </c>
      <c r="Q3" s="1" t="s">
        <v>1135</v>
      </c>
    </row>
    <row r="4" ht="15.75" customHeight="1">
      <c r="A4" s="3">
        <f>IFERROR(__xludf.DUMMYFUNCTION("""COMPUTED_VALUE"""),80000.0)</f>
        <v>80000</v>
      </c>
      <c r="B4" s="1" t="str">
        <f>IFERROR(__xludf.DUMMYFUNCTION("""COMPUTED_VALUE"""),"60")</f>
        <v>60</v>
      </c>
      <c r="L4" s="1" t="s">
        <v>1136</v>
      </c>
      <c r="M4" s="3">
        <f>MIN(A2:A976)</f>
        <v>10000</v>
      </c>
      <c r="N4" s="1">
        <f>QUARTILE(A2:A976,1)</f>
        <v>30000</v>
      </c>
      <c r="O4" s="3">
        <f>MEDIAN(A2:A976)</f>
        <v>60000</v>
      </c>
      <c r="P4" s="1">
        <f>QUARTILE(A2:A976,3)</f>
        <v>70000</v>
      </c>
      <c r="Q4" s="3">
        <f>MAX(A2:A976)</f>
        <v>170000</v>
      </c>
    </row>
    <row r="5" ht="15.75" customHeight="1">
      <c r="A5" s="3">
        <f>IFERROR(__xludf.DUMMYFUNCTION("""COMPUTED_VALUE"""),70000.0)</f>
        <v>70000</v>
      </c>
      <c r="B5" s="1" t="str">
        <f>IFERROR(__xludf.DUMMYFUNCTION("""COMPUTED_VALUE"""),"41")</f>
        <v>41</v>
      </c>
    </row>
    <row r="6" ht="15.75" customHeight="1">
      <c r="A6" s="3">
        <f>IFERROR(__xludf.DUMMYFUNCTION("""COMPUTED_VALUE"""),30000.0)</f>
        <v>30000</v>
      </c>
      <c r="B6" s="1" t="str">
        <f>IFERROR(__xludf.DUMMYFUNCTION("""COMPUTED_VALUE"""),"36")</f>
        <v>36</v>
      </c>
    </row>
    <row r="7" ht="15.75" customHeight="1">
      <c r="A7" s="3">
        <f>IFERROR(__xludf.DUMMYFUNCTION("""COMPUTED_VALUE"""),10000.0)</f>
        <v>10000</v>
      </c>
      <c r="B7" s="1" t="str">
        <f>IFERROR(__xludf.DUMMYFUNCTION("""COMPUTED_VALUE"""),"50")</f>
        <v>50</v>
      </c>
    </row>
    <row r="8" ht="15.75" customHeight="1">
      <c r="A8" s="3">
        <f>IFERROR(__xludf.DUMMYFUNCTION("""COMPUTED_VALUE"""),160000.0)</f>
        <v>160000</v>
      </c>
      <c r="B8" s="1" t="str">
        <f>IFERROR(__xludf.DUMMYFUNCTION("""COMPUTED_VALUE"""),"33")</f>
        <v>33</v>
      </c>
    </row>
    <row r="9" ht="15.75" customHeight="1">
      <c r="A9" s="3">
        <f>IFERROR(__xludf.DUMMYFUNCTION("""COMPUTED_VALUE"""),40000.0)</f>
        <v>40000</v>
      </c>
      <c r="B9" s="1" t="str">
        <f>IFERROR(__xludf.DUMMYFUNCTION("""COMPUTED_VALUE"""),"43")</f>
        <v>43</v>
      </c>
    </row>
    <row r="10" ht="15.75" customHeight="1">
      <c r="A10" s="3">
        <f>IFERROR(__xludf.DUMMYFUNCTION("""COMPUTED_VALUE"""),20000.0)</f>
        <v>20000</v>
      </c>
      <c r="B10" s="1" t="str">
        <f>IFERROR(__xludf.DUMMYFUNCTION("""COMPUTED_VALUE"""),"58")</f>
        <v>58</v>
      </c>
    </row>
    <row r="11" ht="15.75" customHeight="1">
      <c r="A11" s="3">
        <f>IFERROR(__xludf.DUMMYFUNCTION("""COMPUTED_VALUE"""),30000.0)</f>
        <v>30000</v>
      </c>
      <c r="B11" s="1" t="str">
        <f>IFERROR(__xludf.DUMMYFUNCTION("""COMPUTED_VALUE"""),"54")</f>
        <v>54</v>
      </c>
    </row>
    <row r="12" ht="15.75" customHeight="1">
      <c r="A12" s="3">
        <f>IFERROR(__xludf.DUMMYFUNCTION("""COMPUTED_VALUE"""),90000.0)</f>
        <v>90000</v>
      </c>
      <c r="B12" s="1" t="str">
        <f>IFERROR(__xludf.DUMMYFUNCTION("""COMPUTED_VALUE"""),"36")</f>
        <v>36</v>
      </c>
    </row>
    <row r="13" ht="15.75" customHeight="1">
      <c r="A13" s="3">
        <f>IFERROR(__xludf.DUMMYFUNCTION("""COMPUTED_VALUE"""),40000.0)</f>
        <v>40000</v>
      </c>
      <c r="B13" s="1" t="str">
        <f>IFERROR(__xludf.DUMMYFUNCTION("""COMPUTED_VALUE"""),"35")</f>
        <v>35</v>
      </c>
    </row>
    <row r="14" ht="15.75" customHeight="1">
      <c r="A14" s="3">
        <f>IFERROR(__xludf.DUMMYFUNCTION("""COMPUTED_VALUE"""),60000.0)</f>
        <v>60000</v>
      </c>
      <c r="B14" s="1" t="str">
        <f>IFERROR(__xludf.DUMMYFUNCTION("""COMPUTED_VALUE"""),"45")</f>
        <v>45</v>
      </c>
    </row>
    <row r="15" ht="15.75" customHeight="1">
      <c r="A15" s="3">
        <f>IFERROR(__xludf.DUMMYFUNCTION("""COMPUTED_VALUE"""),10000.0)</f>
        <v>10000</v>
      </c>
      <c r="B15" s="1" t="str">
        <f>IFERROR(__xludf.DUMMYFUNCTION("""COMPUTED_VALUE"""),"38")</f>
        <v>38</v>
      </c>
    </row>
    <row r="16" ht="15.75" customHeight="1">
      <c r="A16" s="3">
        <f>IFERROR(__xludf.DUMMYFUNCTION("""COMPUTED_VALUE"""),30000.0)</f>
        <v>30000</v>
      </c>
      <c r="B16" s="1" t="str">
        <f>IFERROR(__xludf.DUMMYFUNCTION("""COMPUTED_VALUE"""),"59")</f>
        <v>59</v>
      </c>
    </row>
    <row r="17" ht="15.75" customHeight="1">
      <c r="A17" s="3">
        <f>IFERROR(__xludf.DUMMYFUNCTION("""COMPUTED_VALUE"""),30000.0)</f>
        <v>30000</v>
      </c>
      <c r="B17" s="1" t="str">
        <f>IFERROR(__xludf.DUMMYFUNCTION("""COMPUTED_VALUE"""),"47")</f>
        <v>47</v>
      </c>
    </row>
    <row r="18" ht="15.75" customHeight="1">
      <c r="A18" s="3">
        <f>IFERROR(__xludf.DUMMYFUNCTION("""COMPUTED_VALUE"""),40000.0)</f>
        <v>40000</v>
      </c>
      <c r="B18" s="1" t="str">
        <f>IFERROR(__xludf.DUMMYFUNCTION("""COMPUTED_VALUE"""),"35")</f>
        <v>35</v>
      </c>
    </row>
    <row r="19" ht="15.75" customHeight="1">
      <c r="A19" s="3">
        <f>IFERROR(__xludf.DUMMYFUNCTION("""COMPUTED_VALUE"""),20000.0)</f>
        <v>20000</v>
      </c>
      <c r="B19" s="1" t="str">
        <f>IFERROR(__xludf.DUMMYFUNCTION("""COMPUTED_VALUE"""),"55")</f>
        <v>55</v>
      </c>
    </row>
    <row r="20" ht="15.75" customHeight="1">
      <c r="A20" s="3">
        <f>IFERROR(__xludf.DUMMYFUNCTION("""COMPUTED_VALUE"""),40000.0)</f>
        <v>40000</v>
      </c>
      <c r="B20" s="1" t="str">
        <f>IFERROR(__xludf.DUMMYFUNCTION("""COMPUTED_VALUE"""),"36")</f>
        <v>36</v>
      </c>
    </row>
    <row r="21" ht="15.75" customHeight="1">
      <c r="A21" s="3">
        <f>IFERROR(__xludf.DUMMYFUNCTION("""COMPUTED_VALUE"""),80000.0)</f>
        <v>80000</v>
      </c>
      <c r="B21" s="1" t="str">
        <f>IFERROR(__xludf.DUMMYFUNCTION("""COMPUTED_VALUE"""),"35")</f>
        <v>35</v>
      </c>
    </row>
    <row r="22" ht="15.75" customHeight="1">
      <c r="A22" s="3">
        <f>IFERROR(__xludf.DUMMYFUNCTION("""COMPUTED_VALUE"""),40000.0)</f>
        <v>40000</v>
      </c>
      <c r="B22" s="1" t="str">
        <f>IFERROR(__xludf.DUMMYFUNCTION("""COMPUTED_VALUE"""),"35")</f>
        <v>35</v>
      </c>
    </row>
    <row r="23" ht="15.75" customHeight="1">
      <c r="A23" s="3">
        <f>IFERROR(__xludf.DUMMYFUNCTION("""COMPUTED_VALUE"""),80000.0)</f>
        <v>80000</v>
      </c>
      <c r="B23" s="1" t="str">
        <f>IFERROR(__xludf.DUMMYFUNCTION("""COMPUTED_VALUE"""),"56")</f>
        <v>56</v>
      </c>
    </row>
    <row r="24" ht="15.75" customHeight="1">
      <c r="A24" s="3">
        <f>IFERROR(__xludf.DUMMYFUNCTION("""COMPUTED_VALUE"""),40000.0)</f>
        <v>40000</v>
      </c>
      <c r="B24" s="1" t="str">
        <f>IFERROR(__xludf.DUMMYFUNCTION("""COMPUTED_VALUE"""),"34")</f>
        <v>34</v>
      </c>
    </row>
    <row r="25" ht="15.75" customHeight="1">
      <c r="A25" s="3">
        <f>IFERROR(__xludf.DUMMYFUNCTION("""COMPUTED_VALUE"""),30000.0)</f>
        <v>30000</v>
      </c>
      <c r="B25" s="1" t="str">
        <f>IFERROR(__xludf.DUMMYFUNCTION("""COMPUTED_VALUE"""),"63")</f>
        <v>63</v>
      </c>
    </row>
    <row r="26" ht="15.75" customHeight="1">
      <c r="A26" s="3">
        <f>IFERROR(__xludf.DUMMYFUNCTION("""COMPUTED_VALUE"""),30000.0)</f>
        <v>30000</v>
      </c>
      <c r="B26" s="1" t="str">
        <f>IFERROR(__xludf.DUMMYFUNCTION("""COMPUTED_VALUE"""),"29")</f>
        <v>29</v>
      </c>
    </row>
    <row r="27" ht="15.75" customHeight="1">
      <c r="A27" s="3">
        <f>IFERROR(__xludf.DUMMYFUNCTION("""COMPUTED_VALUE"""),100000.0)</f>
        <v>100000</v>
      </c>
      <c r="B27" s="1" t="str">
        <f>IFERROR(__xludf.DUMMYFUNCTION("""COMPUTED_VALUE"""),"40")</f>
        <v>40</v>
      </c>
    </row>
    <row r="28" ht="15.75" customHeight="1">
      <c r="A28" s="3">
        <f>IFERROR(__xludf.DUMMYFUNCTION("""COMPUTED_VALUE"""),70000.0)</f>
        <v>70000</v>
      </c>
      <c r="B28" s="1" t="str">
        <f>IFERROR(__xludf.DUMMYFUNCTION("""COMPUTED_VALUE"""),"44")</f>
        <v>44</v>
      </c>
    </row>
    <row r="29" ht="15.75" customHeight="1">
      <c r="A29" s="3">
        <f>IFERROR(__xludf.DUMMYFUNCTION("""COMPUTED_VALUE"""),20000.0)</f>
        <v>20000</v>
      </c>
      <c r="B29" s="1" t="str">
        <f>IFERROR(__xludf.DUMMYFUNCTION("""COMPUTED_VALUE"""),"32")</f>
        <v>32</v>
      </c>
    </row>
    <row r="30" ht="15.75" customHeight="1">
      <c r="A30" s="3">
        <f>IFERROR(__xludf.DUMMYFUNCTION("""COMPUTED_VALUE"""),20000.0)</f>
        <v>20000</v>
      </c>
      <c r="B30" s="1" t="str">
        <f>IFERROR(__xludf.DUMMYFUNCTION("""COMPUTED_VALUE"""),"63")</f>
        <v>63</v>
      </c>
    </row>
    <row r="31" ht="15.75" customHeight="1">
      <c r="A31" s="3">
        <f>IFERROR(__xludf.DUMMYFUNCTION("""COMPUTED_VALUE"""),10000.0)</f>
        <v>10000</v>
      </c>
      <c r="B31" s="1" t="str">
        <f>IFERROR(__xludf.DUMMYFUNCTION("""COMPUTED_VALUE"""),"26")</f>
        <v>26</v>
      </c>
    </row>
    <row r="32" ht="15.75" customHeight="1">
      <c r="A32" s="3">
        <f>IFERROR(__xludf.DUMMYFUNCTION("""COMPUTED_VALUE"""),20000.0)</f>
        <v>20000</v>
      </c>
      <c r="B32" s="1" t="str">
        <f>IFERROR(__xludf.DUMMYFUNCTION("""COMPUTED_VALUE"""),"31")</f>
        <v>31</v>
      </c>
    </row>
    <row r="33" ht="15.75" customHeight="1">
      <c r="A33" s="3">
        <f>IFERROR(__xludf.DUMMYFUNCTION("""COMPUTED_VALUE"""),80000.0)</f>
        <v>80000</v>
      </c>
      <c r="B33" s="1" t="str">
        <f>IFERROR(__xludf.DUMMYFUNCTION("""COMPUTED_VALUE"""),"50")</f>
        <v>50</v>
      </c>
    </row>
    <row r="34" ht="15.75" customHeight="1">
      <c r="A34" s="3">
        <f>IFERROR(__xludf.DUMMYFUNCTION("""COMPUTED_VALUE"""),90000.0)</f>
        <v>90000</v>
      </c>
      <c r="B34" s="1" t="str">
        <f>IFERROR(__xludf.DUMMYFUNCTION("""COMPUTED_VALUE"""),"62")</f>
        <v>62</v>
      </c>
    </row>
    <row r="35" ht="15.75" customHeight="1">
      <c r="A35" s="3">
        <f>IFERROR(__xludf.DUMMYFUNCTION("""COMPUTED_VALUE"""),10000.0)</f>
        <v>10000</v>
      </c>
      <c r="B35" s="1" t="str">
        <f>IFERROR(__xludf.DUMMYFUNCTION("""COMPUTED_VALUE"""),"41")</f>
        <v>41</v>
      </c>
    </row>
    <row r="36" ht="15.75" customHeight="1">
      <c r="A36" s="3">
        <f>IFERROR(__xludf.DUMMYFUNCTION("""COMPUTED_VALUE"""),10000.0)</f>
        <v>10000</v>
      </c>
      <c r="B36" s="1" t="str">
        <f>IFERROR(__xludf.DUMMYFUNCTION("""COMPUTED_VALUE"""),"50")</f>
        <v>50</v>
      </c>
    </row>
    <row r="37" ht="15.75" customHeight="1">
      <c r="A37" s="3">
        <f>IFERROR(__xludf.DUMMYFUNCTION("""COMPUTED_VALUE"""),30000.0)</f>
        <v>30000</v>
      </c>
      <c r="B37" s="1" t="str">
        <f>IFERROR(__xludf.DUMMYFUNCTION("""COMPUTED_VALUE"""),"30")</f>
        <v>30</v>
      </c>
    </row>
    <row r="38" ht="15.75" customHeight="1">
      <c r="A38" s="3">
        <f>IFERROR(__xludf.DUMMYFUNCTION("""COMPUTED_VALUE"""),20000.0)</f>
        <v>20000</v>
      </c>
      <c r="B38" s="1" t="str">
        <f>IFERROR(__xludf.DUMMYFUNCTION("""COMPUTED_VALUE"""),"28")</f>
        <v>28</v>
      </c>
    </row>
    <row r="39" ht="15.75" customHeight="1">
      <c r="A39" s="3">
        <f>IFERROR(__xludf.DUMMYFUNCTION("""COMPUTED_VALUE"""),10000.0)</f>
        <v>10000</v>
      </c>
      <c r="B39" s="1" t="str">
        <f>IFERROR(__xludf.DUMMYFUNCTION("""COMPUTED_VALUE"""),"40")</f>
        <v>40</v>
      </c>
    </row>
    <row r="40" ht="15.75" customHeight="1">
      <c r="A40" s="3">
        <f>IFERROR(__xludf.DUMMYFUNCTION("""COMPUTED_VALUE"""),30000.0)</f>
        <v>30000</v>
      </c>
      <c r="B40" s="1" t="str">
        <f>IFERROR(__xludf.DUMMYFUNCTION("""COMPUTED_VALUE"""),"43")</f>
        <v>43</v>
      </c>
    </row>
    <row r="41" ht="15.75" customHeight="1">
      <c r="A41" s="3">
        <f>IFERROR(__xludf.DUMMYFUNCTION("""COMPUTED_VALUE"""),40000.0)</f>
        <v>40000</v>
      </c>
      <c r="B41" s="1" t="str">
        <f>IFERROR(__xludf.DUMMYFUNCTION("""COMPUTED_VALUE"""),"65")</f>
        <v>65</v>
      </c>
    </row>
    <row r="42" ht="15.75" customHeight="1">
      <c r="A42" s="3">
        <f>IFERROR(__xludf.DUMMYFUNCTION("""COMPUTED_VALUE"""),10000.0)</f>
        <v>10000</v>
      </c>
      <c r="B42" s="1" t="str">
        <f>IFERROR(__xludf.DUMMYFUNCTION("""COMPUTED_VALUE"""),"40")</f>
        <v>40</v>
      </c>
    </row>
    <row r="43" ht="15.75" customHeight="1">
      <c r="A43" s="3">
        <f>IFERROR(__xludf.DUMMYFUNCTION("""COMPUTED_VALUE"""),170000.0)</f>
        <v>170000</v>
      </c>
      <c r="B43" s="1" t="str">
        <f>IFERROR(__xludf.DUMMYFUNCTION("""COMPUTED_VALUE"""),"48")</f>
        <v>48</v>
      </c>
    </row>
    <row r="44" ht="15.75" customHeight="1">
      <c r="A44" s="3">
        <f>IFERROR(__xludf.DUMMYFUNCTION("""COMPUTED_VALUE"""),20000.0)</f>
        <v>20000</v>
      </c>
      <c r="B44" s="1" t="str">
        <f>IFERROR(__xludf.DUMMYFUNCTION("""COMPUTED_VALUE"""),"41")</f>
        <v>41</v>
      </c>
    </row>
    <row r="45" ht="15.75" customHeight="1">
      <c r="A45" s="3">
        <f>IFERROR(__xludf.DUMMYFUNCTION("""COMPUTED_VALUE"""),20000.0)</f>
        <v>20000</v>
      </c>
      <c r="B45" s="1" t="str">
        <f>IFERROR(__xludf.DUMMYFUNCTION("""COMPUTED_VALUE"""),"66")</f>
        <v>66</v>
      </c>
    </row>
    <row r="46" ht="15.75" customHeight="1">
      <c r="A46" s="3">
        <f>IFERROR(__xludf.DUMMYFUNCTION("""COMPUTED_VALUE"""),60000.0)</f>
        <v>60000</v>
      </c>
      <c r="B46" s="1" t="str">
        <f>IFERROR(__xludf.DUMMYFUNCTION("""COMPUTED_VALUE"""),"46")</f>
        <v>46</v>
      </c>
    </row>
    <row r="47" ht="15.75" customHeight="1">
      <c r="A47" s="3">
        <f>IFERROR(__xludf.DUMMYFUNCTION("""COMPUTED_VALUE"""),40000.0)</f>
        <v>40000</v>
      </c>
      <c r="B47" s="1" t="str">
        <f>IFERROR(__xludf.DUMMYFUNCTION("""COMPUTED_VALUE"""),"52")</f>
        <v>52</v>
      </c>
    </row>
    <row r="48" ht="15.75" customHeight="1">
      <c r="A48" s="3">
        <f>IFERROR(__xludf.DUMMYFUNCTION("""COMPUTED_VALUE"""),30000.0)</f>
        <v>30000</v>
      </c>
      <c r="B48" s="1" t="str">
        <f>IFERROR(__xludf.DUMMYFUNCTION("""COMPUTED_VALUE"""),"42")</f>
        <v>42</v>
      </c>
    </row>
    <row r="49" ht="15.75" customHeight="1">
      <c r="A49" s="3">
        <f>IFERROR(__xludf.DUMMYFUNCTION("""COMPUTED_VALUE"""),40000.0)</f>
        <v>40000</v>
      </c>
      <c r="B49" s="1" t="str">
        <f>IFERROR(__xludf.DUMMYFUNCTION("""COMPUTED_VALUE"""),"39")</f>
        <v>39</v>
      </c>
    </row>
    <row r="50" ht="15.75" customHeight="1">
      <c r="A50" s="3">
        <f>IFERROR(__xludf.DUMMYFUNCTION("""COMPUTED_VALUE"""),30000.0)</f>
        <v>30000</v>
      </c>
      <c r="B50" s="1" t="str">
        <f>IFERROR(__xludf.DUMMYFUNCTION("""COMPUTED_VALUE"""),"28")</f>
        <v>28</v>
      </c>
    </row>
    <row r="51" ht="15.75" customHeight="1">
      <c r="A51" s="3">
        <f>IFERROR(__xludf.DUMMYFUNCTION("""COMPUTED_VALUE"""),80000.0)</f>
        <v>80000</v>
      </c>
      <c r="B51" s="1" t="str">
        <f>IFERROR(__xludf.DUMMYFUNCTION("""COMPUTED_VALUE"""),"35")</f>
        <v>35</v>
      </c>
    </row>
    <row r="52" ht="15.75" customHeight="1">
      <c r="A52" s="3">
        <f>IFERROR(__xludf.DUMMYFUNCTION("""COMPUTED_VALUE"""),20000.0)</f>
        <v>20000</v>
      </c>
      <c r="B52" s="1" t="str">
        <f>IFERROR(__xludf.DUMMYFUNCTION("""COMPUTED_VALUE"""),"65")</f>
        <v>65</v>
      </c>
    </row>
    <row r="53" ht="15.75" customHeight="1">
      <c r="A53" s="3">
        <f>IFERROR(__xludf.DUMMYFUNCTION("""COMPUTED_VALUE"""),90000.0)</f>
        <v>90000</v>
      </c>
      <c r="B53" s="1" t="str">
        <f>IFERROR(__xludf.DUMMYFUNCTION("""COMPUTED_VALUE"""),"56")</f>
        <v>56</v>
      </c>
    </row>
    <row r="54" ht="15.75" customHeight="1">
      <c r="A54" s="3">
        <f>IFERROR(__xludf.DUMMYFUNCTION("""COMPUTED_VALUE"""),70000.0)</f>
        <v>70000</v>
      </c>
      <c r="B54" s="1" t="str">
        <f>IFERROR(__xludf.DUMMYFUNCTION("""COMPUTED_VALUE"""),"42")</f>
        <v>42</v>
      </c>
    </row>
    <row r="55" ht="15.75" customHeight="1">
      <c r="A55" s="3">
        <f>IFERROR(__xludf.DUMMYFUNCTION("""COMPUTED_VALUE"""),80000.0)</f>
        <v>80000</v>
      </c>
      <c r="B55" s="1" t="str">
        <f>IFERROR(__xludf.DUMMYFUNCTION("""COMPUTED_VALUE"""),"54")</f>
        <v>54</v>
      </c>
    </row>
    <row r="56" ht="15.75" customHeight="1">
      <c r="A56" s="3">
        <f>IFERROR(__xludf.DUMMYFUNCTION("""COMPUTED_VALUE"""),40000.0)</f>
        <v>40000</v>
      </c>
      <c r="B56" s="1" t="str">
        <f>IFERROR(__xludf.DUMMYFUNCTION("""COMPUTED_VALUE"""),"38")</f>
        <v>38</v>
      </c>
    </row>
    <row r="57" ht="15.75" customHeight="1">
      <c r="A57" s="3">
        <f>IFERROR(__xludf.DUMMYFUNCTION("""COMPUTED_VALUE"""),130000.0)</f>
        <v>130000</v>
      </c>
      <c r="B57" s="1" t="str">
        <f>IFERROR(__xludf.DUMMYFUNCTION("""COMPUTED_VALUE"""),"61")</f>
        <v>61</v>
      </c>
    </row>
    <row r="58" ht="15.75" customHeight="1">
      <c r="A58" s="3">
        <f>IFERROR(__xludf.DUMMYFUNCTION("""COMPUTED_VALUE"""),40000.0)</f>
        <v>40000</v>
      </c>
      <c r="B58" s="1" t="str">
        <f>IFERROR(__xludf.DUMMYFUNCTION("""COMPUTED_VALUE"""),"43")</f>
        <v>43</v>
      </c>
    </row>
    <row r="59" ht="15.75" customHeight="1">
      <c r="A59" s="3">
        <f>IFERROR(__xludf.DUMMYFUNCTION("""COMPUTED_VALUE"""),60000.0)</f>
        <v>60000</v>
      </c>
      <c r="B59" s="1" t="str">
        <f>IFERROR(__xludf.DUMMYFUNCTION("""COMPUTED_VALUE"""),"38")</f>
        <v>38</v>
      </c>
    </row>
    <row r="60" ht="15.75" customHeight="1">
      <c r="A60" s="3">
        <f>IFERROR(__xludf.DUMMYFUNCTION("""COMPUTED_VALUE"""),10000.0)</f>
        <v>10000</v>
      </c>
      <c r="B60" s="1" t="str">
        <f>IFERROR(__xludf.DUMMYFUNCTION("""COMPUTED_VALUE"""),"45")</f>
        <v>45</v>
      </c>
    </row>
    <row r="61" ht="15.75" customHeight="1">
      <c r="A61" s="3">
        <f>IFERROR(__xludf.DUMMYFUNCTION("""COMPUTED_VALUE"""),10000.0)</f>
        <v>10000</v>
      </c>
      <c r="B61" s="1" t="str">
        <f>IFERROR(__xludf.DUMMYFUNCTION("""COMPUTED_VALUE"""),"35")</f>
        <v>35</v>
      </c>
    </row>
    <row r="62" ht="15.75" customHeight="1">
      <c r="A62" s="3">
        <f>IFERROR(__xludf.DUMMYFUNCTION("""COMPUTED_VALUE"""),40000.0)</f>
        <v>40000</v>
      </c>
      <c r="B62" s="1" t="str">
        <f>IFERROR(__xludf.DUMMYFUNCTION("""COMPUTED_VALUE"""),"52")</f>
        <v>52</v>
      </c>
    </row>
    <row r="63" ht="15.75" customHeight="1">
      <c r="A63" s="3">
        <f>IFERROR(__xludf.DUMMYFUNCTION("""COMPUTED_VALUE"""),60000.0)</f>
        <v>60000</v>
      </c>
      <c r="B63" s="1" t="str">
        <f>IFERROR(__xludf.DUMMYFUNCTION("""COMPUTED_VALUE"""),"41")</f>
        <v>41</v>
      </c>
    </row>
    <row r="64" ht="15.75" customHeight="1">
      <c r="A64" s="3">
        <f>IFERROR(__xludf.DUMMYFUNCTION("""COMPUTED_VALUE"""),30000.0)</f>
        <v>30000</v>
      </c>
      <c r="B64" s="1" t="str">
        <f>IFERROR(__xludf.DUMMYFUNCTION("""COMPUTED_VALUE"""),"37")</f>
        <v>37</v>
      </c>
    </row>
    <row r="65" ht="15.75" customHeight="1">
      <c r="A65" s="3">
        <f>IFERROR(__xludf.DUMMYFUNCTION("""COMPUTED_VALUE"""),30000.0)</f>
        <v>30000</v>
      </c>
      <c r="B65" s="1" t="str">
        <f>IFERROR(__xludf.DUMMYFUNCTION("""COMPUTED_VALUE"""),"68")</f>
        <v>68</v>
      </c>
    </row>
    <row r="66" ht="15.75" customHeight="1">
      <c r="A66" s="3">
        <f>IFERROR(__xludf.DUMMYFUNCTION("""COMPUTED_VALUE"""),40000.0)</f>
        <v>40000</v>
      </c>
      <c r="B66" s="1" t="str">
        <f>IFERROR(__xludf.DUMMYFUNCTION("""COMPUTED_VALUE"""),"37")</f>
        <v>37</v>
      </c>
    </row>
    <row r="67" ht="15.75" customHeight="1">
      <c r="A67" s="3">
        <f>IFERROR(__xludf.DUMMYFUNCTION("""COMPUTED_VALUE"""),30000.0)</f>
        <v>30000</v>
      </c>
      <c r="B67" s="1" t="str">
        <f>IFERROR(__xludf.DUMMYFUNCTION("""COMPUTED_VALUE"""),"33")</f>
        <v>33</v>
      </c>
    </row>
    <row r="68" ht="15.75" customHeight="1">
      <c r="A68" s="3">
        <f>IFERROR(__xludf.DUMMYFUNCTION("""COMPUTED_VALUE"""),20000.0)</f>
        <v>20000</v>
      </c>
      <c r="B68" s="1" t="str">
        <f>IFERROR(__xludf.DUMMYFUNCTION("""COMPUTED_VALUE"""),"43")</f>
        <v>43</v>
      </c>
    </row>
    <row r="69" ht="15.75" customHeight="1">
      <c r="A69" s="3">
        <f>IFERROR(__xludf.DUMMYFUNCTION("""COMPUTED_VALUE"""),10000.0)</f>
        <v>10000</v>
      </c>
      <c r="B69" s="1" t="str">
        <f>IFERROR(__xludf.DUMMYFUNCTION("""COMPUTED_VALUE"""),"30")</f>
        <v>30</v>
      </c>
    </row>
    <row r="70" ht="15.75" customHeight="1">
      <c r="A70" s="3">
        <f>IFERROR(__xludf.DUMMYFUNCTION("""COMPUTED_VALUE"""),120000.0)</f>
        <v>120000</v>
      </c>
      <c r="B70" s="1" t="str">
        <f>IFERROR(__xludf.DUMMYFUNCTION("""COMPUTED_VALUE"""),"36")</f>
        <v>36</v>
      </c>
    </row>
    <row r="71" ht="15.75" customHeight="1">
      <c r="A71" s="3">
        <f>IFERROR(__xludf.DUMMYFUNCTION("""COMPUTED_VALUE"""),10000.0)</f>
        <v>10000</v>
      </c>
      <c r="B71" s="1" t="str">
        <f>IFERROR(__xludf.DUMMYFUNCTION("""COMPUTED_VALUE"""),"35")</f>
        <v>35</v>
      </c>
    </row>
    <row r="72" ht="15.75" customHeight="1">
      <c r="A72" s="3">
        <f>IFERROR(__xludf.DUMMYFUNCTION("""COMPUTED_VALUE"""),130000.0)</f>
        <v>130000</v>
      </c>
      <c r="B72" s="1" t="str">
        <f>IFERROR(__xludf.DUMMYFUNCTION("""COMPUTED_VALUE"""),"52")</f>
        <v>52</v>
      </c>
    </row>
    <row r="73" ht="15.75" customHeight="1">
      <c r="A73" s="3">
        <f>IFERROR(__xludf.DUMMYFUNCTION("""COMPUTED_VALUE"""),20000.0)</f>
        <v>20000</v>
      </c>
      <c r="B73" s="1" t="str">
        <f>IFERROR(__xludf.DUMMYFUNCTION("""COMPUTED_VALUE"""),"36")</f>
        <v>36</v>
      </c>
    </row>
    <row r="74" ht="15.75" customHeight="1">
      <c r="A74" s="3">
        <f>IFERROR(__xludf.DUMMYFUNCTION("""COMPUTED_VALUE"""),20000.0)</f>
        <v>20000</v>
      </c>
      <c r="B74" s="1" t="str">
        <f>IFERROR(__xludf.DUMMYFUNCTION("""COMPUTED_VALUE"""),"62")</f>
        <v>62</v>
      </c>
    </row>
    <row r="75" ht="15.75" customHeight="1">
      <c r="A75" s="3">
        <f>IFERROR(__xludf.DUMMYFUNCTION("""COMPUTED_VALUE"""),130000.0)</f>
        <v>130000</v>
      </c>
      <c r="B75" s="1" t="str">
        <f>IFERROR(__xludf.DUMMYFUNCTION("""COMPUTED_VALUE"""),"31")</f>
        <v>31</v>
      </c>
    </row>
    <row r="76" ht="15.75" customHeight="1">
      <c r="A76" s="3">
        <f>IFERROR(__xludf.DUMMYFUNCTION("""COMPUTED_VALUE"""),20000.0)</f>
        <v>20000</v>
      </c>
      <c r="B76" s="1" t="str">
        <f>IFERROR(__xludf.DUMMYFUNCTION("""COMPUTED_VALUE"""),"26")</f>
        <v>26</v>
      </c>
    </row>
    <row r="77" ht="15.75" customHeight="1">
      <c r="A77" s="3">
        <f>IFERROR(__xludf.DUMMYFUNCTION("""COMPUTED_VALUE"""),80000.0)</f>
        <v>80000</v>
      </c>
      <c r="B77" s="1" t="str">
        <f>IFERROR(__xludf.DUMMYFUNCTION("""COMPUTED_VALUE"""),"29")</f>
        <v>29</v>
      </c>
    </row>
    <row r="78" ht="15.75" customHeight="1">
      <c r="A78" s="3">
        <f>IFERROR(__xludf.DUMMYFUNCTION("""COMPUTED_VALUE"""),80000.0)</f>
        <v>80000</v>
      </c>
      <c r="B78" s="1" t="str">
        <f>IFERROR(__xludf.DUMMYFUNCTION("""COMPUTED_VALUE"""),"50")</f>
        <v>50</v>
      </c>
    </row>
    <row r="79" ht="15.75" customHeight="1">
      <c r="A79" s="3">
        <f>IFERROR(__xludf.DUMMYFUNCTION("""COMPUTED_VALUE"""),40000.0)</f>
        <v>40000</v>
      </c>
      <c r="B79" s="1" t="str">
        <f>IFERROR(__xludf.DUMMYFUNCTION("""COMPUTED_VALUE"""),"63")</f>
        <v>63</v>
      </c>
    </row>
    <row r="80" ht="15.75" customHeight="1">
      <c r="A80" s="3">
        <f>IFERROR(__xludf.DUMMYFUNCTION("""COMPUTED_VALUE"""),30000.0)</f>
        <v>30000</v>
      </c>
      <c r="B80" s="1" t="str">
        <f>IFERROR(__xludf.DUMMYFUNCTION("""COMPUTED_VALUE"""),"45")</f>
        <v>45</v>
      </c>
    </row>
    <row r="81" ht="15.75" customHeight="1">
      <c r="A81" s="3">
        <f>IFERROR(__xludf.DUMMYFUNCTION("""COMPUTED_VALUE"""),10000.0)</f>
        <v>10000</v>
      </c>
      <c r="B81" s="1" t="str">
        <f>IFERROR(__xludf.DUMMYFUNCTION("""COMPUTED_VALUE"""),"40")</f>
        <v>40</v>
      </c>
    </row>
    <row r="82" ht="15.75" customHeight="1">
      <c r="A82" s="3">
        <f>IFERROR(__xludf.DUMMYFUNCTION("""COMPUTED_VALUE"""),30000.0)</f>
        <v>30000</v>
      </c>
      <c r="B82" s="1" t="str">
        <f>IFERROR(__xludf.DUMMYFUNCTION("""COMPUTED_VALUE"""),"47")</f>
        <v>47</v>
      </c>
    </row>
    <row r="83" ht="15.75" customHeight="1">
      <c r="A83" s="3">
        <f>IFERROR(__xludf.DUMMYFUNCTION("""COMPUTED_VALUE"""),20000.0)</f>
        <v>20000</v>
      </c>
      <c r="B83" s="1" t="str">
        <f>IFERROR(__xludf.DUMMYFUNCTION("""COMPUTED_VALUE"""),"29")</f>
        <v>29</v>
      </c>
    </row>
    <row r="84" ht="15.75" customHeight="1">
      <c r="A84" s="3">
        <f>IFERROR(__xludf.DUMMYFUNCTION("""COMPUTED_VALUE"""),40000.0)</f>
        <v>40000</v>
      </c>
      <c r="B84" s="1" t="str">
        <f>IFERROR(__xludf.DUMMYFUNCTION("""COMPUTED_VALUE"""),"52")</f>
        <v>52</v>
      </c>
    </row>
    <row r="85" ht="15.75" customHeight="1">
      <c r="A85" s="3">
        <f>IFERROR(__xludf.DUMMYFUNCTION("""COMPUTED_VALUE"""),10000.0)</f>
        <v>10000</v>
      </c>
      <c r="B85" s="1" t="str">
        <f>IFERROR(__xludf.DUMMYFUNCTION("""COMPUTED_VALUE"""),"26")</f>
        <v>26</v>
      </c>
    </row>
    <row r="86" ht="15.75" customHeight="1">
      <c r="A86" s="3">
        <f>IFERROR(__xludf.DUMMYFUNCTION("""COMPUTED_VALUE"""),130000.0)</f>
        <v>130000</v>
      </c>
      <c r="B86" s="1" t="str">
        <f>IFERROR(__xludf.DUMMYFUNCTION("""COMPUTED_VALUE"""),"51")</f>
        <v>51</v>
      </c>
    </row>
    <row r="87" ht="15.75" customHeight="1">
      <c r="A87" s="3">
        <f>IFERROR(__xludf.DUMMYFUNCTION("""COMPUTED_VALUE"""),80000.0)</f>
        <v>80000</v>
      </c>
      <c r="B87" s="1" t="str">
        <f>IFERROR(__xludf.DUMMYFUNCTION("""COMPUTED_VALUE"""),"40")</f>
        <v>40</v>
      </c>
    </row>
    <row r="88" ht="15.75" customHeight="1">
      <c r="A88" s="3">
        <f>IFERROR(__xludf.DUMMYFUNCTION("""COMPUTED_VALUE"""),30000.0)</f>
        <v>30000</v>
      </c>
      <c r="B88" s="1" t="str">
        <f>IFERROR(__xludf.DUMMYFUNCTION("""COMPUTED_VALUE"""),"29")</f>
        <v>29</v>
      </c>
    </row>
    <row r="89" ht="15.75" customHeight="1">
      <c r="A89" s="3">
        <f>IFERROR(__xludf.DUMMYFUNCTION("""COMPUTED_VALUE"""),20000.0)</f>
        <v>20000</v>
      </c>
      <c r="B89" s="1" t="str">
        <f>IFERROR(__xludf.DUMMYFUNCTION("""COMPUTED_VALUE"""),"40")</f>
        <v>40</v>
      </c>
    </row>
    <row r="90" ht="15.75" customHeight="1">
      <c r="A90" s="3">
        <f>IFERROR(__xludf.DUMMYFUNCTION("""COMPUTED_VALUE"""),30000.0)</f>
        <v>30000</v>
      </c>
      <c r="B90" s="1" t="str">
        <f>IFERROR(__xludf.DUMMYFUNCTION("""COMPUTED_VALUE"""),"29")</f>
        <v>29</v>
      </c>
    </row>
    <row r="91" ht="15.75" customHeight="1">
      <c r="A91" s="3">
        <f>IFERROR(__xludf.DUMMYFUNCTION("""COMPUTED_VALUE"""),30000.0)</f>
        <v>30000</v>
      </c>
      <c r="B91" s="1" t="str">
        <f>IFERROR(__xludf.DUMMYFUNCTION("""COMPUTED_VALUE"""),"30")</f>
        <v>30</v>
      </c>
    </row>
    <row r="92" ht="15.75" customHeight="1">
      <c r="A92" s="3">
        <f>IFERROR(__xludf.DUMMYFUNCTION("""COMPUTED_VALUE"""),60000.0)</f>
        <v>60000</v>
      </c>
      <c r="B92" s="1" t="str">
        <f>IFERROR(__xludf.DUMMYFUNCTION("""COMPUTED_VALUE"""),"37")</f>
        <v>37</v>
      </c>
    </row>
    <row r="93" ht="15.75" customHeight="1">
      <c r="A93" s="3">
        <f>IFERROR(__xludf.DUMMYFUNCTION("""COMPUTED_VALUE"""),30000.0)</f>
        <v>30000</v>
      </c>
      <c r="B93" s="1" t="str">
        <f>IFERROR(__xludf.DUMMYFUNCTION("""COMPUTED_VALUE"""),"33")</f>
        <v>33</v>
      </c>
    </row>
    <row r="94" ht="15.75" customHeight="1">
      <c r="A94" s="3">
        <f>IFERROR(__xludf.DUMMYFUNCTION("""COMPUTED_VALUE"""),30000.0)</f>
        <v>30000</v>
      </c>
      <c r="B94" s="1" t="str">
        <f>IFERROR(__xludf.DUMMYFUNCTION("""COMPUTED_VALUE"""),"55")</f>
        <v>55</v>
      </c>
    </row>
    <row r="95" ht="15.75" customHeight="1">
      <c r="A95" s="3">
        <f>IFERROR(__xludf.DUMMYFUNCTION("""COMPUTED_VALUE"""),90000.0)</f>
        <v>90000</v>
      </c>
      <c r="B95" s="1" t="str">
        <f>IFERROR(__xludf.DUMMYFUNCTION("""COMPUTED_VALUE"""),"62")</f>
        <v>62</v>
      </c>
    </row>
    <row r="96" ht="15.75" customHeight="1">
      <c r="A96" s="3">
        <f>IFERROR(__xludf.DUMMYFUNCTION("""COMPUTED_VALUE"""),30000.0)</f>
        <v>30000</v>
      </c>
      <c r="B96" s="1" t="str">
        <f>IFERROR(__xludf.DUMMYFUNCTION("""COMPUTED_VALUE"""),"43")</f>
        <v>43</v>
      </c>
    </row>
    <row r="97" ht="15.75" customHeight="1">
      <c r="A97" s="3">
        <f>IFERROR(__xludf.DUMMYFUNCTION("""COMPUTED_VALUE"""),40000.0)</f>
        <v>40000</v>
      </c>
      <c r="B97" s="1" t="str">
        <f>IFERROR(__xludf.DUMMYFUNCTION("""COMPUTED_VALUE"""),"44")</f>
        <v>44</v>
      </c>
    </row>
    <row r="98" ht="15.75" customHeight="1">
      <c r="A98" s="3">
        <f>IFERROR(__xludf.DUMMYFUNCTION("""COMPUTED_VALUE"""),20000.0)</f>
        <v>20000</v>
      </c>
      <c r="B98" s="1" t="str">
        <f>IFERROR(__xludf.DUMMYFUNCTION("""COMPUTED_VALUE"""),"43")</f>
        <v>43</v>
      </c>
    </row>
    <row r="99" ht="15.75" customHeight="1">
      <c r="A99" s="3">
        <f>IFERROR(__xludf.DUMMYFUNCTION("""COMPUTED_VALUE"""),10000.0)</f>
        <v>10000</v>
      </c>
      <c r="B99" s="1" t="str">
        <f>IFERROR(__xludf.DUMMYFUNCTION("""COMPUTED_VALUE"""),"35")</f>
        <v>35</v>
      </c>
    </row>
    <row r="100" ht="15.75" customHeight="1">
      <c r="A100" s="3">
        <f>IFERROR(__xludf.DUMMYFUNCTION("""COMPUTED_VALUE"""),60000.0)</f>
        <v>60000</v>
      </c>
      <c r="B100" s="1" t="str">
        <f>IFERROR(__xludf.DUMMYFUNCTION("""COMPUTED_VALUE"""),"43")</f>
        <v>43</v>
      </c>
    </row>
    <row r="101" ht="15.75" customHeight="1">
      <c r="A101" s="3">
        <f>IFERROR(__xludf.DUMMYFUNCTION("""COMPUTED_VALUE"""),10000.0)</f>
        <v>10000</v>
      </c>
      <c r="B101" s="1" t="str">
        <f>IFERROR(__xludf.DUMMYFUNCTION("""COMPUTED_VALUE"""),"49")</f>
        <v>49</v>
      </c>
    </row>
    <row r="102" ht="15.75" customHeight="1">
      <c r="A102" s="3">
        <f>IFERROR(__xludf.DUMMYFUNCTION("""COMPUTED_VALUE"""),60000.0)</f>
        <v>60000</v>
      </c>
      <c r="B102" s="1" t="str">
        <f>IFERROR(__xludf.DUMMYFUNCTION("""COMPUTED_VALUE"""),"45")</f>
        <v>45</v>
      </c>
    </row>
    <row r="103" ht="15.75" customHeight="1">
      <c r="A103" s="3">
        <f>IFERROR(__xludf.DUMMYFUNCTION("""COMPUTED_VALUE"""),70000.0)</f>
        <v>70000</v>
      </c>
      <c r="B103" s="1" t="str">
        <f>IFERROR(__xludf.DUMMYFUNCTION("""COMPUTED_VALUE"""),"49")</f>
        <v>49</v>
      </c>
    </row>
    <row r="104" ht="15.75" customHeight="1">
      <c r="A104" s="3">
        <f>IFERROR(__xludf.DUMMYFUNCTION("""COMPUTED_VALUE"""),30000.0)</f>
        <v>30000</v>
      </c>
      <c r="B104" s="1" t="str">
        <f>IFERROR(__xludf.DUMMYFUNCTION("""COMPUTED_VALUE"""),"30")</f>
        <v>30</v>
      </c>
    </row>
    <row r="105" ht="15.75" customHeight="1">
      <c r="A105" s="3">
        <f>IFERROR(__xludf.DUMMYFUNCTION("""COMPUTED_VALUE"""),70000.0)</f>
        <v>70000</v>
      </c>
      <c r="B105" s="1" t="str">
        <f>IFERROR(__xludf.DUMMYFUNCTION("""COMPUTED_VALUE"""),"52")</f>
        <v>52</v>
      </c>
    </row>
    <row r="106" ht="15.75" customHeight="1">
      <c r="A106" s="3">
        <f>IFERROR(__xludf.DUMMYFUNCTION("""COMPUTED_VALUE"""),40000.0)</f>
        <v>40000</v>
      </c>
      <c r="B106" s="1" t="str">
        <f>IFERROR(__xludf.DUMMYFUNCTION("""COMPUTED_VALUE"""),"53")</f>
        <v>53</v>
      </c>
    </row>
    <row r="107" ht="15.75" customHeight="1">
      <c r="A107" s="3">
        <f>IFERROR(__xludf.DUMMYFUNCTION("""COMPUTED_VALUE"""),40000.0)</f>
        <v>40000</v>
      </c>
      <c r="B107" s="1" t="str">
        <f>IFERROR(__xludf.DUMMYFUNCTION("""COMPUTED_VALUE"""),"38")</f>
        <v>38</v>
      </c>
    </row>
    <row r="108" ht="15.75" customHeight="1">
      <c r="A108" s="3">
        <f>IFERROR(__xludf.DUMMYFUNCTION("""COMPUTED_VALUE"""),40000.0)</f>
        <v>40000</v>
      </c>
      <c r="B108" s="1" t="str">
        <f>IFERROR(__xludf.DUMMYFUNCTION("""COMPUTED_VALUE"""),"39")</f>
        <v>39</v>
      </c>
    </row>
    <row r="109" ht="15.75" customHeight="1">
      <c r="A109" s="3">
        <f>IFERROR(__xludf.DUMMYFUNCTION("""COMPUTED_VALUE"""),70000.0)</f>
        <v>70000</v>
      </c>
      <c r="B109" s="1" t="str">
        <f>IFERROR(__xludf.DUMMYFUNCTION("""COMPUTED_VALUE"""),"38")</f>
        <v>38</v>
      </c>
    </row>
    <row r="110" ht="15.75" customHeight="1">
      <c r="A110" s="3">
        <f>IFERROR(__xludf.DUMMYFUNCTION("""COMPUTED_VALUE"""),40000.0)</f>
        <v>40000</v>
      </c>
      <c r="B110" s="1" t="str">
        <f>IFERROR(__xludf.DUMMYFUNCTION("""COMPUTED_VALUE"""),"35")</f>
        <v>35</v>
      </c>
    </row>
    <row r="111" ht="15.75" customHeight="1">
      <c r="A111" s="3">
        <f>IFERROR(__xludf.DUMMYFUNCTION("""COMPUTED_VALUE"""),130000.0)</f>
        <v>130000</v>
      </c>
      <c r="B111" s="1" t="str">
        <f>IFERROR(__xludf.DUMMYFUNCTION("""COMPUTED_VALUE"""),"36")</f>
        <v>36</v>
      </c>
    </row>
    <row r="112" ht="15.75" customHeight="1">
      <c r="A112" s="3">
        <f>IFERROR(__xludf.DUMMYFUNCTION("""COMPUTED_VALUE"""),20000.0)</f>
        <v>20000</v>
      </c>
      <c r="B112" s="1" t="str">
        <f>IFERROR(__xludf.DUMMYFUNCTION("""COMPUTED_VALUE"""),"26")</f>
        <v>26</v>
      </c>
    </row>
    <row r="113" ht="15.75" customHeight="1">
      <c r="A113" s="3">
        <f>IFERROR(__xludf.DUMMYFUNCTION("""COMPUTED_VALUE"""),10000.0)</f>
        <v>10000</v>
      </c>
      <c r="B113" s="1" t="str">
        <f>IFERROR(__xludf.DUMMYFUNCTION("""COMPUTED_VALUE"""),"30")</f>
        <v>30</v>
      </c>
    </row>
    <row r="114" ht="15.75" customHeight="1">
      <c r="A114" s="3">
        <f>IFERROR(__xludf.DUMMYFUNCTION("""COMPUTED_VALUE"""),30000.0)</f>
        <v>30000</v>
      </c>
      <c r="B114" s="1" t="str">
        <f>IFERROR(__xludf.DUMMYFUNCTION("""COMPUTED_VALUE"""),"42")</f>
        <v>42</v>
      </c>
    </row>
    <row r="115" ht="15.75" customHeight="1">
      <c r="A115" s="3">
        <f>IFERROR(__xludf.DUMMYFUNCTION("""COMPUTED_VALUE"""),80000.0)</f>
        <v>80000</v>
      </c>
      <c r="B115" s="1" t="str">
        <f>IFERROR(__xludf.DUMMYFUNCTION("""COMPUTED_VALUE"""),"62")</f>
        <v>62</v>
      </c>
    </row>
    <row r="116" ht="15.75" customHeight="1">
      <c r="A116" s="3">
        <f>IFERROR(__xludf.DUMMYFUNCTION("""COMPUTED_VALUE"""),30000.0)</f>
        <v>30000</v>
      </c>
      <c r="B116" s="1" t="str">
        <f>IFERROR(__xludf.DUMMYFUNCTION("""COMPUTED_VALUE"""),"29")</f>
        <v>29</v>
      </c>
    </row>
    <row r="117" ht="15.75" customHeight="1">
      <c r="A117" s="3">
        <f>IFERROR(__xludf.DUMMYFUNCTION("""COMPUTED_VALUE"""),40000.0)</f>
        <v>40000</v>
      </c>
      <c r="B117" s="1" t="str">
        <f>IFERROR(__xludf.DUMMYFUNCTION("""COMPUTED_VALUE"""),"66")</f>
        <v>66</v>
      </c>
    </row>
    <row r="118" ht="15.75" customHeight="1">
      <c r="A118" s="3">
        <f>IFERROR(__xludf.DUMMYFUNCTION("""COMPUTED_VALUE"""),150000.0)</f>
        <v>150000</v>
      </c>
      <c r="B118" s="1" t="str">
        <f>IFERROR(__xludf.DUMMYFUNCTION("""COMPUTED_VALUE"""),"48")</f>
        <v>48</v>
      </c>
    </row>
    <row r="119" ht="15.75" customHeight="1">
      <c r="A119" s="3">
        <f>IFERROR(__xludf.DUMMYFUNCTION("""COMPUTED_VALUE"""),80000.0)</f>
        <v>80000</v>
      </c>
      <c r="B119" s="1" t="str">
        <f>IFERROR(__xludf.DUMMYFUNCTION("""COMPUTED_VALUE"""),"31")</f>
        <v>31</v>
      </c>
    </row>
    <row r="120" ht="15.75" customHeight="1">
      <c r="A120" s="3">
        <f>IFERROR(__xludf.DUMMYFUNCTION("""COMPUTED_VALUE"""),100000.0)</f>
        <v>100000</v>
      </c>
      <c r="B120" s="1" t="str">
        <f>IFERROR(__xludf.DUMMYFUNCTION("""COMPUTED_VALUE"""),"56")</f>
        <v>56</v>
      </c>
    </row>
    <row r="121" ht="15.75" customHeight="1">
      <c r="A121" s="3">
        <f>IFERROR(__xludf.DUMMYFUNCTION("""COMPUTED_VALUE"""),40000.0)</f>
        <v>40000</v>
      </c>
      <c r="B121" s="1" t="str">
        <f>IFERROR(__xludf.DUMMYFUNCTION("""COMPUTED_VALUE"""),"38")</f>
        <v>38</v>
      </c>
    </row>
    <row r="122" ht="15.75" customHeight="1">
      <c r="A122" s="3">
        <f>IFERROR(__xludf.DUMMYFUNCTION("""COMPUTED_VALUE"""),80000.0)</f>
        <v>80000</v>
      </c>
      <c r="B122" s="1" t="str">
        <f>IFERROR(__xludf.DUMMYFUNCTION("""COMPUTED_VALUE"""),"40")</f>
        <v>40</v>
      </c>
    </row>
    <row r="123" ht="15.75" customHeight="1">
      <c r="A123" s="3">
        <f>IFERROR(__xludf.DUMMYFUNCTION("""COMPUTED_VALUE"""),30000.0)</f>
        <v>30000</v>
      </c>
      <c r="B123" s="1" t="str">
        <f>IFERROR(__xludf.DUMMYFUNCTION("""COMPUTED_VALUE"""),"32")</f>
        <v>32</v>
      </c>
    </row>
    <row r="124" ht="15.75" customHeight="1">
      <c r="A124" s="3">
        <f>IFERROR(__xludf.DUMMYFUNCTION("""COMPUTED_VALUE"""),30000.0)</f>
        <v>30000</v>
      </c>
      <c r="B124" s="1" t="str">
        <f>IFERROR(__xludf.DUMMYFUNCTION("""COMPUTED_VALUE"""),"39")</f>
        <v>39</v>
      </c>
    </row>
    <row r="125" ht="15.75" customHeight="1">
      <c r="A125" s="3">
        <f>IFERROR(__xludf.DUMMYFUNCTION("""COMPUTED_VALUE"""),10000.0)</f>
        <v>10000</v>
      </c>
      <c r="B125" s="1" t="str">
        <f>IFERROR(__xludf.DUMMYFUNCTION("""COMPUTED_VALUE"""),"52")</f>
        <v>52</v>
      </c>
    </row>
    <row r="126" ht="15.75" customHeight="1">
      <c r="A126" s="3">
        <f>IFERROR(__xludf.DUMMYFUNCTION("""COMPUTED_VALUE"""),10000.0)</f>
        <v>10000</v>
      </c>
      <c r="B126" s="1" t="str">
        <f>IFERROR(__xludf.DUMMYFUNCTION("""COMPUTED_VALUE"""),"39")</f>
        <v>39</v>
      </c>
    </row>
    <row r="127" ht="15.75" customHeight="1">
      <c r="A127" s="3">
        <f>IFERROR(__xludf.DUMMYFUNCTION("""COMPUTED_VALUE"""),60000.0)</f>
        <v>60000</v>
      </c>
      <c r="B127" s="1" t="str">
        <f>IFERROR(__xludf.DUMMYFUNCTION("""COMPUTED_VALUE"""),"37")</f>
        <v>37</v>
      </c>
    </row>
    <row r="128" ht="15.75" customHeight="1">
      <c r="A128" s="3">
        <f>IFERROR(__xludf.DUMMYFUNCTION("""COMPUTED_VALUE"""),90000.0)</f>
        <v>90000</v>
      </c>
      <c r="B128" s="1" t="str">
        <f>IFERROR(__xludf.DUMMYFUNCTION("""COMPUTED_VALUE"""),"56")</f>
        <v>56</v>
      </c>
    </row>
    <row r="129" ht="15.75" customHeight="1">
      <c r="A129" s="3">
        <f>IFERROR(__xludf.DUMMYFUNCTION("""COMPUTED_VALUE"""),40000.0)</f>
        <v>40000</v>
      </c>
      <c r="B129" s="1" t="str">
        <f>IFERROR(__xludf.DUMMYFUNCTION("""COMPUTED_VALUE"""),"40")</f>
        <v>40</v>
      </c>
    </row>
    <row r="130" ht="15.75" customHeight="1">
      <c r="A130" s="3">
        <f>IFERROR(__xludf.DUMMYFUNCTION("""COMPUTED_VALUE"""),40000.0)</f>
        <v>40000</v>
      </c>
      <c r="B130" s="1" t="str">
        <f>IFERROR(__xludf.DUMMYFUNCTION("""COMPUTED_VALUE"""),"65")</f>
        <v>65</v>
      </c>
    </row>
    <row r="131" ht="15.75" customHeight="1">
      <c r="A131" s="3">
        <f>IFERROR(__xludf.DUMMYFUNCTION("""COMPUTED_VALUE"""),30000.0)</f>
        <v>30000</v>
      </c>
      <c r="B131" s="1" t="str">
        <f>IFERROR(__xludf.DUMMYFUNCTION("""COMPUTED_VALUE"""),"42")</f>
        <v>42</v>
      </c>
    </row>
    <row r="132" ht="15.75" customHeight="1">
      <c r="A132" s="3">
        <f>IFERROR(__xludf.DUMMYFUNCTION("""COMPUTED_VALUE"""),10000.0)</f>
        <v>10000</v>
      </c>
      <c r="B132" s="1" t="str">
        <f>IFERROR(__xludf.DUMMYFUNCTION("""COMPUTED_VALUE"""),"52")</f>
        <v>52</v>
      </c>
    </row>
    <row r="133" ht="15.75" customHeight="1">
      <c r="A133" s="3">
        <f>IFERROR(__xludf.DUMMYFUNCTION("""COMPUTED_VALUE"""),10000.0)</f>
        <v>10000</v>
      </c>
      <c r="B133" s="1" t="str">
        <f>IFERROR(__xludf.DUMMYFUNCTION("""COMPUTED_VALUE"""),"35")</f>
        <v>35</v>
      </c>
    </row>
    <row r="134" ht="15.75" customHeight="1">
      <c r="A134" s="3">
        <f>IFERROR(__xludf.DUMMYFUNCTION("""COMPUTED_VALUE"""),20000.0)</f>
        <v>20000</v>
      </c>
      <c r="B134" s="1" t="str">
        <f>IFERROR(__xludf.DUMMYFUNCTION("""COMPUTED_VALUE"""),"42")</f>
        <v>42</v>
      </c>
    </row>
    <row r="135" ht="15.75" customHeight="1">
      <c r="A135" s="3">
        <f>IFERROR(__xludf.DUMMYFUNCTION("""COMPUTED_VALUE"""),20000.0)</f>
        <v>20000</v>
      </c>
      <c r="B135" s="1" t="str">
        <f>IFERROR(__xludf.DUMMYFUNCTION("""COMPUTED_VALUE"""),"55")</f>
        <v>55</v>
      </c>
    </row>
    <row r="136" ht="15.75" customHeight="1">
      <c r="A136" s="3">
        <f>IFERROR(__xludf.DUMMYFUNCTION("""COMPUTED_VALUE"""),30000.0)</f>
        <v>30000</v>
      </c>
      <c r="B136" s="1" t="str">
        <f>IFERROR(__xludf.DUMMYFUNCTION("""COMPUTED_VALUE"""),"60")</f>
        <v>60</v>
      </c>
    </row>
    <row r="137" ht="15.75" customHeight="1">
      <c r="A137" s="3">
        <f>IFERROR(__xludf.DUMMYFUNCTION("""COMPUTED_VALUE"""),40000.0)</f>
        <v>40000</v>
      </c>
      <c r="B137" s="1" t="str">
        <f>IFERROR(__xludf.DUMMYFUNCTION("""COMPUTED_VALUE"""),"40")</f>
        <v>40</v>
      </c>
    </row>
    <row r="138" ht="15.75" customHeight="1">
      <c r="A138" s="3">
        <f>IFERROR(__xludf.DUMMYFUNCTION("""COMPUTED_VALUE"""),10000.0)</f>
        <v>10000</v>
      </c>
      <c r="B138" s="1" t="str">
        <f>IFERROR(__xludf.DUMMYFUNCTION("""COMPUTED_VALUE"""),"26")</f>
        <v>26</v>
      </c>
    </row>
    <row r="139" ht="15.75" customHeight="1">
      <c r="A139" s="3">
        <f>IFERROR(__xludf.DUMMYFUNCTION("""COMPUTED_VALUE"""),40000.0)</f>
        <v>40000</v>
      </c>
      <c r="B139" s="1" t="str">
        <f>IFERROR(__xludf.DUMMYFUNCTION("""COMPUTED_VALUE"""),"42")</f>
        <v>42</v>
      </c>
    </row>
    <row r="140" ht="15.75" customHeight="1">
      <c r="A140" s="3">
        <f>IFERROR(__xludf.DUMMYFUNCTION("""COMPUTED_VALUE"""),80000.0)</f>
        <v>80000</v>
      </c>
      <c r="B140" s="1" t="str">
        <f>IFERROR(__xludf.DUMMYFUNCTION("""COMPUTED_VALUE"""),"32")</f>
        <v>32</v>
      </c>
    </row>
    <row r="141" ht="15.75" customHeight="1">
      <c r="A141" s="3">
        <f>IFERROR(__xludf.DUMMYFUNCTION("""COMPUTED_VALUE"""),30000.0)</f>
        <v>30000</v>
      </c>
      <c r="B141" s="1" t="str">
        <f>IFERROR(__xludf.DUMMYFUNCTION("""COMPUTED_VALUE"""),"37")</f>
        <v>37</v>
      </c>
    </row>
    <row r="142" ht="15.75" customHeight="1">
      <c r="A142" s="3">
        <f>IFERROR(__xludf.DUMMYFUNCTION("""COMPUTED_VALUE"""),40000.0)</f>
        <v>40000</v>
      </c>
      <c r="B142" s="1" t="str">
        <f>IFERROR(__xludf.DUMMYFUNCTION("""COMPUTED_VALUE"""),"34")</f>
        <v>34</v>
      </c>
    </row>
    <row r="143" ht="15.75" customHeight="1">
      <c r="A143" s="3">
        <f>IFERROR(__xludf.DUMMYFUNCTION("""COMPUTED_VALUE"""),40000.0)</f>
        <v>40000</v>
      </c>
      <c r="B143" s="1" t="str">
        <f>IFERROR(__xludf.DUMMYFUNCTION("""COMPUTED_VALUE"""),"37")</f>
        <v>37</v>
      </c>
    </row>
    <row r="144" ht="15.75" customHeight="1">
      <c r="A144" s="3">
        <f>IFERROR(__xludf.DUMMYFUNCTION("""COMPUTED_VALUE"""),40000.0)</f>
        <v>40000</v>
      </c>
      <c r="B144" s="1" t="str">
        <f>IFERROR(__xludf.DUMMYFUNCTION("""COMPUTED_VALUE"""),"40")</f>
        <v>40</v>
      </c>
    </row>
    <row r="145" ht="15.75" customHeight="1">
      <c r="A145" s="3">
        <f>IFERROR(__xludf.DUMMYFUNCTION("""COMPUTED_VALUE"""),20000.0)</f>
        <v>20000</v>
      </c>
      <c r="B145" s="1" t="str">
        <f>IFERROR(__xludf.DUMMYFUNCTION("""COMPUTED_VALUE"""),"60")</f>
        <v>60</v>
      </c>
    </row>
    <row r="146" ht="15.75" customHeight="1">
      <c r="A146" s="3">
        <f>IFERROR(__xludf.DUMMYFUNCTION("""COMPUTED_VALUE"""),30000.0)</f>
        <v>30000</v>
      </c>
      <c r="B146" s="1" t="str">
        <f>IFERROR(__xludf.DUMMYFUNCTION("""COMPUTED_VALUE"""),"27")</f>
        <v>27</v>
      </c>
    </row>
    <row r="147" ht="15.75" customHeight="1">
      <c r="A147" s="3">
        <f>IFERROR(__xludf.DUMMYFUNCTION("""COMPUTED_VALUE"""),60000.0)</f>
        <v>60000</v>
      </c>
      <c r="B147" s="1" t="str">
        <f>IFERROR(__xludf.DUMMYFUNCTION("""COMPUTED_VALUE"""),"43")</f>
        <v>43</v>
      </c>
    </row>
    <row r="148" ht="15.75" customHeight="1">
      <c r="A148" s="3">
        <f>IFERROR(__xludf.DUMMYFUNCTION("""COMPUTED_VALUE"""),100000.0)</f>
        <v>100000</v>
      </c>
      <c r="B148" s="1" t="str">
        <f>IFERROR(__xludf.DUMMYFUNCTION("""COMPUTED_VALUE"""),"48")</f>
        <v>48</v>
      </c>
    </row>
    <row r="149" ht="15.75" customHeight="1">
      <c r="A149" s="3">
        <f>IFERROR(__xludf.DUMMYFUNCTION("""COMPUTED_VALUE"""),20000.0)</f>
        <v>20000</v>
      </c>
      <c r="B149" s="1" t="str">
        <f>IFERROR(__xludf.DUMMYFUNCTION("""COMPUTED_VALUE"""),"32")</f>
        <v>32</v>
      </c>
    </row>
    <row r="150" ht="15.75" customHeight="1">
      <c r="A150" s="3">
        <f>IFERROR(__xludf.DUMMYFUNCTION("""COMPUTED_VALUE"""),100000.0)</f>
        <v>100000</v>
      </c>
      <c r="B150" s="1" t="str">
        <f>IFERROR(__xludf.DUMMYFUNCTION("""COMPUTED_VALUE"""),"47")</f>
        <v>47</v>
      </c>
    </row>
    <row r="151" ht="15.75" customHeight="1">
      <c r="A151" s="3">
        <f>IFERROR(__xludf.DUMMYFUNCTION("""COMPUTED_VALUE"""),80000.0)</f>
        <v>80000</v>
      </c>
      <c r="B151" s="1" t="str">
        <f>IFERROR(__xludf.DUMMYFUNCTION("""COMPUTED_VALUE"""),"40")</f>
        <v>40</v>
      </c>
    </row>
    <row r="152" ht="15.75" customHeight="1">
      <c r="A152" s="3">
        <f>IFERROR(__xludf.DUMMYFUNCTION("""COMPUTED_VALUE"""),10000.0)</f>
        <v>10000</v>
      </c>
      <c r="B152" s="1" t="str">
        <f>IFERROR(__xludf.DUMMYFUNCTION("""COMPUTED_VALUE"""),"41")</f>
        <v>41</v>
      </c>
    </row>
    <row r="153" ht="15.75" customHeight="1">
      <c r="A153" s="3">
        <f>IFERROR(__xludf.DUMMYFUNCTION("""COMPUTED_VALUE"""),130000.0)</f>
        <v>130000</v>
      </c>
      <c r="B153" s="1" t="str">
        <f>IFERROR(__xludf.DUMMYFUNCTION("""COMPUTED_VALUE"""),"59")</f>
        <v>59</v>
      </c>
    </row>
    <row r="154" ht="15.75" customHeight="1">
      <c r="A154" s="3">
        <f>IFERROR(__xludf.DUMMYFUNCTION("""COMPUTED_VALUE"""),10000.0)</f>
        <v>10000</v>
      </c>
      <c r="B154" s="1" t="str">
        <f>IFERROR(__xludf.DUMMYFUNCTION("""COMPUTED_VALUE"""),"50")</f>
        <v>50</v>
      </c>
    </row>
    <row r="155" ht="15.75" customHeight="1">
      <c r="A155" s="3">
        <f>IFERROR(__xludf.DUMMYFUNCTION("""COMPUTED_VALUE"""),20000.0)</f>
        <v>20000</v>
      </c>
      <c r="B155" s="1" t="str">
        <f>IFERROR(__xludf.DUMMYFUNCTION("""COMPUTED_VALUE"""),"54")</f>
        <v>54</v>
      </c>
    </row>
    <row r="156" ht="15.75" customHeight="1">
      <c r="A156" s="3">
        <f>IFERROR(__xludf.DUMMYFUNCTION("""COMPUTED_VALUE"""),10000.0)</f>
        <v>10000</v>
      </c>
      <c r="B156" s="1" t="str">
        <f>IFERROR(__xludf.DUMMYFUNCTION("""COMPUTED_VALUE"""),"48")</f>
        <v>48</v>
      </c>
    </row>
    <row r="157" ht="15.75" customHeight="1">
      <c r="A157" s="3">
        <f>IFERROR(__xludf.DUMMYFUNCTION("""COMPUTED_VALUE"""),60000.0)</f>
        <v>60000</v>
      </c>
      <c r="B157" s="1" t="str">
        <f>IFERROR(__xludf.DUMMYFUNCTION("""COMPUTED_VALUE"""),"44")</f>
        <v>44</v>
      </c>
    </row>
    <row r="158" ht="15.75" customHeight="1">
      <c r="A158" s="3">
        <f>IFERROR(__xludf.DUMMYFUNCTION("""COMPUTED_VALUE"""),20000.0)</f>
        <v>20000</v>
      </c>
      <c r="B158" s="1" t="str">
        <f>IFERROR(__xludf.DUMMYFUNCTION("""COMPUTED_VALUE"""),"40")</f>
        <v>40</v>
      </c>
    </row>
    <row r="159" ht="15.75" customHeight="1">
      <c r="A159" s="3">
        <f>IFERROR(__xludf.DUMMYFUNCTION("""COMPUTED_VALUE"""),60000.0)</f>
        <v>60000</v>
      </c>
      <c r="B159" s="1" t="str">
        <f>IFERROR(__xludf.DUMMYFUNCTION("""COMPUTED_VALUE"""),"38")</f>
        <v>38</v>
      </c>
    </row>
    <row r="160" ht="15.75" customHeight="1">
      <c r="A160" s="3">
        <f>IFERROR(__xludf.DUMMYFUNCTION("""COMPUTED_VALUE"""),40000.0)</f>
        <v>40000</v>
      </c>
      <c r="B160" s="1" t="str">
        <f>IFERROR(__xludf.DUMMYFUNCTION("""COMPUTED_VALUE"""),"52")</f>
        <v>52</v>
      </c>
    </row>
    <row r="161" ht="15.75" customHeight="1">
      <c r="A161" s="3">
        <f>IFERROR(__xludf.DUMMYFUNCTION("""COMPUTED_VALUE"""),10000.0)</f>
        <v>10000</v>
      </c>
      <c r="B161" s="1" t="str">
        <f>IFERROR(__xludf.DUMMYFUNCTION("""COMPUTED_VALUE"""),"25")</f>
        <v>25</v>
      </c>
    </row>
    <row r="162" ht="15.75" customHeight="1">
      <c r="A162" s="3">
        <f>IFERROR(__xludf.DUMMYFUNCTION("""COMPUTED_VALUE"""),10000.0)</f>
        <v>10000</v>
      </c>
      <c r="B162" s="1" t="str">
        <f>IFERROR(__xludf.DUMMYFUNCTION("""COMPUTED_VALUE"""),"25")</f>
        <v>25</v>
      </c>
    </row>
    <row r="163" ht="15.75" customHeight="1">
      <c r="A163" s="3">
        <f>IFERROR(__xludf.DUMMYFUNCTION("""COMPUTED_VALUE"""),90000.0)</f>
        <v>90000</v>
      </c>
      <c r="B163" s="1" t="str">
        <f>IFERROR(__xludf.DUMMYFUNCTION("""COMPUTED_VALUE"""),"47")</f>
        <v>47</v>
      </c>
    </row>
    <row r="164" ht="15.75" customHeight="1">
      <c r="A164" s="3">
        <f>IFERROR(__xludf.DUMMYFUNCTION("""COMPUTED_VALUE"""),100000.0)</f>
        <v>100000</v>
      </c>
      <c r="B164" s="1" t="str">
        <f>IFERROR(__xludf.DUMMYFUNCTION("""COMPUTED_VALUE"""),"35")</f>
        <v>35</v>
      </c>
    </row>
    <row r="165" ht="15.75" customHeight="1">
      <c r="A165" s="3">
        <f>IFERROR(__xludf.DUMMYFUNCTION("""COMPUTED_VALUE"""),70000.0)</f>
        <v>70000</v>
      </c>
      <c r="B165" s="1" t="str">
        <f>IFERROR(__xludf.DUMMYFUNCTION("""COMPUTED_VALUE"""),"41")</f>
        <v>41</v>
      </c>
    </row>
    <row r="166" ht="15.75" customHeight="1">
      <c r="A166" s="3">
        <f>IFERROR(__xludf.DUMMYFUNCTION("""COMPUTED_VALUE"""),30000.0)</f>
        <v>30000</v>
      </c>
      <c r="B166" s="1" t="str">
        <f>IFERROR(__xludf.DUMMYFUNCTION("""COMPUTED_VALUE"""),"47")</f>
        <v>47</v>
      </c>
    </row>
    <row r="167" ht="15.75" customHeight="1">
      <c r="A167" s="3">
        <f>IFERROR(__xludf.DUMMYFUNCTION("""COMPUTED_VALUE"""),130000.0)</f>
        <v>130000</v>
      </c>
      <c r="B167" s="1" t="str">
        <f>IFERROR(__xludf.DUMMYFUNCTION("""COMPUTED_VALUE"""),"61")</f>
        <v>61</v>
      </c>
    </row>
    <row r="168" ht="15.75" customHeight="1">
      <c r="A168" s="3">
        <f>IFERROR(__xludf.DUMMYFUNCTION("""COMPUTED_VALUE"""),80000.0)</f>
        <v>80000</v>
      </c>
      <c r="B168" s="1" t="str">
        <f>IFERROR(__xludf.DUMMYFUNCTION("""COMPUTED_VALUE"""),"61")</f>
        <v>61</v>
      </c>
    </row>
    <row r="169" ht="15.75" customHeight="1">
      <c r="A169" s="3">
        <f>IFERROR(__xludf.DUMMYFUNCTION("""COMPUTED_VALUE"""),10000.0)</f>
        <v>10000</v>
      </c>
      <c r="B169" s="1" t="str">
        <f>IFERROR(__xludf.DUMMYFUNCTION("""COMPUTED_VALUE"""),"33")</f>
        <v>33</v>
      </c>
    </row>
    <row r="170" ht="15.75" customHeight="1">
      <c r="A170" s="3">
        <f>IFERROR(__xludf.DUMMYFUNCTION("""COMPUTED_VALUE"""),10000.0)</f>
        <v>10000</v>
      </c>
      <c r="B170" s="1" t="str">
        <f>IFERROR(__xludf.DUMMYFUNCTION("""COMPUTED_VALUE"""),"27")</f>
        <v>27</v>
      </c>
    </row>
    <row r="171" ht="15.75" customHeight="1">
      <c r="A171" s="3">
        <f>IFERROR(__xludf.DUMMYFUNCTION("""COMPUTED_VALUE"""),50000.0)</f>
        <v>50000</v>
      </c>
      <c r="B171" s="1" t="str">
        <f>IFERROR(__xludf.DUMMYFUNCTION("""COMPUTED_VALUE"""),"37")</f>
        <v>37</v>
      </c>
    </row>
    <row r="172" ht="15.75" customHeight="1">
      <c r="A172" s="3">
        <f>IFERROR(__xludf.DUMMYFUNCTION("""COMPUTED_VALUE"""),80000.0)</f>
        <v>80000</v>
      </c>
      <c r="B172" s="1" t="str">
        <f>IFERROR(__xludf.DUMMYFUNCTION("""COMPUTED_VALUE"""),"52")</f>
        <v>52</v>
      </c>
    </row>
    <row r="173" ht="15.75" customHeight="1">
      <c r="A173" s="3">
        <f>IFERROR(__xludf.DUMMYFUNCTION("""COMPUTED_VALUE"""),20000.0)</f>
        <v>20000</v>
      </c>
      <c r="B173" s="1" t="str">
        <f>IFERROR(__xludf.DUMMYFUNCTION("""COMPUTED_VALUE"""),"29")</f>
        <v>29</v>
      </c>
    </row>
    <row r="174" ht="15.75" customHeight="1">
      <c r="A174" s="3">
        <f>IFERROR(__xludf.DUMMYFUNCTION("""COMPUTED_VALUE"""),110000.0)</f>
        <v>110000</v>
      </c>
      <c r="B174" s="1" t="str">
        <f>IFERROR(__xludf.DUMMYFUNCTION("""COMPUTED_VALUE"""),"48")</f>
        <v>48</v>
      </c>
    </row>
    <row r="175" ht="15.75" customHeight="1">
      <c r="A175" s="3">
        <f>IFERROR(__xludf.DUMMYFUNCTION("""COMPUTED_VALUE"""),160000.0)</f>
        <v>160000</v>
      </c>
      <c r="B175" s="1" t="str">
        <f>IFERROR(__xludf.DUMMYFUNCTION("""COMPUTED_VALUE"""),"55")</f>
        <v>55</v>
      </c>
    </row>
    <row r="176" ht="15.75" customHeight="1">
      <c r="A176" s="3">
        <f>IFERROR(__xludf.DUMMYFUNCTION("""COMPUTED_VALUE"""),10000.0)</f>
        <v>10000</v>
      </c>
      <c r="B176" s="1" t="str">
        <f>IFERROR(__xludf.DUMMYFUNCTION("""COMPUTED_VALUE"""),"37")</f>
        <v>37</v>
      </c>
    </row>
    <row r="177" ht="15.75" customHeight="1">
      <c r="A177" s="3">
        <f>IFERROR(__xludf.DUMMYFUNCTION("""COMPUTED_VALUE"""),10000.0)</f>
        <v>10000</v>
      </c>
      <c r="B177" s="1" t="str">
        <f>IFERROR(__xludf.DUMMYFUNCTION("""COMPUTED_VALUE"""),"44")</f>
        <v>44</v>
      </c>
    </row>
    <row r="178" ht="15.75" customHeight="1">
      <c r="A178" s="3">
        <f>IFERROR(__xludf.DUMMYFUNCTION("""COMPUTED_VALUE"""),30000.0)</f>
        <v>30000</v>
      </c>
      <c r="B178" s="1" t="str">
        <f>IFERROR(__xludf.DUMMYFUNCTION("""COMPUTED_VALUE"""),"55")</f>
        <v>55</v>
      </c>
    </row>
    <row r="179" ht="15.75" customHeight="1">
      <c r="A179" s="3">
        <f>IFERROR(__xludf.DUMMYFUNCTION("""COMPUTED_VALUE"""),10000.0)</f>
        <v>10000</v>
      </c>
      <c r="B179" s="1" t="str">
        <f>IFERROR(__xludf.DUMMYFUNCTION("""COMPUTED_VALUE"""),"38")</f>
        <v>38</v>
      </c>
    </row>
    <row r="180" ht="15.75" customHeight="1">
      <c r="A180" s="3">
        <f>IFERROR(__xludf.DUMMYFUNCTION("""COMPUTED_VALUE"""),40000.0)</f>
        <v>40000</v>
      </c>
      <c r="B180" s="1" t="str">
        <f>IFERROR(__xludf.DUMMYFUNCTION("""COMPUTED_VALUE"""),"66")</f>
        <v>66</v>
      </c>
    </row>
    <row r="181" ht="15.75" customHeight="1">
      <c r="A181" s="3">
        <f>IFERROR(__xludf.DUMMYFUNCTION("""COMPUTED_VALUE"""),130000.0)</f>
        <v>130000</v>
      </c>
      <c r="B181" s="1" t="str">
        <f>IFERROR(__xludf.DUMMYFUNCTION("""COMPUTED_VALUE"""),"58")</f>
        <v>58</v>
      </c>
    </row>
    <row r="182" ht="15.75" customHeight="1">
      <c r="A182" s="3">
        <f>IFERROR(__xludf.DUMMYFUNCTION("""COMPUTED_VALUE"""),90000.0)</f>
        <v>90000</v>
      </c>
      <c r="B182" s="1" t="str">
        <f>IFERROR(__xludf.DUMMYFUNCTION("""COMPUTED_VALUE"""),"47")</f>
        <v>47</v>
      </c>
    </row>
    <row r="183" ht="15.75" customHeight="1">
      <c r="A183" s="3">
        <f>IFERROR(__xludf.DUMMYFUNCTION("""COMPUTED_VALUE"""),30000.0)</f>
        <v>30000</v>
      </c>
      <c r="B183" s="1" t="str">
        <f>IFERROR(__xludf.DUMMYFUNCTION("""COMPUTED_VALUE"""),"56")</f>
        <v>56</v>
      </c>
    </row>
    <row r="184" ht="15.75" customHeight="1">
      <c r="A184" s="3">
        <f>IFERROR(__xludf.DUMMYFUNCTION("""COMPUTED_VALUE"""),80000.0)</f>
        <v>80000</v>
      </c>
      <c r="B184" s="1" t="str">
        <f>IFERROR(__xludf.DUMMYFUNCTION("""COMPUTED_VALUE"""),"59")</f>
        <v>59</v>
      </c>
    </row>
    <row r="185" ht="15.75" customHeight="1">
      <c r="A185" s="3">
        <f>IFERROR(__xludf.DUMMYFUNCTION("""COMPUTED_VALUE"""),70000.0)</f>
        <v>70000</v>
      </c>
      <c r="B185" s="1" t="str">
        <f>IFERROR(__xludf.DUMMYFUNCTION("""COMPUTED_VALUE"""),"32")</f>
        <v>32</v>
      </c>
    </row>
    <row r="186" ht="15.75" customHeight="1">
      <c r="A186" s="3">
        <f>IFERROR(__xludf.DUMMYFUNCTION("""COMPUTED_VALUE"""),30000.0)</f>
        <v>30000</v>
      </c>
      <c r="B186" s="1" t="str">
        <f>IFERROR(__xludf.DUMMYFUNCTION("""COMPUTED_VALUE"""),"44")</f>
        <v>44</v>
      </c>
    </row>
    <row r="187" ht="15.75" customHeight="1">
      <c r="A187" s="3">
        <f>IFERROR(__xludf.DUMMYFUNCTION("""COMPUTED_VALUE"""),30000.0)</f>
        <v>30000</v>
      </c>
      <c r="B187" s="1" t="str">
        <f>IFERROR(__xludf.DUMMYFUNCTION("""COMPUTED_VALUE"""),"55")</f>
        <v>55</v>
      </c>
    </row>
    <row r="188" ht="15.75" customHeight="1">
      <c r="A188" s="3">
        <f>IFERROR(__xludf.DUMMYFUNCTION("""COMPUTED_VALUE"""),80000.0)</f>
        <v>80000</v>
      </c>
      <c r="B188" s="1" t="str">
        <f>IFERROR(__xludf.DUMMYFUNCTION("""COMPUTED_VALUE"""),"62")</f>
        <v>62</v>
      </c>
    </row>
    <row r="189" ht="15.75" customHeight="1">
      <c r="A189" s="3">
        <f>IFERROR(__xludf.DUMMYFUNCTION("""COMPUTED_VALUE"""),70000.0)</f>
        <v>70000</v>
      </c>
      <c r="B189" s="1" t="str">
        <f>IFERROR(__xludf.DUMMYFUNCTION("""COMPUTED_VALUE"""),"41")</f>
        <v>41</v>
      </c>
    </row>
    <row r="190" ht="15.75" customHeight="1">
      <c r="A190" s="3">
        <f>IFERROR(__xludf.DUMMYFUNCTION("""COMPUTED_VALUE"""),10000.0)</f>
        <v>10000</v>
      </c>
      <c r="B190" s="1" t="str">
        <f>IFERROR(__xludf.DUMMYFUNCTION("""COMPUTED_VALUE"""),"32")</f>
        <v>32</v>
      </c>
    </row>
    <row r="191" ht="15.75" customHeight="1">
      <c r="A191" s="3">
        <f>IFERROR(__xludf.DUMMYFUNCTION("""COMPUTED_VALUE"""),20000.0)</f>
        <v>20000</v>
      </c>
      <c r="B191" s="1" t="str">
        <f>IFERROR(__xludf.DUMMYFUNCTION("""COMPUTED_VALUE"""),"25")</f>
        <v>25</v>
      </c>
    </row>
    <row r="192" ht="15.75" customHeight="1">
      <c r="A192" s="3">
        <f>IFERROR(__xludf.DUMMYFUNCTION("""COMPUTED_VALUE"""),60000.0)</f>
        <v>60000</v>
      </c>
      <c r="B192" s="1" t="str">
        <f>IFERROR(__xludf.DUMMYFUNCTION("""COMPUTED_VALUE"""),"67")</f>
        <v>67</v>
      </c>
    </row>
    <row r="193" ht="15.75" customHeight="1">
      <c r="A193" s="3">
        <f>IFERROR(__xludf.DUMMYFUNCTION("""COMPUTED_VALUE"""),100000.0)</f>
        <v>100000</v>
      </c>
      <c r="B193" s="1" t="str">
        <f>IFERROR(__xludf.DUMMYFUNCTION("""COMPUTED_VALUE"""),"39")</f>
        <v>39</v>
      </c>
    </row>
    <row r="194" ht="15.75" customHeight="1">
      <c r="A194" s="3">
        <f>IFERROR(__xludf.DUMMYFUNCTION("""COMPUTED_VALUE"""),80000.0)</f>
        <v>80000</v>
      </c>
      <c r="B194" s="1" t="str">
        <f>IFERROR(__xludf.DUMMYFUNCTION("""COMPUTED_VALUE"""),"33")</f>
        <v>33</v>
      </c>
    </row>
    <row r="195" ht="15.75" customHeight="1">
      <c r="A195" s="3">
        <f>IFERROR(__xludf.DUMMYFUNCTION("""COMPUTED_VALUE"""),60000.0)</f>
        <v>60000</v>
      </c>
      <c r="B195" s="1" t="str">
        <f>IFERROR(__xludf.DUMMYFUNCTION("""COMPUTED_VALUE"""),"31")</f>
        <v>31</v>
      </c>
    </row>
    <row r="196" ht="15.75" customHeight="1">
      <c r="A196" s="3">
        <f>IFERROR(__xludf.DUMMYFUNCTION("""COMPUTED_VALUE"""),10000.0)</f>
        <v>10000</v>
      </c>
      <c r="B196" s="1" t="str">
        <f>IFERROR(__xludf.DUMMYFUNCTION("""COMPUTED_VALUE"""),"27")</f>
        <v>27</v>
      </c>
    </row>
    <row r="197" ht="15.75" customHeight="1">
      <c r="A197" s="3">
        <f>IFERROR(__xludf.DUMMYFUNCTION("""COMPUTED_VALUE"""),60000.0)</f>
        <v>60000</v>
      </c>
      <c r="B197" s="1" t="str">
        <f>IFERROR(__xludf.DUMMYFUNCTION("""COMPUTED_VALUE"""),"46")</f>
        <v>46</v>
      </c>
    </row>
    <row r="198" ht="15.75" customHeight="1">
      <c r="A198" s="3">
        <f>IFERROR(__xludf.DUMMYFUNCTION("""COMPUTED_VALUE"""),90000.0)</f>
        <v>90000</v>
      </c>
      <c r="B198" s="1" t="str">
        <f>IFERROR(__xludf.DUMMYFUNCTION("""COMPUTED_VALUE"""),"51")</f>
        <v>51</v>
      </c>
    </row>
    <row r="199" ht="15.75" customHeight="1">
      <c r="A199" s="3">
        <f>IFERROR(__xludf.DUMMYFUNCTION("""COMPUTED_VALUE"""),30000.0)</f>
        <v>30000</v>
      </c>
      <c r="B199" s="1" t="str">
        <f>IFERROR(__xludf.DUMMYFUNCTION("""COMPUTED_VALUE"""),"46")</f>
        <v>46</v>
      </c>
    </row>
    <row r="200" ht="15.75" customHeight="1">
      <c r="A200" s="3">
        <f>IFERROR(__xludf.DUMMYFUNCTION("""COMPUTED_VALUE"""),90000.0)</f>
        <v>90000</v>
      </c>
      <c r="B200" s="1" t="str">
        <f>IFERROR(__xludf.DUMMYFUNCTION("""COMPUTED_VALUE"""),"62")</f>
        <v>62</v>
      </c>
    </row>
    <row r="201" ht="15.75" customHeight="1">
      <c r="A201" s="3">
        <f>IFERROR(__xludf.DUMMYFUNCTION("""COMPUTED_VALUE"""),20000.0)</f>
        <v>20000</v>
      </c>
      <c r="B201" s="1" t="str">
        <f>IFERROR(__xludf.DUMMYFUNCTION("""COMPUTED_VALUE"""),"26")</f>
        <v>26</v>
      </c>
    </row>
    <row r="202" ht="15.75" customHeight="1">
      <c r="A202" s="3">
        <f>IFERROR(__xludf.DUMMYFUNCTION("""COMPUTED_VALUE"""),40000.0)</f>
        <v>40000</v>
      </c>
      <c r="B202" s="1" t="str">
        <f>IFERROR(__xludf.DUMMYFUNCTION("""COMPUTED_VALUE"""),"37")</f>
        <v>37</v>
      </c>
    </row>
    <row r="203" ht="15.75" customHeight="1">
      <c r="A203" s="3">
        <f>IFERROR(__xludf.DUMMYFUNCTION("""COMPUTED_VALUE"""),30000.0)</f>
        <v>30000</v>
      </c>
      <c r="B203" s="1" t="str">
        <f>IFERROR(__xludf.DUMMYFUNCTION("""COMPUTED_VALUE"""),"42")</f>
        <v>42</v>
      </c>
    </row>
    <row r="204" ht="15.75" customHeight="1">
      <c r="A204" s="3">
        <f>IFERROR(__xludf.DUMMYFUNCTION("""COMPUTED_VALUE"""),80000.0)</f>
        <v>80000</v>
      </c>
      <c r="B204" s="1" t="str">
        <f>IFERROR(__xludf.DUMMYFUNCTION("""COMPUTED_VALUE"""),"36")</f>
        <v>36</v>
      </c>
    </row>
    <row r="205" ht="15.75" customHeight="1">
      <c r="A205" s="3">
        <f>IFERROR(__xludf.DUMMYFUNCTION("""COMPUTED_VALUE"""),50000.0)</f>
        <v>50000</v>
      </c>
      <c r="B205" s="1" t="str">
        <f>IFERROR(__xludf.DUMMYFUNCTION("""COMPUTED_VALUE"""),"36")</f>
        <v>36</v>
      </c>
    </row>
    <row r="206" ht="15.75" customHeight="1">
      <c r="A206" s="3">
        <f>IFERROR(__xludf.DUMMYFUNCTION("""COMPUTED_VALUE"""),30000.0)</f>
        <v>30000</v>
      </c>
      <c r="B206" s="1" t="str">
        <f>IFERROR(__xludf.DUMMYFUNCTION("""COMPUTED_VALUE"""),"30")</f>
        <v>30</v>
      </c>
    </row>
    <row r="207" ht="15.75" customHeight="1">
      <c r="A207" s="3">
        <f>IFERROR(__xludf.DUMMYFUNCTION("""COMPUTED_VALUE"""),70000.0)</f>
        <v>70000</v>
      </c>
      <c r="B207" s="1" t="str">
        <f>IFERROR(__xludf.DUMMYFUNCTION("""COMPUTED_VALUE"""),"31")</f>
        <v>31</v>
      </c>
    </row>
    <row r="208" ht="15.75" customHeight="1">
      <c r="A208" s="3">
        <f>IFERROR(__xludf.DUMMYFUNCTION("""COMPUTED_VALUE"""),30000.0)</f>
        <v>30000</v>
      </c>
      <c r="B208" s="1" t="str">
        <f>IFERROR(__xludf.DUMMYFUNCTION("""COMPUTED_VALUE"""),"65")</f>
        <v>65</v>
      </c>
    </row>
    <row r="209" ht="15.75" customHeight="1">
      <c r="A209" s="3">
        <f>IFERROR(__xludf.DUMMYFUNCTION("""COMPUTED_VALUE"""),80000.0)</f>
        <v>80000</v>
      </c>
      <c r="B209" s="1" t="str">
        <f>IFERROR(__xludf.DUMMYFUNCTION("""COMPUTED_VALUE"""),"54")</f>
        <v>54</v>
      </c>
    </row>
    <row r="210" ht="15.75" customHeight="1">
      <c r="A210" s="3">
        <f>IFERROR(__xludf.DUMMYFUNCTION("""COMPUTED_VALUE"""),20000.0)</f>
        <v>20000</v>
      </c>
      <c r="B210" s="1" t="str">
        <f>IFERROR(__xludf.DUMMYFUNCTION("""COMPUTED_VALUE"""),"54")</f>
        <v>54</v>
      </c>
    </row>
    <row r="211" ht="15.75" customHeight="1">
      <c r="A211" s="3">
        <f>IFERROR(__xludf.DUMMYFUNCTION("""COMPUTED_VALUE"""),20000.0)</f>
        <v>20000</v>
      </c>
      <c r="B211" s="1" t="str">
        <f>IFERROR(__xludf.DUMMYFUNCTION("""COMPUTED_VALUE"""),"25")</f>
        <v>25</v>
      </c>
    </row>
    <row r="212" ht="15.75" customHeight="1">
      <c r="A212" s="3">
        <f>IFERROR(__xludf.DUMMYFUNCTION("""COMPUTED_VALUE"""),10000.0)</f>
        <v>10000</v>
      </c>
      <c r="B212" s="1" t="str">
        <f>IFERROR(__xludf.DUMMYFUNCTION("""COMPUTED_VALUE"""),"48")</f>
        <v>48</v>
      </c>
    </row>
    <row r="213" ht="15.75" customHeight="1">
      <c r="A213" s="3">
        <f>IFERROR(__xludf.DUMMYFUNCTION("""COMPUTED_VALUE"""),10000.0)</f>
        <v>10000</v>
      </c>
      <c r="B213" s="1" t="str">
        <f>IFERROR(__xludf.DUMMYFUNCTION("""COMPUTED_VALUE"""),"26")</f>
        <v>26</v>
      </c>
    </row>
    <row r="214" ht="15.75" customHeight="1">
      <c r="A214" s="3">
        <f>IFERROR(__xludf.DUMMYFUNCTION("""COMPUTED_VALUE"""),60000.0)</f>
        <v>60000</v>
      </c>
      <c r="B214" s="1" t="str">
        <f>IFERROR(__xludf.DUMMYFUNCTION("""COMPUTED_VALUE"""),"43")</f>
        <v>43</v>
      </c>
    </row>
    <row r="215" ht="15.75" customHeight="1">
      <c r="A215" s="3">
        <f>IFERROR(__xludf.DUMMYFUNCTION("""COMPUTED_VALUE"""),10000.0)</f>
        <v>10000</v>
      </c>
      <c r="B215" s="1" t="str">
        <f>IFERROR(__xludf.DUMMYFUNCTION("""COMPUTED_VALUE"""),"35")</f>
        <v>35</v>
      </c>
    </row>
    <row r="216" ht="15.75" customHeight="1">
      <c r="A216" s="3">
        <f>IFERROR(__xludf.DUMMYFUNCTION("""COMPUTED_VALUE"""),30000.0)</f>
        <v>30000</v>
      </c>
      <c r="B216" s="1" t="str">
        <f>IFERROR(__xludf.DUMMYFUNCTION("""COMPUTED_VALUE"""),"42")</f>
        <v>42</v>
      </c>
    </row>
    <row r="217" ht="15.75" customHeight="1">
      <c r="A217" s="3">
        <f>IFERROR(__xludf.DUMMYFUNCTION("""COMPUTED_VALUE"""),70000.0)</f>
        <v>70000</v>
      </c>
      <c r="B217" s="1" t="str">
        <f>IFERROR(__xludf.DUMMYFUNCTION("""COMPUTED_VALUE"""),"39")</f>
        <v>39</v>
      </c>
    </row>
    <row r="218" ht="15.75" customHeight="1">
      <c r="A218" s="3">
        <f>IFERROR(__xludf.DUMMYFUNCTION("""COMPUTED_VALUE"""),30000.0)</f>
        <v>30000</v>
      </c>
      <c r="B218" s="1" t="str">
        <f>IFERROR(__xludf.DUMMYFUNCTION("""COMPUTED_VALUE"""),"67")</f>
        <v>67</v>
      </c>
    </row>
    <row r="219" ht="15.75" customHeight="1">
      <c r="A219" s="3">
        <f>IFERROR(__xludf.DUMMYFUNCTION("""COMPUTED_VALUE"""),20000.0)</f>
        <v>20000</v>
      </c>
      <c r="B219" s="1" t="str">
        <f>IFERROR(__xludf.DUMMYFUNCTION("""COMPUTED_VALUE"""),"42")</f>
        <v>42</v>
      </c>
    </row>
    <row r="220" ht="15.75" customHeight="1">
      <c r="A220" s="3">
        <f>IFERROR(__xludf.DUMMYFUNCTION("""COMPUTED_VALUE"""),10000.0)</f>
        <v>10000</v>
      </c>
      <c r="B220" s="1" t="str">
        <f>IFERROR(__xludf.DUMMYFUNCTION("""COMPUTED_VALUE"""),"43")</f>
        <v>43</v>
      </c>
    </row>
    <row r="221" ht="15.75" customHeight="1">
      <c r="A221" s="3">
        <f>IFERROR(__xludf.DUMMYFUNCTION("""COMPUTED_VALUE"""),20000.0)</f>
        <v>20000</v>
      </c>
      <c r="B221" s="1" t="str">
        <f>IFERROR(__xludf.DUMMYFUNCTION("""COMPUTED_VALUE"""),"45")</f>
        <v>45</v>
      </c>
    </row>
    <row r="222" ht="15.75" customHeight="1">
      <c r="A222" s="3">
        <f>IFERROR(__xludf.DUMMYFUNCTION("""COMPUTED_VALUE"""),80000.0)</f>
        <v>80000</v>
      </c>
      <c r="B222" s="1" t="str">
        <f>IFERROR(__xludf.DUMMYFUNCTION("""COMPUTED_VALUE"""),"57")</f>
        <v>57</v>
      </c>
    </row>
    <row r="223" ht="15.75" customHeight="1">
      <c r="A223" s="3">
        <f>IFERROR(__xludf.DUMMYFUNCTION("""COMPUTED_VALUE"""),120000.0)</f>
        <v>120000</v>
      </c>
      <c r="B223" s="1" t="str">
        <f>IFERROR(__xludf.DUMMYFUNCTION("""COMPUTED_VALUE"""),"56")</f>
        <v>56</v>
      </c>
    </row>
    <row r="224" ht="15.75" customHeight="1">
      <c r="A224" s="3">
        <f>IFERROR(__xludf.DUMMYFUNCTION("""COMPUTED_VALUE"""),40000.0)</f>
        <v>40000</v>
      </c>
      <c r="B224" s="1" t="str">
        <f>IFERROR(__xludf.DUMMYFUNCTION("""COMPUTED_VALUE"""),"38")</f>
        <v>38</v>
      </c>
    </row>
    <row r="225" ht="15.75" customHeight="1">
      <c r="A225" s="3">
        <f>IFERROR(__xludf.DUMMYFUNCTION("""COMPUTED_VALUE"""),30000.0)</f>
        <v>30000</v>
      </c>
      <c r="B225" s="1" t="str">
        <f>IFERROR(__xludf.DUMMYFUNCTION("""COMPUTED_VALUE"""),"45")</f>
        <v>45</v>
      </c>
    </row>
    <row r="226" ht="15.75" customHeight="1">
      <c r="A226" s="3">
        <f>IFERROR(__xludf.DUMMYFUNCTION("""COMPUTED_VALUE"""),20000.0)</f>
        <v>20000</v>
      </c>
      <c r="B226" s="1" t="str">
        <f>IFERROR(__xludf.DUMMYFUNCTION("""COMPUTED_VALUE"""),"27")</f>
        <v>27</v>
      </c>
    </row>
    <row r="227" ht="15.75" customHeight="1">
      <c r="A227" s="3">
        <f>IFERROR(__xludf.DUMMYFUNCTION("""COMPUTED_VALUE"""),90000.0)</f>
        <v>90000</v>
      </c>
      <c r="B227" s="1" t="str">
        <f>IFERROR(__xludf.DUMMYFUNCTION("""COMPUTED_VALUE"""),"35")</f>
        <v>35</v>
      </c>
    </row>
    <row r="228" ht="15.75" customHeight="1">
      <c r="A228" s="3">
        <f>IFERROR(__xludf.DUMMYFUNCTION("""COMPUTED_VALUE"""),10000.0)</f>
        <v>10000</v>
      </c>
      <c r="B228" s="1" t="str">
        <f>IFERROR(__xludf.DUMMYFUNCTION("""COMPUTED_VALUE"""),"70")</f>
        <v>70</v>
      </c>
    </row>
    <row r="229" ht="15.75" customHeight="1">
      <c r="A229" s="3">
        <f>IFERROR(__xludf.DUMMYFUNCTION("""COMPUTED_VALUE"""),30000.0)</f>
        <v>30000</v>
      </c>
      <c r="B229" s="1" t="str">
        <f>IFERROR(__xludf.DUMMYFUNCTION("""COMPUTED_VALUE"""),"44")</f>
        <v>44</v>
      </c>
    </row>
    <row r="230" ht="15.75" customHeight="1">
      <c r="A230" s="3">
        <f>IFERROR(__xludf.DUMMYFUNCTION("""COMPUTED_VALUE"""),10000.0)</f>
        <v>10000</v>
      </c>
      <c r="B230" s="1" t="str">
        <f>IFERROR(__xludf.DUMMYFUNCTION("""COMPUTED_VALUE"""),"26")</f>
        <v>26</v>
      </c>
    </row>
    <row r="231" ht="15.75" customHeight="1">
      <c r="A231" s="3">
        <f>IFERROR(__xludf.DUMMYFUNCTION("""COMPUTED_VALUE"""),70000.0)</f>
        <v>70000</v>
      </c>
      <c r="B231" s="1" t="str">
        <f>IFERROR(__xludf.DUMMYFUNCTION("""COMPUTED_VALUE"""),"46")</f>
        <v>46</v>
      </c>
    </row>
    <row r="232" ht="15.75" customHeight="1">
      <c r="A232" s="3">
        <f>IFERROR(__xludf.DUMMYFUNCTION("""COMPUTED_VALUE"""),30000.0)</f>
        <v>30000</v>
      </c>
      <c r="B232" s="1" t="str">
        <f>IFERROR(__xludf.DUMMYFUNCTION("""COMPUTED_VALUE"""),"34")</f>
        <v>34</v>
      </c>
    </row>
    <row r="233" ht="15.75" customHeight="1">
      <c r="A233" s="3">
        <f>IFERROR(__xludf.DUMMYFUNCTION("""COMPUTED_VALUE"""),10000.0)</f>
        <v>10000</v>
      </c>
      <c r="B233" s="1" t="str">
        <f>IFERROR(__xludf.DUMMYFUNCTION("""COMPUTED_VALUE"""),"37")</f>
        <v>37</v>
      </c>
    </row>
    <row r="234" ht="15.75" customHeight="1">
      <c r="A234" s="3">
        <f>IFERROR(__xludf.DUMMYFUNCTION("""COMPUTED_VALUE"""),30000.0)</f>
        <v>30000</v>
      </c>
      <c r="B234" s="1" t="str">
        <f>IFERROR(__xludf.DUMMYFUNCTION("""COMPUTED_VALUE"""),"27")</f>
        <v>27</v>
      </c>
    </row>
    <row r="235" ht="15.75" customHeight="1">
      <c r="A235" s="3">
        <f>IFERROR(__xludf.DUMMYFUNCTION("""COMPUTED_VALUE"""),30000.0)</f>
        <v>30000</v>
      </c>
      <c r="B235" s="1" t="str">
        <f>IFERROR(__xludf.DUMMYFUNCTION("""COMPUTED_VALUE"""),"39")</f>
        <v>39</v>
      </c>
    </row>
    <row r="236" ht="15.75" customHeight="1">
      <c r="A236" s="3">
        <f>IFERROR(__xludf.DUMMYFUNCTION("""COMPUTED_VALUE"""),20000.0)</f>
        <v>20000</v>
      </c>
      <c r="B236" s="1" t="str">
        <f>IFERROR(__xludf.DUMMYFUNCTION("""COMPUTED_VALUE"""),"29")</f>
        <v>29</v>
      </c>
    </row>
    <row r="237" ht="15.75" customHeight="1">
      <c r="A237" s="3">
        <f>IFERROR(__xludf.DUMMYFUNCTION("""COMPUTED_VALUE"""),120000.0)</f>
        <v>120000</v>
      </c>
      <c r="B237" s="1" t="str">
        <f>IFERROR(__xludf.DUMMYFUNCTION("""COMPUTED_VALUE"""),"52")</f>
        <v>52</v>
      </c>
    </row>
    <row r="238" ht="15.75" customHeight="1">
      <c r="A238" s="3">
        <f>IFERROR(__xludf.DUMMYFUNCTION("""COMPUTED_VALUE"""),110000.0)</f>
        <v>110000</v>
      </c>
      <c r="B238" s="1" t="str">
        <f>IFERROR(__xludf.DUMMYFUNCTION("""COMPUTED_VALUE"""),"48")</f>
        <v>48</v>
      </c>
    </row>
    <row r="239" ht="15.75" customHeight="1">
      <c r="A239" s="3">
        <f>IFERROR(__xludf.DUMMYFUNCTION("""COMPUTED_VALUE"""),130000.0)</f>
        <v>130000</v>
      </c>
      <c r="B239" s="1" t="str">
        <f>IFERROR(__xludf.DUMMYFUNCTION("""COMPUTED_VALUE"""),"51")</f>
        <v>51</v>
      </c>
    </row>
    <row r="240" ht="15.75" customHeight="1">
      <c r="A240" s="3">
        <f>IFERROR(__xludf.DUMMYFUNCTION("""COMPUTED_VALUE"""),100000.0)</f>
        <v>100000</v>
      </c>
      <c r="B240" s="1" t="str">
        <f>IFERROR(__xludf.DUMMYFUNCTION("""COMPUTED_VALUE"""),"34")</f>
        <v>34</v>
      </c>
    </row>
    <row r="241" ht="15.75" customHeight="1">
      <c r="A241" s="3">
        <f>IFERROR(__xludf.DUMMYFUNCTION("""COMPUTED_VALUE"""),10000.0)</f>
        <v>10000</v>
      </c>
      <c r="B241" s="1" t="str">
        <f>IFERROR(__xludf.DUMMYFUNCTION("""COMPUTED_VALUE"""),"62")</f>
        <v>62</v>
      </c>
    </row>
    <row r="242" ht="15.75" customHeight="1">
      <c r="A242" s="3">
        <f>IFERROR(__xludf.DUMMYFUNCTION("""COMPUTED_VALUE"""),70000.0)</f>
        <v>70000</v>
      </c>
      <c r="B242" s="1" t="str">
        <f>IFERROR(__xludf.DUMMYFUNCTION("""COMPUTED_VALUE"""),"37")</f>
        <v>37</v>
      </c>
    </row>
    <row r="243" ht="15.75" customHeight="1">
      <c r="A243" s="3">
        <f>IFERROR(__xludf.DUMMYFUNCTION("""COMPUTED_VALUE"""),100000.0)</f>
        <v>100000</v>
      </c>
      <c r="B243" s="1" t="str">
        <f>IFERROR(__xludf.DUMMYFUNCTION("""COMPUTED_VALUE"""),"78")</f>
        <v>78</v>
      </c>
    </row>
    <row r="244" ht="15.75" customHeight="1">
      <c r="A244" s="3">
        <f>IFERROR(__xludf.DUMMYFUNCTION("""COMPUTED_VALUE"""),130000.0)</f>
        <v>130000</v>
      </c>
      <c r="B244" s="1" t="str">
        <f>IFERROR(__xludf.DUMMYFUNCTION("""COMPUTED_VALUE"""),"55")</f>
        <v>55</v>
      </c>
    </row>
    <row r="245" ht="15.75" customHeight="1">
      <c r="A245" s="3">
        <f>IFERROR(__xludf.DUMMYFUNCTION("""COMPUTED_VALUE"""),60000.0)</f>
        <v>60000</v>
      </c>
      <c r="B245" s="1" t="str">
        <f>IFERROR(__xludf.DUMMYFUNCTION("""COMPUTED_VALUE"""),"31")</f>
        <v>31</v>
      </c>
    </row>
    <row r="246" ht="15.75" customHeight="1">
      <c r="A246" s="3">
        <f>IFERROR(__xludf.DUMMYFUNCTION("""COMPUTED_VALUE"""),100000.0)</f>
        <v>100000</v>
      </c>
      <c r="B246" s="1" t="str">
        <f>IFERROR(__xludf.DUMMYFUNCTION("""COMPUTED_VALUE"""),"59")</f>
        <v>59</v>
      </c>
    </row>
    <row r="247" ht="15.75" customHeight="1">
      <c r="A247" s="3">
        <f>IFERROR(__xludf.DUMMYFUNCTION("""COMPUTED_VALUE"""),20000.0)</f>
        <v>20000</v>
      </c>
      <c r="B247" s="1" t="str">
        <f>IFERROR(__xludf.DUMMYFUNCTION("""COMPUTED_VALUE"""),"57")</f>
        <v>57</v>
      </c>
    </row>
    <row r="248" ht="15.75" customHeight="1">
      <c r="A248" s="3">
        <f>IFERROR(__xludf.DUMMYFUNCTION("""COMPUTED_VALUE"""),30000.0)</f>
        <v>30000</v>
      </c>
      <c r="B248" s="1" t="str">
        <f>IFERROR(__xludf.DUMMYFUNCTION("""COMPUTED_VALUE"""),"47")</f>
        <v>47</v>
      </c>
    </row>
    <row r="249" ht="15.75" customHeight="1">
      <c r="A249" s="3">
        <f>IFERROR(__xludf.DUMMYFUNCTION("""COMPUTED_VALUE"""),20000.0)</f>
        <v>20000</v>
      </c>
      <c r="B249" s="1" t="str">
        <f>IFERROR(__xludf.DUMMYFUNCTION("""COMPUTED_VALUE"""),"43")</f>
        <v>43</v>
      </c>
    </row>
    <row r="250" ht="15.75" customHeight="1">
      <c r="A250" s="3">
        <f>IFERROR(__xludf.DUMMYFUNCTION("""COMPUTED_VALUE"""),50000.0)</f>
        <v>50000</v>
      </c>
      <c r="B250" s="1" t="str">
        <f>IFERROR(__xludf.DUMMYFUNCTION("""COMPUTED_VALUE"""),"36")</f>
        <v>36</v>
      </c>
    </row>
    <row r="251" ht="15.75" customHeight="1">
      <c r="A251" s="3">
        <f>IFERROR(__xludf.DUMMYFUNCTION("""COMPUTED_VALUE"""),100000.0)</f>
        <v>100000</v>
      </c>
      <c r="B251" s="1" t="str">
        <f>IFERROR(__xludf.DUMMYFUNCTION("""COMPUTED_VALUE"""),"56")</f>
        <v>56</v>
      </c>
    </row>
    <row r="252" ht="15.75" customHeight="1">
      <c r="A252" s="3">
        <f>IFERROR(__xludf.DUMMYFUNCTION("""COMPUTED_VALUE"""),150000.0)</f>
        <v>150000</v>
      </c>
      <c r="B252" s="1" t="str">
        <f>IFERROR(__xludf.DUMMYFUNCTION("""COMPUTED_VALUE"""),"37")</f>
        <v>37</v>
      </c>
    </row>
    <row r="253" ht="15.75" customHeight="1">
      <c r="A253" s="3">
        <f>IFERROR(__xludf.DUMMYFUNCTION("""COMPUTED_VALUE"""),30000.0)</f>
        <v>30000</v>
      </c>
      <c r="B253" s="1" t="str">
        <f>IFERROR(__xludf.DUMMYFUNCTION("""COMPUTED_VALUE"""),"43")</f>
        <v>43</v>
      </c>
    </row>
    <row r="254" ht="15.75" customHeight="1">
      <c r="A254" s="3">
        <f>IFERROR(__xludf.DUMMYFUNCTION("""COMPUTED_VALUE"""),40000.0)</f>
        <v>40000</v>
      </c>
      <c r="B254" s="1" t="str">
        <f>IFERROR(__xludf.DUMMYFUNCTION("""COMPUTED_VALUE"""),"33")</f>
        <v>33</v>
      </c>
    </row>
    <row r="255" ht="15.75" customHeight="1">
      <c r="A255" s="3">
        <f>IFERROR(__xludf.DUMMYFUNCTION("""COMPUTED_VALUE"""),10000.0)</f>
        <v>10000</v>
      </c>
      <c r="B255" s="1" t="str">
        <f>IFERROR(__xludf.DUMMYFUNCTION("""COMPUTED_VALUE"""),"51")</f>
        <v>51</v>
      </c>
    </row>
    <row r="256" ht="15.75" customHeight="1">
      <c r="A256" s="3">
        <f>IFERROR(__xludf.DUMMYFUNCTION("""COMPUTED_VALUE"""),70000.0)</f>
        <v>70000</v>
      </c>
      <c r="B256" s="1" t="str">
        <f>IFERROR(__xludf.DUMMYFUNCTION("""COMPUTED_VALUE"""),"39")</f>
        <v>39</v>
      </c>
    </row>
    <row r="257" ht="15.75" customHeight="1">
      <c r="A257" s="3">
        <f>IFERROR(__xludf.DUMMYFUNCTION("""COMPUTED_VALUE"""),40000.0)</f>
        <v>40000</v>
      </c>
      <c r="B257" s="1" t="str">
        <f>IFERROR(__xludf.DUMMYFUNCTION("""COMPUTED_VALUE"""),"37")</f>
        <v>37</v>
      </c>
    </row>
    <row r="258" ht="15.75" customHeight="1">
      <c r="A258" s="3">
        <f>IFERROR(__xludf.DUMMYFUNCTION("""COMPUTED_VALUE"""),30000.0)</f>
        <v>30000</v>
      </c>
      <c r="B258" s="1" t="str">
        <f>IFERROR(__xludf.DUMMYFUNCTION("""COMPUTED_VALUE"""),"42")</f>
        <v>42</v>
      </c>
    </row>
    <row r="259" ht="15.75" customHeight="1">
      <c r="A259" s="3">
        <f>IFERROR(__xludf.DUMMYFUNCTION("""COMPUTED_VALUE"""),20000.0)</f>
        <v>20000</v>
      </c>
      <c r="B259" s="1" t="str">
        <f>IFERROR(__xludf.DUMMYFUNCTION("""COMPUTED_VALUE"""),"27")</f>
        <v>27</v>
      </c>
    </row>
    <row r="260" ht="15.75" customHeight="1">
      <c r="A260" s="3">
        <f>IFERROR(__xludf.DUMMYFUNCTION("""COMPUTED_VALUE"""),100000.0)</f>
        <v>100000</v>
      </c>
      <c r="B260" s="1" t="str">
        <f>IFERROR(__xludf.DUMMYFUNCTION("""COMPUTED_VALUE"""),"47")</f>
        <v>47</v>
      </c>
    </row>
    <row r="261" ht="15.75" customHeight="1">
      <c r="A261" s="3">
        <f>IFERROR(__xludf.DUMMYFUNCTION("""COMPUTED_VALUE"""),70000.0)</f>
        <v>70000</v>
      </c>
      <c r="B261" s="1" t="str">
        <f>IFERROR(__xludf.DUMMYFUNCTION("""COMPUTED_VALUE"""),"45")</f>
        <v>45</v>
      </c>
    </row>
    <row r="262" ht="15.75" customHeight="1">
      <c r="A262" s="3">
        <f>IFERROR(__xludf.DUMMYFUNCTION("""COMPUTED_VALUE"""),50000.0)</f>
        <v>50000</v>
      </c>
      <c r="B262" s="1" t="str">
        <f>IFERROR(__xludf.DUMMYFUNCTION("""COMPUTED_VALUE"""),"37")</f>
        <v>37</v>
      </c>
    </row>
    <row r="263" ht="15.75" customHeight="1">
      <c r="A263" s="3">
        <f>IFERROR(__xludf.DUMMYFUNCTION("""COMPUTED_VALUE"""),10000.0)</f>
        <v>10000</v>
      </c>
      <c r="B263" s="1" t="str">
        <f>IFERROR(__xludf.DUMMYFUNCTION("""COMPUTED_VALUE"""),"51")</f>
        <v>51</v>
      </c>
    </row>
    <row r="264" ht="15.75" customHeight="1">
      <c r="A264" s="3">
        <f>IFERROR(__xludf.DUMMYFUNCTION("""COMPUTED_VALUE"""),20000.0)</f>
        <v>20000</v>
      </c>
      <c r="B264" s="1" t="str">
        <f>IFERROR(__xludf.DUMMYFUNCTION("""COMPUTED_VALUE"""),"28")</f>
        <v>28</v>
      </c>
    </row>
    <row r="265" ht="15.75" customHeight="1">
      <c r="A265" s="3">
        <f>IFERROR(__xludf.DUMMYFUNCTION("""COMPUTED_VALUE"""),10000.0)</f>
        <v>10000</v>
      </c>
      <c r="B265" s="1" t="str">
        <f>IFERROR(__xludf.DUMMYFUNCTION("""COMPUTED_VALUE"""),"40")</f>
        <v>40</v>
      </c>
    </row>
    <row r="266" ht="15.75" customHeight="1">
      <c r="A266" s="3">
        <f>IFERROR(__xludf.DUMMYFUNCTION("""COMPUTED_VALUE"""),20000.0)</f>
        <v>20000</v>
      </c>
      <c r="B266" s="1" t="str">
        <f>IFERROR(__xludf.DUMMYFUNCTION("""COMPUTED_VALUE"""),"30")</f>
        <v>30</v>
      </c>
    </row>
    <row r="267" ht="15.75" customHeight="1">
      <c r="A267" s="3">
        <f>IFERROR(__xludf.DUMMYFUNCTION("""COMPUTED_VALUE"""),30000.0)</f>
        <v>30000</v>
      </c>
      <c r="B267" s="1" t="str">
        <f>IFERROR(__xludf.DUMMYFUNCTION("""COMPUTED_VALUE"""),"36")</f>
        <v>36</v>
      </c>
    </row>
    <row r="268" ht="15.75" customHeight="1">
      <c r="A268" s="3">
        <f>IFERROR(__xludf.DUMMYFUNCTION("""COMPUTED_VALUE"""),90000.0)</f>
        <v>90000</v>
      </c>
      <c r="B268" s="1" t="str">
        <f>IFERROR(__xludf.DUMMYFUNCTION("""COMPUTED_VALUE"""),"37")</f>
        <v>37</v>
      </c>
    </row>
    <row r="269" ht="15.75" customHeight="1">
      <c r="A269" s="3">
        <f>IFERROR(__xludf.DUMMYFUNCTION("""COMPUTED_VALUE"""),10000.0)</f>
        <v>10000</v>
      </c>
      <c r="B269" s="1" t="str">
        <f>IFERROR(__xludf.DUMMYFUNCTION("""COMPUTED_VALUE"""),"49")</f>
        <v>49</v>
      </c>
    </row>
    <row r="270" ht="15.75" customHeight="1">
      <c r="A270" s="3">
        <f>IFERROR(__xludf.DUMMYFUNCTION("""COMPUTED_VALUE"""),10000.0)</f>
        <v>10000</v>
      </c>
      <c r="B270" s="1" t="str">
        <f>IFERROR(__xludf.DUMMYFUNCTION("""COMPUTED_VALUE"""),"37")</f>
        <v>37</v>
      </c>
    </row>
    <row r="271" ht="15.75" customHeight="1">
      <c r="A271" s="3">
        <f>IFERROR(__xludf.DUMMYFUNCTION("""COMPUTED_VALUE"""),100000.0)</f>
        <v>100000</v>
      </c>
      <c r="B271" s="1" t="str">
        <f>IFERROR(__xludf.DUMMYFUNCTION("""COMPUTED_VALUE"""),"35")</f>
        <v>35</v>
      </c>
    </row>
    <row r="272" ht="15.75" customHeight="1">
      <c r="A272" s="3">
        <f>IFERROR(__xludf.DUMMYFUNCTION("""COMPUTED_VALUE"""),30000.0)</f>
        <v>30000</v>
      </c>
      <c r="B272" s="1" t="str">
        <f>IFERROR(__xludf.DUMMYFUNCTION("""COMPUTED_VALUE"""),"38")</f>
        <v>38</v>
      </c>
    </row>
    <row r="273" ht="15.75" customHeight="1">
      <c r="A273" s="3">
        <f>IFERROR(__xludf.DUMMYFUNCTION("""COMPUTED_VALUE"""),10000.0)</f>
        <v>10000</v>
      </c>
      <c r="B273" s="1" t="str">
        <f>IFERROR(__xludf.DUMMYFUNCTION("""COMPUTED_VALUE"""),"43")</f>
        <v>43</v>
      </c>
    </row>
    <row r="274" ht="15.75" customHeight="1">
      <c r="A274" s="3">
        <f>IFERROR(__xludf.DUMMYFUNCTION("""COMPUTED_VALUE"""),20000.0)</f>
        <v>20000</v>
      </c>
      <c r="B274" s="1" t="str">
        <f>IFERROR(__xludf.DUMMYFUNCTION("""COMPUTED_VALUE"""),"37")</f>
        <v>37</v>
      </c>
    </row>
    <row r="275" ht="15.75" customHeight="1">
      <c r="A275" s="3">
        <f>IFERROR(__xludf.DUMMYFUNCTION("""COMPUTED_VALUE"""),10000.0)</f>
        <v>10000</v>
      </c>
      <c r="B275" s="1" t="str">
        <f>IFERROR(__xludf.DUMMYFUNCTION("""COMPUTED_VALUE"""),"34")</f>
        <v>34</v>
      </c>
    </row>
    <row r="276" ht="15.75" customHeight="1">
      <c r="A276" s="3">
        <f>IFERROR(__xludf.DUMMYFUNCTION("""COMPUTED_VALUE"""),70000.0)</f>
        <v>70000</v>
      </c>
      <c r="B276" s="1" t="str">
        <f>IFERROR(__xludf.DUMMYFUNCTION("""COMPUTED_VALUE"""),"46")</f>
        <v>46</v>
      </c>
    </row>
    <row r="277" ht="15.75" customHeight="1">
      <c r="A277" s="3">
        <f>IFERROR(__xludf.DUMMYFUNCTION("""COMPUTED_VALUE"""),10000.0)</f>
        <v>10000</v>
      </c>
      <c r="B277" s="1" t="str">
        <f>IFERROR(__xludf.DUMMYFUNCTION("""COMPUTED_VALUE"""),"49")</f>
        <v>49</v>
      </c>
    </row>
    <row r="278" ht="15.75" customHeight="1">
      <c r="A278" s="3">
        <f>IFERROR(__xludf.DUMMYFUNCTION("""COMPUTED_VALUE"""),60000.0)</f>
        <v>60000</v>
      </c>
      <c r="B278" s="1" t="str">
        <f>IFERROR(__xludf.DUMMYFUNCTION("""COMPUTED_VALUE"""),"45")</f>
        <v>45</v>
      </c>
    </row>
    <row r="279" ht="15.75" customHeight="1">
      <c r="A279" s="3">
        <f>IFERROR(__xludf.DUMMYFUNCTION("""COMPUTED_VALUE"""),100000.0)</f>
        <v>100000</v>
      </c>
      <c r="B279" s="1" t="str">
        <f>IFERROR(__xludf.DUMMYFUNCTION("""COMPUTED_VALUE"""),"48")</f>
        <v>48</v>
      </c>
    </row>
    <row r="280" ht="15.75" customHeight="1">
      <c r="A280" s="3">
        <f>IFERROR(__xludf.DUMMYFUNCTION("""COMPUTED_VALUE"""),30000.0)</f>
        <v>30000</v>
      </c>
      <c r="B280" s="1" t="str">
        <f>IFERROR(__xludf.DUMMYFUNCTION("""COMPUTED_VALUE"""),"46")</f>
        <v>46</v>
      </c>
    </row>
    <row r="281" ht="15.75" customHeight="1">
      <c r="A281" s="3">
        <f>IFERROR(__xludf.DUMMYFUNCTION("""COMPUTED_VALUE"""),130000.0)</f>
        <v>130000</v>
      </c>
      <c r="B281" s="1" t="str">
        <f>IFERROR(__xludf.DUMMYFUNCTION("""COMPUTED_VALUE"""),"48")</f>
        <v>48</v>
      </c>
    </row>
    <row r="282" ht="15.75" customHeight="1">
      <c r="A282" s="3">
        <f>IFERROR(__xludf.DUMMYFUNCTION("""COMPUTED_VALUE"""),30000.0)</f>
        <v>30000</v>
      </c>
      <c r="B282" s="1" t="str">
        <f>IFERROR(__xludf.DUMMYFUNCTION("""COMPUTED_VALUE"""),"54")</f>
        <v>54</v>
      </c>
    </row>
    <row r="283" ht="15.75" customHeight="1">
      <c r="A283" s="3">
        <f>IFERROR(__xludf.DUMMYFUNCTION("""COMPUTED_VALUE"""),60000.0)</f>
        <v>60000</v>
      </c>
      <c r="B283" s="1" t="str">
        <f>IFERROR(__xludf.DUMMYFUNCTION("""COMPUTED_VALUE"""),"46")</f>
        <v>46</v>
      </c>
    </row>
    <row r="284" ht="15.75" customHeight="1">
      <c r="A284" s="3">
        <f>IFERROR(__xludf.DUMMYFUNCTION("""COMPUTED_VALUE"""),40000.0)</f>
        <v>40000</v>
      </c>
      <c r="B284" s="1" t="str">
        <f>IFERROR(__xludf.DUMMYFUNCTION("""COMPUTED_VALUE"""),"38")</f>
        <v>38</v>
      </c>
    </row>
    <row r="285" ht="15.75" customHeight="1">
      <c r="A285" s="3">
        <f>IFERROR(__xludf.DUMMYFUNCTION("""COMPUTED_VALUE"""),40000.0)</f>
        <v>40000</v>
      </c>
      <c r="B285" s="1" t="str">
        <f>IFERROR(__xludf.DUMMYFUNCTION("""COMPUTED_VALUE"""),"42")</f>
        <v>42</v>
      </c>
    </row>
    <row r="286" ht="15.75" customHeight="1">
      <c r="A286" s="3">
        <f>IFERROR(__xludf.DUMMYFUNCTION("""COMPUTED_VALUE"""),10000.0)</f>
        <v>10000</v>
      </c>
      <c r="B286" s="1" t="str">
        <f>IFERROR(__xludf.DUMMYFUNCTION("""COMPUTED_VALUE"""),"46")</f>
        <v>46</v>
      </c>
    </row>
    <row r="287" ht="15.75" customHeight="1">
      <c r="A287" s="3">
        <f>IFERROR(__xludf.DUMMYFUNCTION("""COMPUTED_VALUE"""),20000.0)</f>
        <v>20000</v>
      </c>
      <c r="B287" s="1" t="str">
        <f>IFERROR(__xludf.DUMMYFUNCTION("""COMPUTED_VALUE"""),"36")</f>
        <v>36</v>
      </c>
    </row>
    <row r="288" ht="15.75" customHeight="1">
      <c r="A288" s="3">
        <f>IFERROR(__xludf.DUMMYFUNCTION("""COMPUTED_VALUE"""),110000.0)</f>
        <v>110000</v>
      </c>
      <c r="B288" s="1" t="str">
        <f>IFERROR(__xludf.DUMMYFUNCTION("""COMPUTED_VALUE"""),"32")</f>
        <v>32</v>
      </c>
    </row>
    <row r="289" ht="15.75" customHeight="1">
      <c r="A289" s="3">
        <f>IFERROR(__xludf.DUMMYFUNCTION("""COMPUTED_VALUE"""),60000.0)</f>
        <v>60000</v>
      </c>
      <c r="B289" s="1" t="str">
        <f>IFERROR(__xludf.DUMMYFUNCTION("""COMPUTED_VALUE"""),"39")</f>
        <v>39</v>
      </c>
    </row>
    <row r="290" ht="15.75" customHeight="1">
      <c r="A290" s="3">
        <f>IFERROR(__xludf.DUMMYFUNCTION("""COMPUTED_VALUE"""),100000.0)</f>
        <v>100000</v>
      </c>
      <c r="B290" s="1" t="str">
        <f>IFERROR(__xludf.DUMMYFUNCTION("""COMPUTED_VALUE"""),"36")</f>
        <v>36</v>
      </c>
    </row>
    <row r="291" ht="15.75" customHeight="1">
      <c r="A291" s="3">
        <f>IFERROR(__xludf.DUMMYFUNCTION("""COMPUTED_VALUE"""),90000.0)</f>
        <v>90000</v>
      </c>
      <c r="B291" s="1" t="str">
        <f>IFERROR(__xludf.DUMMYFUNCTION("""COMPUTED_VALUE"""),"54")</f>
        <v>54</v>
      </c>
    </row>
    <row r="292" ht="15.75" customHeight="1">
      <c r="A292" s="3">
        <f>IFERROR(__xludf.DUMMYFUNCTION("""COMPUTED_VALUE"""),30000.0)</f>
        <v>30000</v>
      </c>
      <c r="B292" s="1" t="str">
        <f>IFERROR(__xludf.DUMMYFUNCTION("""COMPUTED_VALUE"""),"69")</f>
        <v>69</v>
      </c>
    </row>
    <row r="293" ht="15.75" customHeight="1">
      <c r="A293" s="3">
        <f>IFERROR(__xludf.DUMMYFUNCTION("""COMPUTED_VALUE"""),10000.0)</f>
        <v>10000</v>
      </c>
      <c r="B293" s="1" t="str">
        <f>IFERROR(__xludf.DUMMYFUNCTION("""COMPUTED_VALUE"""),"62")</f>
        <v>62</v>
      </c>
    </row>
    <row r="294" ht="15.75" customHeight="1">
      <c r="A294" s="3">
        <f>IFERROR(__xludf.DUMMYFUNCTION("""COMPUTED_VALUE"""),30000.0)</f>
        <v>30000</v>
      </c>
      <c r="B294" s="1" t="str">
        <f>IFERROR(__xludf.DUMMYFUNCTION("""COMPUTED_VALUE"""),"62")</f>
        <v>62</v>
      </c>
    </row>
    <row r="295" ht="15.75" customHeight="1">
      <c r="A295" s="3">
        <f>IFERROR(__xludf.DUMMYFUNCTION("""COMPUTED_VALUE"""),30000.0)</f>
        <v>30000</v>
      </c>
      <c r="B295" s="1" t="str">
        <f>IFERROR(__xludf.DUMMYFUNCTION("""COMPUTED_VALUE"""),"40")</f>
        <v>40</v>
      </c>
    </row>
    <row r="296" ht="15.75" customHeight="1">
      <c r="A296" s="3">
        <f>IFERROR(__xludf.DUMMYFUNCTION("""COMPUTED_VALUE"""),80000.0)</f>
        <v>80000</v>
      </c>
      <c r="B296" s="1" t="str">
        <f>IFERROR(__xludf.DUMMYFUNCTION("""COMPUTED_VALUE"""),"36")</f>
        <v>36</v>
      </c>
    </row>
    <row r="297" ht="15.75" customHeight="1">
      <c r="A297" s="3">
        <f>IFERROR(__xludf.DUMMYFUNCTION("""COMPUTED_VALUE"""),10000.0)</f>
        <v>10000</v>
      </c>
      <c r="B297" s="1" t="str">
        <f>IFERROR(__xludf.DUMMYFUNCTION("""COMPUTED_VALUE"""),"58")</f>
        <v>58</v>
      </c>
    </row>
    <row r="298" ht="15.75" customHeight="1">
      <c r="A298" s="3">
        <f>IFERROR(__xludf.DUMMYFUNCTION("""COMPUTED_VALUE"""),90000.0)</f>
        <v>90000</v>
      </c>
      <c r="B298" s="1" t="str">
        <f>IFERROR(__xludf.DUMMYFUNCTION("""COMPUTED_VALUE"""),"40")</f>
        <v>40</v>
      </c>
    </row>
    <row r="299" ht="15.75" customHeight="1">
      <c r="A299" s="3">
        <f>IFERROR(__xludf.DUMMYFUNCTION("""COMPUTED_VALUE"""),10000.0)</f>
        <v>10000</v>
      </c>
      <c r="B299" s="1" t="str">
        <f>IFERROR(__xludf.DUMMYFUNCTION("""COMPUTED_VALUE"""),"66")</f>
        <v>66</v>
      </c>
    </row>
    <row r="300" ht="15.75" customHeight="1">
      <c r="A300" s="3">
        <f>IFERROR(__xludf.DUMMYFUNCTION("""COMPUTED_VALUE"""),40000.0)</f>
        <v>40000</v>
      </c>
      <c r="B300" s="1" t="str">
        <f>IFERROR(__xludf.DUMMYFUNCTION("""COMPUTED_VALUE"""),"35")</f>
        <v>35</v>
      </c>
    </row>
    <row r="301" ht="15.75" customHeight="1">
      <c r="A301" s="3">
        <f>IFERROR(__xludf.DUMMYFUNCTION("""COMPUTED_VALUE"""),20000.0)</f>
        <v>20000</v>
      </c>
      <c r="B301" s="1" t="str">
        <f>IFERROR(__xludf.DUMMYFUNCTION("""COMPUTED_VALUE"""),"47")</f>
        <v>47</v>
      </c>
    </row>
    <row r="302" ht="15.75" customHeight="1">
      <c r="A302" s="3">
        <f>IFERROR(__xludf.DUMMYFUNCTION("""COMPUTED_VALUE"""),120000.0)</f>
        <v>120000</v>
      </c>
      <c r="B302" s="1" t="str">
        <f>IFERROR(__xludf.DUMMYFUNCTION("""COMPUTED_VALUE"""),"47")</f>
        <v>47</v>
      </c>
    </row>
    <row r="303" ht="15.75" customHeight="1">
      <c r="A303" s="3">
        <f>IFERROR(__xludf.DUMMYFUNCTION("""COMPUTED_VALUE"""),60000.0)</f>
        <v>60000</v>
      </c>
      <c r="B303" s="1" t="str">
        <f>IFERROR(__xludf.DUMMYFUNCTION("""COMPUTED_VALUE"""),"46")</f>
        <v>46</v>
      </c>
    </row>
    <row r="304" ht="15.75" customHeight="1">
      <c r="A304" s="3">
        <f>IFERROR(__xludf.DUMMYFUNCTION("""COMPUTED_VALUE"""),20000.0)</f>
        <v>20000</v>
      </c>
      <c r="B304" s="1" t="str">
        <f>IFERROR(__xludf.DUMMYFUNCTION("""COMPUTED_VALUE"""),"58")</f>
        <v>58</v>
      </c>
    </row>
    <row r="305" ht="15.75" customHeight="1">
      <c r="A305" s="3">
        <f>IFERROR(__xludf.DUMMYFUNCTION("""COMPUTED_VALUE"""),40000.0)</f>
        <v>40000</v>
      </c>
      <c r="B305" s="1" t="str">
        <f>IFERROR(__xludf.DUMMYFUNCTION("""COMPUTED_VALUE"""),"52")</f>
        <v>52</v>
      </c>
    </row>
    <row r="306" ht="15.75" customHeight="1">
      <c r="A306" s="3">
        <f>IFERROR(__xludf.DUMMYFUNCTION("""COMPUTED_VALUE"""),80000.0)</f>
        <v>80000</v>
      </c>
      <c r="B306" s="1" t="str">
        <f>IFERROR(__xludf.DUMMYFUNCTION("""COMPUTED_VALUE"""),"47")</f>
        <v>47</v>
      </c>
    </row>
    <row r="307" ht="15.75" customHeight="1">
      <c r="A307" s="3">
        <f>IFERROR(__xludf.DUMMYFUNCTION("""COMPUTED_VALUE"""),70000.0)</f>
        <v>70000</v>
      </c>
      <c r="B307" s="1" t="str">
        <f>IFERROR(__xludf.DUMMYFUNCTION("""COMPUTED_VALUE"""),"41")</f>
        <v>41</v>
      </c>
    </row>
    <row r="308" ht="15.75" customHeight="1">
      <c r="A308" s="3">
        <f>IFERROR(__xludf.DUMMYFUNCTION("""COMPUTED_VALUE"""),50000.0)</f>
        <v>50000</v>
      </c>
      <c r="B308" s="1" t="str">
        <f>IFERROR(__xludf.DUMMYFUNCTION("""COMPUTED_VALUE"""),"64")</f>
        <v>64</v>
      </c>
    </row>
    <row r="309" ht="15.75" customHeight="1">
      <c r="A309" s="3">
        <f>IFERROR(__xludf.DUMMYFUNCTION("""COMPUTED_VALUE"""),30000.0)</f>
        <v>30000</v>
      </c>
      <c r="B309" s="1" t="str">
        <f>IFERROR(__xludf.DUMMYFUNCTION("""COMPUTED_VALUE"""),"35")</f>
        <v>35</v>
      </c>
    </row>
    <row r="310" ht="15.75" customHeight="1">
      <c r="A310" s="3">
        <f>IFERROR(__xludf.DUMMYFUNCTION("""COMPUTED_VALUE"""),130000.0)</f>
        <v>130000</v>
      </c>
      <c r="B310" s="1" t="str">
        <f>IFERROR(__xludf.DUMMYFUNCTION("""COMPUTED_VALUE"""),"54")</f>
        <v>54</v>
      </c>
    </row>
    <row r="311" ht="15.75" customHeight="1">
      <c r="A311" s="3">
        <f>IFERROR(__xludf.DUMMYFUNCTION("""COMPUTED_VALUE"""),30000.0)</f>
        <v>30000</v>
      </c>
      <c r="B311" s="1" t="str">
        <f>IFERROR(__xludf.DUMMYFUNCTION("""COMPUTED_VALUE"""),"45")</f>
        <v>45</v>
      </c>
    </row>
    <row r="312" ht="15.75" customHeight="1">
      <c r="A312" s="3">
        <f>IFERROR(__xludf.DUMMYFUNCTION("""COMPUTED_VALUE"""),100000.0)</f>
        <v>100000</v>
      </c>
      <c r="B312" s="1" t="str">
        <f>IFERROR(__xludf.DUMMYFUNCTION("""COMPUTED_VALUE"""),"40")</f>
        <v>40</v>
      </c>
    </row>
    <row r="313" ht="15.75" customHeight="1">
      <c r="A313" s="3">
        <f>IFERROR(__xludf.DUMMYFUNCTION("""COMPUTED_VALUE"""),160000.0)</f>
        <v>160000</v>
      </c>
      <c r="B313" s="1" t="str">
        <f>IFERROR(__xludf.DUMMYFUNCTION("""COMPUTED_VALUE"""),"47")</f>
        <v>47</v>
      </c>
    </row>
    <row r="314" ht="15.75" customHeight="1">
      <c r="A314" s="3">
        <f>IFERROR(__xludf.DUMMYFUNCTION("""COMPUTED_VALUE"""),10000.0)</f>
        <v>10000</v>
      </c>
      <c r="B314" s="1" t="str">
        <f>IFERROR(__xludf.DUMMYFUNCTION("""COMPUTED_VALUE"""),"41")</f>
        <v>41</v>
      </c>
    </row>
    <row r="315" ht="15.75" customHeight="1">
      <c r="A315" s="3">
        <f>IFERROR(__xludf.DUMMYFUNCTION("""COMPUTED_VALUE"""),40000.0)</f>
        <v>40000</v>
      </c>
      <c r="B315" s="1" t="str">
        <f>IFERROR(__xludf.DUMMYFUNCTION("""COMPUTED_VALUE"""),"37")</f>
        <v>37</v>
      </c>
    </row>
    <row r="316" ht="15.75" customHeight="1">
      <c r="A316" s="3">
        <f>IFERROR(__xludf.DUMMYFUNCTION("""COMPUTED_VALUE"""),90000.0)</f>
        <v>90000</v>
      </c>
      <c r="B316" s="1" t="str">
        <f>IFERROR(__xludf.DUMMYFUNCTION("""COMPUTED_VALUE"""),"38")</f>
        <v>38</v>
      </c>
    </row>
    <row r="317" ht="15.75" customHeight="1">
      <c r="A317" s="3">
        <f>IFERROR(__xludf.DUMMYFUNCTION("""COMPUTED_VALUE"""),40000.0)</f>
        <v>40000</v>
      </c>
      <c r="B317" s="1" t="str">
        <f>IFERROR(__xludf.DUMMYFUNCTION("""COMPUTED_VALUE"""),"36")</f>
        <v>36</v>
      </c>
    </row>
    <row r="318" ht="15.75" customHeight="1">
      <c r="A318" s="3">
        <f>IFERROR(__xludf.DUMMYFUNCTION("""COMPUTED_VALUE"""),20000.0)</f>
        <v>20000</v>
      </c>
      <c r="B318" s="1" t="str">
        <f>IFERROR(__xludf.DUMMYFUNCTION("""COMPUTED_VALUE"""),"26")</f>
        <v>26</v>
      </c>
    </row>
    <row r="319" ht="15.75" customHeight="1">
      <c r="A319" s="3">
        <f>IFERROR(__xludf.DUMMYFUNCTION("""COMPUTED_VALUE"""),30000.0)</f>
        <v>30000</v>
      </c>
      <c r="B319" s="1" t="str">
        <f>IFERROR(__xludf.DUMMYFUNCTION("""COMPUTED_VALUE"""),"40")</f>
        <v>40</v>
      </c>
    </row>
    <row r="320" ht="15.75" customHeight="1">
      <c r="A320" s="3">
        <f>IFERROR(__xludf.DUMMYFUNCTION("""COMPUTED_VALUE"""),40000.0)</f>
        <v>40000</v>
      </c>
      <c r="B320" s="1" t="str">
        <f>IFERROR(__xludf.DUMMYFUNCTION("""COMPUTED_VALUE"""),"36")</f>
        <v>36</v>
      </c>
    </row>
    <row r="321" ht="15.75" customHeight="1">
      <c r="A321" s="3">
        <f>IFERROR(__xludf.DUMMYFUNCTION("""COMPUTED_VALUE"""),90000.0)</f>
        <v>90000</v>
      </c>
      <c r="B321" s="1" t="str">
        <f>IFERROR(__xludf.DUMMYFUNCTION("""COMPUTED_VALUE"""),"59")</f>
        <v>59</v>
      </c>
    </row>
    <row r="322" ht="15.75" customHeight="1">
      <c r="A322" s="3">
        <f>IFERROR(__xludf.DUMMYFUNCTION("""COMPUTED_VALUE"""),80000.0)</f>
        <v>80000</v>
      </c>
      <c r="B322" s="1" t="str">
        <f>IFERROR(__xludf.DUMMYFUNCTION("""COMPUTED_VALUE"""),"32")</f>
        <v>32</v>
      </c>
    </row>
    <row r="323" ht="15.75" customHeight="1">
      <c r="A323" s="3">
        <f>IFERROR(__xludf.DUMMYFUNCTION("""COMPUTED_VALUE"""),10000.0)</f>
        <v>10000</v>
      </c>
      <c r="B323" s="1" t="str">
        <f>IFERROR(__xludf.DUMMYFUNCTION("""COMPUTED_VALUE"""),"30")</f>
        <v>30</v>
      </c>
    </row>
    <row r="324" ht="15.75" customHeight="1">
      <c r="A324" s="3">
        <f>IFERROR(__xludf.DUMMYFUNCTION("""COMPUTED_VALUE"""),20000.0)</f>
        <v>20000</v>
      </c>
      <c r="B324" s="1" t="str">
        <f>IFERROR(__xludf.DUMMYFUNCTION("""COMPUTED_VALUE"""),"35")</f>
        <v>35</v>
      </c>
    </row>
    <row r="325" ht="15.75" customHeight="1">
      <c r="A325" s="3">
        <f>IFERROR(__xludf.DUMMYFUNCTION("""COMPUTED_VALUE"""),130000.0)</f>
        <v>130000</v>
      </c>
      <c r="B325" s="1" t="str">
        <f>IFERROR(__xludf.DUMMYFUNCTION("""COMPUTED_VALUE"""),"51")</f>
        <v>51</v>
      </c>
    </row>
    <row r="326" ht="15.75" customHeight="1">
      <c r="A326" s="3">
        <f>IFERROR(__xludf.DUMMYFUNCTION("""COMPUTED_VALUE"""),90000.0)</f>
        <v>90000</v>
      </c>
      <c r="B326" s="1" t="str">
        <f>IFERROR(__xludf.DUMMYFUNCTION("""COMPUTED_VALUE"""),"47")</f>
        <v>47</v>
      </c>
    </row>
    <row r="327" ht="15.75" customHeight="1">
      <c r="A327" s="3">
        <f>IFERROR(__xludf.DUMMYFUNCTION("""COMPUTED_VALUE"""),80000.0)</f>
        <v>80000</v>
      </c>
      <c r="B327" s="1" t="str">
        <f>IFERROR(__xludf.DUMMYFUNCTION("""COMPUTED_VALUE"""),"39")</f>
        <v>39</v>
      </c>
    </row>
    <row r="328" ht="15.75" customHeight="1">
      <c r="A328" s="3">
        <f>IFERROR(__xludf.DUMMYFUNCTION("""COMPUTED_VALUE"""),20000.0)</f>
        <v>20000</v>
      </c>
      <c r="B328" s="1" t="str">
        <f>IFERROR(__xludf.DUMMYFUNCTION("""COMPUTED_VALUE"""),"34")</f>
        <v>34</v>
      </c>
    </row>
    <row r="329" ht="15.75" customHeight="1">
      <c r="A329" s="3">
        <f>IFERROR(__xludf.DUMMYFUNCTION("""COMPUTED_VALUE"""),10000.0)</f>
        <v>10000</v>
      </c>
      <c r="B329" s="1" t="str">
        <f>IFERROR(__xludf.DUMMYFUNCTION("""COMPUTED_VALUE"""),"32")</f>
        <v>32</v>
      </c>
    </row>
    <row r="330" ht="15.75" customHeight="1">
      <c r="A330" s="3">
        <f>IFERROR(__xludf.DUMMYFUNCTION("""COMPUTED_VALUE"""),120000.0)</f>
        <v>120000</v>
      </c>
      <c r="B330" s="1" t="str">
        <f>IFERROR(__xludf.DUMMYFUNCTION("""COMPUTED_VALUE"""),"50")</f>
        <v>50</v>
      </c>
    </row>
    <row r="331" ht="15.75" customHeight="1">
      <c r="A331" s="3">
        <f>IFERROR(__xludf.DUMMYFUNCTION("""COMPUTED_VALUE"""),20000.0)</f>
        <v>20000</v>
      </c>
      <c r="B331" s="1" t="str">
        <f>IFERROR(__xludf.DUMMYFUNCTION("""COMPUTED_VALUE"""),"66")</f>
        <v>66</v>
      </c>
    </row>
    <row r="332" ht="15.75" customHeight="1">
      <c r="A332" s="3">
        <f>IFERROR(__xludf.DUMMYFUNCTION("""COMPUTED_VALUE"""),30000.0)</f>
        <v>30000</v>
      </c>
      <c r="B332" s="1" t="str">
        <f>IFERROR(__xludf.DUMMYFUNCTION("""COMPUTED_VALUE"""),"30")</f>
        <v>30</v>
      </c>
    </row>
    <row r="333" ht="15.75" customHeight="1">
      <c r="A333" s="3">
        <f>IFERROR(__xludf.DUMMYFUNCTION("""COMPUTED_VALUE"""),30000.0)</f>
        <v>30000</v>
      </c>
      <c r="B333" s="1" t="str">
        <f>IFERROR(__xludf.DUMMYFUNCTION("""COMPUTED_VALUE"""),"32")</f>
        <v>32</v>
      </c>
    </row>
    <row r="334" ht="15.75" customHeight="1">
      <c r="A334" s="3">
        <f>IFERROR(__xludf.DUMMYFUNCTION("""COMPUTED_VALUE"""),10000.0)</f>
        <v>10000</v>
      </c>
      <c r="B334" s="1" t="str">
        <f>IFERROR(__xludf.DUMMYFUNCTION("""COMPUTED_VALUE"""),"35")</f>
        <v>35</v>
      </c>
    </row>
    <row r="335" ht="15.75" customHeight="1">
      <c r="A335" s="3">
        <f>IFERROR(__xludf.DUMMYFUNCTION("""COMPUTED_VALUE"""),30000.0)</f>
        <v>30000</v>
      </c>
      <c r="B335" s="1" t="str">
        <f>IFERROR(__xludf.DUMMYFUNCTION("""COMPUTED_VALUE"""),"32")</f>
        <v>32</v>
      </c>
    </row>
    <row r="336" ht="15.75" customHeight="1">
      <c r="A336" s="3">
        <f>IFERROR(__xludf.DUMMYFUNCTION("""COMPUTED_VALUE"""),30000.0)</f>
        <v>30000</v>
      </c>
      <c r="B336" s="1" t="str">
        <f>IFERROR(__xludf.DUMMYFUNCTION("""COMPUTED_VALUE"""),"31")</f>
        <v>31</v>
      </c>
    </row>
    <row r="337" ht="15.75" customHeight="1">
      <c r="A337" s="3">
        <f>IFERROR(__xludf.DUMMYFUNCTION("""COMPUTED_VALUE"""),20000.0)</f>
        <v>20000</v>
      </c>
      <c r="B337" s="1" t="str">
        <f>IFERROR(__xludf.DUMMYFUNCTION("""COMPUTED_VALUE"""),"50")</f>
        <v>50</v>
      </c>
    </row>
    <row r="338" ht="15.75" customHeight="1">
      <c r="A338" s="3">
        <f>IFERROR(__xludf.DUMMYFUNCTION("""COMPUTED_VALUE"""),40000.0)</f>
        <v>40000</v>
      </c>
      <c r="B338" s="1" t="str">
        <f>IFERROR(__xludf.DUMMYFUNCTION("""COMPUTED_VALUE"""),"43")</f>
        <v>43</v>
      </c>
    </row>
    <row r="339" ht="15.75" customHeight="1">
      <c r="A339" s="3">
        <f>IFERROR(__xludf.DUMMYFUNCTION("""COMPUTED_VALUE"""),60000.0)</f>
        <v>60000</v>
      </c>
      <c r="B339" s="1" t="str">
        <f>IFERROR(__xludf.DUMMYFUNCTION("""COMPUTED_VALUE"""),"45")</f>
        <v>45</v>
      </c>
    </row>
    <row r="340" ht="15.75" customHeight="1">
      <c r="A340" s="3">
        <f>IFERROR(__xludf.DUMMYFUNCTION("""COMPUTED_VALUE"""),20000.0)</f>
        <v>20000</v>
      </c>
      <c r="B340" s="1" t="str">
        <f>IFERROR(__xludf.DUMMYFUNCTION("""COMPUTED_VALUE"""),"42")</f>
        <v>42</v>
      </c>
    </row>
    <row r="341" ht="15.75" customHeight="1">
      <c r="A341" s="3">
        <f>IFERROR(__xludf.DUMMYFUNCTION("""COMPUTED_VALUE"""),30000.0)</f>
        <v>30000</v>
      </c>
      <c r="B341" s="1" t="str">
        <f>IFERROR(__xludf.DUMMYFUNCTION("""COMPUTED_VALUE"""),"29")</f>
        <v>29</v>
      </c>
    </row>
    <row r="342" ht="15.75" customHeight="1">
      <c r="A342" s="3">
        <f>IFERROR(__xludf.DUMMYFUNCTION("""COMPUTED_VALUE"""),20000.0)</f>
        <v>20000</v>
      </c>
      <c r="B342" s="1" t="str">
        <f>IFERROR(__xludf.DUMMYFUNCTION("""COMPUTED_VALUE"""),"28")</f>
        <v>28</v>
      </c>
    </row>
    <row r="343" ht="15.75" customHeight="1">
      <c r="A343" s="3">
        <f>IFERROR(__xludf.DUMMYFUNCTION("""COMPUTED_VALUE"""),80000.0)</f>
        <v>80000</v>
      </c>
      <c r="B343" s="1" t="str">
        <f>IFERROR(__xludf.DUMMYFUNCTION("""COMPUTED_VALUE"""),"53")</f>
        <v>53</v>
      </c>
    </row>
    <row r="344" ht="15.75" customHeight="1">
      <c r="A344" s="3">
        <f>IFERROR(__xludf.DUMMYFUNCTION("""COMPUTED_VALUE"""),40000.0)</f>
        <v>40000</v>
      </c>
      <c r="B344" s="1" t="str">
        <f>IFERROR(__xludf.DUMMYFUNCTION("""COMPUTED_VALUE"""),"38")</f>
        <v>38</v>
      </c>
    </row>
    <row r="345" ht="15.75" customHeight="1">
      <c r="A345" s="3">
        <f>IFERROR(__xludf.DUMMYFUNCTION("""COMPUTED_VALUE"""),30000.0)</f>
        <v>30000</v>
      </c>
      <c r="B345" s="1" t="str">
        <f>IFERROR(__xludf.DUMMYFUNCTION("""COMPUTED_VALUE"""),"39")</f>
        <v>39</v>
      </c>
    </row>
    <row r="346" ht="15.75" customHeight="1">
      <c r="A346" s="3">
        <f>IFERROR(__xludf.DUMMYFUNCTION("""COMPUTED_VALUE"""),80000.0)</f>
        <v>80000</v>
      </c>
      <c r="B346" s="1" t="str">
        <f>IFERROR(__xludf.DUMMYFUNCTION("""COMPUTED_VALUE"""),"32")</f>
        <v>32</v>
      </c>
    </row>
    <row r="347" ht="15.75" customHeight="1">
      <c r="A347" s="3">
        <f>IFERROR(__xludf.DUMMYFUNCTION("""COMPUTED_VALUE"""),150000.0)</f>
        <v>150000</v>
      </c>
      <c r="B347" s="1" t="str">
        <f>IFERROR(__xludf.DUMMYFUNCTION("""COMPUTED_VALUE"""),"51")</f>
        <v>51</v>
      </c>
    </row>
    <row r="348" ht="15.75" customHeight="1">
      <c r="A348" s="3">
        <f>IFERROR(__xludf.DUMMYFUNCTION("""COMPUTED_VALUE"""),10000.0)</f>
        <v>10000</v>
      </c>
      <c r="B348" s="1" t="str">
        <f>IFERROR(__xludf.DUMMYFUNCTION("""COMPUTED_VALUE"""),"33")</f>
        <v>33</v>
      </c>
    </row>
    <row r="349" ht="15.75" customHeight="1">
      <c r="A349" s="3">
        <f>IFERROR(__xludf.DUMMYFUNCTION("""COMPUTED_VALUE"""),90000.0)</f>
        <v>90000</v>
      </c>
      <c r="B349" s="1" t="str">
        <f>IFERROR(__xludf.DUMMYFUNCTION("""COMPUTED_VALUE"""),"58")</f>
        <v>58</v>
      </c>
    </row>
    <row r="350" ht="15.75" customHeight="1">
      <c r="A350" s="3">
        <f>IFERROR(__xludf.DUMMYFUNCTION("""COMPUTED_VALUE"""),80000.0)</f>
        <v>80000</v>
      </c>
      <c r="B350" s="1" t="str">
        <f>IFERROR(__xludf.DUMMYFUNCTION("""COMPUTED_VALUE"""),"30")</f>
        <v>30</v>
      </c>
    </row>
    <row r="351" ht="15.75" customHeight="1">
      <c r="A351" s="3">
        <f>IFERROR(__xludf.DUMMYFUNCTION("""COMPUTED_VALUE"""),130000.0)</f>
        <v>130000</v>
      </c>
      <c r="B351" s="1" t="str">
        <f>IFERROR(__xludf.DUMMYFUNCTION("""COMPUTED_VALUE"""),"48")</f>
        <v>48</v>
      </c>
    </row>
    <row r="352" ht="15.75" customHeight="1">
      <c r="A352" s="3">
        <f>IFERROR(__xludf.DUMMYFUNCTION("""COMPUTED_VALUE"""),30000.0)</f>
        <v>30000</v>
      </c>
      <c r="B352" s="1" t="str">
        <f>IFERROR(__xludf.DUMMYFUNCTION("""COMPUTED_VALUE"""),"27")</f>
        <v>27</v>
      </c>
    </row>
    <row r="353" ht="15.75" customHeight="1">
      <c r="A353" s="3">
        <f>IFERROR(__xludf.DUMMYFUNCTION("""COMPUTED_VALUE"""),40000.0)</f>
        <v>40000</v>
      </c>
      <c r="B353" s="1" t="str">
        <f>IFERROR(__xludf.DUMMYFUNCTION("""COMPUTED_VALUE"""),"33")</f>
        <v>33</v>
      </c>
    </row>
    <row r="354" ht="15.75" customHeight="1">
      <c r="A354" s="3">
        <f>IFERROR(__xludf.DUMMYFUNCTION("""COMPUTED_VALUE"""),40000.0)</f>
        <v>40000</v>
      </c>
      <c r="B354" s="1" t="str">
        <f>IFERROR(__xludf.DUMMYFUNCTION("""COMPUTED_VALUE"""),"66")</f>
        <v>66</v>
      </c>
    </row>
    <row r="355" ht="15.75" customHeight="1">
      <c r="A355" s="3">
        <f>IFERROR(__xludf.DUMMYFUNCTION("""COMPUTED_VALUE"""),10000.0)</f>
        <v>10000</v>
      </c>
      <c r="B355" s="1" t="str">
        <f>IFERROR(__xludf.DUMMYFUNCTION("""COMPUTED_VALUE"""),"38")</f>
        <v>38</v>
      </c>
    </row>
    <row r="356" ht="15.75" customHeight="1">
      <c r="A356" s="3">
        <f>IFERROR(__xludf.DUMMYFUNCTION("""COMPUTED_VALUE"""),40000.0)</f>
        <v>40000</v>
      </c>
      <c r="B356" s="1" t="str">
        <f>IFERROR(__xludf.DUMMYFUNCTION("""COMPUTED_VALUE"""),"38")</f>
        <v>38</v>
      </c>
    </row>
    <row r="357" ht="15.75" customHeight="1">
      <c r="A357" s="3">
        <f>IFERROR(__xludf.DUMMYFUNCTION("""COMPUTED_VALUE"""),60000.0)</f>
        <v>60000</v>
      </c>
      <c r="B357" s="1" t="str">
        <f>IFERROR(__xludf.DUMMYFUNCTION("""COMPUTED_VALUE"""),"45")</f>
        <v>45</v>
      </c>
    </row>
    <row r="358" ht="15.75" customHeight="1">
      <c r="A358" s="3">
        <f>IFERROR(__xludf.DUMMYFUNCTION("""COMPUTED_VALUE"""),130000.0)</f>
        <v>130000</v>
      </c>
      <c r="B358" s="1" t="str">
        <f>IFERROR(__xludf.DUMMYFUNCTION("""COMPUTED_VALUE"""),"50")</f>
        <v>50</v>
      </c>
    </row>
    <row r="359" ht="15.75" customHeight="1">
      <c r="A359" s="3">
        <f>IFERROR(__xludf.DUMMYFUNCTION("""COMPUTED_VALUE"""),30000.0)</f>
        <v>30000</v>
      </c>
      <c r="B359" s="1" t="str">
        <f>IFERROR(__xludf.DUMMYFUNCTION("""COMPUTED_VALUE"""),"60")</f>
        <v>60</v>
      </c>
    </row>
    <row r="360" ht="15.75" customHeight="1">
      <c r="A360" s="3">
        <f>IFERROR(__xludf.DUMMYFUNCTION("""COMPUTED_VALUE"""),20000.0)</f>
        <v>20000</v>
      </c>
      <c r="B360" s="1" t="str">
        <f>IFERROR(__xludf.DUMMYFUNCTION("""COMPUTED_VALUE"""),"53")</f>
        <v>53</v>
      </c>
    </row>
    <row r="361" ht="15.75" customHeight="1">
      <c r="A361" s="3">
        <f>IFERROR(__xludf.DUMMYFUNCTION("""COMPUTED_VALUE"""),100000.0)</f>
        <v>100000</v>
      </c>
      <c r="B361" s="1" t="str">
        <f>IFERROR(__xludf.DUMMYFUNCTION("""COMPUTED_VALUE"""),"46")</f>
        <v>46</v>
      </c>
    </row>
    <row r="362" ht="15.75" customHeight="1">
      <c r="A362" s="3">
        <f>IFERROR(__xludf.DUMMYFUNCTION("""COMPUTED_VALUE"""),40000.0)</f>
        <v>40000</v>
      </c>
      <c r="B362" s="1" t="str">
        <f>IFERROR(__xludf.DUMMYFUNCTION("""COMPUTED_VALUE"""),"43")</f>
        <v>43</v>
      </c>
    </row>
    <row r="363" ht="15.75" customHeight="1">
      <c r="A363" s="3">
        <f>IFERROR(__xludf.DUMMYFUNCTION("""COMPUTED_VALUE"""),20000.0)</f>
        <v>20000</v>
      </c>
      <c r="B363" s="1" t="str">
        <f>IFERROR(__xludf.DUMMYFUNCTION("""COMPUTED_VALUE"""),"30")</f>
        <v>30</v>
      </c>
    </row>
    <row r="364" ht="15.75" customHeight="1">
      <c r="A364" s="3">
        <f>IFERROR(__xludf.DUMMYFUNCTION("""COMPUTED_VALUE"""),80000.0)</f>
        <v>80000</v>
      </c>
      <c r="B364" s="1" t="str">
        <f>IFERROR(__xludf.DUMMYFUNCTION("""COMPUTED_VALUE"""),"38")</f>
        <v>38</v>
      </c>
    </row>
    <row r="365" ht="15.75" customHeight="1">
      <c r="A365" s="3">
        <f>IFERROR(__xludf.DUMMYFUNCTION("""COMPUTED_VALUE"""),40000.0)</f>
        <v>40000</v>
      </c>
      <c r="B365" s="1" t="str">
        <f>IFERROR(__xludf.DUMMYFUNCTION("""COMPUTED_VALUE"""),"89")</f>
        <v>89</v>
      </c>
    </row>
    <row r="366" ht="15.75" customHeight="1">
      <c r="A366" s="3">
        <f>IFERROR(__xludf.DUMMYFUNCTION("""COMPUTED_VALUE"""),20000.0)</f>
        <v>20000</v>
      </c>
      <c r="B366" s="1" t="str">
        <f>IFERROR(__xludf.DUMMYFUNCTION("""COMPUTED_VALUE"""),"64")</f>
        <v>64</v>
      </c>
    </row>
    <row r="367" ht="15.75" customHeight="1">
      <c r="A367" s="3">
        <f>IFERROR(__xludf.DUMMYFUNCTION("""COMPUTED_VALUE"""),130000.0)</f>
        <v>130000</v>
      </c>
      <c r="B367" s="1" t="str">
        <f>IFERROR(__xludf.DUMMYFUNCTION("""COMPUTED_VALUE"""),"51")</f>
        <v>51</v>
      </c>
    </row>
    <row r="368" ht="15.75" customHeight="1">
      <c r="A368" s="3">
        <f>IFERROR(__xludf.DUMMYFUNCTION("""COMPUTED_VALUE"""),30000.0)</f>
        <v>30000</v>
      </c>
      <c r="B368" s="1" t="str">
        <f>IFERROR(__xludf.DUMMYFUNCTION("""COMPUTED_VALUE"""),"56")</f>
        <v>56</v>
      </c>
    </row>
    <row r="369" ht="15.75" customHeight="1">
      <c r="A369" s="3">
        <f>IFERROR(__xludf.DUMMYFUNCTION("""COMPUTED_VALUE"""),60000.0)</f>
        <v>60000</v>
      </c>
      <c r="B369" s="1" t="str">
        <f>IFERROR(__xludf.DUMMYFUNCTION("""COMPUTED_VALUE"""),"43")</f>
        <v>43</v>
      </c>
    </row>
    <row r="370" ht="15.75" customHeight="1">
      <c r="A370" s="3">
        <f>IFERROR(__xludf.DUMMYFUNCTION("""COMPUTED_VALUE"""),70000.0)</f>
        <v>70000</v>
      </c>
      <c r="B370" s="1" t="str">
        <f>IFERROR(__xludf.DUMMYFUNCTION("""COMPUTED_VALUE"""),"30")</f>
        <v>30</v>
      </c>
    </row>
    <row r="371" ht="15.75" customHeight="1">
      <c r="A371" s="3">
        <f>IFERROR(__xludf.DUMMYFUNCTION("""COMPUTED_VALUE"""),30000.0)</f>
        <v>30000</v>
      </c>
      <c r="B371" s="1" t="str">
        <f>IFERROR(__xludf.DUMMYFUNCTION("""COMPUTED_VALUE"""),"69")</f>
        <v>69</v>
      </c>
    </row>
    <row r="372" ht="15.75" customHeight="1">
      <c r="A372" s="3">
        <f>IFERROR(__xludf.DUMMYFUNCTION("""COMPUTED_VALUE"""),80000.0)</f>
        <v>80000</v>
      </c>
      <c r="B372" s="1" t="str">
        <f>IFERROR(__xludf.DUMMYFUNCTION("""COMPUTED_VALUE"""),"53")</f>
        <v>53</v>
      </c>
    </row>
    <row r="373" ht="15.75" customHeight="1">
      <c r="A373" s="3">
        <f>IFERROR(__xludf.DUMMYFUNCTION("""COMPUTED_VALUE"""),40000.0)</f>
        <v>40000</v>
      </c>
      <c r="B373" s="1" t="str">
        <f>IFERROR(__xludf.DUMMYFUNCTION("""COMPUTED_VALUE"""),"37")</f>
        <v>37</v>
      </c>
    </row>
    <row r="374" ht="15.75" customHeight="1">
      <c r="A374" s="3">
        <f>IFERROR(__xludf.DUMMYFUNCTION("""COMPUTED_VALUE"""),10000.0)</f>
        <v>10000</v>
      </c>
      <c r="B374" s="1" t="str">
        <f>IFERROR(__xludf.DUMMYFUNCTION("""COMPUTED_VALUE"""),"28")</f>
        <v>28</v>
      </c>
    </row>
    <row r="375" ht="15.75" customHeight="1">
      <c r="A375" s="3">
        <f>IFERROR(__xludf.DUMMYFUNCTION("""COMPUTED_VALUE"""),30000.0)</f>
        <v>30000</v>
      </c>
      <c r="B375" s="1" t="str">
        <f>IFERROR(__xludf.DUMMYFUNCTION("""COMPUTED_VALUE"""),"43")</f>
        <v>43</v>
      </c>
    </row>
    <row r="376" ht="15.75" customHeight="1">
      <c r="A376" s="3">
        <f>IFERROR(__xludf.DUMMYFUNCTION("""COMPUTED_VALUE"""),120000.0)</f>
        <v>120000</v>
      </c>
      <c r="B376" s="1" t="str">
        <f>IFERROR(__xludf.DUMMYFUNCTION("""COMPUTED_VALUE"""),"34")</f>
        <v>34</v>
      </c>
    </row>
    <row r="377" ht="15.75" customHeight="1">
      <c r="A377" s="3">
        <f>IFERROR(__xludf.DUMMYFUNCTION("""COMPUTED_VALUE"""),20000.0)</f>
        <v>20000</v>
      </c>
      <c r="B377" s="1" t="str">
        <f>IFERROR(__xludf.DUMMYFUNCTION("""COMPUTED_VALUE"""),"34")</f>
        <v>34</v>
      </c>
    </row>
    <row r="378" ht="15.75" customHeight="1">
      <c r="A378" s="3">
        <f>IFERROR(__xludf.DUMMYFUNCTION("""COMPUTED_VALUE"""),30000.0)</f>
        <v>30000</v>
      </c>
      <c r="B378" s="1" t="str">
        <f>IFERROR(__xludf.DUMMYFUNCTION("""COMPUTED_VALUE"""),"64")</f>
        <v>64</v>
      </c>
    </row>
    <row r="379" ht="15.75" customHeight="1">
      <c r="A379" s="3">
        <f>IFERROR(__xludf.DUMMYFUNCTION("""COMPUTED_VALUE"""),80000.0)</f>
        <v>80000</v>
      </c>
      <c r="B379" s="1" t="str">
        <f>IFERROR(__xludf.DUMMYFUNCTION("""COMPUTED_VALUE"""),"41")</f>
        <v>41</v>
      </c>
    </row>
    <row r="380" ht="15.75" customHeight="1">
      <c r="A380" s="3">
        <f>IFERROR(__xludf.DUMMYFUNCTION("""COMPUTED_VALUE"""),70000.0)</f>
        <v>70000</v>
      </c>
      <c r="B380" s="1" t="str">
        <f>IFERROR(__xludf.DUMMYFUNCTION("""COMPUTED_VALUE"""),"38")</f>
        <v>38</v>
      </c>
    </row>
    <row r="381" ht="15.75" customHeight="1">
      <c r="A381" s="3">
        <f>IFERROR(__xludf.DUMMYFUNCTION("""COMPUTED_VALUE"""),70000.0)</f>
        <v>70000</v>
      </c>
      <c r="B381" s="1" t="str">
        <f>IFERROR(__xludf.DUMMYFUNCTION("""COMPUTED_VALUE"""),"41")</f>
        <v>41</v>
      </c>
    </row>
    <row r="382" ht="15.75" customHeight="1">
      <c r="A382" s="3">
        <f>IFERROR(__xludf.DUMMYFUNCTION("""COMPUTED_VALUE"""),20000.0)</f>
        <v>20000</v>
      </c>
      <c r="B382" s="1" t="str">
        <f>IFERROR(__xludf.DUMMYFUNCTION("""COMPUTED_VALUE"""),"51")</f>
        <v>51</v>
      </c>
    </row>
    <row r="383" ht="15.75" customHeight="1">
      <c r="A383" s="3">
        <f>IFERROR(__xludf.DUMMYFUNCTION("""COMPUTED_VALUE"""),10000.0)</f>
        <v>10000</v>
      </c>
      <c r="B383" s="1" t="str">
        <f>IFERROR(__xludf.DUMMYFUNCTION("""COMPUTED_VALUE"""),"32")</f>
        <v>32</v>
      </c>
    </row>
    <row r="384" ht="15.75" customHeight="1">
      <c r="A384" s="3">
        <f>IFERROR(__xludf.DUMMYFUNCTION("""COMPUTED_VALUE"""),40000.0)</f>
        <v>40000</v>
      </c>
      <c r="B384" s="1" t="str">
        <f>IFERROR(__xludf.DUMMYFUNCTION("""COMPUTED_VALUE"""),"38")</f>
        <v>38</v>
      </c>
    </row>
    <row r="385" ht="15.75" customHeight="1">
      <c r="A385" s="3">
        <f>IFERROR(__xludf.DUMMYFUNCTION("""COMPUTED_VALUE"""),30000.0)</f>
        <v>30000</v>
      </c>
      <c r="B385" s="1" t="str">
        <f>IFERROR(__xludf.DUMMYFUNCTION("""COMPUTED_VALUE"""),"38")</f>
        <v>38</v>
      </c>
    </row>
    <row r="386" ht="15.75" customHeight="1">
      <c r="A386" s="3">
        <f>IFERROR(__xludf.DUMMYFUNCTION("""COMPUTED_VALUE"""),60000.0)</f>
        <v>60000</v>
      </c>
      <c r="B386" s="1" t="str">
        <f>IFERROR(__xludf.DUMMYFUNCTION("""COMPUTED_VALUE"""),"38")</f>
        <v>38</v>
      </c>
    </row>
    <row r="387" ht="15.75" customHeight="1">
      <c r="A387" s="3">
        <f>IFERROR(__xludf.DUMMYFUNCTION("""COMPUTED_VALUE"""),10000.0)</f>
        <v>10000</v>
      </c>
      <c r="B387" s="1" t="str">
        <f>IFERROR(__xludf.DUMMYFUNCTION("""COMPUTED_VALUE"""),"58")</f>
        <v>58</v>
      </c>
    </row>
    <row r="388" ht="15.75" customHeight="1">
      <c r="A388" s="3">
        <f>IFERROR(__xludf.DUMMYFUNCTION("""COMPUTED_VALUE"""),30000.0)</f>
        <v>30000</v>
      </c>
      <c r="B388" s="1" t="str">
        <f>IFERROR(__xludf.DUMMYFUNCTION("""COMPUTED_VALUE"""),"39")</f>
        <v>39</v>
      </c>
    </row>
    <row r="389" ht="15.75" customHeight="1">
      <c r="A389" s="3">
        <f>IFERROR(__xludf.DUMMYFUNCTION("""COMPUTED_VALUE"""),40000.0)</f>
        <v>40000</v>
      </c>
      <c r="B389" s="1" t="str">
        <f>IFERROR(__xludf.DUMMYFUNCTION("""COMPUTED_VALUE"""),"53")</f>
        <v>53</v>
      </c>
    </row>
    <row r="390" ht="15.75" customHeight="1">
      <c r="A390" s="3">
        <f>IFERROR(__xludf.DUMMYFUNCTION("""COMPUTED_VALUE"""),110000.0)</f>
        <v>110000</v>
      </c>
      <c r="B390" s="1" t="str">
        <f>IFERROR(__xludf.DUMMYFUNCTION("""COMPUTED_VALUE"""),"53")</f>
        <v>53</v>
      </c>
    </row>
    <row r="391" ht="15.75" customHeight="1">
      <c r="A391" s="3">
        <f>IFERROR(__xludf.DUMMYFUNCTION("""COMPUTED_VALUE"""),40000.0)</f>
        <v>40000</v>
      </c>
      <c r="B391" s="1" t="str">
        <f>IFERROR(__xludf.DUMMYFUNCTION("""COMPUTED_VALUE"""),"80")</f>
        <v>80</v>
      </c>
    </row>
    <row r="392" ht="15.75" customHeight="1">
      <c r="A392" s="3">
        <f>IFERROR(__xludf.DUMMYFUNCTION("""COMPUTED_VALUE"""),10000.0)</f>
        <v>10000</v>
      </c>
      <c r="B392" s="1" t="str">
        <f>IFERROR(__xludf.DUMMYFUNCTION("""COMPUTED_VALUE"""),"44")</f>
        <v>44</v>
      </c>
    </row>
    <row r="393" ht="15.75" customHeight="1">
      <c r="A393" s="3">
        <f>IFERROR(__xludf.DUMMYFUNCTION("""COMPUTED_VALUE"""),20000.0)</f>
        <v>20000</v>
      </c>
      <c r="B393" s="1" t="str">
        <f>IFERROR(__xludf.DUMMYFUNCTION("""COMPUTED_VALUE"""),"44")</f>
        <v>44</v>
      </c>
    </row>
    <row r="394" ht="15.75" customHeight="1">
      <c r="A394" s="3">
        <f>IFERROR(__xludf.DUMMYFUNCTION("""COMPUTED_VALUE"""),30000.0)</f>
        <v>30000</v>
      </c>
      <c r="B394" s="1" t="str">
        <f>IFERROR(__xludf.DUMMYFUNCTION("""COMPUTED_VALUE"""),"54")</f>
        <v>54</v>
      </c>
    </row>
    <row r="395" ht="15.75" customHeight="1">
      <c r="A395" s="3">
        <f>IFERROR(__xludf.DUMMYFUNCTION("""COMPUTED_VALUE"""),30000.0)</f>
        <v>30000</v>
      </c>
      <c r="B395" s="1" t="str">
        <f>IFERROR(__xludf.DUMMYFUNCTION("""COMPUTED_VALUE"""),"37")</f>
        <v>37</v>
      </c>
    </row>
    <row r="396" ht="15.75" customHeight="1">
      <c r="A396" s="3">
        <f>IFERROR(__xludf.DUMMYFUNCTION("""COMPUTED_VALUE"""),40000.0)</f>
        <v>40000</v>
      </c>
      <c r="B396" s="1" t="str">
        <f>IFERROR(__xludf.DUMMYFUNCTION("""COMPUTED_VALUE"""),"41")</f>
        <v>41</v>
      </c>
    </row>
    <row r="397" ht="15.75" customHeight="1">
      <c r="A397" s="3">
        <f>IFERROR(__xludf.DUMMYFUNCTION("""COMPUTED_VALUE"""),90000.0)</f>
        <v>90000</v>
      </c>
      <c r="B397" s="1" t="str">
        <f>IFERROR(__xludf.DUMMYFUNCTION("""COMPUTED_VALUE"""),"36")</f>
        <v>36</v>
      </c>
    </row>
    <row r="398" ht="15.75" customHeight="1">
      <c r="A398" s="3">
        <f>IFERROR(__xludf.DUMMYFUNCTION("""COMPUTED_VALUE"""),40000.0)</f>
        <v>40000</v>
      </c>
      <c r="B398" s="1" t="str">
        <f>IFERROR(__xludf.DUMMYFUNCTION("""COMPUTED_VALUE"""),"33")</f>
        <v>33</v>
      </c>
    </row>
    <row r="399" ht="15.75" customHeight="1">
      <c r="A399" s="3">
        <f>IFERROR(__xludf.DUMMYFUNCTION("""COMPUTED_VALUE"""),130000.0)</f>
        <v>130000</v>
      </c>
      <c r="B399" s="1" t="str">
        <f>IFERROR(__xludf.DUMMYFUNCTION("""COMPUTED_VALUE"""),"52")</f>
        <v>52</v>
      </c>
    </row>
    <row r="400" ht="15.75" customHeight="1">
      <c r="A400" s="3">
        <f>IFERROR(__xludf.DUMMYFUNCTION("""COMPUTED_VALUE"""),20000.0)</f>
        <v>20000</v>
      </c>
      <c r="B400" s="1" t="str">
        <f>IFERROR(__xludf.DUMMYFUNCTION("""COMPUTED_VALUE"""),"46")</f>
        <v>46</v>
      </c>
    </row>
    <row r="401" ht="15.75" customHeight="1">
      <c r="A401" s="3">
        <f>IFERROR(__xludf.DUMMYFUNCTION("""COMPUTED_VALUE"""),70000.0)</f>
        <v>70000</v>
      </c>
      <c r="B401" s="1" t="str">
        <f>IFERROR(__xludf.DUMMYFUNCTION("""COMPUTED_VALUE"""),"43")</f>
        <v>43</v>
      </c>
    </row>
    <row r="402" ht="15.75" customHeight="1">
      <c r="A402" s="3">
        <f>IFERROR(__xludf.DUMMYFUNCTION("""COMPUTED_VALUE"""),40000.0)</f>
        <v>40000</v>
      </c>
      <c r="B402" s="1" t="str">
        <f>IFERROR(__xludf.DUMMYFUNCTION("""COMPUTED_VALUE"""),"34")</f>
        <v>34</v>
      </c>
    </row>
    <row r="403" ht="15.75" customHeight="1">
      <c r="A403" s="3">
        <f>IFERROR(__xludf.DUMMYFUNCTION("""COMPUTED_VALUE"""),30000.0)</f>
        <v>30000</v>
      </c>
      <c r="B403" s="1" t="str">
        <f>IFERROR(__xludf.DUMMYFUNCTION("""COMPUTED_VALUE"""),"67")</f>
        <v>67</v>
      </c>
    </row>
    <row r="404" ht="15.75" customHeight="1">
      <c r="A404" s="3">
        <f>IFERROR(__xludf.DUMMYFUNCTION("""COMPUTED_VALUE"""),40000.0)</f>
        <v>40000</v>
      </c>
      <c r="B404" s="1" t="str">
        <f>IFERROR(__xludf.DUMMYFUNCTION("""COMPUTED_VALUE"""),"35")</f>
        <v>35</v>
      </c>
    </row>
    <row r="405" ht="15.75" customHeight="1">
      <c r="A405" s="3">
        <f>IFERROR(__xludf.DUMMYFUNCTION("""COMPUTED_VALUE"""),80000.0)</f>
        <v>80000</v>
      </c>
      <c r="B405" s="1" t="str">
        <f>IFERROR(__xludf.DUMMYFUNCTION("""COMPUTED_VALUE"""),"40")</f>
        <v>40</v>
      </c>
    </row>
    <row r="406" ht="15.75" customHeight="1">
      <c r="A406" s="3">
        <f>IFERROR(__xludf.DUMMYFUNCTION("""COMPUTED_VALUE"""),60000.0)</f>
        <v>60000</v>
      </c>
      <c r="B406" s="1" t="str">
        <f>IFERROR(__xludf.DUMMYFUNCTION("""COMPUTED_VALUE"""),"37")</f>
        <v>37</v>
      </c>
    </row>
    <row r="407" ht="15.75" customHeight="1">
      <c r="A407" s="3">
        <f>IFERROR(__xludf.DUMMYFUNCTION("""COMPUTED_VALUE"""),30000.0)</f>
        <v>30000</v>
      </c>
      <c r="B407" s="1" t="str">
        <f>IFERROR(__xludf.DUMMYFUNCTION("""COMPUTED_VALUE"""),"67")</f>
        <v>67</v>
      </c>
    </row>
    <row r="408" ht="15.75" customHeight="1">
      <c r="A408" s="3">
        <f>IFERROR(__xludf.DUMMYFUNCTION("""COMPUTED_VALUE"""),30000.0)</f>
        <v>30000</v>
      </c>
      <c r="B408" s="1" t="str">
        <f>IFERROR(__xludf.DUMMYFUNCTION("""COMPUTED_VALUE"""),"41")</f>
        <v>41</v>
      </c>
    </row>
    <row r="409" ht="15.75" customHeight="1">
      <c r="A409" s="3">
        <f>IFERROR(__xludf.DUMMYFUNCTION("""COMPUTED_VALUE"""),10000.0)</f>
        <v>10000</v>
      </c>
      <c r="B409" s="1" t="str">
        <f>IFERROR(__xludf.DUMMYFUNCTION("""COMPUTED_VALUE"""),"51")</f>
        <v>51</v>
      </c>
    </row>
    <row r="410" ht="15.75" customHeight="1">
      <c r="A410" s="3">
        <f>IFERROR(__xludf.DUMMYFUNCTION("""COMPUTED_VALUE"""),100000.0)</f>
        <v>100000</v>
      </c>
      <c r="B410" s="1" t="str">
        <f>IFERROR(__xludf.DUMMYFUNCTION("""COMPUTED_VALUE"""),"59")</f>
        <v>59</v>
      </c>
    </row>
    <row r="411" ht="15.75" customHeight="1">
      <c r="A411" s="3">
        <f>IFERROR(__xludf.DUMMYFUNCTION("""COMPUTED_VALUE"""),10000.0)</f>
        <v>10000</v>
      </c>
      <c r="B411" s="1" t="str">
        <f>IFERROR(__xludf.DUMMYFUNCTION("""COMPUTED_VALUE"""),"51")</f>
        <v>51</v>
      </c>
    </row>
    <row r="412" ht="15.75" customHeight="1">
      <c r="A412" s="3">
        <f>IFERROR(__xludf.DUMMYFUNCTION("""COMPUTED_VALUE"""),110000.0)</f>
        <v>110000</v>
      </c>
      <c r="B412" s="1" t="str">
        <f>IFERROR(__xludf.DUMMYFUNCTION("""COMPUTED_VALUE"""),"32")</f>
        <v>32</v>
      </c>
    </row>
    <row r="413" ht="15.75" customHeight="1">
      <c r="A413" s="3">
        <f>IFERROR(__xludf.DUMMYFUNCTION("""COMPUTED_VALUE"""),30000.0)</f>
        <v>30000</v>
      </c>
      <c r="B413" s="1" t="str">
        <f>IFERROR(__xludf.DUMMYFUNCTION("""COMPUTED_VALUE"""),"34")</f>
        <v>34</v>
      </c>
    </row>
    <row r="414" ht="15.75" customHeight="1">
      <c r="A414" s="3">
        <f>IFERROR(__xludf.DUMMYFUNCTION("""COMPUTED_VALUE"""),10000.0)</f>
        <v>10000</v>
      </c>
      <c r="B414" s="1" t="str">
        <f>IFERROR(__xludf.DUMMYFUNCTION("""COMPUTED_VALUE"""),"43")</f>
        <v>43</v>
      </c>
    </row>
    <row r="415" ht="15.75" customHeight="1">
      <c r="A415" s="3">
        <f>IFERROR(__xludf.DUMMYFUNCTION("""COMPUTED_VALUE"""),40000.0)</f>
        <v>40000</v>
      </c>
      <c r="B415" s="1" t="str">
        <f>IFERROR(__xludf.DUMMYFUNCTION("""COMPUTED_VALUE"""),"67")</f>
        <v>67</v>
      </c>
    </row>
    <row r="416" ht="15.75" customHeight="1">
      <c r="A416" s="3">
        <f>IFERROR(__xludf.DUMMYFUNCTION("""COMPUTED_VALUE"""),30000.0)</f>
        <v>30000</v>
      </c>
      <c r="B416" s="1" t="str">
        <f>IFERROR(__xludf.DUMMYFUNCTION("""COMPUTED_VALUE"""),"28")</f>
        <v>28</v>
      </c>
    </row>
    <row r="417" ht="15.75" customHeight="1">
      <c r="A417" s="3">
        <f>IFERROR(__xludf.DUMMYFUNCTION("""COMPUTED_VALUE"""),90000.0)</f>
        <v>90000</v>
      </c>
      <c r="B417" s="1" t="str">
        <f>IFERROR(__xludf.DUMMYFUNCTION("""COMPUTED_VALUE"""),"36")</f>
        <v>36</v>
      </c>
    </row>
    <row r="418" ht="15.75" customHeight="1">
      <c r="A418" s="3">
        <f>IFERROR(__xludf.DUMMYFUNCTION("""COMPUTED_VALUE"""),110000.0)</f>
        <v>110000</v>
      </c>
      <c r="B418" s="1" t="str">
        <f>IFERROR(__xludf.DUMMYFUNCTION("""COMPUTED_VALUE"""),"48")</f>
        <v>48</v>
      </c>
    </row>
    <row r="419" ht="15.75" customHeight="1">
      <c r="A419" s="3">
        <f>IFERROR(__xludf.DUMMYFUNCTION("""COMPUTED_VALUE"""),30000.0)</f>
        <v>30000</v>
      </c>
      <c r="B419" s="1" t="str">
        <f>IFERROR(__xludf.DUMMYFUNCTION("""COMPUTED_VALUE"""),"31")</f>
        <v>31</v>
      </c>
    </row>
    <row r="420" ht="15.75" customHeight="1">
      <c r="A420" s="3">
        <f>IFERROR(__xludf.DUMMYFUNCTION("""COMPUTED_VALUE"""),30000.0)</f>
        <v>30000</v>
      </c>
      <c r="B420" s="1" t="str">
        <f>IFERROR(__xludf.DUMMYFUNCTION("""COMPUTED_VALUE"""),"55")</f>
        <v>55</v>
      </c>
    </row>
    <row r="421" ht="15.75" customHeight="1">
      <c r="A421" s="3">
        <f>IFERROR(__xludf.DUMMYFUNCTION("""COMPUTED_VALUE"""),20000.0)</f>
        <v>20000</v>
      </c>
      <c r="B421" s="1" t="str">
        <f>IFERROR(__xludf.DUMMYFUNCTION("""COMPUTED_VALUE"""),"28")</f>
        <v>28</v>
      </c>
    </row>
    <row r="422" ht="15.75" customHeight="1">
      <c r="A422" s="3">
        <f>IFERROR(__xludf.DUMMYFUNCTION("""COMPUTED_VALUE"""),110000.0)</f>
        <v>110000</v>
      </c>
      <c r="B422" s="1" t="str">
        <f>IFERROR(__xludf.DUMMYFUNCTION("""COMPUTED_VALUE"""),"34")</f>
        <v>34</v>
      </c>
    </row>
    <row r="423" ht="15.75" customHeight="1">
      <c r="A423" s="3">
        <f>IFERROR(__xludf.DUMMYFUNCTION("""COMPUTED_VALUE"""),30000.0)</f>
        <v>30000</v>
      </c>
      <c r="B423" s="1" t="str">
        <f>IFERROR(__xludf.DUMMYFUNCTION("""COMPUTED_VALUE"""),"26")</f>
        <v>26</v>
      </c>
    </row>
    <row r="424" ht="15.75" customHeight="1">
      <c r="A424" s="3">
        <f>IFERROR(__xludf.DUMMYFUNCTION("""COMPUTED_VALUE"""),30000.0)</f>
        <v>30000</v>
      </c>
      <c r="B424" s="1" t="str">
        <f>IFERROR(__xludf.DUMMYFUNCTION("""COMPUTED_VALUE"""),"53")</f>
        <v>53</v>
      </c>
    </row>
    <row r="425" ht="15.75" customHeight="1">
      <c r="A425" s="3">
        <f>IFERROR(__xludf.DUMMYFUNCTION("""COMPUTED_VALUE"""),10000.0)</f>
        <v>10000</v>
      </c>
      <c r="B425" s="1" t="str">
        <f>IFERROR(__xludf.DUMMYFUNCTION("""COMPUTED_VALUE"""),"68")</f>
        <v>68</v>
      </c>
    </row>
    <row r="426" ht="15.75" customHeight="1">
      <c r="A426" s="3">
        <f>IFERROR(__xludf.DUMMYFUNCTION("""COMPUTED_VALUE"""),80000.0)</f>
        <v>80000</v>
      </c>
      <c r="B426" s="1" t="str">
        <f>IFERROR(__xludf.DUMMYFUNCTION("""COMPUTED_VALUE"""),"50")</f>
        <v>50</v>
      </c>
    </row>
    <row r="427" ht="15.75" customHeight="1">
      <c r="A427" s="3">
        <f>IFERROR(__xludf.DUMMYFUNCTION("""COMPUTED_VALUE"""),30000.0)</f>
        <v>30000</v>
      </c>
      <c r="B427" s="1" t="str">
        <f>IFERROR(__xludf.DUMMYFUNCTION("""COMPUTED_VALUE"""),"28")</f>
        <v>28</v>
      </c>
    </row>
    <row r="428" ht="15.75" customHeight="1">
      <c r="A428" s="3">
        <f>IFERROR(__xludf.DUMMYFUNCTION("""COMPUTED_VALUE"""),80000.0)</f>
        <v>80000</v>
      </c>
      <c r="B428" s="1" t="str">
        <f>IFERROR(__xludf.DUMMYFUNCTION("""COMPUTED_VALUE"""),"40")</f>
        <v>40</v>
      </c>
    </row>
    <row r="429" ht="15.75" customHeight="1">
      <c r="A429" s="3">
        <f>IFERROR(__xludf.DUMMYFUNCTION("""COMPUTED_VALUE"""),70000.0)</f>
        <v>70000</v>
      </c>
      <c r="B429" s="1" t="str">
        <f>IFERROR(__xludf.DUMMYFUNCTION("""COMPUTED_VALUE"""),"44")</f>
        <v>44</v>
      </c>
    </row>
    <row r="430" ht="15.75" customHeight="1">
      <c r="A430" s="3">
        <f>IFERROR(__xludf.DUMMYFUNCTION("""COMPUTED_VALUE"""),90000.0)</f>
        <v>90000</v>
      </c>
      <c r="B430" s="1" t="str">
        <f>IFERROR(__xludf.DUMMYFUNCTION("""COMPUTED_VALUE"""),"34")</f>
        <v>34</v>
      </c>
    </row>
    <row r="431" ht="15.75" customHeight="1">
      <c r="A431" s="3">
        <f>IFERROR(__xludf.DUMMYFUNCTION("""COMPUTED_VALUE"""),80000.0)</f>
        <v>80000</v>
      </c>
      <c r="B431" s="1" t="str">
        <f>IFERROR(__xludf.DUMMYFUNCTION("""COMPUTED_VALUE"""),"36")</f>
        <v>36</v>
      </c>
    </row>
    <row r="432" ht="15.75" customHeight="1">
      <c r="A432" s="3">
        <f>IFERROR(__xludf.DUMMYFUNCTION("""COMPUTED_VALUE"""),40000.0)</f>
        <v>40000</v>
      </c>
      <c r="B432" s="1" t="str">
        <f>IFERROR(__xludf.DUMMYFUNCTION("""COMPUTED_VALUE"""),"43")</f>
        <v>43</v>
      </c>
    </row>
    <row r="433" ht="15.75" customHeight="1">
      <c r="A433" s="3">
        <f>IFERROR(__xludf.DUMMYFUNCTION("""COMPUTED_VALUE"""),30000.0)</f>
        <v>30000</v>
      </c>
      <c r="B433" s="1" t="str">
        <f>IFERROR(__xludf.DUMMYFUNCTION("""COMPUTED_VALUE"""),"32")</f>
        <v>32</v>
      </c>
    </row>
    <row r="434" ht="15.75" customHeight="1">
      <c r="A434" s="3">
        <f>IFERROR(__xludf.DUMMYFUNCTION("""COMPUTED_VALUE"""),40000.0)</f>
        <v>40000</v>
      </c>
      <c r="B434" s="1" t="str">
        <f>IFERROR(__xludf.DUMMYFUNCTION("""COMPUTED_VALUE"""),"32")</f>
        <v>32</v>
      </c>
    </row>
    <row r="435" ht="15.75" customHeight="1">
      <c r="A435" s="3">
        <f>IFERROR(__xludf.DUMMYFUNCTION("""COMPUTED_VALUE"""),130000.0)</f>
        <v>130000</v>
      </c>
      <c r="B435" s="1" t="str">
        <f>IFERROR(__xludf.DUMMYFUNCTION("""COMPUTED_VALUE"""),"48")</f>
        <v>48</v>
      </c>
    </row>
    <row r="436" ht="15.75" customHeight="1">
      <c r="A436" s="3">
        <f>IFERROR(__xludf.DUMMYFUNCTION("""COMPUTED_VALUE"""),40000.0)</f>
        <v>40000</v>
      </c>
      <c r="B436" s="1" t="str">
        <f>IFERROR(__xludf.DUMMYFUNCTION("""COMPUTED_VALUE"""),"32")</f>
        <v>32</v>
      </c>
    </row>
    <row r="437" ht="15.75" customHeight="1">
      <c r="A437" s="3">
        <f>IFERROR(__xludf.DUMMYFUNCTION("""COMPUTED_VALUE"""),40000.0)</f>
        <v>40000</v>
      </c>
      <c r="B437" s="1" t="str">
        <f>IFERROR(__xludf.DUMMYFUNCTION("""COMPUTED_VALUE"""),"42")</f>
        <v>42</v>
      </c>
    </row>
    <row r="438" ht="15.75" customHeight="1">
      <c r="A438" s="3">
        <f>IFERROR(__xludf.DUMMYFUNCTION("""COMPUTED_VALUE"""),10000.0)</f>
        <v>10000</v>
      </c>
      <c r="B438" s="1" t="str">
        <f>IFERROR(__xludf.DUMMYFUNCTION("""COMPUTED_VALUE"""),"36")</f>
        <v>36</v>
      </c>
    </row>
    <row r="439" ht="15.75" customHeight="1">
      <c r="A439" s="3">
        <f>IFERROR(__xludf.DUMMYFUNCTION("""COMPUTED_VALUE"""),40000.0)</f>
        <v>40000</v>
      </c>
      <c r="B439" s="1" t="str">
        <f>IFERROR(__xludf.DUMMYFUNCTION("""COMPUTED_VALUE"""),"41")</f>
        <v>41</v>
      </c>
    </row>
    <row r="440" ht="15.75" customHeight="1">
      <c r="A440" s="3">
        <f>IFERROR(__xludf.DUMMYFUNCTION("""COMPUTED_VALUE"""),30000.0)</f>
        <v>30000</v>
      </c>
      <c r="B440" s="1" t="str">
        <f>IFERROR(__xludf.DUMMYFUNCTION("""COMPUTED_VALUE"""),"69")</f>
        <v>69</v>
      </c>
    </row>
    <row r="441" ht="15.75" customHeight="1">
      <c r="A441" s="3">
        <f>IFERROR(__xludf.DUMMYFUNCTION("""COMPUTED_VALUE"""),70000.0)</f>
        <v>70000</v>
      </c>
      <c r="B441" s="1" t="str">
        <f>IFERROR(__xludf.DUMMYFUNCTION("""COMPUTED_VALUE"""),"45")</f>
        <v>45</v>
      </c>
    </row>
    <row r="442" ht="15.75" customHeight="1">
      <c r="A442" s="3">
        <f>IFERROR(__xludf.DUMMYFUNCTION("""COMPUTED_VALUE"""),30000.0)</f>
        <v>30000</v>
      </c>
      <c r="B442" s="1" t="str">
        <f>IFERROR(__xludf.DUMMYFUNCTION("""COMPUTED_VALUE"""),"34")</f>
        <v>34</v>
      </c>
    </row>
    <row r="443" ht="15.75" customHeight="1">
      <c r="A443" s="3">
        <f>IFERROR(__xludf.DUMMYFUNCTION("""COMPUTED_VALUE"""),80000.0)</f>
        <v>80000</v>
      </c>
      <c r="B443" s="1" t="str">
        <f>IFERROR(__xludf.DUMMYFUNCTION("""COMPUTED_VALUE"""),"53")</f>
        <v>53</v>
      </c>
    </row>
    <row r="444" ht="15.75" customHeight="1">
      <c r="A444" s="3">
        <f>IFERROR(__xludf.DUMMYFUNCTION("""COMPUTED_VALUE"""),120000.0)</f>
        <v>120000</v>
      </c>
      <c r="B444" s="1" t="str">
        <f>IFERROR(__xludf.DUMMYFUNCTION("""COMPUTED_VALUE"""),"50")</f>
        <v>50</v>
      </c>
    </row>
    <row r="445" ht="15.75" customHeight="1">
      <c r="A445" s="3">
        <f>IFERROR(__xludf.DUMMYFUNCTION("""COMPUTED_VALUE"""),20000.0)</f>
        <v>20000</v>
      </c>
      <c r="B445" s="1" t="str">
        <f>IFERROR(__xludf.DUMMYFUNCTION("""COMPUTED_VALUE"""),"65")</f>
        <v>65</v>
      </c>
    </row>
    <row r="446" ht="15.75" customHeight="1">
      <c r="A446" s="3">
        <f>IFERROR(__xludf.DUMMYFUNCTION("""COMPUTED_VALUE"""),120000.0)</f>
        <v>120000</v>
      </c>
      <c r="B446" s="1" t="str">
        <f>IFERROR(__xludf.DUMMYFUNCTION("""COMPUTED_VALUE"""),"32")</f>
        <v>32</v>
      </c>
    </row>
    <row r="447" ht="15.75" customHeight="1">
      <c r="A447" s="3">
        <f>IFERROR(__xludf.DUMMYFUNCTION("""COMPUTED_VALUE"""),80000.0)</f>
        <v>80000</v>
      </c>
      <c r="B447" s="1" t="str">
        <f>IFERROR(__xludf.DUMMYFUNCTION("""COMPUTED_VALUE"""),"33")</f>
        <v>33</v>
      </c>
    </row>
    <row r="448" ht="15.75" customHeight="1">
      <c r="A448" s="3">
        <f>IFERROR(__xludf.DUMMYFUNCTION("""COMPUTED_VALUE"""),20000.0)</f>
        <v>20000</v>
      </c>
      <c r="B448" s="1" t="str">
        <f>IFERROR(__xludf.DUMMYFUNCTION("""COMPUTED_VALUE"""),"31")</f>
        <v>31</v>
      </c>
    </row>
    <row r="449" ht="15.75" customHeight="1">
      <c r="A449" s="3">
        <f>IFERROR(__xludf.DUMMYFUNCTION("""COMPUTED_VALUE"""),120000.0)</f>
        <v>120000</v>
      </c>
      <c r="B449" s="1" t="str">
        <f>IFERROR(__xludf.DUMMYFUNCTION("""COMPUTED_VALUE"""),"46")</f>
        <v>46</v>
      </c>
    </row>
    <row r="450" ht="15.75" customHeight="1">
      <c r="A450" s="3">
        <f>IFERROR(__xludf.DUMMYFUNCTION("""COMPUTED_VALUE"""),40000.0)</f>
        <v>40000</v>
      </c>
      <c r="B450" s="1" t="str">
        <f>IFERROR(__xludf.DUMMYFUNCTION("""COMPUTED_VALUE"""),"39")</f>
        <v>39</v>
      </c>
    </row>
    <row r="451" ht="15.75" customHeight="1">
      <c r="A451" s="3">
        <f>IFERROR(__xludf.DUMMYFUNCTION("""COMPUTED_VALUE"""),20000.0)</f>
        <v>20000</v>
      </c>
      <c r="B451" s="1" t="str">
        <f>IFERROR(__xludf.DUMMYFUNCTION("""COMPUTED_VALUE"""),"40")</f>
        <v>40</v>
      </c>
    </row>
    <row r="452" ht="15.75" customHeight="1">
      <c r="A452" s="3">
        <f>IFERROR(__xludf.DUMMYFUNCTION("""COMPUTED_VALUE"""),30000.0)</f>
        <v>30000</v>
      </c>
      <c r="B452" s="1" t="str">
        <f>IFERROR(__xludf.DUMMYFUNCTION("""COMPUTED_VALUE"""),"46")</f>
        <v>46</v>
      </c>
    </row>
    <row r="453" ht="15.75" customHeight="1">
      <c r="A453" s="3">
        <f>IFERROR(__xludf.DUMMYFUNCTION("""COMPUTED_VALUE"""),40000.0)</f>
        <v>40000</v>
      </c>
      <c r="B453" s="1" t="str">
        <f>IFERROR(__xludf.DUMMYFUNCTION("""COMPUTED_VALUE"""),"65")</f>
        <v>65</v>
      </c>
    </row>
    <row r="454" ht="15.75" customHeight="1">
      <c r="A454" s="3">
        <f>IFERROR(__xludf.DUMMYFUNCTION("""COMPUTED_VALUE"""),30000.0)</f>
        <v>30000</v>
      </c>
      <c r="B454" s="1" t="str">
        <f>IFERROR(__xludf.DUMMYFUNCTION("""COMPUTED_VALUE"""),"47")</f>
        <v>47</v>
      </c>
    </row>
    <row r="455" ht="15.75" customHeight="1">
      <c r="A455" s="3">
        <f>IFERROR(__xludf.DUMMYFUNCTION("""COMPUTED_VALUE"""),100000.0)</f>
        <v>100000</v>
      </c>
      <c r="B455" s="1" t="str">
        <f>IFERROR(__xludf.DUMMYFUNCTION("""COMPUTED_VALUE"""),"46")</f>
        <v>46</v>
      </c>
    </row>
    <row r="456" ht="15.75" customHeight="1">
      <c r="A456" s="3">
        <f>IFERROR(__xludf.DUMMYFUNCTION("""COMPUTED_VALUE"""),80000.0)</f>
        <v>80000</v>
      </c>
      <c r="B456" s="1" t="str">
        <f>IFERROR(__xludf.DUMMYFUNCTION("""COMPUTED_VALUE"""),"40")</f>
        <v>40</v>
      </c>
    </row>
    <row r="457" ht="15.75" customHeight="1">
      <c r="A457" s="3">
        <f>IFERROR(__xludf.DUMMYFUNCTION("""COMPUTED_VALUE"""),30000.0)</f>
        <v>30000</v>
      </c>
      <c r="B457" s="1" t="str">
        <f>IFERROR(__xludf.DUMMYFUNCTION("""COMPUTED_VALUE"""),"65")</f>
        <v>65</v>
      </c>
    </row>
    <row r="458" ht="15.75" customHeight="1">
      <c r="A458" s="3">
        <f>IFERROR(__xludf.DUMMYFUNCTION("""COMPUTED_VALUE"""),30000.0)</f>
        <v>30000</v>
      </c>
      <c r="B458" s="1" t="str">
        <f>IFERROR(__xludf.DUMMYFUNCTION("""COMPUTED_VALUE"""),"28")</f>
        <v>28</v>
      </c>
    </row>
    <row r="459" ht="15.75" customHeight="1">
      <c r="A459" s="3">
        <f>IFERROR(__xludf.DUMMYFUNCTION("""COMPUTED_VALUE"""),70000.0)</f>
        <v>70000</v>
      </c>
      <c r="B459" s="1" t="str">
        <f>IFERROR(__xludf.DUMMYFUNCTION("""COMPUTED_VALUE"""),"43")</f>
        <v>43</v>
      </c>
    </row>
    <row r="460" ht="15.75" customHeight="1">
      <c r="A460" s="3">
        <f>IFERROR(__xludf.DUMMYFUNCTION("""COMPUTED_VALUE"""),40000.0)</f>
        <v>40000</v>
      </c>
      <c r="B460" s="1" t="str">
        <f>IFERROR(__xludf.DUMMYFUNCTION("""COMPUTED_VALUE"""),"38")</f>
        <v>38</v>
      </c>
    </row>
    <row r="461" ht="15.75" customHeight="1">
      <c r="A461" s="3">
        <f>IFERROR(__xludf.DUMMYFUNCTION("""COMPUTED_VALUE"""),30000.0)</f>
        <v>30000</v>
      </c>
      <c r="B461" s="1" t="str">
        <f>IFERROR(__xludf.DUMMYFUNCTION("""COMPUTED_VALUE"""),"47")</f>
        <v>47</v>
      </c>
    </row>
    <row r="462" ht="15.75" customHeight="1">
      <c r="A462" s="3">
        <f>IFERROR(__xludf.DUMMYFUNCTION("""COMPUTED_VALUE"""),90000.0)</f>
        <v>90000</v>
      </c>
      <c r="B462" s="1" t="str">
        <f>IFERROR(__xludf.DUMMYFUNCTION("""COMPUTED_VALUE"""),"36")</f>
        <v>36</v>
      </c>
    </row>
    <row r="463" ht="15.75" customHeight="1">
      <c r="A463" s="3">
        <f>IFERROR(__xludf.DUMMYFUNCTION("""COMPUTED_VALUE"""),20000.0)</f>
        <v>20000</v>
      </c>
      <c r="B463" s="1" t="str">
        <f>IFERROR(__xludf.DUMMYFUNCTION("""COMPUTED_VALUE"""),"60")</f>
        <v>60</v>
      </c>
    </row>
    <row r="464" ht="15.75" customHeight="1">
      <c r="A464" s="3">
        <f>IFERROR(__xludf.DUMMYFUNCTION("""COMPUTED_VALUE"""),70000.0)</f>
        <v>70000</v>
      </c>
      <c r="B464" s="1" t="str">
        <f>IFERROR(__xludf.DUMMYFUNCTION("""COMPUTED_VALUE"""),"42")</f>
        <v>42</v>
      </c>
    </row>
    <row r="465" ht="15.75" customHeight="1">
      <c r="A465" s="3">
        <f>IFERROR(__xludf.DUMMYFUNCTION("""COMPUTED_VALUE"""),70000.0)</f>
        <v>70000</v>
      </c>
      <c r="B465" s="1" t="str">
        <f>IFERROR(__xludf.DUMMYFUNCTION("""COMPUTED_VALUE"""),"50")</f>
        <v>50</v>
      </c>
    </row>
    <row r="466" ht="15.75" customHeight="1">
      <c r="A466" s="3">
        <f>IFERROR(__xludf.DUMMYFUNCTION("""COMPUTED_VALUE"""),30000.0)</f>
        <v>30000</v>
      </c>
      <c r="B466" s="1" t="str">
        <f>IFERROR(__xludf.DUMMYFUNCTION("""COMPUTED_VALUE"""),"35")</f>
        <v>35</v>
      </c>
    </row>
    <row r="467" ht="15.75" customHeight="1">
      <c r="A467" s="3">
        <f>IFERROR(__xludf.DUMMYFUNCTION("""COMPUTED_VALUE"""),40000.0)</f>
        <v>40000</v>
      </c>
      <c r="B467" s="1" t="str">
        <f>IFERROR(__xludf.DUMMYFUNCTION("""COMPUTED_VALUE"""),"32")</f>
        <v>32</v>
      </c>
    </row>
    <row r="468" ht="15.75" customHeight="1">
      <c r="A468" s="3">
        <f>IFERROR(__xludf.DUMMYFUNCTION("""COMPUTED_VALUE"""),90000.0)</f>
        <v>90000</v>
      </c>
      <c r="B468" s="1" t="str">
        <f>IFERROR(__xludf.DUMMYFUNCTION("""COMPUTED_VALUE"""),"46")</f>
        <v>46</v>
      </c>
    </row>
    <row r="469" ht="15.75" customHeight="1">
      <c r="A469" s="3">
        <f>IFERROR(__xludf.DUMMYFUNCTION("""COMPUTED_VALUE"""),40000.0)</f>
        <v>40000</v>
      </c>
      <c r="B469" s="1" t="str">
        <f>IFERROR(__xludf.DUMMYFUNCTION("""COMPUTED_VALUE"""),"33")</f>
        <v>33</v>
      </c>
    </row>
    <row r="470" ht="15.75" customHeight="1">
      <c r="A470" s="3">
        <f>IFERROR(__xludf.DUMMYFUNCTION("""COMPUTED_VALUE"""),40000.0)</f>
        <v>40000</v>
      </c>
      <c r="B470" s="1" t="str">
        <f>IFERROR(__xludf.DUMMYFUNCTION("""COMPUTED_VALUE"""),"36")</f>
        <v>36</v>
      </c>
    </row>
    <row r="471" ht="15.75" customHeight="1">
      <c r="A471" s="3">
        <f>IFERROR(__xludf.DUMMYFUNCTION("""COMPUTED_VALUE"""),10000.0)</f>
        <v>10000</v>
      </c>
      <c r="B471" s="1" t="str">
        <f>IFERROR(__xludf.DUMMYFUNCTION("""COMPUTED_VALUE"""),"70")</f>
        <v>70</v>
      </c>
    </row>
    <row r="472" ht="15.75" customHeight="1">
      <c r="A472" s="3">
        <f>IFERROR(__xludf.DUMMYFUNCTION("""COMPUTED_VALUE"""),30000.0)</f>
        <v>30000</v>
      </c>
      <c r="B472" s="1" t="str">
        <f>IFERROR(__xludf.DUMMYFUNCTION("""COMPUTED_VALUE"""),"31")</f>
        <v>31</v>
      </c>
    </row>
    <row r="473" ht="15.75" customHeight="1">
      <c r="A473" s="3">
        <f>IFERROR(__xludf.DUMMYFUNCTION("""COMPUTED_VALUE"""),30000.0)</f>
        <v>30000</v>
      </c>
      <c r="B473" s="1" t="str">
        <f>IFERROR(__xludf.DUMMYFUNCTION("""COMPUTED_VALUE"""),"42")</f>
        <v>42</v>
      </c>
    </row>
    <row r="474" ht="15.75" customHeight="1">
      <c r="A474" s="3">
        <f>IFERROR(__xludf.DUMMYFUNCTION("""COMPUTED_VALUE"""),90000.0)</f>
        <v>90000</v>
      </c>
      <c r="B474" s="1" t="str">
        <f>IFERROR(__xludf.DUMMYFUNCTION("""COMPUTED_VALUE"""),"58")</f>
        <v>58</v>
      </c>
    </row>
    <row r="475" ht="15.75" customHeight="1">
      <c r="A475" s="3">
        <f>IFERROR(__xludf.DUMMYFUNCTION("""COMPUTED_VALUE"""),40000.0)</f>
        <v>40000</v>
      </c>
      <c r="B475" s="1" t="str">
        <f>IFERROR(__xludf.DUMMYFUNCTION("""COMPUTED_VALUE"""),"39")</f>
        <v>39</v>
      </c>
    </row>
    <row r="476" ht="15.75" customHeight="1">
      <c r="A476" s="3">
        <f>IFERROR(__xludf.DUMMYFUNCTION("""COMPUTED_VALUE"""),10000.0)</f>
        <v>10000</v>
      </c>
      <c r="B476" s="1" t="str">
        <f>IFERROR(__xludf.DUMMYFUNCTION("""COMPUTED_VALUE"""),"34")</f>
        <v>34</v>
      </c>
    </row>
    <row r="477" ht="15.75" customHeight="1">
      <c r="A477" s="3">
        <f>IFERROR(__xludf.DUMMYFUNCTION("""COMPUTED_VALUE"""),20000.0)</f>
        <v>20000</v>
      </c>
      <c r="B477" s="1" t="str">
        <f>IFERROR(__xludf.DUMMYFUNCTION("""COMPUTED_VALUE"""),"32")</f>
        <v>32</v>
      </c>
    </row>
    <row r="478" ht="15.75" customHeight="1">
      <c r="A478" s="3">
        <f>IFERROR(__xludf.DUMMYFUNCTION("""COMPUTED_VALUE"""),60000.0)</f>
        <v>60000</v>
      </c>
      <c r="B478" s="1" t="str">
        <f>IFERROR(__xludf.DUMMYFUNCTION("""COMPUTED_VALUE"""),"46")</f>
        <v>46</v>
      </c>
    </row>
    <row r="479" ht="15.75" customHeight="1">
      <c r="A479" s="3">
        <f>IFERROR(__xludf.DUMMYFUNCTION("""COMPUTED_VALUE"""),70000.0)</f>
        <v>70000</v>
      </c>
      <c r="B479" s="1" t="str">
        <f>IFERROR(__xludf.DUMMYFUNCTION("""COMPUTED_VALUE"""),"48")</f>
        <v>48</v>
      </c>
    </row>
    <row r="480" ht="15.75" customHeight="1">
      <c r="A480" s="3">
        <f>IFERROR(__xludf.DUMMYFUNCTION("""COMPUTED_VALUE"""),40000.0)</f>
        <v>40000</v>
      </c>
      <c r="B480" s="1" t="str">
        <f>IFERROR(__xludf.DUMMYFUNCTION("""COMPUTED_VALUE"""),"31")</f>
        <v>31</v>
      </c>
    </row>
    <row r="481" ht="15.75" customHeight="1">
      <c r="A481" s="3">
        <f>IFERROR(__xludf.DUMMYFUNCTION("""COMPUTED_VALUE"""),70000.0)</f>
        <v>70000</v>
      </c>
      <c r="B481" s="1" t="str">
        <f>IFERROR(__xludf.DUMMYFUNCTION("""COMPUTED_VALUE"""),"60")</f>
        <v>60</v>
      </c>
    </row>
    <row r="482" ht="15.75" customHeight="1">
      <c r="A482" s="3">
        <f>IFERROR(__xludf.DUMMYFUNCTION("""COMPUTED_VALUE"""),70000.0)</f>
        <v>70000</v>
      </c>
      <c r="B482" s="1" t="str">
        <f>IFERROR(__xludf.DUMMYFUNCTION("""COMPUTED_VALUE"""),"51")</f>
        <v>51</v>
      </c>
    </row>
    <row r="483" ht="15.75" customHeight="1">
      <c r="A483" s="3">
        <f>IFERROR(__xludf.DUMMYFUNCTION("""COMPUTED_VALUE"""),60000.0)</f>
        <v>60000</v>
      </c>
      <c r="B483" s="1" t="str">
        <f>IFERROR(__xludf.DUMMYFUNCTION("""COMPUTED_VALUE"""),"56")</f>
        <v>56</v>
      </c>
    </row>
    <row r="484" ht="15.75" customHeight="1">
      <c r="A484" s="3">
        <f>IFERROR(__xludf.DUMMYFUNCTION("""COMPUTED_VALUE"""),60000.0)</f>
        <v>60000</v>
      </c>
      <c r="B484" s="1" t="str">
        <f>IFERROR(__xludf.DUMMYFUNCTION("""COMPUTED_VALUE"""),"40")</f>
        <v>40</v>
      </c>
    </row>
    <row r="485" ht="15.75" customHeight="1">
      <c r="A485" s="3">
        <f>IFERROR(__xludf.DUMMYFUNCTION("""COMPUTED_VALUE"""),70000.0)</f>
        <v>70000</v>
      </c>
      <c r="B485" s="1" t="str">
        <f>IFERROR(__xludf.DUMMYFUNCTION("""COMPUTED_VALUE"""),"34")</f>
        <v>34</v>
      </c>
    </row>
    <row r="486" ht="15.75" customHeight="1">
      <c r="A486" s="3">
        <f>IFERROR(__xludf.DUMMYFUNCTION("""COMPUTED_VALUE"""),80000.0)</f>
        <v>80000</v>
      </c>
      <c r="B486" s="1" t="str">
        <f>IFERROR(__xludf.DUMMYFUNCTION("""COMPUTED_VALUE"""),"48")</f>
        <v>48</v>
      </c>
    </row>
    <row r="487" ht="15.75" customHeight="1">
      <c r="A487" s="3">
        <f>IFERROR(__xludf.DUMMYFUNCTION("""COMPUTED_VALUE"""),40000.0)</f>
        <v>40000</v>
      </c>
      <c r="B487" s="1" t="str">
        <f>IFERROR(__xludf.DUMMYFUNCTION("""COMPUTED_VALUE"""),"31")</f>
        <v>31</v>
      </c>
    </row>
    <row r="488" ht="15.75" customHeight="1">
      <c r="A488" s="3">
        <f>IFERROR(__xludf.DUMMYFUNCTION("""COMPUTED_VALUE"""),60000.0)</f>
        <v>60000</v>
      </c>
      <c r="B488" s="1" t="str">
        <f>IFERROR(__xludf.DUMMYFUNCTION("""COMPUTED_VALUE"""),"47")</f>
        <v>47</v>
      </c>
    </row>
    <row r="489" ht="15.75" customHeight="1">
      <c r="A489" s="3">
        <f>IFERROR(__xludf.DUMMYFUNCTION("""COMPUTED_VALUE"""),50000.0)</f>
        <v>50000</v>
      </c>
      <c r="B489" s="1" t="str">
        <f>IFERROR(__xludf.DUMMYFUNCTION("""COMPUTED_VALUE"""),"34")</f>
        <v>34</v>
      </c>
    </row>
    <row r="490" ht="15.75" customHeight="1">
      <c r="A490" s="3">
        <f>IFERROR(__xludf.DUMMYFUNCTION("""COMPUTED_VALUE"""),40000.0)</f>
        <v>40000</v>
      </c>
      <c r="B490" s="1" t="str">
        <f>IFERROR(__xludf.DUMMYFUNCTION("""COMPUTED_VALUE"""),"29")</f>
        <v>29</v>
      </c>
    </row>
    <row r="491" ht="15.75" customHeight="1">
      <c r="A491" s="3">
        <f>IFERROR(__xludf.DUMMYFUNCTION("""COMPUTED_VALUE"""),130000.0)</f>
        <v>130000</v>
      </c>
      <c r="B491" s="1" t="str">
        <f>IFERROR(__xludf.DUMMYFUNCTION("""COMPUTED_VALUE"""),"44")</f>
        <v>44</v>
      </c>
    </row>
    <row r="492" ht="15.75" customHeight="1">
      <c r="A492" s="3">
        <f>IFERROR(__xludf.DUMMYFUNCTION("""COMPUTED_VALUE"""),70000.0)</f>
        <v>70000</v>
      </c>
      <c r="B492" s="1" t="str">
        <f>IFERROR(__xludf.DUMMYFUNCTION("""COMPUTED_VALUE"""),"38")</f>
        <v>38</v>
      </c>
    </row>
    <row r="493" ht="15.75" customHeight="1">
      <c r="A493" s="3">
        <f>IFERROR(__xludf.DUMMYFUNCTION("""COMPUTED_VALUE"""),100000.0)</f>
        <v>100000</v>
      </c>
      <c r="B493" s="1" t="str">
        <f>IFERROR(__xludf.DUMMYFUNCTION("""COMPUTED_VALUE"""),"40")</f>
        <v>40</v>
      </c>
    </row>
    <row r="494" ht="15.75" customHeight="1">
      <c r="A494" s="3">
        <f>IFERROR(__xludf.DUMMYFUNCTION("""COMPUTED_VALUE"""),70000.0)</f>
        <v>70000</v>
      </c>
      <c r="B494" s="1" t="str">
        <f>IFERROR(__xludf.DUMMYFUNCTION("""COMPUTED_VALUE"""),"42")</f>
        <v>42</v>
      </c>
    </row>
    <row r="495" ht="15.75" customHeight="1">
      <c r="A495" s="3">
        <f>IFERROR(__xludf.DUMMYFUNCTION("""COMPUTED_VALUE"""),40000.0)</f>
        <v>40000</v>
      </c>
      <c r="B495" s="1" t="str">
        <f>IFERROR(__xludf.DUMMYFUNCTION("""COMPUTED_VALUE"""),"51")</f>
        <v>51</v>
      </c>
    </row>
    <row r="496" ht="15.75" customHeight="1">
      <c r="A496" s="3">
        <f>IFERROR(__xludf.DUMMYFUNCTION("""COMPUTED_VALUE"""),60000.0)</f>
        <v>60000</v>
      </c>
      <c r="B496" s="1" t="str">
        <f>IFERROR(__xludf.DUMMYFUNCTION("""COMPUTED_VALUE"""),"29")</f>
        <v>29</v>
      </c>
    </row>
    <row r="497" ht="15.75" customHeight="1">
      <c r="A497" s="3">
        <f>IFERROR(__xludf.DUMMYFUNCTION("""COMPUTED_VALUE"""),70000.0)</f>
        <v>70000</v>
      </c>
      <c r="B497" s="1" t="str">
        <f>IFERROR(__xludf.DUMMYFUNCTION("""COMPUTED_VALUE"""),"37")</f>
        <v>37</v>
      </c>
    </row>
    <row r="498" ht="15.75" customHeight="1">
      <c r="A498" s="3">
        <f>IFERROR(__xludf.DUMMYFUNCTION("""COMPUTED_VALUE"""),60000.0)</f>
        <v>60000</v>
      </c>
      <c r="B498" s="1" t="str">
        <f>IFERROR(__xludf.DUMMYFUNCTION("""COMPUTED_VALUE"""),"45")</f>
        <v>45</v>
      </c>
    </row>
    <row r="499" ht="15.75" customHeight="1">
      <c r="A499" s="3">
        <f>IFERROR(__xludf.DUMMYFUNCTION("""COMPUTED_VALUE"""),60000.0)</f>
        <v>60000</v>
      </c>
      <c r="B499" s="1" t="str">
        <f>IFERROR(__xludf.DUMMYFUNCTION("""COMPUTED_VALUE"""),"61")</f>
        <v>61</v>
      </c>
    </row>
    <row r="500" ht="15.75" customHeight="1">
      <c r="A500" s="3">
        <f>IFERROR(__xludf.DUMMYFUNCTION("""COMPUTED_VALUE"""),40000.0)</f>
        <v>40000</v>
      </c>
      <c r="B500" s="1" t="str">
        <f>IFERROR(__xludf.DUMMYFUNCTION("""COMPUTED_VALUE"""),"45")</f>
        <v>45</v>
      </c>
    </row>
    <row r="501" ht="15.75" customHeight="1">
      <c r="A501" s="3">
        <f>IFERROR(__xludf.DUMMYFUNCTION("""COMPUTED_VALUE"""),70000.0)</f>
        <v>70000</v>
      </c>
      <c r="B501" s="1" t="str">
        <f>IFERROR(__xludf.DUMMYFUNCTION("""COMPUTED_VALUE"""),"47")</f>
        <v>47</v>
      </c>
    </row>
    <row r="502" ht="15.75" customHeight="1">
      <c r="A502" s="3">
        <f>IFERROR(__xludf.DUMMYFUNCTION("""COMPUTED_VALUE"""),60000.0)</f>
        <v>60000</v>
      </c>
      <c r="B502" s="1" t="str">
        <f>IFERROR(__xludf.DUMMYFUNCTION("""COMPUTED_VALUE"""),"49")</f>
        <v>49</v>
      </c>
    </row>
    <row r="503" ht="15.75" customHeight="1">
      <c r="A503" s="3">
        <f>IFERROR(__xludf.DUMMYFUNCTION("""COMPUTED_VALUE"""),60000.0)</f>
        <v>60000</v>
      </c>
      <c r="B503" s="1" t="str">
        <f>IFERROR(__xludf.DUMMYFUNCTION("""COMPUTED_VALUE"""),"47")</f>
        <v>47</v>
      </c>
    </row>
    <row r="504" ht="15.75" customHeight="1">
      <c r="A504" s="3">
        <f>IFERROR(__xludf.DUMMYFUNCTION("""COMPUTED_VALUE"""),80000.0)</f>
        <v>80000</v>
      </c>
      <c r="B504" s="1" t="str">
        <f>IFERROR(__xludf.DUMMYFUNCTION("""COMPUTED_VALUE"""),"34")</f>
        <v>34</v>
      </c>
    </row>
    <row r="505" ht="15.75" customHeight="1">
      <c r="A505" s="3">
        <f>IFERROR(__xludf.DUMMYFUNCTION("""COMPUTED_VALUE"""),80000.0)</f>
        <v>80000</v>
      </c>
      <c r="B505" s="1" t="str">
        <f>IFERROR(__xludf.DUMMYFUNCTION("""COMPUTED_VALUE"""),"64")</f>
        <v>64</v>
      </c>
    </row>
    <row r="506" ht="15.75" customHeight="1">
      <c r="A506" s="3">
        <f>IFERROR(__xludf.DUMMYFUNCTION("""COMPUTED_VALUE"""),100000.0)</f>
        <v>100000</v>
      </c>
      <c r="B506" s="1" t="str">
        <f>IFERROR(__xludf.DUMMYFUNCTION("""COMPUTED_VALUE"""),"44")</f>
        <v>44</v>
      </c>
    </row>
    <row r="507" ht="15.75" customHeight="1">
      <c r="A507" s="3">
        <f>IFERROR(__xludf.DUMMYFUNCTION("""COMPUTED_VALUE"""),40000.0)</f>
        <v>40000</v>
      </c>
      <c r="B507" s="1" t="str">
        <f>IFERROR(__xludf.DUMMYFUNCTION("""COMPUTED_VALUE"""),"62")</f>
        <v>62</v>
      </c>
    </row>
    <row r="508" ht="15.75" customHeight="1">
      <c r="A508" s="3">
        <f>IFERROR(__xludf.DUMMYFUNCTION("""COMPUTED_VALUE"""),60000.0)</f>
        <v>60000</v>
      </c>
      <c r="B508" s="1" t="str">
        <f>IFERROR(__xludf.DUMMYFUNCTION("""COMPUTED_VALUE"""),"47")</f>
        <v>47</v>
      </c>
    </row>
    <row r="509" ht="15.75" customHeight="1">
      <c r="A509" s="3">
        <f>IFERROR(__xludf.DUMMYFUNCTION("""COMPUTED_VALUE"""),80000.0)</f>
        <v>80000</v>
      </c>
      <c r="B509" s="1" t="str">
        <f>IFERROR(__xludf.DUMMYFUNCTION("""COMPUTED_VALUE"""),"49")</f>
        <v>49</v>
      </c>
    </row>
    <row r="510" ht="15.75" customHeight="1">
      <c r="A510" s="3">
        <f>IFERROR(__xludf.DUMMYFUNCTION("""COMPUTED_VALUE"""),80000.0)</f>
        <v>80000</v>
      </c>
      <c r="B510" s="1" t="str">
        <f>IFERROR(__xludf.DUMMYFUNCTION("""COMPUTED_VALUE"""),"67")</f>
        <v>67</v>
      </c>
    </row>
    <row r="511" ht="15.75" customHeight="1">
      <c r="A511" s="3">
        <f>IFERROR(__xludf.DUMMYFUNCTION("""COMPUTED_VALUE"""),60000.0)</f>
        <v>60000</v>
      </c>
      <c r="B511" s="1" t="str">
        <f>IFERROR(__xludf.DUMMYFUNCTION("""COMPUTED_VALUE"""),"59")</f>
        <v>59</v>
      </c>
    </row>
    <row r="512" ht="15.75" customHeight="1">
      <c r="A512" s="3">
        <f>IFERROR(__xludf.DUMMYFUNCTION("""COMPUTED_VALUE"""),110000.0)</f>
        <v>110000</v>
      </c>
      <c r="B512" s="1" t="str">
        <f>IFERROR(__xludf.DUMMYFUNCTION("""COMPUTED_VALUE"""),"44")</f>
        <v>44</v>
      </c>
    </row>
    <row r="513" ht="15.75" customHeight="1">
      <c r="A513" s="3">
        <f>IFERROR(__xludf.DUMMYFUNCTION("""COMPUTED_VALUE"""),50000.0)</f>
        <v>50000</v>
      </c>
      <c r="B513" s="1" t="str">
        <f>IFERROR(__xludf.DUMMYFUNCTION("""COMPUTED_VALUE"""),"36")</f>
        <v>36</v>
      </c>
    </row>
    <row r="514" ht="15.75" customHeight="1">
      <c r="A514" s="3">
        <f>IFERROR(__xludf.DUMMYFUNCTION("""COMPUTED_VALUE"""),30000.0)</f>
        <v>30000</v>
      </c>
      <c r="B514" s="1" t="str">
        <f>IFERROR(__xludf.DUMMYFUNCTION("""COMPUTED_VALUE"""),"28")</f>
        <v>28</v>
      </c>
    </row>
    <row r="515" ht="15.75" customHeight="1">
      <c r="A515" s="3">
        <f>IFERROR(__xludf.DUMMYFUNCTION("""COMPUTED_VALUE"""),60000.0)</f>
        <v>60000</v>
      </c>
      <c r="B515" s="1" t="str">
        <f>IFERROR(__xludf.DUMMYFUNCTION("""COMPUTED_VALUE"""),"57")</f>
        <v>57</v>
      </c>
    </row>
    <row r="516" ht="15.75" customHeight="1">
      <c r="A516" s="3">
        <f>IFERROR(__xludf.DUMMYFUNCTION("""COMPUTED_VALUE"""),60000.0)</f>
        <v>60000</v>
      </c>
      <c r="B516" s="1" t="str">
        <f>IFERROR(__xludf.DUMMYFUNCTION("""COMPUTED_VALUE"""),"27")</f>
        <v>27</v>
      </c>
    </row>
    <row r="517" ht="15.75" customHeight="1">
      <c r="A517" s="3">
        <f>IFERROR(__xludf.DUMMYFUNCTION("""COMPUTED_VALUE"""),30000.0)</f>
        <v>30000</v>
      </c>
      <c r="B517" s="1" t="str">
        <f>IFERROR(__xludf.DUMMYFUNCTION("""COMPUTED_VALUE"""),"28")</f>
        <v>28</v>
      </c>
    </row>
    <row r="518" ht="15.75" customHeight="1">
      <c r="A518" s="3">
        <f>IFERROR(__xludf.DUMMYFUNCTION("""COMPUTED_VALUE"""),60000.0)</f>
        <v>60000</v>
      </c>
      <c r="B518" s="1" t="str">
        <f>IFERROR(__xludf.DUMMYFUNCTION("""COMPUTED_VALUE"""),"44")</f>
        <v>44</v>
      </c>
    </row>
    <row r="519" ht="15.75" customHeight="1">
      <c r="A519" s="3">
        <f>IFERROR(__xludf.DUMMYFUNCTION("""COMPUTED_VALUE"""),60000.0)</f>
        <v>60000</v>
      </c>
      <c r="B519" s="1" t="str">
        <f>IFERROR(__xludf.DUMMYFUNCTION("""COMPUTED_VALUE"""),"66")</f>
        <v>66</v>
      </c>
    </row>
    <row r="520" ht="15.75" customHeight="1">
      <c r="A520" s="3">
        <f>IFERROR(__xludf.DUMMYFUNCTION("""COMPUTED_VALUE"""),40000.0)</f>
        <v>40000</v>
      </c>
      <c r="B520" s="1" t="str">
        <f>IFERROR(__xludf.DUMMYFUNCTION("""COMPUTED_VALUE"""),"64")</f>
        <v>64</v>
      </c>
    </row>
    <row r="521" ht="15.75" customHeight="1">
      <c r="A521" s="3">
        <f>IFERROR(__xludf.DUMMYFUNCTION("""COMPUTED_VALUE"""),50000.0)</f>
        <v>50000</v>
      </c>
      <c r="B521" s="1" t="str">
        <f>IFERROR(__xludf.DUMMYFUNCTION("""COMPUTED_VALUE"""),"41")</f>
        <v>41</v>
      </c>
    </row>
    <row r="522" ht="15.75" customHeight="1">
      <c r="A522" s="3">
        <f>IFERROR(__xludf.DUMMYFUNCTION("""COMPUTED_VALUE"""),80000.0)</f>
        <v>80000</v>
      </c>
      <c r="B522" s="1" t="str">
        <f>IFERROR(__xludf.DUMMYFUNCTION("""COMPUTED_VALUE"""),"41")</f>
        <v>41</v>
      </c>
    </row>
    <row r="523" ht="15.75" customHeight="1">
      <c r="A523" s="3">
        <f>IFERROR(__xludf.DUMMYFUNCTION("""COMPUTED_VALUE"""),40000.0)</f>
        <v>40000</v>
      </c>
      <c r="B523" s="1" t="str">
        <f>IFERROR(__xludf.DUMMYFUNCTION("""COMPUTED_VALUE"""),"49")</f>
        <v>49</v>
      </c>
    </row>
    <row r="524" ht="15.75" customHeight="1">
      <c r="A524" s="3">
        <f>IFERROR(__xludf.DUMMYFUNCTION("""COMPUTED_VALUE"""),80000.0)</f>
        <v>80000</v>
      </c>
      <c r="B524" s="1" t="str">
        <f>IFERROR(__xludf.DUMMYFUNCTION("""COMPUTED_VALUE"""),"42")</f>
        <v>42</v>
      </c>
    </row>
    <row r="525" ht="15.75" customHeight="1">
      <c r="A525" s="3">
        <f>IFERROR(__xludf.DUMMYFUNCTION("""COMPUTED_VALUE"""),70000.0)</f>
        <v>70000</v>
      </c>
      <c r="B525" s="1" t="str">
        <f>IFERROR(__xludf.DUMMYFUNCTION("""COMPUTED_VALUE"""),"37")</f>
        <v>37</v>
      </c>
    </row>
    <row r="526" ht="15.75" customHeight="1">
      <c r="A526" s="3">
        <f>IFERROR(__xludf.DUMMYFUNCTION("""COMPUTED_VALUE"""),70000.0)</f>
        <v>70000</v>
      </c>
      <c r="B526" s="1" t="str">
        <f>IFERROR(__xludf.DUMMYFUNCTION("""COMPUTED_VALUE"""),"52")</f>
        <v>52</v>
      </c>
    </row>
    <row r="527" ht="15.75" customHeight="1">
      <c r="A527" s="3">
        <f>IFERROR(__xludf.DUMMYFUNCTION("""COMPUTED_VALUE"""),50000.0)</f>
        <v>50000</v>
      </c>
      <c r="B527" s="1" t="str">
        <f>IFERROR(__xludf.DUMMYFUNCTION("""COMPUTED_VALUE"""),"34")</f>
        <v>34</v>
      </c>
    </row>
    <row r="528" ht="15.75" customHeight="1">
      <c r="A528" s="3">
        <f>IFERROR(__xludf.DUMMYFUNCTION("""COMPUTED_VALUE"""),40000.0)</f>
        <v>40000</v>
      </c>
      <c r="B528" s="1" t="str">
        <f>IFERROR(__xludf.DUMMYFUNCTION("""COMPUTED_VALUE"""),"29")</f>
        <v>29</v>
      </c>
    </row>
    <row r="529" ht="15.75" customHeight="1">
      <c r="A529" s="3">
        <f>IFERROR(__xludf.DUMMYFUNCTION("""COMPUTED_VALUE"""),70000.0)</f>
        <v>70000</v>
      </c>
      <c r="B529" s="1" t="str">
        <f>IFERROR(__xludf.DUMMYFUNCTION("""COMPUTED_VALUE"""),"53")</f>
        <v>53</v>
      </c>
    </row>
    <row r="530" ht="15.75" customHeight="1">
      <c r="A530" s="3">
        <f>IFERROR(__xludf.DUMMYFUNCTION("""COMPUTED_VALUE"""),120000.0)</f>
        <v>120000</v>
      </c>
      <c r="B530" s="1" t="str">
        <f>IFERROR(__xludf.DUMMYFUNCTION("""COMPUTED_VALUE"""),"40")</f>
        <v>40</v>
      </c>
    </row>
    <row r="531" ht="15.75" customHeight="1">
      <c r="A531" s="3">
        <f>IFERROR(__xludf.DUMMYFUNCTION("""COMPUTED_VALUE"""),60000.0)</f>
        <v>60000</v>
      </c>
      <c r="B531" s="1" t="str">
        <f>IFERROR(__xludf.DUMMYFUNCTION("""COMPUTED_VALUE"""),"29")</f>
        <v>29</v>
      </c>
    </row>
    <row r="532" ht="15.75" customHeight="1">
      <c r="A532" s="3">
        <f>IFERROR(__xludf.DUMMYFUNCTION("""COMPUTED_VALUE"""),60000.0)</f>
        <v>60000</v>
      </c>
      <c r="B532" s="1" t="str">
        <f>IFERROR(__xludf.DUMMYFUNCTION("""COMPUTED_VALUE"""),"43")</f>
        <v>43</v>
      </c>
    </row>
    <row r="533" ht="15.75" customHeight="1">
      <c r="A533" s="3">
        <f>IFERROR(__xludf.DUMMYFUNCTION("""COMPUTED_VALUE"""),60000.0)</f>
        <v>60000</v>
      </c>
      <c r="B533" s="1" t="str">
        <f>IFERROR(__xludf.DUMMYFUNCTION("""COMPUTED_VALUE"""),"55")</f>
        <v>55</v>
      </c>
    </row>
    <row r="534" ht="15.75" customHeight="1">
      <c r="A534" s="3">
        <f>IFERROR(__xludf.DUMMYFUNCTION("""COMPUTED_VALUE"""),80000.0)</f>
        <v>80000</v>
      </c>
      <c r="B534" s="1" t="str">
        <f>IFERROR(__xludf.DUMMYFUNCTION("""COMPUTED_VALUE"""),"48")</f>
        <v>48</v>
      </c>
    </row>
    <row r="535" ht="15.75" customHeight="1">
      <c r="A535" s="3">
        <f>IFERROR(__xludf.DUMMYFUNCTION("""COMPUTED_VALUE"""),70000.0)</f>
        <v>70000</v>
      </c>
      <c r="B535" s="1" t="str">
        <f>IFERROR(__xludf.DUMMYFUNCTION("""COMPUTED_VALUE"""),"42")</f>
        <v>42</v>
      </c>
    </row>
    <row r="536" ht="15.75" customHeight="1">
      <c r="A536" s="3">
        <f>IFERROR(__xludf.DUMMYFUNCTION("""COMPUTED_VALUE"""),50000.0)</f>
        <v>50000</v>
      </c>
      <c r="B536" s="1" t="str">
        <f>IFERROR(__xludf.DUMMYFUNCTION("""COMPUTED_VALUE"""),"63")</f>
        <v>63</v>
      </c>
    </row>
    <row r="537" ht="15.75" customHeight="1">
      <c r="A537" s="3">
        <f>IFERROR(__xludf.DUMMYFUNCTION("""COMPUTED_VALUE"""),60000.0)</f>
        <v>60000</v>
      </c>
      <c r="B537" s="1" t="str">
        <f>IFERROR(__xludf.DUMMYFUNCTION("""COMPUTED_VALUE"""),"54")</f>
        <v>54</v>
      </c>
    </row>
    <row r="538" ht="15.75" customHeight="1">
      <c r="A538" s="3">
        <f>IFERROR(__xludf.DUMMYFUNCTION("""COMPUTED_VALUE"""),40000.0)</f>
        <v>40000</v>
      </c>
      <c r="B538" s="1" t="str">
        <f>IFERROR(__xludf.DUMMYFUNCTION("""COMPUTED_VALUE"""),"73")</f>
        <v>73</v>
      </c>
    </row>
    <row r="539" ht="15.75" customHeight="1">
      <c r="A539" s="3">
        <f>IFERROR(__xludf.DUMMYFUNCTION("""COMPUTED_VALUE"""),50000.0)</f>
        <v>50000</v>
      </c>
      <c r="B539" s="1" t="str">
        <f>IFERROR(__xludf.DUMMYFUNCTION("""COMPUTED_VALUE"""),"39")</f>
        <v>39</v>
      </c>
    </row>
    <row r="540" ht="15.75" customHeight="1">
      <c r="A540" s="3">
        <f>IFERROR(__xludf.DUMMYFUNCTION("""COMPUTED_VALUE"""),80000.0)</f>
        <v>80000</v>
      </c>
      <c r="B540" s="1" t="str">
        <f>IFERROR(__xludf.DUMMYFUNCTION("""COMPUTED_VALUE"""),"42")</f>
        <v>42</v>
      </c>
    </row>
    <row r="541" ht="15.75" customHeight="1">
      <c r="A541" s="3">
        <f>IFERROR(__xludf.DUMMYFUNCTION("""COMPUTED_VALUE"""),40000.0)</f>
        <v>40000</v>
      </c>
      <c r="B541" s="1" t="str">
        <f>IFERROR(__xludf.DUMMYFUNCTION("""COMPUTED_VALUE"""),"31")</f>
        <v>31</v>
      </c>
    </row>
    <row r="542" ht="15.75" customHeight="1">
      <c r="A542" s="3">
        <f>IFERROR(__xludf.DUMMYFUNCTION("""COMPUTED_VALUE"""),50000.0)</f>
        <v>50000</v>
      </c>
      <c r="B542" s="1" t="str">
        <f>IFERROR(__xludf.DUMMYFUNCTION("""COMPUTED_VALUE"""),"41")</f>
        <v>41</v>
      </c>
    </row>
    <row r="543" ht="15.75" customHeight="1">
      <c r="A543" s="3">
        <f>IFERROR(__xludf.DUMMYFUNCTION("""COMPUTED_VALUE"""),60000.0)</f>
        <v>60000</v>
      </c>
      <c r="B543" s="1" t="str">
        <f>IFERROR(__xludf.DUMMYFUNCTION("""COMPUTED_VALUE"""),"58")</f>
        <v>58</v>
      </c>
    </row>
    <row r="544" ht="15.75" customHeight="1">
      <c r="A544" s="3">
        <f>IFERROR(__xludf.DUMMYFUNCTION("""COMPUTED_VALUE"""),60000.0)</f>
        <v>60000</v>
      </c>
      <c r="B544" s="1" t="str">
        <f>IFERROR(__xludf.DUMMYFUNCTION("""COMPUTED_VALUE"""),"40")</f>
        <v>40</v>
      </c>
    </row>
    <row r="545" ht="15.75" customHeight="1">
      <c r="A545" s="3">
        <f>IFERROR(__xludf.DUMMYFUNCTION("""COMPUTED_VALUE"""),70000.0)</f>
        <v>70000</v>
      </c>
      <c r="B545" s="1" t="str">
        <f>IFERROR(__xludf.DUMMYFUNCTION("""COMPUTED_VALUE"""),"34")</f>
        <v>34</v>
      </c>
    </row>
    <row r="546" ht="15.75" customHeight="1">
      <c r="A546" s="3">
        <f>IFERROR(__xludf.DUMMYFUNCTION("""COMPUTED_VALUE"""),30000.0)</f>
        <v>30000</v>
      </c>
      <c r="B546" s="1" t="str">
        <f>IFERROR(__xludf.DUMMYFUNCTION("""COMPUTED_VALUE"""),"28")</f>
        <v>28</v>
      </c>
    </row>
    <row r="547" ht="15.75" customHeight="1">
      <c r="A547" s="3">
        <f>IFERROR(__xludf.DUMMYFUNCTION("""COMPUTED_VALUE"""),30000.0)</f>
        <v>30000</v>
      </c>
      <c r="B547" s="1" t="str">
        <f>IFERROR(__xludf.DUMMYFUNCTION("""COMPUTED_VALUE"""),"27")</f>
        <v>27</v>
      </c>
    </row>
    <row r="548" ht="15.75" customHeight="1">
      <c r="A548" s="3">
        <f>IFERROR(__xludf.DUMMYFUNCTION("""COMPUTED_VALUE"""),40000.0)</f>
        <v>40000</v>
      </c>
      <c r="B548" s="1" t="str">
        <f>IFERROR(__xludf.DUMMYFUNCTION("""COMPUTED_VALUE"""),"54")</f>
        <v>54</v>
      </c>
    </row>
    <row r="549" ht="15.75" customHeight="1">
      <c r="A549" s="3">
        <f>IFERROR(__xludf.DUMMYFUNCTION("""COMPUTED_VALUE"""),60000.0)</f>
        <v>60000</v>
      </c>
      <c r="B549" s="1" t="str">
        <f>IFERROR(__xludf.DUMMYFUNCTION("""COMPUTED_VALUE"""),"70")</f>
        <v>70</v>
      </c>
    </row>
    <row r="550" ht="15.75" customHeight="1">
      <c r="A550" s="3">
        <f>IFERROR(__xludf.DUMMYFUNCTION("""COMPUTED_VALUE"""),40000.0)</f>
        <v>40000</v>
      </c>
      <c r="B550" s="1" t="str">
        <f>IFERROR(__xludf.DUMMYFUNCTION("""COMPUTED_VALUE"""),"48")</f>
        <v>48</v>
      </c>
    </row>
    <row r="551" ht="15.75" customHeight="1">
      <c r="A551" s="3">
        <f>IFERROR(__xludf.DUMMYFUNCTION("""COMPUTED_VALUE"""),70000.0)</f>
        <v>70000</v>
      </c>
      <c r="B551" s="1" t="str">
        <f>IFERROR(__xludf.DUMMYFUNCTION("""COMPUTED_VALUE"""),"44")</f>
        <v>44</v>
      </c>
    </row>
    <row r="552" ht="15.75" customHeight="1">
      <c r="A552" s="3">
        <f>IFERROR(__xludf.DUMMYFUNCTION("""COMPUTED_VALUE"""),50000.0)</f>
        <v>50000</v>
      </c>
      <c r="B552" s="1" t="str">
        <f>IFERROR(__xludf.DUMMYFUNCTION("""COMPUTED_VALUE"""),"69")</f>
        <v>69</v>
      </c>
    </row>
    <row r="553" ht="15.75" customHeight="1">
      <c r="A553" s="3">
        <f>IFERROR(__xludf.DUMMYFUNCTION("""COMPUTED_VALUE"""),70000.0)</f>
        <v>70000</v>
      </c>
      <c r="B553" s="1" t="str">
        <f>IFERROR(__xludf.DUMMYFUNCTION("""COMPUTED_VALUE"""),"52")</f>
        <v>52</v>
      </c>
    </row>
    <row r="554" ht="15.75" customHeight="1">
      <c r="A554" s="3">
        <f>IFERROR(__xludf.DUMMYFUNCTION("""COMPUTED_VALUE"""),40000.0)</f>
        <v>40000</v>
      </c>
      <c r="B554" s="1" t="str">
        <f>IFERROR(__xludf.DUMMYFUNCTION("""COMPUTED_VALUE"""),"55")</f>
        <v>55</v>
      </c>
    </row>
    <row r="555" ht="15.75" customHeight="1">
      <c r="A555" s="3">
        <f>IFERROR(__xludf.DUMMYFUNCTION("""COMPUTED_VALUE"""),30000.0)</f>
        <v>30000</v>
      </c>
      <c r="B555" s="1" t="str">
        <f>IFERROR(__xludf.DUMMYFUNCTION("""COMPUTED_VALUE"""),"30")</f>
        <v>30</v>
      </c>
    </row>
    <row r="556" ht="15.75" customHeight="1">
      <c r="A556" s="3">
        <f>IFERROR(__xludf.DUMMYFUNCTION("""COMPUTED_VALUE"""),60000.0)</f>
        <v>60000</v>
      </c>
      <c r="B556" s="1" t="str">
        <f>IFERROR(__xludf.DUMMYFUNCTION("""COMPUTED_VALUE"""),"63")</f>
        <v>63</v>
      </c>
    </row>
    <row r="557" ht="15.75" customHeight="1">
      <c r="A557" s="3">
        <f>IFERROR(__xludf.DUMMYFUNCTION("""COMPUTED_VALUE"""),80000.0)</f>
        <v>80000</v>
      </c>
      <c r="B557" s="1" t="str">
        <f>IFERROR(__xludf.DUMMYFUNCTION("""COMPUTED_VALUE"""),"34")</f>
        <v>34</v>
      </c>
    </row>
    <row r="558" ht="15.75" customHeight="1">
      <c r="A558" s="3">
        <f>IFERROR(__xludf.DUMMYFUNCTION("""COMPUTED_VALUE"""),60000.0)</f>
        <v>60000</v>
      </c>
      <c r="B558" s="1" t="str">
        <f>IFERROR(__xludf.DUMMYFUNCTION("""COMPUTED_VALUE"""),"56")</f>
        <v>56</v>
      </c>
    </row>
    <row r="559" ht="15.75" customHeight="1">
      <c r="A559" s="3">
        <f>IFERROR(__xludf.DUMMYFUNCTION("""COMPUTED_VALUE"""),40000.0)</f>
        <v>40000</v>
      </c>
      <c r="B559" s="1" t="str">
        <f>IFERROR(__xludf.DUMMYFUNCTION("""COMPUTED_VALUE"""),"31")</f>
        <v>31</v>
      </c>
    </row>
    <row r="560" ht="15.75" customHeight="1">
      <c r="A560" s="3">
        <f>IFERROR(__xludf.DUMMYFUNCTION("""COMPUTED_VALUE"""),120000.0)</f>
        <v>120000</v>
      </c>
      <c r="B560" s="1" t="str">
        <f>IFERROR(__xludf.DUMMYFUNCTION("""COMPUTED_VALUE"""),"38")</f>
        <v>38</v>
      </c>
    </row>
    <row r="561" ht="15.75" customHeight="1">
      <c r="A561" s="3">
        <f>IFERROR(__xludf.DUMMYFUNCTION("""COMPUTED_VALUE"""),60000.0)</f>
        <v>60000</v>
      </c>
      <c r="B561" s="1" t="str">
        <f>IFERROR(__xludf.DUMMYFUNCTION("""COMPUTED_VALUE"""),"59")</f>
        <v>59</v>
      </c>
    </row>
    <row r="562" ht="15.75" customHeight="1">
      <c r="A562" s="3">
        <f>IFERROR(__xludf.DUMMYFUNCTION("""COMPUTED_VALUE"""),40000.0)</f>
        <v>40000</v>
      </c>
      <c r="B562" s="1" t="str">
        <f>IFERROR(__xludf.DUMMYFUNCTION("""COMPUTED_VALUE"""),"32")</f>
        <v>32</v>
      </c>
    </row>
    <row r="563" ht="15.75" customHeight="1">
      <c r="A563" s="3">
        <f>IFERROR(__xludf.DUMMYFUNCTION("""COMPUTED_VALUE"""),60000.0)</f>
        <v>60000</v>
      </c>
      <c r="B563" s="1" t="str">
        <f>IFERROR(__xludf.DUMMYFUNCTION("""COMPUTED_VALUE"""),"69")</f>
        <v>69</v>
      </c>
    </row>
    <row r="564" ht="15.75" customHeight="1">
      <c r="A564" s="3">
        <f>IFERROR(__xludf.DUMMYFUNCTION("""COMPUTED_VALUE"""),40000.0)</f>
        <v>40000</v>
      </c>
      <c r="B564" s="1" t="str">
        <f>IFERROR(__xludf.DUMMYFUNCTION("""COMPUTED_VALUE"""),"28")</f>
        <v>28</v>
      </c>
    </row>
    <row r="565" ht="15.75" customHeight="1">
      <c r="A565" s="3">
        <f>IFERROR(__xludf.DUMMYFUNCTION("""COMPUTED_VALUE"""),80000.0)</f>
        <v>80000</v>
      </c>
      <c r="B565" s="1" t="str">
        <f>IFERROR(__xludf.DUMMYFUNCTION("""COMPUTED_VALUE"""),"47")</f>
        <v>47</v>
      </c>
    </row>
    <row r="566" ht="15.75" customHeight="1">
      <c r="A566" s="3">
        <f>IFERROR(__xludf.DUMMYFUNCTION("""COMPUTED_VALUE"""),60000.0)</f>
        <v>60000</v>
      </c>
      <c r="B566" s="1" t="str">
        <f>IFERROR(__xludf.DUMMYFUNCTION("""COMPUTED_VALUE"""),"66")</f>
        <v>66</v>
      </c>
    </row>
    <row r="567" ht="15.75" customHeight="1">
      <c r="A567" s="3">
        <f>IFERROR(__xludf.DUMMYFUNCTION("""COMPUTED_VALUE"""),70000.0)</f>
        <v>70000</v>
      </c>
      <c r="B567" s="1" t="str">
        <f>IFERROR(__xludf.DUMMYFUNCTION("""COMPUTED_VALUE"""),"37")</f>
        <v>37</v>
      </c>
    </row>
    <row r="568" ht="15.75" customHeight="1">
      <c r="A568" s="3">
        <f>IFERROR(__xludf.DUMMYFUNCTION("""COMPUTED_VALUE"""),120000.0)</f>
        <v>120000</v>
      </c>
      <c r="B568" s="1" t="str">
        <f>IFERROR(__xludf.DUMMYFUNCTION("""COMPUTED_VALUE"""),"39")</f>
        <v>39</v>
      </c>
    </row>
    <row r="569" ht="15.75" customHeight="1">
      <c r="A569" s="3">
        <f>IFERROR(__xludf.DUMMYFUNCTION("""COMPUTED_VALUE"""),60000.0)</f>
        <v>60000</v>
      </c>
      <c r="B569" s="1" t="str">
        <f>IFERROR(__xludf.DUMMYFUNCTION("""COMPUTED_VALUE"""),"51")</f>
        <v>51</v>
      </c>
    </row>
    <row r="570" ht="15.75" customHeight="1">
      <c r="A570" s="3">
        <f>IFERROR(__xludf.DUMMYFUNCTION("""COMPUTED_VALUE"""),130000.0)</f>
        <v>130000</v>
      </c>
      <c r="B570" s="1" t="str">
        <f>IFERROR(__xludf.DUMMYFUNCTION("""COMPUTED_VALUE"""),"40")</f>
        <v>40</v>
      </c>
    </row>
    <row r="571" ht="15.75" customHeight="1">
      <c r="A571" s="3">
        <f>IFERROR(__xludf.DUMMYFUNCTION("""COMPUTED_VALUE"""),90000.0)</f>
        <v>90000</v>
      </c>
      <c r="B571" s="1" t="str">
        <f>IFERROR(__xludf.DUMMYFUNCTION("""COMPUTED_VALUE"""),"51")</f>
        <v>51</v>
      </c>
    </row>
    <row r="572" ht="15.75" customHeight="1">
      <c r="A572" s="3">
        <f>IFERROR(__xludf.DUMMYFUNCTION("""COMPUTED_VALUE"""),60000.0)</f>
        <v>60000</v>
      </c>
      <c r="B572" s="1" t="str">
        <f>IFERROR(__xludf.DUMMYFUNCTION("""COMPUTED_VALUE"""),"57")</f>
        <v>57</v>
      </c>
    </row>
    <row r="573" ht="15.75" customHeight="1">
      <c r="A573" s="3">
        <f>IFERROR(__xludf.DUMMYFUNCTION("""COMPUTED_VALUE"""),60000.0)</f>
        <v>60000</v>
      </c>
      <c r="B573" s="1" t="str">
        <f>IFERROR(__xludf.DUMMYFUNCTION("""COMPUTED_VALUE"""),"35")</f>
        <v>35</v>
      </c>
    </row>
    <row r="574" ht="15.75" customHeight="1">
      <c r="A574" s="3">
        <f>IFERROR(__xludf.DUMMYFUNCTION("""COMPUTED_VALUE"""),40000.0)</f>
        <v>40000</v>
      </c>
      <c r="B574" s="1" t="str">
        <f>IFERROR(__xludf.DUMMYFUNCTION("""COMPUTED_VALUE"""),"61")</f>
        <v>61</v>
      </c>
    </row>
    <row r="575" ht="15.75" customHeight="1">
      <c r="A575" s="3">
        <f>IFERROR(__xludf.DUMMYFUNCTION("""COMPUTED_VALUE"""),80000.0)</f>
        <v>80000</v>
      </c>
      <c r="B575" s="1" t="str">
        <f>IFERROR(__xludf.DUMMYFUNCTION("""COMPUTED_VALUE"""),"44")</f>
        <v>44</v>
      </c>
    </row>
    <row r="576" ht="15.75" customHeight="1">
      <c r="A576" s="3">
        <f>IFERROR(__xludf.DUMMYFUNCTION("""COMPUTED_VALUE"""),70000.0)</f>
        <v>70000</v>
      </c>
      <c r="B576" s="1" t="str">
        <f>IFERROR(__xludf.DUMMYFUNCTION("""COMPUTED_VALUE"""),"49")</f>
        <v>49</v>
      </c>
    </row>
    <row r="577" ht="15.75" customHeight="1">
      <c r="A577" s="3">
        <f>IFERROR(__xludf.DUMMYFUNCTION("""COMPUTED_VALUE"""),80000.0)</f>
        <v>80000</v>
      </c>
      <c r="B577" s="1" t="str">
        <f>IFERROR(__xludf.DUMMYFUNCTION("""COMPUTED_VALUE"""),"70")</f>
        <v>70</v>
      </c>
    </row>
    <row r="578" ht="15.75" customHeight="1">
      <c r="A578" s="3">
        <f>IFERROR(__xludf.DUMMYFUNCTION("""COMPUTED_VALUE"""),20000.0)</f>
        <v>20000</v>
      </c>
      <c r="B578" s="1" t="str">
        <f>IFERROR(__xludf.DUMMYFUNCTION("""COMPUTED_VALUE"""),"78")</f>
        <v>78</v>
      </c>
    </row>
    <row r="579" ht="15.75" customHeight="1">
      <c r="A579" s="3">
        <f>IFERROR(__xludf.DUMMYFUNCTION("""COMPUTED_VALUE"""),90000.0)</f>
        <v>90000</v>
      </c>
      <c r="B579" s="1" t="str">
        <f>IFERROR(__xludf.DUMMYFUNCTION("""COMPUTED_VALUE"""),"45")</f>
        <v>45</v>
      </c>
    </row>
    <row r="580" ht="15.75" customHeight="1">
      <c r="A580" s="3">
        <f>IFERROR(__xludf.DUMMYFUNCTION("""COMPUTED_VALUE"""),40000.0)</f>
        <v>40000</v>
      </c>
      <c r="B580" s="1" t="str">
        <f>IFERROR(__xludf.DUMMYFUNCTION("""COMPUTED_VALUE"""),"58")</f>
        <v>58</v>
      </c>
    </row>
    <row r="581" ht="15.75" customHeight="1">
      <c r="A581" s="3">
        <f>IFERROR(__xludf.DUMMYFUNCTION("""COMPUTED_VALUE"""),130000.0)</f>
        <v>130000</v>
      </c>
      <c r="B581" s="1" t="str">
        <f>IFERROR(__xludf.DUMMYFUNCTION("""COMPUTED_VALUE"""),"41")</f>
        <v>41</v>
      </c>
    </row>
    <row r="582" ht="15.75" customHeight="1">
      <c r="A582" s="3">
        <f>IFERROR(__xludf.DUMMYFUNCTION("""COMPUTED_VALUE"""),60000.0)</f>
        <v>60000</v>
      </c>
      <c r="B582" s="1" t="str">
        <f>IFERROR(__xludf.DUMMYFUNCTION("""COMPUTED_VALUE"""),"57")</f>
        <v>57</v>
      </c>
    </row>
    <row r="583" ht="15.75" customHeight="1">
      <c r="A583" s="3">
        <f>IFERROR(__xludf.DUMMYFUNCTION("""COMPUTED_VALUE"""),30000.0)</f>
        <v>30000</v>
      </c>
      <c r="B583" s="1" t="str">
        <f>IFERROR(__xludf.DUMMYFUNCTION("""COMPUTED_VALUE"""),"49")</f>
        <v>49</v>
      </c>
    </row>
    <row r="584" ht="15.75" customHeight="1">
      <c r="A584" s="3">
        <f>IFERROR(__xludf.DUMMYFUNCTION("""COMPUTED_VALUE"""),80000.0)</f>
        <v>80000</v>
      </c>
      <c r="B584" s="1" t="str">
        <f>IFERROR(__xludf.DUMMYFUNCTION("""COMPUTED_VALUE"""),"43")</f>
        <v>43</v>
      </c>
    </row>
    <row r="585" ht="15.75" customHeight="1">
      <c r="A585" s="3">
        <f>IFERROR(__xludf.DUMMYFUNCTION("""COMPUTED_VALUE"""),60000.0)</f>
        <v>60000</v>
      </c>
      <c r="B585" s="1" t="str">
        <f>IFERROR(__xludf.DUMMYFUNCTION("""COMPUTED_VALUE"""),"52")</f>
        <v>52</v>
      </c>
    </row>
    <row r="586" ht="15.75" customHeight="1">
      <c r="A586" s="3">
        <f>IFERROR(__xludf.DUMMYFUNCTION("""COMPUTED_VALUE"""),60000.0)</f>
        <v>60000</v>
      </c>
      <c r="B586" s="1" t="str">
        <f>IFERROR(__xludf.DUMMYFUNCTION("""COMPUTED_VALUE"""),"35")</f>
        <v>35</v>
      </c>
    </row>
    <row r="587" ht="15.75" customHeight="1">
      <c r="A587" s="3">
        <f>IFERROR(__xludf.DUMMYFUNCTION("""COMPUTED_VALUE"""),40000.0)</f>
        <v>40000</v>
      </c>
      <c r="B587" s="1" t="str">
        <f>IFERROR(__xludf.DUMMYFUNCTION("""COMPUTED_VALUE"""),"27")</f>
        <v>27</v>
      </c>
    </row>
    <row r="588" ht="15.75" customHeight="1">
      <c r="A588" s="3">
        <f>IFERROR(__xludf.DUMMYFUNCTION("""COMPUTED_VALUE"""),70000.0)</f>
        <v>70000</v>
      </c>
      <c r="B588" s="1" t="str">
        <f>IFERROR(__xludf.DUMMYFUNCTION("""COMPUTED_VALUE"""),"52")</f>
        <v>52</v>
      </c>
    </row>
    <row r="589" ht="15.75" customHeight="1">
      <c r="A589" s="3">
        <f>IFERROR(__xludf.DUMMYFUNCTION("""COMPUTED_VALUE"""),40000.0)</f>
        <v>40000</v>
      </c>
      <c r="B589" s="1" t="str">
        <f>IFERROR(__xludf.DUMMYFUNCTION("""COMPUTED_VALUE"""),"36")</f>
        <v>36</v>
      </c>
    </row>
    <row r="590" ht="15.75" customHeight="1">
      <c r="A590" s="3">
        <f>IFERROR(__xludf.DUMMYFUNCTION("""COMPUTED_VALUE"""),70000.0)</f>
        <v>70000</v>
      </c>
      <c r="B590" s="1" t="str">
        <f>IFERROR(__xludf.DUMMYFUNCTION("""COMPUTED_VALUE"""),"46")</f>
        <v>46</v>
      </c>
    </row>
    <row r="591" ht="15.75" customHeight="1">
      <c r="A591" s="3">
        <f>IFERROR(__xludf.DUMMYFUNCTION("""COMPUTED_VALUE"""),60000.0)</f>
        <v>60000</v>
      </c>
      <c r="B591" s="1" t="str">
        <f>IFERROR(__xludf.DUMMYFUNCTION("""COMPUTED_VALUE"""),"52")</f>
        <v>52</v>
      </c>
    </row>
    <row r="592" ht="15.75" customHeight="1">
      <c r="A592" s="3">
        <f>IFERROR(__xludf.DUMMYFUNCTION("""COMPUTED_VALUE"""),70000.0)</f>
        <v>70000</v>
      </c>
      <c r="B592" s="1" t="str">
        <f>IFERROR(__xludf.DUMMYFUNCTION("""COMPUTED_VALUE"""),"43")</f>
        <v>43</v>
      </c>
    </row>
    <row r="593" ht="15.75" customHeight="1">
      <c r="A593" s="3">
        <f>IFERROR(__xludf.DUMMYFUNCTION("""COMPUTED_VALUE"""),60000.0)</f>
        <v>60000</v>
      </c>
      <c r="B593" s="1" t="str">
        <f>IFERROR(__xludf.DUMMYFUNCTION("""COMPUTED_VALUE"""),"44")</f>
        <v>44</v>
      </c>
    </row>
    <row r="594" ht="15.75" customHeight="1">
      <c r="A594" s="3">
        <f>IFERROR(__xludf.DUMMYFUNCTION("""COMPUTED_VALUE"""),80000.0)</f>
        <v>80000</v>
      </c>
      <c r="B594" s="1" t="str">
        <f>IFERROR(__xludf.DUMMYFUNCTION("""COMPUTED_VALUE"""),"34")</f>
        <v>34</v>
      </c>
    </row>
    <row r="595" ht="15.75" customHeight="1">
      <c r="A595" s="3">
        <f>IFERROR(__xludf.DUMMYFUNCTION("""COMPUTED_VALUE"""),30000.0)</f>
        <v>30000</v>
      </c>
      <c r="B595" s="1" t="str">
        <f>IFERROR(__xludf.DUMMYFUNCTION("""COMPUTED_VALUE"""),"27")</f>
        <v>27</v>
      </c>
    </row>
    <row r="596" ht="15.75" customHeight="1">
      <c r="A596" s="3">
        <f>IFERROR(__xludf.DUMMYFUNCTION("""COMPUTED_VALUE"""),110000.0)</f>
        <v>110000</v>
      </c>
      <c r="B596" s="1" t="str">
        <f>IFERROR(__xludf.DUMMYFUNCTION("""COMPUTED_VALUE"""),"45")</f>
        <v>45</v>
      </c>
    </row>
    <row r="597" ht="15.75" customHeight="1">
      <c r="A597" s="3">
        <f>IFERROR(__xludf.DUMMYFUNCTION("""COMPUTED_VALUE"""),100000.0)</f>
        <v>100000</v>
      </c>
      <c r="B597" s="1" t="str">
        <f>IFERROR(__xludf.DUMMYFUNCTION("""COMPUTED_VALUE"""),"45")</f>
        <v>45</v>
      </c>
    </row>
    <row r="598" ht="15.75" customHeight="1">
      <c r="A598" s="3">
        <f>IFERROR(__xludf.DUMMYFUNCTION("""COMPUTED_VALUE"""),80000.0)</f>
        <v>80000</v>
      </c>
      <c r="B598" s="1" t="str">
        <f>IFERROR(__xludf.DUMMYFUNCTION("""COMPUTED_VALUE"""),"47")</f>
        <v>47</v>
      </c>
    </row>
    <row r="599" ht="15.75" customHeight="1">
      <c r="A599" s="3">
        <f>IFERROR(__xludf.DUMMYFUNCTION("""COMPUTED_VALUE"""),40000.0)</f>
        <v>40000</v>
      </c>
      <c r="B599" s="1" t="str">
        <f>IFERROR(__xludf.DUMMYFUNCTION("""COMPUTED_VALUE"""),"44")</f>
        <v>44</v>
      </c>
    </row>
    <row r="600" ht="15.75" customHeight="1">
      <c r="A600" s="3">
        <f>IFERROR(__xludf.DUMMYFUNCTION("""COMPUTED_VALUE"""),20000.0)</f>
        <v>20000</v>
      </c>
      <c r="B600" s="1" t="str">
        <f>IFERROR(__xludf.DUMMYFUNCTION("""COMPUTED_VALUE"""),"49")</f>
        <v>49</v>
      </c>
    </row>
    <row r="601" ht="15.75" customHeight="1">
      <c r="A601" s="3">
        <f>IFERROR(__xludf.DUMMYFUNCTION("""COMPUTED_VALUE"""),40000.0)</f>
        <v>40000</v>
      </c>
      <c r="B601" s="1" t="str">
        <f>IFERROR(__xludf.DUMMYFUNCTION("""COMPUTED_VALUE"""),"30")</f>
        <v>30</v>
      </c>
    </row>
    <row r="602" ht="15.75" customHeight="1">
      <c r="A602" s="3">
        <f>IFERROR(__xludf.DUMMYFUNCTION("""COMPUTED_VALUE"""),100000.0)</f>
        <v>100000</v>
      </c>
      <c r="B602" s="1" t="str">
        <f>IFERROR(__xludf.DUMMYFUNCTION("""COMPUTED_VALUE"""),"41")</f>
        <v>41</v>
      </c>
    </row>
    <row r="603" ht="15.75" customHeight="1">
      <c r="A603" s="3">
        <f>IFERROR(__xludf.DUMMYFUNCTION("""COMPUTED_VALUE"""),70000.0)</f>
        <v>70000</v>
      </c>
      <c r="B603" s="1" t="str">
        <f>IFERROR(__xludf.DUMMYFUNCTION("""COMPUTED_VALUE"""),"58")</f>
        <v>58</v>
      </c>
    </row>
    <row r="604" ht="15.75" customHeight="1">
      <c r="A604" s="3">
        <f>IFERROR(__xludf.DUMMYFUNCTION("""COMPUTED_VALUE"""),60000.0)</f>
        <v>60000</v>
      </c>
      <c r="B604" s="1" t="str">
        <f>IFERROR(__xludf.DUMMYFUNCTION("""COMPUTED_VALUE"""),"47")</f>
        <v>47</v>
      </c>
    </row>
    <row r="605" ht="15.75" customHeight="1">
      <c r="A605" s="3">
        <f>IFERROR(__xludf.DUMMYFUNCTION("""COMPUTED_VALUE"""),70000.0)</f>
        <v>70000</v>
      </c>
      <c r="B605" s="1" t="str">
        <f>IFERROR(__xludf.DUMMYFUNCTION("""COMPUTED_VALUE"""),"55")</f>
        <v>55</v>
      </c>
    </row>
    <row r="606" ht="15.75" customHeight="1">
      <c r="A606" s="3">
        <f>IFERROR(__xludf.DUMMYFUNCTION("""COMPUTED_VALUE"""),70000.0)</f>
        <v>70000</v>
      </c>
      <c r="B606" s="1" t="str">
        <f>IFERROR(__xludf.DUMMYFUNCTION("""COMPUTED_VALUE"""),"27")</f>
        <v>27</v>
      </c>
    </row>
    <row r="607" ht="15.75" customHeight="1">
      <c r="A607" s="3">
        <f>IFERROR(__xludf.DUMMYFUNCTION("""COMPUTED_VALUE"""),60000.0)</f>
        <v>60000</v>
      </c>
      <c r="B607" s="1" t="str">
        <f>IFERROR(__xludf.DUMMYFUNCTION("""COMPUTED_VALUE"""),"67")</f>
        <v>67</v>
      </c>
    </row>
    <row r="608" ht="15.75" customHeight="1">
      <c r="A608" s="3">
        <f>IFERROR(__xludf.DUMMYFUNCTION("""COMPUTED_VALUE"""),60000.0)</f>
        <v>60000</v>
      </c>
      <c r="B608" s="1" t="str">
        <f>IFERROR(__xludf.DUMMYFUNCTION("""COMPUTED_VALUE"""),"29")</f>
        <v>29</v>
      </c>
    </row>
    <row r="609" ht="15.75" customHeight="1">
      <c r="A609" s="3">
        <f>IFERROR(__xludf.DUMMYFUNCTION("""COMPUTED_VALUE"""),60000.0)</f>
        <v>60000</v>
      </c>
      <c r="B609" s="1" t="str">
        <f>IFERROR(__xludf.DUMMYFUNCTION("""COMPUTED_VALUE"""),"67")</f>
        <v>67</v>
      </c>
    </row>
    <row r="610" ht="15.75" customHeight="1">
      <c r="A610" s="3">
        <f>IFERROR(__xludf.DUMMYFUNCTION("""COMPUTED_VALUE"""),80000.0)</f>
        <v>80000</v>
      </c>
      <c r="B610" s="1" t="str">
        <f>IFERROR(__xludf.DUMMYFUNCTION("""COMPUTED_VALUE"""),"51")</f>
        <v>51</v>
      </c>
    </row>
    <row r="611" ht="15.75" customHeight="1">
      <c r="A611" s="3">
        <f>IFERROR(__xludf.DUMMYFUNCTION("""COMPUTED_VALUE"""),50000.0)</f>
        <v>50000</v>
      </c>
      <c r="B611" s="1" t="str">
        <f>IFERROR(__xludf.DUMMYFUNCTION("""COMPUTED_VALUE"""),"35")</f>
        <v>35</v>
      </c>
    </row>
    <row r="612" ht="15.75" customHeight="1">
      <c r="A612" s="3">
        <f>IFERROR(__xludf.DUMMYFUNCTION("""COMPUTED_VALUE"""),40000.0)</f>
        <v>40000</v>
      </c>
      <c r="B612" s="1" t="str">
        <f>IFERROR(__xludf.DUMMYFUNCTION("""COMPUTED_VALUE"""),"30")</f>
        <v>30</v>
      </c>
    </row>
    <row r="613" ht="15.75" customHeight="1">
      <c r="A613" s="3">
        <f>IFERROR(__xludf.DUMMYFUNCTION("""COMPUTED_VALUE"""),70000.0)</f>
        <v>70000</v>
      </c>
      <c r="B613" s="1" t="str">
        <f>IFERROR(__xludf.DUMMYFUNCTION("""COMPUTED_VALUE"""),"44")</f>
        <v>44</v>
      </c>
    </row>
    <row r="614" ht="15.75" customHeight="1">
      <c r="A614" s="3">
        <f>IFERROR(__xludf.DUMMYFUNCTION("""COMPUTED_VALUE"""),80000.0)</f>
        <v>80000</v>
      </c>
      <c r="B614" s="1" t="str">
        <f>IFERROR(__xludf.DUMMYFUNCTION("""COMPUTED_VALUE"""),"48")</f>
        <v>48</v>
      </c>
    </row>
    <row r="615" ht="15.75" customHeight="1">
      <c r="A615" s="3">
        <f>IFERROR(__xludf.DUMMYFUNCTION("""COMPUTED_VALUE"""),130000.0)</f>
        <v>130000</v>
      </c>
      <c r="B615" s="1" t="str">
        <f>IFERROR(__xludf.DUMMYFUNCTION("""COMPUTED_VALUE"""),"45")</f>
        <v>45</v>
      </c>
    </row>
    <row r="616" ht="15.75" customHeight="1">
      <c r="A616" s="3">
        <f>IFERROR(__xludf.DUMMYFUNCTION("""COMPUTED_VALUE"""),60000.0)</f>
        <v>60000</v>
      </c>
      <c r="B616" s="1" t="str">
        <f>IFERROR(__xludf.DUMMYFUNCTION("""COMPUTED_VALUE"""),"66")</f>
        <v>66</v>
      </c>
    </row>
    <row r="617" ht="15.75" customHeight="1">
      <c r="A617" s="3">
        <f>IFERROR(__xludf.DUMMYFUNCTION("""COMPUTED_VALUE"""),30000.0)</f>
        <v>30000</v>
      </c>
      <c r="B617" s="1" t="str">
        <f>IFERROR(__xludf.DUMMYFUNCTION("""COMPUTED_VALUE"""),"49")</f>
        <v>49</v>
      </c>
    </row>
    <row r="618" ht="15.75" customHeight="1">
      <c r="A618" s="3">
        <f>IFERROR(__xludf.DUMMYFUNCTION("""COMPUTED_VALUE"""),120000.0)</f>
        <v>120000</v>
      </c>
      <c r="B618" s="1" t="str">
        <f>IFERROR(__xludf.DUMMYFUNCTION("""COMPUTED_VALUE"""),"43")</f>
        <v>43</v>
      </c>
    </row>
    <row r="619" ht="15.75" customHeight="1">
      <c r="A619" s="3">
        <f>IFERROR(__xludf.DUMMYFUNCTION("""COMPUTED_VALUE"""),40000.0)</f>
        <v>40000</v>
      </c>
      <c r="B619" s="1" t="str">
        <f>IFERROR(__xludf.DUMMYFUNCTION("""COMPUTED_VALUE"""),"30")</f>
        <v>30</v>
      </c>
    </row>
    <row r="620" ht="15.75" customHeight="1">
      <c r="A620" s="3">
        <f>IFERROR(__xludf.DUMMYFUNCTION("""COMPUTED_VALUE"""),100000.0)</f>
        <v>100000</v>
      </c>
      <c r="B620" s="1" t="str">
        <f>IFERROR(__xludf.DUMMYFUNCTION("""COMPUTED_VALUE"""),"65")</f>
        <v>65</v>
      </c>
    </row>
    <row r="621" ht="15.75" customHeight="1">
      <c r="A621" s="3">
        <f>IFERROR(__xludf.DUMMYFUNCTION("""COMPUTED_VALUE"""),60000.0)</f>
        <v>60000</v>
      </c>
      <c r="B621" s="1" t="str">
        <f>IFERROR(__xludf.DUMMYFUNCTION("""COMPUTED_VALUE"""),"56")</f>
        <v>56</v>
      </c>
    </row>
    <row r="622" ht="15.75" customHeight="1">
      <c r="A622" s="3">
        <f>IFERROR(__xludf.DUMMYFUNCTION("""COMPUTED_VALUE"""),50000.0)</f>
        <v>50000</v>
      </c>
      <c r="B622" s="1" t="str">
        <f>IFERROR(__xludf.DUMMYFUNCTION("""COMPUTED_VALUE"""),"64")</f>
        <v>64</v>
      </c>
    </row>
    <row r="623" ht="15.75" customHeight="1">
      <c r="A623" s="3">
        <f>IFERROR(__xludf.DUMMYFUNCTION("""COMPUTED_VALUE"""),70000.0)</f>
        <v>70000</v>
      </c>
      <c r="B623" s="1" t="str">
        <f>IFERROR(__xludf.DUMMYFUNCTION("""COMPUTED_VALUE"""),"50")</f>
        <v>50</v>
      </c>
    </row>
    <row r="624" ht="15.75" customHeight="1">
      <c r="A624" s="3">
        <f>IFERROR(__xludf.DUMMYFUNCTION("""COMPUTED_VALUE"""),70000.0)</f>
        <v>70000</v>
      </c>
      <c r="B624" s="1" t="str">
        <f>IFERROR(__xludf.DUMMYFUNCTION("""COMPUTED_VALUE"""),"35")</f>
        <v>35</v>
      </c>
    </row>
    <row r="625" ht="15.75" customHeight="1">
      <c r="A625" s="3">
        <f>IFERROR(__xludf.DUMMYFUNCTION("""COMPUTED_VALUE"""),60000.0)</f>
        <v>60000</v>
      </c>
      <c r="B625" s="1" t="str">
        <f>IFERROR(__xludf.DUMMYFUNCTION("""COMPUTED_VALUE"""),"41")</f>
        <v>41</v>
      </c>
    </row>
    <row r="626" ht="15.75" customHeight="1">
      <c r="A626" s="3">
        <f>IFERROR(__xludf.DUMMYFUNCTION("""COMPUTED_VALUE"""),60000.0)</f>
        <v>60000</v>
      </c>
      <c r="B626" s="1" t="str">
        <f>IFERROR(__xludf.DUMMYFUNCTION("""COMPUTED_VALUE"""),"39")</f>
        <v>39</v>
      </c>
    </row>
    <row r="627" ht="15.75" customHeight="1">
      <c r="A627" s="3">
        <f>IFERROR(__xludf.DUMMYFUNCTION("""COMPUTED_VALUE"""),60000.0)</f>
        <v>60000</v>
      </c>
      <c r="B627" s="1" t="str">
        <f>IFERROR(__xludf.DUMMYFUNCTION("""COMPUTED_VALUE"""),"47")</f>
        <v>47</v>
      </c>
    </row>
    <row r="628" ht="15.75" customHeight="1">
      <c r="A628" s="3">
        <f>IFERROR(__xludf.DUMMYFUNCTION("""COMPUTED_VALUE"""),40000.0)</f>
        <v>40000</v>
      </c>
      <c r="B628" s="1" t="str">
        <f>IFERROR(__xludf.DUMMYFUNCTION("""COMPUTED_VALUE"""),"31")</f>
        <v>31</v>
      </c>
    </row>
    <row r="629" ht="15.75" customHeight="1">
      <c r="A629" s="3">
        <f>IFERROR(__xludf.DUMMYFUNCTION("""COMPUTED_VALUE"""),70000.0)</f>
        <v>70000</v>
      </c>
      <c r="B629" s="1" t="str">
        <f>IFERROR(__xludf.DUMMYFUNCTION("""COMPUTED_VALUE"""),"58")</f>
        <v>58</v>
      </c>
    </row>
    <row r="630" ht="15.75" customHeight="1">
      <c r="A630" s="3">
        <f>IFERROR(__xludf.DUMMYFUNCTION("""COMPUTED_VALUE"""),70000.0)</f>
        <v>70000</v>
      </c>
      <c r="B630" s="1" t="str">
        <f>IFERROR(__xludf.DUMMYFUNCTION("""COMPUTED_VALUE"""),"38")</f>
        <v>38</v>
      </c>
    </row>
    <row r="631" ht="15.75" customHeight="1">
      <c r="A631" s="3">
        <f>IFERROR(__xludf.DUMMYFUNCTION("""COMPUTED_VALUE"""),70000.0)</f>
        <v>70000</v>
      </c>
      <c r="B631" s="1" t="str">
        <f>IFERROR(__xludf.DUMMYFUNCTION("""COMPUTED_VALUE"""),"67")</f>
        <v>67</v>
      </c>
    </row>
    <row r="632" ht="15.75" customHeight="1">
      <c r="A632" s="3">
        <f>IFERROR(__xludf.DUMMYFUNCTION("""COMPUTED_VALUE"""),60000.0)</f>
        <v>60000</v>
      </c>
      <c r="B632" s="1" t="str">
        <f>IFERROR(__xludf.DUMMYFUNCTION("""COMPUTED_VALUE"""),"32")</f>
        <v>32</v>
      </c>
    </row>
    <row r="633" ht="15.75" customHeight="1">
      <c r="A633" s="3">
        <f>IFERROR(__xludf.DUMMYFUNCTION("""COMPUTED_VALUE"""),70000.0)</f>
        <v>70000</v>
      </c>
      <c r="B633" s="1" t="str">
        <f>IFERROR(__xludf.DUMMYFUNCTION("""COMPUTED_VALUE"""),"45")</f>
        <v>45</v>
      </c>
    </row>
    <row r="634" ht="15.75" customHeight="1">
      <c r="A634" s="3">
        <f>IFERROR(__xludf.DUMMYFUNCTION("""COMPUTED_VALUE"""),30000.0)</f>
        <v>30000</v>
      </c>
      <c r="B634" s="1" t="str">
        <f>IFERROR(__xludf.DUMMYFUNCTION("""COMPUTED_VALUE"""),"31")</f>
        <v>31</v>
      </c>
    </row>
    <row r="635" ht="15.75" customHeight="1">
      <c r="A635" s="3">
        <f>IFERROR(__xludf.DUMMYFUNCTION("""COMPUTED_VALUE"""),40000.0)</f>
        <v>40000</v>
      </c>
      <c r="B635" s="1" t="str">
        <f>IFERROR(__xludf.DUMMYFUNCTION("""COMPUTED_VALUE"""),"31")</f>
        <v>31</v>
      </c>
    </row>
    <row r="636" ht="15.75" customHeight="1">
      <c r="A636" s="3">
        <f>IFERROR(__xludf.DUMMYFUNCTION("""COMPUTED_VALUE"""),40000.0)</f>
        <v>40000</v>
      </c>
      <c r="B636" s="1" t="str">
        <f>IFERROR(__xludf.DUMMYFUNCTION("""COMPUTED_VALUE"""),"31")</f>
        <v>31</v>
      </c>
    </row>
    <row r="637" ht="15.75" customHeight="1">
      <c r="A637" s="3">
        <f>IFERROR(__xludf.DUMMYFUNCTION("""COMPUTED_VALUE"""),60000.0)</f>
        <v>60000</v>
      </c>
      <c r="B637" s="1" t="str">
        <f>IFERROR(__xludf.DUMMYFUNCTION("""COMPUTED_VALUE"""),"50")</f>
        <v>50</v>
      </c>
    </row>
    <row r="638" ht="15.75" customHeight="1">
      <c r="A638" s="3">
        <f>IFERROR(__xludf.DUMMYFUNCTION("""COMPUTED_VALUE"""),70000.0)</f>
        <v>70000</v>
      </c>
      <c r="B638" s="1" t="str">
        <f>IFERROR(__xludf.DUMMYFUNCTION("""COMPUTED_VALUE"""),"44")</f>
        <v>44</v>
      </c>
    </row>
    <row r="639" ht="15.75" customHeight="1">
      <c r="A639" s="3">
        <f>IFERROR(__xludf.DUMMYFUNCTION("""COMPUTED_VALUE"""),50000.0)</f>
        <v>50000</v>
      </c>
      <c r="B639" s="1" t="str">
        <f>IFERROR(__xludf.DUMMYFUNCTION("""COMPUTED_VALUE"""),"38")</f>
        <v>38</v>
      </c>
    </row>
    <row r="640" ht="15.75" customHeight="1">
      <c r="A640" s="3">
        <f>IFERROR(__xludf.DUMMYFUNCTION("""COMPUTED_VALUE"""),60000.0)</f>
        <v>60000</v>
      </c>
      <c r="B640" s="1" t="str">
        <f>IFERROR(__xludf.DUMMYFUNCTION("""COMPUTED_VALUE"""),"63")</f>
        <v>63</v>
      </c>
    </row>
    <row r="641" ht="15.75" customHeight="1">
      <c r="A641" s="3">
        <f>IFERROR(__xludf.DUMMYFUNCTION("""COMPUTED_VALUE"""),60000.0)</f>
        <v>60000</v>
      </c>
      <c r="B641" s="1" t="str">
        <f>IFERROR(__xludf.DUMMYFUNCTION("""COMPUTED_VALUE"""),"36")</f>
        <v>36</v>
      </c>
    </row>
    <row r="642" ht="15.75" customHeight="1">
      <c r="A642" s="3">
        <f>IFERROR(__xludf.DUMMYFUNCTION("""COMPUTED_VALUE"""),40000.0)</f>
        <v>40000</v>
      </c>
      <c r="B642" s="1" t="str">
        <f>IFERROR(__xludf.DUMMYFUNCTION("""COMPUTED_VALUE"""),"28")</f>
        <v>28</v>
      </c>
    </row>
    <row r="643" ht="15.75" customHeight="1">
      <c r="A643" s="3">
        <f>IFERROR(__xludf.DUMMYFUNCTION("""COMPUTED_VALUE"""),100000.0)</f>
        <v>100000</v>
      </c>
      <c r="B643" s="1" t="str">
        <f>IFERROR(__xludf.DUMMYFUNCTION("""COMPUTED_VALUE"""),"44")</f>
        <v>44</v>
      </c>
    </row>
    <row r="644" ht="15.75" customHeight="1">
      <c r="A644" s="3">
        <f>IFERROR(__xludf.DUMMYFUNCTION("""COMPUTED_VALUE"""),70000.0)</f>
        <v>70000</v>
      </c>
      <c r="B644" s="1" t="str">
        <f>IFERROR(__xludf.DUMMYFUNCTION("""COMPUTED_VALUE"""),"47")</f>
        <v>47</v>
      </c>
    </row>
    <row r="645" ht="15.75" customHeight="1">
      <c r="A645" s="3">
        <f>IFERROR(__xludf.DUMMYFUNCTION("""COMPUTED_VALUE"""),80000.0)</f>
        <v>80000</v>
      </c>
      <c r="B645" s="1" t="str">
        <f>IFERROR(__xludf.DUMMYFUNCTION("""COMPUTED_VALUE"""),"40")</f>
        <v>40</v>
      </c>
    </row>
    <row r="646" ht="15.75" customHeight="1">
      <c r="A646" s="3">
        <f>IFERROR(__xludf.DUMMYFUNCTION("""COMPUTED_VALUE"""),130000.0)</f>
        <v>130000</v>
      </c>
      <c r="B646" s="1" t="str">
        <f>IFERROR(__xludf.DUMMYFUNCTION("""COMPUTED_VALUE"""),"40")</f>
        <v>40</v>
      </c>
    </row>
    <row r="647" ht="15.75" customHeight="1">
      <c r="A647" s="3">
        <f>IFERROR(__xludf.DUMMYFUNCTION("""COMPUTED_VALUE"""),60000.0)</f>
        <v>60000</v>
      </c>
      <c r="B647" s="1" t="str">
        <f>IFERROR(__xludf.DUMMYFUNCTION("""COMPUTED_VALUE"""),"46")</f>
        <v>46</v>
      </c>
    </row>
    <row r="648" ht="15.75" customHeight="1">
      <c r="A648" s="3">
        <f>IFERROR(__xludf.DUMMYFUNCTION("""COMPUTED_VALUE"""),40000.0)</f>
        <v>40000</v>
      </c>
      <c r="B648" s="1" t="str">
        <f>IFERROR(__xludf.DUMMYFUNCTION("""COMPUTED_VALUE"""),"61")</f>
        <v>61</v>
      </c>
    </row>
    <row r="649" ht="15.75" customHeight="1">
      <c r="A649" s="3">
        <f>IFERROR(__xludf.DUMMYFUNCTION("""COMPUTED_VALUE"""),60000.0)</f>
        <v>60000</v>
      </c>
      <c r="B649" s="1" t="str">
        <f>IFERROR(__xludf.DUMMYFUNCTION("""COMPUTED_VALUE"""),"40")</f>
        <v>40</v>
      </c>
    </row>
    <row r="650" ht="15.75" customHeight="1">
      <c r="A650" s="3">
        <f>IFERROR(__xludf.DUMMYFUNCTION("""COMPUTED_VALUE"""),60000.0)</f>
        <v>60000</v>
      </c>
      <c r="B650" s="1" t="str">
        <f>IFERROR(__xludf.DUMMYFUNCTION("""COMPUTED_VALUE"""),"50")</f>
        <v>50</v>
      </c>
    </row>
    <row r="651" ht="15.75" customHeight="1">
      <c r="A651" s="3">
        <f>IFERROR(__xludf.DUMMYFUNCTION("""COMPUTED_VALUE"""),70000.0)</f>
        <v>70000</v>
      </c>
      <c r="B651" s="1" t="str">
        <f>IFERROR(__xludf.DUMMYFUNCTION("""COMPUTED_VALUE"""),"59")</f>
        <v>59</v>
      </c>
    </row>
    <row r="652" ht="15.75" customHeight="1">
      <c r="A652" s="3">
        <f>IFERROR(__xludf.DUMMYFUNCTION("""COMPUTED_VALUE"""),60000.0)</f>
        <v>60000</v>
      </c>
      <c r="B652" s="1" t="str">
        <f>IFERROR(__xludf.DUMMYFUNCTION("""COMPUTED_VALUE"""),"36")</f>
        <v>36</v>
      </c>
    </row>
    <row r="653" ht="15.75" customHeight="1">
      <c r="A653" s="3">
        <f>IFERROR(__xludf.DUMMYFUNCTION("""COMPUTED_VALUE"""),40000.0)</f>
        <v>40000</v>
      </c>
      <c r="B653" s="1" t="str">
        <f>IFERROR(__xludf.DUMMYFUNCTION("""COMPUTED_VALUE"""),"30")</f>
        <v>30</v>
      </c>
    </row>
    <row r="654" ht="15.75" customHeight="1">
      <c r="A654" s="3">
        <f>IFERROR(__xludf.DUMMYFUNCTION("""COMPUTED_VALUE"""),70000.0)</f>
        <v>70000</v>
      </c>
      <c r="B654" s="1" t="str">
        <f>IFERROR(__xludf.DUMMYFUNCTION("""COMPUTED_VALUE"""),"35")</f>
        <v>35</v>
      </c>
    </row>
    <row r="655" ht="15.75" customHeight="1">
      <c r="A655" s="3">
        <f>IFERROR(__xludf.DUMMYFUNCTION("""COMPUTED_VALUE"""),30000.0)</f>
        <v>30000</v>
      </c>
      <c r="B655" s="1" t="str">
        <f>IFERROR(__xludf.DUMMYFUNCTION("""COMPUTED_VALUE"""),"48")</f>
        <v>48</v>
      </c>
    </row>
    <row r="656" ht="15.75" customHeight="1">
      <c r="A656" s="3">
        <f>IFERROR(__xludf.DUMMYFUNCTION("""COMPUTED_VALUE"""),100000.0)</f>
        <v>100000</v>
      </c>
      <c r="B656" s="1" t="str">
        <f>IFERROR(__xludf.DUMMYFUNCTION("""COMPUTED_VALUE"""),"41")</f>
        <v>41</v>
      </c>
    </row>
    <row r="657" ht="15.75" customHeight="1">
      <c r="A657" s="3">
        <f>IFERROR(__xludf.DUMMYFUNCTION("""COMPUTED_VALUE"""),40000.0)</f>
        <v>40000</v>
      </c>
      <c r="B657" s="1" t="str">
        <f>IFERROR(__xludf.DUMMYFUNCTION("""COMPUTED_VALUE"""),"47")</f>
        <v>47</v>
      </c>
    </row>
    <row r="658" ht="15.75" customHeight="1">
      <c r="A658" s="3">
        <f>IFERROR(__xludf.DUMMYFUNCTION("""COMPUTED_VALUE"""),60000.0)</f>
        <v>60000</v>
      </c>
      <c r="B658" s="1" t="str">
        <f>IFERROR(__xludf.DUMMYFUNCTION("""COMPUTED_VALUE"""),"47")</f>
        <v>47</v>
      </c>
    </row>
    <row r="659" ht="15.75" customHeight="1">
      <c r="A659" s="3">
        <f>IFERROR(__xludf.DUMMYFUNCTION("""COMPUTED_VALUE"""),80000.0)</f>
        <v>80000</v>
      </c>
      <c r="B659" s="1" t="str">
        <f>IFERROR(__xludf.DUMMYFUNCTION("""COMPUTED_VALUE"""),"62")</f>
        <v>62</v>
      </c>
    </row>
    <row r="660" ht="15.75" customHeight="1">
      <c r="A660" s="3">
        <f>IFERROR(__xludf.DUMMYFUNCTION("""COMPUTED_VALUE"""),60000.0)</f>
        <v>60000</v>
      </c>
      <c r="B660" s="1" t="str">
        <f>IFERROR(__xludf.DUMMYFUNCTION("""COMPUTED_VALUE"""),"60")</f>
        <v>60</v>
      </c>
    </row>
    <row r="661" ht="15.75" customHeight="1">
      <c r="A661" s="3">
        <f>IFERROR(__xludf.DUMMYFUNCTION("""COMPUTED_VALUE"""),60000.0)</f>
        <v>60000</v>
      </c>
      <c r="B661" s="1" t="str">
        <f>IFERROR(__xludf.DUMMYFUNCTION("""COMPUTED_VALUE"""),"33")</f>
        <v>33</v>
      </c>
    </row>
    <row r="662" ht="15.75" customHeight="1">
      <c r="A662" s="3">
        <f>IFERROR(__xludf.DUMMYFUNCTION("""COMPUTED_VALUE"""),80000.0)</f>
        <v>80000</v>
      </c>
      <c r="B662" s="1" t="str">
        <f>IFERROR(__xludf.DUMMYFUNCTION("""COMPUTED_VALUE"""),"47")</f>
        <v>47</v>
      </c>
    </row>
    <row r="663" ht="15.75" customHeight="1">
      <c r="A663" s="3">
        <f>IFERROR(__xludf.DUMMYFUNCTION("""COMPUTED_VALUE"""),20000.0)</f>
        <v>20000</v>
      </c>
      <c r="B663" s="1" t="str">
        <f>IFERROR(__xludf.DUMMYFUNCTION("""COMPUTED_VALUE"""),"52")</f>
        <v>52</v>
      </c>
    </row>
    <row r="664" ht="15.75" customHeight="1">
      <c r="A664" s="3">
        <f>IFERROR(__xludf.DUMMYFUNCTION("""COMPUTED_VALUE"""),90000.0)</f>
        <v>90000</v>
      </c>
      <c r="B664" s="1" t="str">
        <f>IFERROR(__xludf.DUMMYFUNCTION("""COMPUTED_VALUE"""),"40")</f>
        <v>40</v>
      </c>
    </row>
    <row r="665" ht="15.75" customHeight="1">
      <c r="A665" s="3">
        <f>IFERROR(__xludf.DUMMYFUNCTION("""COMPUTED_VALUE"""),60000.0)</f>
        <v>60000</v>
      </c>
      <c r="B665" s="1" t="str">
        <f>IFERROR(__xludf.DUMMYFUNCTION("""COMPUTED_VALUE"""),"42")</f>
        <v>42</v>
      </c>
    </row>
    <row r="666" ht="15.75" customHeight="1">
      <c r="A666" s="3">
        <f>IFERROR(__xludf.DUMMYFUNCTION("""COMPUTED_VALUE"""),60000.0)</f>
        <v>60000</v>
      </c>
      <c r="B666" s="1" t="str">
        <f>IFERROR(__xludf.DUMMYFUNCTION("""COMPUTED_VALUE"""),"53")</f>
        <v>53</v>
      </c>
    </row>
    <row r="667" ht="15.75" customHeight="1">
      <c r="A667" s="3">
        <f>IFERROR(__xludf.DUMMYFUNCTION("""COMPUTED_VALUE"""),40000.0)</f>
        <v>40000</v>
      </c>
      <c r="B667" s="1" t="str">
        <f>IFERROR(__xludf.DUMMYFUNCTION("""COMPUTED_VALUE"""),"51")</f>
        <v>51</v>
      </c>
    </row>
    <row r="668" ht="15.75" customHeight="1">
      <c r="A668" s="3">
        <f>IFERROR(__xludf.DUMMYFUNCTION("""COMPUTED_VALUE"""),30000.0)</f>
        <v>30000</v>
      </c>
      <c r="B668" s="1" t="str">
        <f>IFERROR(__xludf.DUMMYFUNCTION("""COMPUTED_VALUE"""),"30")</f>
        <v>30</v>
      </c>
    </row>
    <row r="669" ht="15.75" customHeight="1">
      <c r="A669" s="3">
        <f>IFERROR(__xludf.DUMMYFUNCTION("""COMPUTED_VALUE"""),30000.0)</f>
        <v>30000</v>
      </c>
      <c r="B669" s="1" t="str">
        <f>IFERROR(__xludf.DUMMYFUNCTION("""COMPUTED_VALUE"""),"26")</f>
        <v>26</v>
      </c>
    </row>
    <row r="670" ht="15.75" customHeight="1">
      <c r="A670" s="3">
        <f>IFERROR(__xludf.DUMMYFUNCTION("""COMPUTED_VALUE"""),130000.0)</f>
        <v>130000</v>
      </c>
      <c r="B670" s="1" t="str">
        <f>IFERROR(__xludf.DUMMYFUNCTION("""COMPUTED_VALUE"""),"45")</f>
        <v>45</v>
      </c>
    </row>
    <row r="671" ht="15.75" customHeight="1">
      <c r="A671" s="3">
        <f>IFERROR(__xludf.DUMMYFUNCTION("""COMPUTED_VALUE"""),50000.0)</f>
        <v>50000</v>
      </c>
      <c r="B671" s="1" t="str">
        <f>IFERROR(__xludf.DUMMYFUNCTION("""COMPUTED_VALUE"""),"34")</f>
        <v>34</v>
      </c>
    </row>
    <row r="672" ht="15.75" customHeight="1">
      <c r="A672" s="3">
        <f>IFERROR(__xludf.DUMMYFUNCTION("""COMPUTED_VALUE"""),70000.0)</f>
        <v>70000</v>
      </c>
      <c r="B672" s="1" t="str">
        <f>IFERROR(__xludf.DUMMYFUNCTION("""COMPUTED_VALUE"""),"44")</f>
        <v>44</v>
      </c>
    </row>
    <row r="673" ht="15.75" customHeight="1">
      <c r="A673" s="3">
        <f>IFERROR(__xludf.DUMMYFUNCTION("""COMPUTED_VALUE"""),60000.0)</f>
        <v>60000</v>
      </c>
      <c r="B673" s="1" t="str">
        <f>IFERROR(__xludf.DUMMYFUNCTION("""COMPUTED_VALUE"""),"41")</f>
        <v>41</v>
      </c>
    </row>
    <row r="674" ht="15.75" customHeight="1">
      <c r="A674" s="3">
        <f>IFERROR(__xludf.DUMMYFUNCTION("""COMPUTED_VALUE"""),80000.0)</f>
        <v>80000</v>
      </c>
      <c r="B674" s="1" t="str">
        <f>IFERROR(__xludf.DUMMYFUNCTION("""COMPUTED_VALUE"""),"36")</f>
        <v>36</v>
      </c>
    </row>
    <row r="675" ht="15.75" customHeight="1">
      <c r="A675" s="3">
        <f>IFERROR(__xludf.DUMMYFUNCTION("""COMPUTED_VALUE"""),80000.0)</f>
        <v>80000</v>
      </c>
      <c r="B675" s="1" t="str">
        <f>IFERROR(__xludf.DUMMYFUNCTION("""COMPUTED_VALUE"""),"44")</f>
        <v>44</v>
      </c>
    </row>
    <row r="676" ht="15.75" customHeight="1">
      <c r="A676" s="3">
        <f>IFERROR(__xludf.DUMMYFUNCTION("""COMPUTED_VALUE"""),60000.0)</f>
        <v>60000</v>
      </c>
      <c r="B676" s="1" t="str">
        <f>IFERROR(__xludf.DUMMYFUNCTION("""COMPUTED_VALUE"""),"30")</f>
        <v>30</v>
      </c>
    </row>
    <row r="677" ht="15.75" customHeight="1">
      <c r="A677" s="3">
        <f>IFERROR(__xludf.DUMMYFUNCTION("""COMPUTED_VALUE"""),30000.0)</f>
        <v>30000</v>
      </c>
      <c r="B677" s="1" t="str">
        <f>IFERROR(__xludf.DUMMYFUNCTION("""COMPUTED_VALUE"""),"28")</f>
        <v>28</v>
      </c>
    </row>
    <row r="678" ht="15.75" customHeight="1">
      <c r="A678" s="3">
        <f>IFERROR(__xludf.DUMMYFUNCTION("""COMPUTED_VALUE"""),20000.0)</f>
        <v>20000</v>
      </c>
      <c r="B678" s="1" t="str">
        <f>IFERROR(__xludf.DUMMYFUNCTION("""COMPUTED_VALUE"""),"49")</f>
        <v>49</v>
      </c>
    </row>
    <row r="679" ht="15.75" customHeight="1">
      <c r="A679" s="3">
        <f>IFERROR(__xludf.DUMMYFUNCTION("""COMPUTED_VALUE"""),90000.0)</f>
        <v>90000</v>
      </c>
      <c r="B679" s="1" t="str">
        <f>IFERROR(__xludf.DUMMYFUNCTION("""COMPUTED_VALUE"""),"43")</f>
        <v>43</v>
      </c>
    </row>
    <row r="680" ht="15.75" customHeight="1">
      <c r="A680" s="3">
        <f>IFERROR(__xludf.DUMMYFUNCTION("""COMPUTED_VALUE"""),70000.0)</f>
        <v>70000</v>
      </c>
      <c r="B680" s="1" t="str">
        <f>IFERROR(__xludf.DUMMYFUNCTION("""COMPUTED_VALUE"""),"59")</f>
        <v>59</v>
      </c>
    </row>
    <row r="681" ht="15.75" customHeight="1">
      <c r="A681" s="3">
        <f>IFERROR(__xludf.DUMMYFUNCTION("""COMPUTED_VALUE"""),30000.0)</f>
        <v>30000</v>
      </c>
      <c r="B681" s="1" t="str">
        <f>IFERROR(__xludf.DUMMYFUNCTION("""COMPUTED_VALUE"""),"26")</f>
        <v>26</v>
      </c>
    </row>
    <row r="682" ht="15.75" customHeight="1">
      <c r="A682" s="3">
        <f>IFERROR(__xludf.DUMMYFUNCTION("""COMPUTED_VALUE"""),120000.0)</f>
        <v>120000</v>
      </c>
      <c r="B682" s="1" t="str">
        <f>IFERROR(__xludf.DUMMYFUNCTION("""COMPUTED_VALUE"""),"46")</f>
        <v>46</v>
      </c>
    </row>
    <row r="683" ht="15.75" customHeight="1">
      <c r="A683" s="3">
        <f>IFERROR(__xludf.DUMMYFUNCTION("""COMPUTED_VALUE"""),50000.0)</f>
        <v>50000</v>
      </c>
      <c r="B683" s="1" t="str">
        <f>IFERROR(__xludf.DUMMYFUNCTION("""COMPUTED_VALUE"""),"33")</f>
        <v>33</v>
      </c>
    </row>
    <row r="684" ht="15.75" customHeight="1">
      <c r="A684" s="3">
        <f>IFERROR(__xludf.DUMMYFUNCTION("""COMPUTED_VALUE"""),40000.0)</f>
        <v>40000</v>
      </c>
      <c r="B684" s="1" t="str">
        <f>IFERROR(__xludf.DUMMYFUNCTION("""COMPUTED_VALUE"""),"42")</f>
        <v>42</v>
      </c>
    </row>
    <row r="685" ht="15.75" customHeight="1">
      <c r="A685" s="3">
        <f>IFERROR(__xludf.DUMMYFUNCTION("""COMPUTED_VALUE"""),70000.0)</f>
        <v>70000</v>
      </c>
      <c r="B685" s="1" t="str">
        <f>IFERROR(__xludf.DUMMYFUNCTION("""COMPUTED_VALUE"""),"59")</f>
        <v>59</v>
      </c>
    </row>
    <row r="686" ht="15.75" customHeight="1">
      <c r="A686" s="3">
        <f>IFERROR(__xludf.DUMMYFUNCTION("""COMPUTED_VALUE"""),60000.0)</f>
        <v>60000</v>
      </c>
      <c r="B686" s="1" t="str">
        <f>IFERROR(__xludf.DUMMYFUNCTION("""COMPUTED_VALUE"""),"33")</f>
        <v>33</v>
      </c>
    </row>
    <row r="687" ht="15.75" customHeight="1">
      <c r="A687" s="3">
        <f>IFERROR(__xludf.DUMMYFUNCTION("""COMPUTED_VALUE"""),70000.0)</f>
        <v>70000</v>
      </c>
      <c r="B687" s="1" t="str">
        <f>IFERROR(__xludf.DUMMYFUNCTION("""COMPUTED_VALUE"""),"44")</f>
        <v>44</v>
      </c>
    </row>
    <row r="688" ht="15.75" customHeight="1">
      <c r="A688" s="3">
        <f>IFERROR(__xludf.DUMMYFUNCTION("""COMPUTED_VALUE"""),70000.0)</f>
        <v>70000</v>
      </c>
      <c r="B688" s="1" t="str">
        <f>IFERROR(__xludf.DUMMYFUNCTION("""COMPUTED_VALUE"""),"60")</f>
        <v>60</v>
      </c>
    </row>
    <row r="689" ht="15.75" customHeight="1">
      <c r="A689" s="3">
        <f>IFERROR(__xludf.DUMMYFUNCTION("""COMPUTED_VALUE"""),70000.0)</f>
        <v>70000</v>
      </c>
      <c r="B689" s="1" t="str">
        <f>IFERROR(__xludf.DUMMYFUNCTION("""COMPUTED_VALUE"""),"59")</f>
        <v>59</v>
      </c>
    </row>
    <row r="690" ht="15.75" customHeight="1">
      <c r="A690" s="3">
        <f>IFERROR(__xludf.DUMMYFUNCTION("""COMPUTED_VALUE"""),60000.0)</f>
        <v>60000</v>
      </c>
      <c r="B690" s="1" t="str">
        <f>IFERROR(__xludf.DUMMYFUNCTION("""COMPUTED_VALUE"""),"32")</f>
        <v>32</v>
      </c>
    </row>
    <row r="691" ht="15.75" customHeight="1">
      <c r="A691" s="3">
        <f>IFERROR(__xludf.DUMMYFUNCTION("""COMPUTED_VALUE"""),70000.0)</f>
        <v>70000</v>
      </c>
      <c r="B691" s="1" t="str">
        <f>IFERROR(__xludf.DUMMYFUNCTION("""COMPUTED_VALUE"""),"58")</f>
        <v>58</v>
      </c>
    </row>
    <row r="692" ht="15.75" customHeight="1">
      <c r="A692" s="3">
        <f>IFERROR(__xludf.DUMMYFUNCTION("""COMPUTED_VALUE"""),40000.0)</f>
        <v>40000</v>
      </c>
      <c r="B692" s="1" t="str">
        <f>IFERROR(__xludf.DUMMYFUNCTION("""COMPUTED_VALUE"""),"59")</f>
        <v>59</v>
      </c>
    </row>
    <row r="693" ht="15.75" customHeight="1">
      <c r="A693" s="3">
        <f>IFERROR(__xludf.DUMMYFUNCTION("""COMPUTED_VALUE"""),70000.0)</f>
        <v>70000</v>
      </c>
      <c r="B693" s="1" t="str">
        <f>IFERROR(__xludf.DUMMYFUNCTION("""COMPUTED_VALUE"""),"38")</f>
        <v>38</v>
      </c>
    </row>
    <row r="694" ht="15.75" customHeight="1">
      <c r="A694" s="3">
        <f>IFERROR(__xludf.DUMMYFUNCTION("""COMPUTED_VALUE"""),40000.0)</f>
        <v>40000</v>
      </c>
      <c r="B694" s="1" t="str">
        <f>IFERROR(__xludf.DUMMYFUNCTION("""COMPUTED_VALUE"""),"28")</f>
        <v>28</v>
      </c>
    </row>
    <row r="695" ht="15.75" customHeight="1">
      <c r="A695" s="3">
        <f>IFERROR(__xludf.DUMMYFUNCTION("""COMPUTED_VALUE"""),60000.0)</f>
        <v>60000</v>
      </c>
      <c r="B695" s="1" t="str">
        <f>IFERROR(__xludf.DUMMYFUNCTION("""COMPUTED_VALUE"""),"37")</f>
        <v>37</v>
      </c>
    </row>
    <row r="696" ht="15.75" customHeight="1">
      <c r="A696" s="3">
        <f>IFERROR(__xludf.DUMMYFUNCTION("""COMPUTED_VALUE"""),80000.0)</f>
        <v>80000</v>
      </c>
      <c r="B696" s="1" t="str">
        <f>IFERROR(__xludf.DUMMYFUNCTION("""COMPUTED_VALUE"""),"40")</f>
        <v>40</v>
      </c>
    </row>
    <row r="697" ht="15.75" customHeight="1">
      <c r="A697" s="3">
        <f>IFERROR(__xludf.DUMMYFUNCTION("""COMPUTED_VALUE"""),90000.0)</f>
        <v>90000</v>
      </c>
      <c r="B697" s="1" t="str">
        <f>IFERROR(__xludf.DUMMYFUNCTION("""COMPUTED_VALUE"""),"38")</f>
        <v>38</v>
      </c>
    </row>
    <row r="698" ht="15.75" customHeight="1">
      <c r="A698" s="3">
        <f>IFERROR(__xludf.DUMMYFUNCTION("""COMPUTED_VALUE"""),70000.0)</f>
        <v>70000</v>
      </c>
      <c r="B698" s="1" t="str">
        <f>IFERROR(__xludf.DUMMYFUNCTION("""COMPUTED_VALUE"""),"36")</f>
        <v>36</v>
      </c>
    </row>
    <row r="699" ht="15.75" customHeight="1">
      <c r="A699" s="3">
        <f>IFERROR(__xludf.DUMMYFUNCTION("""COMPUTED_VALUE"""),70000.0)</f>
        <v>70000</v>
      </c>
      <c r="B699" s="1" t="str">
        <f>IFERROR(__xludf.DUMMYFUNCTION("""COMPUTED_VALUE"""),"37")</f>
        <v>37</v>
      </c>
    </row>
    <row r="700" ht="15.75" customHeight="1">
      <c r="A700" s="3">
        <f>IFERROR(__xludf.DUMMYFUNCTION("""COMPUTED_VALUE"""),40000.0)</f>
        <v>40000</v>
      </c>
      <c r="B700" s="1" t="str">
        <f>IFERROR(__xludf.DUMMYFUNCTION("""COMPUTED_VALUE"""),"60")</f>
        <v>60</v>
      </c>
    </row>
    <row r="701" ht="15.75" customHeight="1">
      <c r="A701" s="3">
        <f>IFERROR(__xludf.DUMMYFUNCTION("""COMPUTED_VALUE"""),110000.0)</f>
        <v>110000</v>
      </c>
      <c r="B701" s="1" t="str">
        <f>IFERROR(__xludf.DUMMYFUNCTION("""COMPUTED_VALUE"""),"42")</f>
        <v>42</v>
      </c>
    </row>
    <row r="702" ht="15.75" customHeight="1">
      <c r="A702" s="3">
        <f>IFERROR(__xludf.DUMMYFUNCTION("""COMPUTED_VALUE"""),70000.0)</f>
        <v>70000</v>
      </c>
      <c r="B702" s="1" t="str">
        <f>IFERROR(__xludf.DUMMYFUNCTION("""COMPUTED_VALUE"""),"53")</f>
        <v>53</v>
      </c>
    </row>
    <row r="703" ht="15.75" customHeight="1">
      <c r="A703" s="3">
        <f>IFERROR(__xludf.DUMMYFUNCTION("""COMPUTED_VALUE"""),80000.0)</f>
        <v>80000</v>
      </c>
      <c r="B703" s="1" t="str">
        <f>IFERROR(__xludf.DUMMYFUNCTION("""COMPUTED_VALUE"""),"49")</f>
        <v>49</v>
      </c>
    </row>
    <row r="704" ht="15.75" customHeight="1">
      <c r="A704" s="3">
        <f>IFERROR(__xludf.DUMMYFUNCTION("""COMPUTED_VALUE"""),30000.0)</f>
        <v>30000</v>
      </c>
      <c r="B704" s="1" t="str">
        <f>IFERROR(__xludf.DUMMYFUNCTION("""COMPUTED_VALUE"""),"49")</f>
        <v>49</v>
      </c>
    </row>
    <row r="705" ht="15.75" customHeight="1">
      <c r="A705" s="3">
        <f>IFERROR(__xludf.DUMMYFUNCTION("""COMPUTED_VALUE"""),130000.0)</f>
        <v>130000</v>
      </c>
      <c r="B705" s="1" t="str">
        <f>IFERROR(__xludf.DUMMYFUNCTION("""COMPUTED_VALUE"""),"42")</f>
        <v>42</v>
      </c>
    </row>
    <row r="706" ht="15.75" customHeight="1">
      <c r="A706" s="3">
        <f>IFERROR(__xludf.DUMMYFUNCTION("""COMPUTED_VALUE"""),20000.0)</f>
        <v>20000</v>
      </c>
      <c r="B706" s="1" t="str">
        <f>IFERROR(__xludf.DUMMYFUNCTION("""COMPUTED_VALUE"""),"53")</f>
        <v>53</v>
      </c>
    </row>
    <row r="707" ht="15.75" customHeight="1">
      <c r="A707" s="3">
        <f>IFERROR(__xludf.DUMMYFUNCTION("""COMPUTED_VALUE"""),70000.0)</f>
        <v>70000</v>
      </c>
      <c r="B707" s="1" t="str">
        <f>IFERROR(__xludf.DUMMYFUNCTION("""COMPUTED_VALUE"""),"46")</f>
        <v>46</v>
      </c>
    </row>
    <row r="708" ht="15.75" customHeight="1">
      <c r="A708" s="3">
        <f>IFERROR(__xludf.DUMMYFUNCTION("""COMPUTED_VALUE"""),40000.0)</f>
        <v>40000</v>
      </c>
      <c r="B708" s="1" t="str">
        <f>IFERROR(__xludf.DUMMYFUNCTION("""COMPUTED_VALUE"""),"27")</f>
        <v>27</v>
      </c>
    </row>
    <row r="709" ht="15.75" customHeight="1">
      <c r="A709" s="3">
        <f>IFERROR(__xludf.DUMMYFUNCTION("""COMPUTED_VALUE"""),60000.0)</f>
        <v>60000</v>
      </c>
      <c r="B709" s="1" t="str">
        <f>IFERROR(__xludf.DUMMYFUNCTION("""COMPUTED_VALUE"""),"48")</f>
        <v>48</v>
      </c>
    </row>
    <row r="710" ht="15.75" customHeight="1">
      <c r="A710" s="3">
        <f>IFERROR(__xludf.DUMMYFUNCTION("""COMPUTED_VALUE"""),60000.0)</f>
        <v>60000</v>
      </c>
      <c r="B710" s="1" t="str">
        <f>IFERROR(__xludf.DUMMYFUNCTION("""COMPUTED_VALUE"""),"41")</f>
        <v>41</v>
      </c>
    </row>
    <row r="711" ht="15.75" customHeight="1">
      <c r="A711" s="3">
        <f>IFERROR(__xludf.DUMMYFUNCTION("""COMPUTED_VALUE"""),60000.0)</f>
        <v>60000</v>
      </c>
      <c r="B711" s="1" t="str">
        <f>IFERROR(__xludf.DUMMYFUNCTION("""COMPUTED_VALUE"""),"49")</f>
        <v>49</v>
      </c>
    </row>
    <row r="712" ht="15.75" customHeight="1">
      <c r="A712" s="3">
        <f>IFERROR(__xludf.DUMMYFUNCTION("""COMPUTED_VALUE"""),60000.0)</f>
        <v>60000</v>
      </c>
      <c r="B712" s="1" t="str">
        <f>IFERROR(__xludf.DUMMYFUNCTION("""COMPUTED_VALUE"""),"38")</f>
        <v>38</v>
      </c>
    </row>
    <row r="713" ht="15.75" customHeight="1">
      <c r="A713" s="3">
        <f>IFERROR(__xludf.DUMMYFUNCTION("""COMPUTED_VALUE"""),130000.0)</f>
        <v>130000</v>
      </c>
      <c r="B713" s="1" t="str">
        <f>IFERROR(__xludf.DUMMYFUNCTION("""COMPUTED_VALUE"""),"44")</f>
        <v>44</v>
      </c>
    </row>
    <row r="714" ht="15.75" customHeight="1">
      <c r="A714" s="3">
        <f>IFERROR(__xludf.DUMMYFUNCTION("""COMPUTED_VALUE"""),130000.0)</f>
        <v>130000</v>
      </c>
      <c r="B714" s="1" t="str">
        <f>IFERROR(__xludf.DUMMYFUNCTION("""COMPUTED_VALUE"""),"45")</f>
        <v>45</v>
      </c>
    </row>
    <row r="715" ht="15.75" customHeight="1">
      <c r="A715" s="3">
        <f>IFERROR(__xludf.DUMMYFUNCTION("""COMPUTED_VALUE"""),30000.0)</f>
        <v>30000</v>
      </c>
      <c r="B715" s="1" t="str">
        <f>IFERROR(__xludf.DUMMYFUNCTION("""COMPUTED_VALUE"""),"26")</f>
        <v>26</v>
      </c>
    </row>
    <row r="716" ht="15.75" customHeight="1">
      <c r="A716" s="3">
        <f>IFERROR(__xludf.DUMMYFUNCTION("""COMPUTED_VALUE"""),40000.0)</f>
        <v>40000</v>
      </c>
      <c r="B716" s="1" t="str">
        <f>IFERROR(__xludf.DUMMYFUNCTION("""COMPUTED_VALUE"""),"31")</f>
        <v>31</v>
      </c>
    </row>
    <row r="717" ht="15.75" customHeight="1">
      <c r="A717" s="3">
        <f>IFERROR(__xludf.DUMMYFUNCTION("""COMPUTED_VALUE"""),70000.0)</f>
        <v>70000</v>
      </c>
      <c r="B717" s="1" t="str">
        <f>IFERROR(__xludf.DUMMYFUNCTION("""COMPUTED_VALUE"""),"49")</f>
        <v>49</v>
      </c>
    </row>
    <row r="718" ht="15.75" customHeight="1">
      <c r="A718" s="3">
        <f>IFERROR(__xludf.DUMMYFUNCTION("""COMPUTED_VALUE"""),40000.0)</f>
        <v>40000</v>
      </c>
      <c r="B718" s="1" t="str">
        <f>IFERROR(__xludf.DUMMYFUNCTION("""COMPUTED_VALUE"""),"47")</f>
        <v>47</v>
      </c>
    </row>
    <row r="719" ht="15.75" customHeight="1">
      <c r="A719" s="3">
        <f>IFERROR(__xludf.DUMMYFUNCTION("""COMPUTED_VALUE"""),60000.0)</f>
        <v>60000</v>
      </c>
      <c r="B719" s="1" t="str">
        <f>IFERROR(__xludf.DUMMYFUNCTION("""COMPUTED_VALUE"""),"55")</f>
        <v>55</v>
      </c>
    </row>
    <row r="720" ht="15.75" customHeight="1">
      <c r="A720" s="3">
        <f>IFERROR(__xludf.DUMMYFUNCTION("""COMPUTED_VALUE"""),40000.0)</f>
        <v>40000</v>
      </c>
      <c r="B720" s="1" t="str">
        <f>IFERROR(__xludf.DUMMYFUNCTION("""COMPUTED_VALUE"""),"30")</f>
        <v>30</v>
      </c>
    </row>
    <row r="721" ht="15.75" customHeight="1">
      <c r="A721" s="3">
        <f>IFERROR(__xludf.DUMMYFUNCTION("""COMPUTED_VALUE"""),40000.0)</f>
        <v>40000</v>
      </c>
      <c r="B721" s="1" t="str">
        <f>IFERROR(__xludf.DUMMYFUNCTION("""COMPUTED_VALUE"""),"48")</f>
        <v>48</v>
      </c>
    </row>
    <row r="722" ht="15.75" customHeight="1">
      <c r="A722" s="3">
        <f>IFERROR(__xludf.DUMMYFUNCTION("""COMPUTED_VALUE"""),30000.0)</f>
        <v>30000</v>
      </c>
      <c r="B722" s="1" t="str">
        <f>IFERROR(__xludf.DUMMYFUNCTION("""COMPUTED_VALUE"""),"30")</f>
        <v>30</v>
      </c>
    </row>
    <row r="723" ht="15.75" customHeight="1">
      <c r="A723" s="3">
        <f>IFERROR(__xludf.DUMMYFUNCTION("""COMPUTED_VALUE"""),110000.0)</f>
        <v>110000</v>
      </c>
      <c r="B723" s="1" t="str">
        <f>IFERROR(__xludf.DUMMYFUNCTION("""COMPUTED_VALUE"""),"45")</f>
        <v>45</v>
      </c>
    </row>
    <row r="724" ht="15.75" customHeight="1">
      <c r="A724" s="3">
        <f>IFERROR(__xludf.DUMMYFUNCTION("""COMPUTED_VALUE"""),70000.0)</f>
        <v>70000</v>
      </c>
      <c r="B724" s="1" t="str">
        <f>IFERROR(__xludf.DUMMYFUNCTION("""COMPUTED_VALUE"""),"56")</f>
        <v>56</v>
      </c>
    </row>
    <row r="725" ht="15.75" customHeight="1">
      <c r="A725" s="3">
        <f>IFERROR(__xludf.DUMMYFUNCTION("""COMPUTED_VALUE"""),60000.0)</f>
        <v>60000</v>
      </c>
      <c r="B725" s="1" t="str">
        <f>IFERROR(__xludf.DUMMYFUNCTION("""COMPUTED_VALUE"""),"47")</f>
        <v>47</v>
      </c>
    </row>
    <row r="726" ht="15.75" customHeight="1">
      <c r="A726" s="3">
        <f>IFERROR(__xludf.DUMMYFUNCTION("""COMPUTED_VALUE"""),60000.0)</f>
        <v>60000</v>
      </c>
      <c r="B726" s="1" t="str">
        <f>IFERROR(__xludf.DUMMYFUNCTION("""COMPUTED_VALUE"""),"56")</f>
        <v>56</v>
      </c>
    </row>
    <row r="727" ht="15.75" customHeight="1">
      <c r="A727" s="3">
        <f>IFERROR(__xludf.DUMMYFUNCTION("""COMPUTED_VALUE"""),70000.0)</f>
        <v>70000</v>
      </c>
      <c r="B727" s="1" t="str">
        <f>IFERROR(__xludf.DUMMYFUNCTION("""COMPUTED_VALUE"""),"44")</f>
        <v>44</v>
      </c>
    </row>
    <row r="728" ht="15.75" customHeight="1">
      <c r="A728" s="3">
        <f>IFERROR(__xludf.DUMMYFUNCTION("""COMPUTED_VALUE"""),130000.0)</f>
        <v>130000</v>
      </c>
      <c r="B728" s="1" t="str">
        <f>IFERROR(__xludf.DUMMYFUNCTION("""COMPUTED_VALUE"""),"69")</f>
        <v>69</v>
      </c>
    </row>
    <row r="729" ht="15.75" customHeight="1">
      <c r="A729" s="3">
        <f>IFERROR(__xludf.DUMMYFUNCTION("""COMPUTED_VALUE"""),70000.0)</f>
        <v>70000</v>
      </c>
      <c r="B729" s="1" t="str">
        <f>IFERROR(__xludf.DUMMYFUNCTION("""COMPUTED_VALUE"""),"59")</f>
        <v>59</v>
      </c>
    </row>
    <row r="730" ht="15.75" customHeight="1">
      <c r="A730" s="3">
        <f>IFERROR(__xludf.DUMMYFUNCTION("""COMPUTED_VALUE"""),30000.0)</f>
        <v>30000</v>
      </c>
      <c r="B730" s="1" t="str">
        <f>IFERROR(__xludf.DUMMYFUNCTION("""COMPUTED_VALUE"""),"50")</f>
        <v>50</v>
      </c>
    </row>
    <row r="731" ht="15.75" customHeight="1">
      <c r="A731" s="3">
        <f>IFERROR(__xludf.DUMMYFUNCTION("""COMPUTED_VALUE"""),60000.0)</f>
        <v>60000</v>
      </c>
      <c r="B731" s="1" t="str">
        <f>IFERROR(__xludf.DUMMYFUNCTION("""COMPUTED_VALUE"""),"36")</f>
        <v>36</v>
      </c>
    </row>
    <row r="732" ht="15.75" customHeight="1">
      <c r="A732" s="3">
        <f>IFERROR(__xludf.DUMMYFUNCTION("""COMPUTED_VALUE"""),60000.0)</f>
        <v>60000</v>
      </c>
      <c r="B732" s="1" t="str">
        <f>IFERROR(__xludf.DUMMYFUNCTION("""COMPUTED_VALUE"""),"32")</f>
        <v>32</v>
      </c>
    </row>
    <row r="733" ht="15.75" customHeight="1">
      <c r="A733" s="3">
        <f>IFERROR(__xludf.DUMMYFUNCTION("""COMPUTED_VALUE"""),40000.0)</f>
        <v>40000</v>
      </c>
      <c r="B733" s="1" t="str">
        <f>IFERROR(__xludf.DUMMYFUNCTION("""COMPUTED_VALUE"""),"27")</f>
        <v>27</v>
      </c>
    </row>
    <row r="734" ht="15.75" customHeight="1">
      <c r="A734" s="3">
        <f>IFERROR(__xludf.DUMMYFUNCTION("""COMPUTED_VALUE"""),40000.0)</f>
        <v>40000</v>
      </c>
      <c r="B734" s="1" t="str">
        <f>IFERROR(__xludf.DUMMYFUNCTION("""COMPUTED_VALUE"""),"59")</f>
        <v>59</v>
      </c>
    </row>
    <row r="735" ht="15.75" customHeight="1">
      <c r="A735" s="3">
        <f>IFERROR(__xludf.DUMMYFUNCTION("""COMPUTED_VALUE"""),60000.0)</f>
        <v>60000</v>
      </c>
      <c r="B735" s="1" t="str">
        <f>IFERROR(__xludf.DUMMYFUNCTION("""COMPUTED_VALUE"""),"53")</f>
        <v>53</v>
      </c>
    </row>
    <row r="736" ht="15.75" customHeight="1">
      <c r="A736" s="3">
        <f>IFERROR(__xludf.DUMMYFUNCTION("""COMPUTED_VALUE"""),40000.0)</f>
        <v>40000</v>
      </c>
      <c r="B736" s="1" t="str">
        <f>IFERROR(__xludf.DUMMYFUNCTION("""COMPUTED_VALUE"""),"36")</f>
        <v>36</v>
      </c>
    </row>
    <row r="737" ht="15.75" customHeight="1">
      <c r="A737" s="3">
        <f>IFERROR(__xludf.DUMMYFUNCTION("""COMPUTED_VALUE"""),30000.0)</f>
        <v>30000</v>
      </c>
      <c r="B737" s="1" t="str">
        <f>IFERROR(__xludf.DUMMYFUNCTION("""COMPUTED_VALUE"""),"51")</f>
        <v>51</v>
      </c>
    </row>
    <row r="738" ht="15.75" customHeight="1">
      <c r="A738" s="3">
        <f>IFERROR(__xludf.DUMMYFUNCTION("""COMPUTED_VALUE"""),80000.0)</f>
        <v>80000</v>
      </c>
      <c r="B738" s="1" t="str">
        <f>IFERROR(__xludf.DUMMYFUNCTION("""COMPUTED_VALUE"""),"47")</f>
        <v>47</v>
      </c>
    </row>
    <row r="739" ht="15.75" customHeight="1">
      <c r="A739" s="3">
        <f>IFERROR(__xludf.DUMMYFUNCTION("""COMPUTED_VALUE"""),60000.0)</f>
        <v>60000</v>
      </c>
      <c r="B739" s="1" t="str">
        <f>IFERROR(__xludf.DUMMYFUNCTION("""COMPUTED_VALUE"""),"43")</f>
        <v>43</v>
      </c>
    </row>
    <row r="740" ht="15.75" customHeight="1">
      <c r="A740" s="3">
        <f>IFERROR(__xludf.DUMMYFUNCTION("""COMPUTED_VALUE"""),20000.0)</f>
        <v>20000</v>
      </c>
      <c r="B740" s="1" t="str">
        <f>IFERROR(__xludf.DUMMYFUNCTION("""COMPUTED_VALUE"""),"50")</f>
        <v>50</v>
      </c>
    </row>
    <row r="741" ht="15.75" customHeight="1">
      <c r="A741" s="3">
        <f>IFERROR(__xludf.DUMMYFUNCTION("""COMPUTED_VALUE"""),60000.0)</f>
        <v>60000</v>
      </c>
      <c r="B741" s="1" t="str">
        <f>IFERROR(__xludf.DUMMYFUNCTION("""COMPUTED_VALUE"""),"59")</f>
        <v>59</v>
      </c>
    </row>
    <row r="742" ht="15.75" customHeight="1">
      <c r="A742" s="3">
        <f>IFERROR(__xludf.DUMMYFUNCTION("""COMPUTED_VALUE"""),50000.0)</f>
        <v>50000</v>
      </c>
      <c r="B742" s="1" t="str">
        <f>IFERROR(__xludf.DUMMYFUNCTION("""COMPUTED_VALUE"""),"37")</f>
        <v>37</v>
      </c>
    </row>
    <row r="743" ht="15.75" customHeight="1">
      <c r="A743" s="3">
        <f>IFERROR(__xludf.DUMMYFUNCTION("""COMPUTED_VALUE"""),50000.0)</f>
        <v>50000</v>
      </c>
      <c r="B743" s="1" t="str">
        <f>IFERROR(__xludf.DUMMYFUNCTION("""COMPUTED_VALUE"""),"33")</f>
        <v>33</v>
      </c>
    </row>
    <row r="744" ht="15.75" customHeight="1">
      <c r="A744" s="3">
        <f>IFERROR(__xludf.DUMMYFUNCTION("""COMPUTED_VALUE"""),60000.0)</f>
        <v>60000</v>
      </c>
      <c r="B744" s="1" t="str">
        <f>IFERROR(__xludf.DUMMYFUNCTION("""COMPUTED_VALUE"""),"27")</f>
        <v>27</v>
      </c>
    </row>
    <row r="745" ht="15.75" customHeight="1">
      <c r="A745" s="3">
        <f>IFERROR(__xludf.DUMMYFUNCTION("""COMPUTED_VALUE"""),70000.0)</f>
        <v>70000</v>
      </c>
      <c r="B745" s="1" t="str">
        <f>IFERROR(__xludf.DUMMYFUNCTION("""COMPUTED_VALUE"""),"34")</f>
        <v>34</v>
      </c>
    </row>
    <row r="746" ht="15.75" customHeight="1">
      <c r="A746" s="3">
        <f>IFERROR(__xludf.DUMMYFUNCTION("""COMPUTED_VALUE"""),50000.0)</f>
        <v>50000</v>
      </c>
      <c r="B746" s="1" t="str">
        <f>IFERROR(__xludf.DUMMYFUNCTION("""COMPUTED_VALUE"""),"42")</f>
        <v>42</v>
      </c>
    </row>
    <row r="747" ht="15.75" customHeight="1">
      <c r="A747" s="3">
        <f>IFERROR(__xludf.DUMMYFUNCTION("""COMPUTED_VALUE"""),60000.0)</f>
        <v>60000</v>
      </c>
      <c r="B747" s="1" t="str">
        <f>IFERROR(__xludf.DUMMYFUNCTION("""COMPUTED_VALUE"""),"57")</f>
        <v>57</v>
      </c>
    </row>
    <row r="748" ht="15.75" customHeight="1">
      <c r="A748" s="3">
        <f>IFERROR(__xludf.DUMMYFUNCTION("""COMPUTED_VALUE"""),120000.0)</f>
        <v>120000</v>
      </c>
      <c r="B748" s="1" t="str">
        <f>IFERROR(__xludf.DUMMYFUNCTION("""COMPUTED_VALUE"""),"45")</f>
        <v>45</v>
      </c>
    </row>
    <row r="749" ht="15.75" customHeight="1">
      <c r="A749" s="3">
        <f>IFERROR(__xludf.DUMMYFUNCTION("""COMPUTED_VALUE"""),100000.0)</f>
        <v>100000</v>
      </c>
      <c r="B749" s="1" t="str">
        <f>IFERROR(__xludf.DUMMYFUNCTION("""COMPUTED_VALUE"""),"40")</f>
        <v>40</v>
      </c>
    </row>
    <row r="750" ht="15.75" customHeight="1">
      <c r="A750" s="3">
        <f>IFERROR(__xludf.DUMMYFUNCTION("""COMPUTED_VALUE"""),80000.0)</f>
        <v>80000</v>
      </c>
      <c r="B750" s="1" t="str">
        <f>IFERROR(__xludf.DUMMYFUNCTION("""COMPUTED_VALUE"""),"47")</f>
        <v>47</v>
      </c>
    </row>
    <row r="751" ht="15.75" customHeight="1">
      <c r="A751" s="3">
        <f>IFERROR(__xludf.DUMMYFUNCTION("""COMPUTED_VALUE"""),60000.0)</f>
        <v>60000</v>
      </c>
      <c r="B751" s="1" t="str">
        <f>IFERROR(__xludf.DUMMYFUNCTION("""COMPUTED_VALUE"""),"47")</f>
        <v>47</v>
      </c>
    </row>
    <row r="752" ht="15.75" customHeight="1">
      <c r="A752" s="3">
        <f>IFERROR(__xludf.DUMMYFUNCTION("""COMPUTED_VALUE"""),60000.0)</f>
        <v>60000</v>
      </c>
      <c r="B752" s="1" t="str">
        <f>IFERROR(__xludf.DUMMYFUNCTION("""COMPUTED_VALUE"""),"34")</f>
        <v>34</v>
      </c>
    </row>
    <row r="753" ht="15.75" customHeight="1">
      <c r="A753" s="3">
        <f>IFERROR(__xludf.DUMMYFUNCTION("""COMPUTED_VALUE"""),80000.0)</f>
        <v>80000</v>
      </c>
      <c r="B753" s="1" t="str">
        <f>IFERROR(__xludf.DUMMYFUNCTION("""COMPUTED_VALUE"""),"36")</f>
        <v>36</v>
      </c>
    </row>
    <row r="754" ht="15.75" customHeight="1">
      <c r="A754" s="3">
        <f>IFERROR(__xludf.DUMMYFUNCTION("""COMPUTED_VALUE"""),70000.0)</f>
        <v>70000</v>
      </c>
      <c r="B754" s="1" t="str">
        <f>IFERROR(__xludf.DUMMYFUNCTION("""COMPUTED_VALUE"""),"54")</f>
        <v>54</v>
      </c>
    </row>
    <row r="755" ht="15.75" customHeight="1">
      <c r="A755" s="3">
        <f>IFERROR(__xludf.DUMMYFUNCTION("""COMPUTED_VALUE"""),70000.0)</f>
        <v>70000</v>
      </c>
      <c r="B755" s="1" t="str">
        <f>IFERROR(__xludf.DUMMYFUNCTION("""COMPUTED_VALUE"""),"59")</f>
        <v>59</v>
      </c>
    </row>
    <row r="756" ht="15.75" customHeight="1">
      <c r="A756" s="3">
        <f>IFERROR(__xludf.DUMMYFUNCTION("""COMPUTED_VALUE"""),40000.0)</f>
        <v>40000</v>
      </c>
      <c r="B756" s="1" t="str">
        <f>IFERROR(__xludf.DUMMYFUNCTION("""COMPUTED_VALUE"""),"27")</f>
        <v>27</v>
      </c>
    </row>
    <row r="757" ht="15.75" customHeight="1">
      <c r="A757" s="3">
        <f>IFERROR(__xludf.DUMMYFUNCTION("""COMPUTED_VALUE"""),90000.0)</f>
        <v>90000</v>
      </c>
      <c r="B757" s="1" t="str">
        <f>IFERROR(__xludf.DUMMYFUNCTION("""COMPUTED_VALUE"""),"41")</f>
        <v>41</v>
      </c>
    </row>
    <row r="758" ht="15.75" customHeight="1">
      <c r="A758" s="3">
        <f>IFERROR(__xludf.DUMMYFUNCTION("""COMPUTED_VALUE"""),80000.0)</f>
        <v>80000</v>
      </c>
      <c r="B758" s="1" t="str">
        <f>IFERROR(__xludf.DUMMYFUNCTION("""COMPUTED_VALUE"""),"50")</f>
        <v>50</v>
      </c>
    </row>
    <row r="759" ht="15.75" customHeight="1">
      <c r="A759" s="3">
        <f>IFERROR(__xludf.DUMMYFUNCTION("""COMPUTED_VALUE"""),60000.0)</f>
        <v>60000</v>
      </c>
      <c r="B759" s="1" t="str">
        <f>IFERROR(__xludf.DUMMYFUNCTION("""COMPUTED_VALUE"""),"55")</f>
        <v>55</v>
      </c>
    </row>
    <row r="760" ht="15.75" customHeight="1">
      <c r="A760" s="3">
        <f>IFERROR(__xludf.DUMMYFUNCTION("""COMPUTED_VALUE"""),80000.0)</f>
        <v>80000</v>
      </c>
      <c r="B760" s="1" t="str">
        <f>IFERROR(__xludf.DUMMYFUNCTION("""COMPUTED_VALUE"""),"43")</f>
        <v>43</v>
      </c>
    </row>
    <row r="761" ht="15.75" customHeight="1">
      <c r="A761" s="3">
        <f>IFERROR(__xludf.DUMMYFUNCTION("""COMPUTED_VALUE"""),70000.0)</f>
        <v>70000</v>
      </c>
      <c r="B761" s="1" t="str">
        <f>IFERROR(__xludf.DUMMYFUNCTION("""COMPUTED_VALUE"""),"43")</f>
        <v>43</v>
      </c>
    </row>
    <row r="762" ht="15.75" customHeight="1">
      <c r="A762" s="3">
        <f>IFERROR(__xludf.DUMMYFUNCTION("""COMPUTED_VALUE"""),60000.0)</f>
        <v>60000</v>
      </c>
      <c r="B762" s="1" t="str">
        <f>IFERROR(__xludf.DUMMYFUNCTION("""COMPUTED_VALUE"""),"42")</f>
        <v>42</v>
      </c>
    </row>
    <row r="763" ht="15.75" customHeight="1">
      <c r="A763" s="3">
        <f>IFERROR(__xludf.DUMMYFUNCTION("""COMPUTED_VALUE"""),10000.0)</f>
        <v>10000</v>
      </c>
      <c r="B763" s="1" t="str">
        <f>IFERROR(__xludf.DUMMYFUNCTION("""COMPUTED_VALUE"""),"53")</f>
        <v>53</v>
      </c>
    </row>
    <row r="764" ht="15.75" customHeight="1">
      <c r="A764" s="3">
        <f>IFERROR(__xludf.DUMMYFUNCTION("""COMPUTED_VALUE"""),40000.0)</f>
        <v>40000</v>
      </c>
      <c r="B764" s="1" t="str">
        <f>IFERROR(__xludf.DUMMYFUNCTION("""COMPUTED_VALUE"""),"28")</f>
        <v>28</v>
      </c>
    </row>
    <row r="765" ht="15.75" customHeight="1">
      <c r="A765" s="3">
        <f>IFERROR(__xludf.DUMMYFUNCTION("""COMPUTED_VALUE"""),50000.0)</f>
        <v>50000</v>
      </c>
      <c r="B765" s="1" t="str">
        <f>IFERROR(__xludf.DUMMYFUNCTION("""COMPUTED_VALUE"""),"35")</f>
        <v>35</v>
      </c>
    </row>
    <row r="766" ht="15.75" customHeight="1">
      <c r="A766" s="3">
        <f>IFERROR(__xludf.DUMMYFUNCTION("""COMPUTED_VALUE"""),70000.0)</f>
        <v>70000</v>
      </c>
      <c r="B766" s="1" t="str">
        <f>IFERROR(__xludf.DUMMYFUNCTION("""COMPUTED_VALUE"""),"59")</f>
        <v>59</v>
      </c>
    </row>
    <row r="767" ht="15.75" customHeight="1">
      <c r="A767" s="3">
        <f>IFERROR(__xludf.DUMMYFUNCTION("""COMPUTED_VALUE"""),20000.0)</f>
        <v>20000</v>
      </c>
      <c r="B767" s="1" t="str">
        <f>IFERROR(__xludf.DUMMYFUNCTION("""COMPUTED_VALUE"""),"49")</f>
        <v>49</v>
      </c>
    </row>
    <row r="768" ht="15.75" customHeight="1">
      <c r="A768" s="3">
        <f>IFERROR(__xludf.DUMMYFUNCTION("""COMPUTED_VALUE"""),60000.0)</f>
        <v>60000</v>
      </c>
      <c r="B768" s="1" t="str">
        <f>IFERROR(__xludf.DUMMYFUNCTION("""COMPUTED_VALUE"""),"48")</f>
        <v>48</v>
      </c>
    </row>
    <row r="769" ht="15.75" customHeight="1">
      <c r="A769" s="3">
        <f>IFERROR(__xludf.DUMMYFUNCTION("""COMPUTED_VALUE"""),80000.0)</f>
        <v>80000</v>
      </c>
      <c r="B769" s="1" t="str">
        <f>IFERROR(__xludf.DUMMYFUNCTION("""COMPUTED_VALUE"""),"50")</f>
        <v>50</v>
      </c>
    </row>
    <row r="770" ht="15.75" customHeight="1">
      <c r="A770" s="3">
        <f>IFERROR(__xludf.DUMMYFUNCTION("""COMPUTED_VALUE"""),40000.0)</f>
        <v>40000</v>
      </c>
      <c r="B770" s="1" t="str">
        <f>IFERROR(__xludf.DUMMYFUNCTION("""COMPUTED_VALUE"""),"28")</f>
        <v>28</v>
      </c>
    </row>
    <row r="771" ht="15.75" customHeight="1">
      <c r="A771" s="3">
        <f>IFERROR(__xludf.DUMMYFUNCTION("""COMPUTED_VALUE"""),30000.0)</f>
        <v>30000</v>
      </c>
      <c r="B771" s="1" t="str">
        <f>IFERROR(__xludf.DUMMYFUNCTION("""COMPUTED_VALUE"""),"52")</f>
        <v>52</v>
      </c>
    </row>
    <row r="772" ht="15.75" customHeight="1">
      <c r="A772" s="3">
        <f>IFERROR(__xludf.DUMMYFUNCTION("""COMPUTED_VALUE"""),30000.0)</f>
        <v>30000</v>
      </c>
      <c r="B772" s="1" t="str">
        <f>IFERROR(__xludf.DUMMYFUNCTION("""COMPUTED_VALUE"""),"52")</f>
        <v>52</v>
      </c>
    </row>
    <row r="773" ht="15.75" customHeight="1">
      <c r="A773" s="3">
        <f>IFERROR(__xludf.DUMMYFUNCTION("""COMPUTED_VALUE"""),50000.0)</f>
        <v>50000</v>
      </c>
      <c r="B773" s="1" t="str">
        <f>IFERROR(__xludf.DUMMYFUNCTION("""COMPUTED_VALUE"""),"69")</f>
        <v>69</v>
      </c>
    </row>
    <row r="774" ht="15.75" customHeight="1">
      <c r="A774" s="3">
        <f>IFERROR(__xludf.DUMMYFUNCTION("""COMPUTED_VALUE"""),60000.0)</f>
        <v>60000</v>
      </c>
      <c r="B774" s="1" t="str">
        <f>IFERROR(__xludf.DUMMYFUNCTION("""COMPUTED_VALUE"""),"51")</f>
        <v>51</v>
      </c>
    </row>
    <row r="775" ht="15.75" customHeight="1">
      <c r="A775" s="3">
        <f>IFERROR(__xludf.DUMMYFUNCTION("""COMPUTED_VALUE"""),70000.0)</f>
        <v>70000</v>
      </c>
      <c r="B775" s="1" t="str">
        <f>IFERROR(__xludf.DUMMYFUNCTION("""COMPUTED_VALUE"""),"57")</f>
        <v>57</v>
      </c>
    </row>
    <row r="776" ht="15.75" customHeight="1">
      <c r="A776" s="3">
        <f>IFERROR(__xludf.DUMMYFUNCTION("""COMPUTED_VALUE"""),60000.0)</f>
        <v>60000</v>
      </c>
      <c r="B776" s="1" t="str">
        <f>IFERROR(__xludf.DUMMYFUNCTION("""COMPUTED_VALUE"""),"27")</f>
        <v>27</v>
      </c>
    </row>
    <row r="777" ht="15.75" customHeight="1">
      <c r="A777" s="3">
        <f>IFERROR(__xludf.DUMMYFUNCTION("""COMPUTED_VALUE"""),30000.0)</f>
        <v>30000</v>
      </c>
      <c r="B777" s="1" t="str">
        <f>IFERROR(__xludf.DUMMYFUNCTION("""COMPUTED_VALUE"""),"25")</f>
        <v>25</v>
      </c>
    </row>
    <row r="778" ht="15.75" customHeight="1">
      <c r="A778" s="3">
        <f>IFERROR(__xludf.DUMMYFUNCTION("""COMPUTED_VALUE"""),50000.0)</f>
        <v>50000</v>
      </c>
      <c r="B778" s="1" t="str">
        <f>IFERROR(__xludf.DUMMYFUNCTION("""COMPUTED_VALUE"""),"33")</f>
        <v>33</v>
      </c>
    </row>
    <row r="779" ht="15.75" customHeight="1">
      <c r="A779" s="3">
        <f>IFERROR(__xludf.DUMMYFUNCTION("""COMPUTED_VALUE"""),60000.0)</f>
        <v>60000</v>
      </c>
      <c r="B779" s="1" t="str">
        <f>IFERROR(__xludf.DUMMYFUNCTION("""COMPUTED_VALUE"""),"43")</f>
        <v>43</v>
      </c>
    </row>
    <row r="780" ht="15.75" customHeight="1">
      <c r="A780" s="3">
        <f>IFERROR(__xludf.DUMMYFUNCTION("""COMPUTED_VALUE"""),70000.0)</f>
        <v>70000</v>
      </c>
      <c r="B780" s="1" t="str">
        <f>IFERROR(__xludf.DUMMYFUNCTION("""COMPUTED_VALUE"""),"73")</f>
        <v>73</v>
      </c>
    </row>
    <row r="781" ht="15.75" customHeight="1">
      <c r="A781" s="3">
        <f>IFERROR(__xludf.DUMMYFUNCTION("""COMPUTED_VALUE"""),40000.0)</f>
        <v>40000</v>
      </c>
      <c r="B781" s="1" t="str">
        <f>IFERROR(__xludf.DUMMYFUNCTION("""COMPUTED_VALUE"""),"27")</f>
        <v>27</v>
      </c>
    </row>
    <row r="782" ht="15.75" customHeight="1">
      <c r="A782" s="3">
        <f>IFERROR(__xludf.DUMMYFUNCTION("""COMPUTED_VALUE"""),40000.0)</f>
        <v>40000</v>
      </c>
      <c r="B782" s="1" t="str">
        <f>IFERROR(__xludf.DUMMYFUNCTION("""COMPUTED_VALUE"""),"28")</f>
        <v>28</v>
      </c>
    </row>
    <row r="783" ht="15.75" customHeight="1">
      <c r="A783" s="3">
        <f>IFERROR(__xludf.DUMMYFUNCTION("""COMPUTED_VALUE"""),40000.0)</f>
        <v>40000</v>
      </c>
      <c r="B783" s="1" t="str">
        <f>IFERROR(__xludf.DUMMYFUNCTION("""COMPUTED_VALUE"""),"27")</f>
        <v>27</v>
      </c>
    </row>
    <row r="784" ht="15.75" customHeight="1">
      <c r="A784" s="3">
        <f>IFERROR(__xludf.DUMMYFUNCTION("""COMPUTED_VALUE"""),40000.0)</f>
        <v>40000</v>
      </c>
      <c r="B784" s="1" t="str">
        <f>IFERROR(__xludf.DUMMYFUNCTION("""COMPUTED_VALUE"""),"31")</f>
        <v>31</v>
      </c>
    </row>
    <row r="785" ht="15.75" customHeight="1">
      <c r="A785" s="3">
        <f>IFERROR(__xludf.DUMMYFUNCTION("""COMPUTED_VALUE"""),10000.0)</f>
        <v>10000</v>
      </c>
      <c r="B785" s="1" t="str">
        <f>IFERROR(__xludf.DUMMYFUNCTION("""COMPUTED_VALUE"""),"53")</f>
        <v>53</v>
      </c>
    </row>
    <row r="786" ht="15.75" customHeight="1">
      <c r="A786" s="3">
        <f>IFERROR(__xludf.DUMMYFUNCTION("""COMPUTED_VALUE"""),60000.0)</f>
        <v>60000</v>
      </c>
      <c r="B786" s="1" t="str">
        <f>IFERROR(__xludf.DUMMYFUNCTION("""COMPUTED_VALUE"""),"32")</f>
        <v>32</v>
      </c>
    </row>
    <row r="787" ht="15.75" customHeight="1">
      <c r="A787" s="3">
        <f>IFERROR(__xludf.DUMMYFUNCTION("""COMPUTED_VALUE"""),30000.0)</f>
        <v>30000</v>
      </c>
      <c r="B787" s="1" t="str">
        <f>IFERROR(__xludf.DUMMYFUNCTION("""COMPUTED_VALUE"""),"50")</f>
        <v>50</v>
      </c>
    </row>
    <row r="788" ht="15.75" customHeight="1">
      <c r="A788" s="3">
        <f>IFERROR(__xludf.DUMMYFUNCTION("""COMPUTED_VALUE"""),40000.0)</f>
        <v>40000</v>
      </c>
      <c r="B788" s="1" t="str">
        <f>IFERROR(__xludf.DUMMYFUNCTION("""COMPUTED_VALUE"""),"69")</f>
        <v>69</v>
      </c>
    </row>
    <row r="789" ht="15.75" customHeight="1">
      <c r="A789" s="3">
        <f>IFERROR(__xludf.DUMMYFUNCTION("""COMPUTED_VALUE"""),70000.0)</f>
        <v>70000</v>
      </c>
      <c r="B789" s="1" t="str">
        <f>IFERROR(__xludf.DUMMYFUNCTION("""COMPUTED_VALUE"""),"52")</f>
        <v>52</v>
      </c>
    </row>
    <row r="790" ht="15.75" customHeight="1">
      <c r="A790" s="3">
        <f>IFERROR(__xludf.DUMMYFUNCTION("""COMPUTED_VALUE"""),60000.0)</f>
        <v>60000</v>
      </c>
      <c r="B790" s="1" t="str">
        <f>IFERROR(__xludf.DUMMYFUNCTION("""COMPUTED_VALUE"""),"31")</f>
        <v>31</v>
      </c>
    </row>
    <row r="791" ht="15.75" customHeight="1">
      <c r="A791" s="3">
        <f>IFERROR(__xludf.DUMMYFUNCTION("""COMPUTED_VALUE"""),70000.0)</f>
        <v>70000</v>
      </c>
      <c r="B791" s="1" t="str">
        <f>IFERROR(__xludf.DUMMYFUNCTION("""COMPUTED_VALUE"""),"61")</f>
        <v>61</v>
      </c>
    </row>
    <row r="792" ht="15.75" customHeight="1">
      <c r="A792" s="3">
        <f>IFERROR(__xludf.DUMMYFUNCTION("""COMPUTED_VALUE"""),70000.0)</f>
        <v>70000</v>
      </c>
      <c r="B792" s="1" t="str">
        <f>IFERROR(__xludf.DUMMYFUNCTION("""COMPUTED_VALUE"""),"53")</f>
        <v>53</v>
      </c>
    </row>
    <row r="793" ht="15.75" customHeight="1">
      <c r="A793" s="3">
        <f>IFERROR(__xludf.DUMMYFUNCTION("""COMPUTED_VALUE"""),70000.0)</f>
        <v>70000</v>
      </c>
      <c r="B793" s="1" t="str">
        <f>IFERROR(__xludf.DUMMYFUNCTION("""COMPUTED_VALUE"""),"62")</f>
        <v>62</v>
      </c>
    </row>
    <row r="794" ht="15.75" customHeight="1">
      <c r="A794" s="3">
        <f>IFERROR(__xludf.DUMMYFUNCTION("""COMPUTED_VALUE"""),40000.0)</f>
        <v>40000</v>
      </c>
      <c r="B794" s="1" t="str">
        <f>IFERROR(__xludf.DUMMYFUNCTION("""COMPUTED_VALUE"""),"30")</f>
        <v>30</v>
      </c>
    </row>
    <row r="795" ht="15.75" customHeight="1">
      <c r="A795" s="3">
        <f>IFERROR(__xludf.DUMMYFUNCTION("""COMPUTED_VALUE"""),60000.0)</f>
        <v>60000</v>
      </c>
      <c r="B795" s="1" t="str">
        <f>IFERROR(__xludf.DUMMYFUNCTION("""COMPUTED_VALUE"""),"43")</f>
        <v>43</v>
      </c>
    </row>
    <row r="796" ht="15.75" customHeight="1">
      <c r="A796" s="3">
        <f>IFERROR(__xludf.DUMMYFUNCTION("""COMPUTED_VALUE"""),60000.0)</f>
        <v>60000</v>
      </c>
      <c r="B796" s="1" t="str">
        <f>IFERROR(__xludf.DUMMYFUNCTION("""COMPUTED_VALUE"""),"42")</f>
        <v>42</v>
      </c>
    </row>
    <row r="797" ht="15.75" customHeight="1">
      <c r="A797" s="3">
        <f>IFERROR(__xludf.DUMMYFUNCTION("""COMPUTED_VALUE"""),40000.0)</f>
        <v>40000</v>
      </c>
      <c r="B797" s="1" t="str">
        <f>IFERROR(__xludf.DUMMYFUNCTION("""COMPUTED_VALUE"""),"30")</f>
        <v>30</v>
      </c>
    </row>
    <row r="798" ht="15.75" customHeight="1">
      <c r="A798" s="3">
        <f>IFERROR(__xludf.DUMMYFUNCTION("""COMPUTED_VALUE"""),40000.0)</f>
        <v>40000</v>
      </c>
      <c r="B798" s="1" t="str">
        <f>IFERROR(__xludf.DUMMYFUNCTION("""COMPUTED_VALUE"""),"30")</f>
        <v>30</v>
      </c>
    </row>
    <row r="799" ht="15.75" customHeight="1">
      <c r="A799" s="3">
        <f>IFERROR(__xludf.DUMMYFUNCTION("""COMPUTED_VALUE"""),110000.0)</f>
        <v>110000</v>
      </c>
      <c r="B799" s="1" t="str">
        <f>IFERROR(__xludf.DUMMYFUNCTION("""COMPUTED_VALUE"""),"43")</f>
        <v>43</v>
      </c>
    </row>
    <row r="800" ht="15.75" customHeight="1">
      <c r="A800" s="3">
        <f>IFERROR(__xludf.DUMMYFUNCTION("""COMPUTED_VALUE"""),60000.0)</f>
        <v>60000</v>
      </c>
      <c r="B800" s="1" t="str">
        <f>IFERROR(__xludf.DUMMYFUNCTION("""COMPUTED_VALUE"""),"33")</f>
        <v>33</v>
      </c>
    </row>
    <row r="801" ht="15.75" customHeight="1">
      <c r="A801" s="3">
        <f>IFERROR(__xludf.DUMMYFUNCTION("""COMPUTED_VALUE"""),30000.0)</f>
        <v>30000</v>
      </c>
      <c r="B801" s="1" t="str">
        <f>IFERROR(__xludf.DUMMYFUNCTION("""COMPUTED_VALUE"""),"32")</f>
        <v>32</v>
      </c>
    </row>
    <row r="802" ht="15.75" customHeight="1">
      <c r="A802" s="3">
        <f>IFERROR(__xludf.DUMMYFUNCTION("""COMPUTED_VALUE"""),70000.0)</f>
        <v>70000</v>
      </c>
      <c r="B802" s="1" t="str">
        <f>IFERROR(__xludf.DUMMYFUNCTION("""COMPUTED_VALUE"""),"50")</f>
        <v>50</v>
      </c>
    </row>
    <row r="803" ht="15.75" customHeight="1">
      <c r="A803" s="3">
        <f>IFERROR(__xludf.DUMMYFUNCTION("""COMPUTED_VALUE"""),110000.0)</f>
        <v>110000</v>
      </c>
      <c r="B803" s="1" t="str">
        <f>IFERROR(__xludf.DUMMYFUNCTION("""COMPUTED_VALUE"""),"37")</f>
        <v>37</v>
      </c>
    </row>
    <row r="804" ht="15.75" customHeight="1">
      <c r="A804" s="3">
        <f>IFERROR(__xludf.DUMMYFUNCTION("""COMPUTED_VALUE"""),70000.0)</f>
        <v>70000</v>
      </c>
      <c r="B804" s="1" t="str">
        <f>IFERROR(__xludf.DUMMYFUNCTION("""COMPUTED_VALUE"""),"52")</f>
        <v>52</v>
      </c>
    </row>
    <row r="805" ht="15.75" customHeight="1">
      <c r="A805" s="3">
        <f>IFERROR(__xludf.DUMMYFUNCTION("""COMPUTED_VALUE"""),70000.0)</f>
        <v>70000</v>
      </c>
      <c r="B805" s="1" t="str">
        <f>IFERROR(__xludf.DUMMYFUNCTION("""COMPUTED_VALUE"""),"36")</f>
        <v>36</v>
      </c>
    </row>
    <row r="806" ht="15.75" customHeight="1">
      <c r="A806" s="3">
        <f>IFERROR(__xludf.DUMMYFUNCTION("""COMPUTED_VALUE"""),80000.0)</f>
        <v>80000</v>
      </c>
      <c r="B806" s="1" t="str">
        <f>IFERROR(__xludf.DUMMYFUNCTION("""COMPUTED_VALUE"""),"41")</f>
        <v>41</v>
      </c>
    </row>
    <row r="807" ht="15.75" customHeight="1">
      <c r="A807" s="3">
        <f>IFERROR(__xludf.DUMMYFUNCTION("""COMPUTED_VALUE"""),40000.0)</f>
        <v>40000</v>
      </c>
      <c r="B807" s="1" t="str">
        <f>IFERROR(__xludf.DUMMYFUNCTION("""COMPUTED_VALUE"""),"26")</f>
        <v>26</v>
      </c>
    </row>
    <row r="808" ht="15.75" customHeight="1">
      <c r="A808" s="3">
        <f>IFERROR(__xludf.DUMMYFUNCTION("""COMPUTED_VALUE"""),170000.0)</f>
        <v>170000</v>
      </c>
      <c r="B808" s="1" t="str">
        <f>IFERROR(__xludf.DUMMYFUNCTION("""COMPUTED_VALUE"""),"66")</f>
        <v>66</v>
      </c>
    </row>
    <row r="809" ht="15.75" customHeight="1">
      <c r="A809" s="3">
        <f>IFERROR(__xludf.DUMMYFUNCTION("""COMPUTED_VALUE"""),60000.0)</f>
        <v>60000</v>
      </c>
      <c r="B809" s="1" t="str">
        <f>IFERROR(__xludf.DUMMYFUNCTION("""COMPUTED_VALUE"""),"51")</f>
        <v>51</v>
      </c>
    </row>
    <row r="810" ht="15.75" customHeight="1">
      <c r="A810" s="3">
        <f>IFERROR(__xludf.DUMMYFUNCTION("""COMPUTED_VALUE"""),70000.0)</f>
        <v>70000</v>
      </c>
      <c r="B810" s="1" t="str">
        <f>IFERROR(__xludf.DUMMYFUNCTION("""COMPUTED_VALUE"""),"43")</f>
        <v>43</v>
      </c>
    </row>
    <row r="811" ht="15.75" customHeight="1">
      <c r="A811" s="3">
        <f>IFERROR(__xludf.DUMMYFUNCTION("""COMPUTED_VALUE"""),60000.0)</f>
        <v>60000</v>
      </c>
      <c r="B811" s="1" t="str">
        <f>IFERROR(__xludf.DUMMYFUNCTION("""COMPUTED_VALUE"""),"39")</f>
        <v>39</v>
      </c>
    </row>
    <row r="812" ht="15.75" customHeight="1">
      <c r="A812" s="3">
        <f>IFERROR(__xludf.DUMMYFUNCTION("""COMPUTED_VALUE"""),70000.0)</f>
        <v>70000</v>
      </c>
      <c r="B812" s="1" t="str">
        <f>IFERROR(__xludf.DUMMYFUNCTION("""COMPUTED_VALUE"""),"37")</f>
        <v>37</v>
      </c>
    </row>
    <row r="813" ht="15.75" customHeight="1">
      <c r="A813" s="3">
        <f>IFERROR(__xludf.DUMMYFUNCTION("""COMPUTED_VALUE"""),70000.0)</f>
        <v>70000</v>
      </c>
      <c r="B813" s="1" t="str">
        <f>IFERROR(__xludf.DUMMYFUNCTION("""COMPUTED_VALUE"""),"54")</f>
        <v>54</v>
      </c>
    </row>
    <row r="814" ht="15.75" customHeight="1">
      <c r="A814" s="3">
        <f>IFERROR(__xludf.DUMMYFUNCTION("""COMPUTED_VALUE"""),60000.0)</f>
        <v>60000</v>
      </c>
      <c r="B814" s="1" t="str">
        <f>IFERROR(__xludf.DUMMYFUNCTION("""COMPUTED_VALUE"""),"40")</f>
        <v>40</v>
      </c>
    </row>
    <row r="815" ht="15.75" customHeight="1">
      <c r="A815" s="3">
        <f>IFERROR(__xludf.DUMMYFUNCTION("""COMPUTED_VALUE"""),40000.0)</f>
        <v>40000</v>
      </c>
      <c r="B815" s="1" t="str">
        <f>IFERROR(__xludf.DUMMYFUNCTION("""COMPUTED_VALUE"""),"28")</f>
        <v>28</v>
      </c>
    </row>
    <row r="816" ht="15.75" customHeight="1">
      <c r="A816" s="3">
        <f>IFERROR(__xludf.DUMMYFUNCTION("""COMPUTED_VALUE"""),60000.0)</f>
        <v>60000</v>
      </c>
      <c r="B816" s="1" t="str">
        <f>IFERROR(__xludf.DUMMYFUNCTION("""COMPUTED_VALUE"""),"33")</f>
        <v>33</v>
      </c>
    </row>
    <row r="817" ht="15.75" customHeight="1">
      <c r="A817" s="3">
        <f>IFERROR(__xludf.DUMMYFUNCTION("""COMPUTED_VALUE"""),80000.0)</f>
        <v>80000</v>
      </c>
      <c r="B817" s="1" t="str">
        <f>IFERROR(__xludf.DUMMYFUNCTION("""COMPUTED_VALUE"""),"41")</f>
        <v>41</v>
      </c>
    </row>
    <row r="818" ht="15.75" customHeight="1">
      <c r="A818" s="3">
        <f>IFERROR(__xludf.DUMMYFUNCTION("""COMPUTED_VALUE"""),80000.0)</f>
        <v>80000</v>
      </c>
      <c r="B818" s="1" t="str">
        <f>IFERROR(__xludf.DUMMYFUNCTION("""COMPUTED_VALUE"""),"37")</f>
        <v>37</v>
      </c>
    </row>
    <row r="819" ht="15.75" customHeight="1">
      <c r="A819" s="3">
        <f>IFERROR(__xludf.DUMMYFUNCTION("""COMPUTED_VALUE"""),70000.0)</f>
        <v>70000</v>
      </c>
      <c r="B819" s="1" t="str">
        <f>IFERROR(__xludf.DUMMYFUNCTION("""COMPUTED_VALUE"""),"53")</f>
        <v>53</v>
      </c>
    </row>
    <row r="820" ht="15.75" customHeight="1">
      <c r="A820" s="3">
        <f>IFERROR(__xludf.DUMMYFUNCTION("""COMPUTED_VALUE"""),120000.0)</f>
        <v>120000</v>
      </c>
      <c r="B820" s="1" t="str">
        <f>IFERROR(__xludf.DUMMYFUNCTION("""COMPUTED_VALUE"""),"64")</f>
        <v>64</v>
      </c>
    </row>
    <row r="821" ht="15.75" customHeight="1">
      <c r="A821" s="3">
        <f>IFERROR(__xludf.DUMMYFUNCTION("""COMPUTED_VALUE"""),60000.0)</f>
        <v>60000</v>
      </c>
      <c r="B821" s="1" t="str">
        <f>IFERROR(__xludf.DUMMYFUNCTION("""COMPUTED_VALUE"""),"45")</f>
        <v>45</v>
      </c>
    </row>
    <row r="822" ht="15.75" customHeight="1">
      <c r="A822" s="3">
        <f>IFERROR(__xludf.DUMMYFUNCTION("""COMPUTED_VALUE"""),80000.0)</f>
        <v>80000</v>
      </c>
      <c r="B822" s="1" t="str">
        <f>IFERROR(__xludf.DUMMYFUNCTION("""COMPUTED_VALUE"""),"52")</f>
        <v>52</v>
      </c>
    </row>
    <row r="823" ht="15.75" customHeight="1">
      <c r="A823" s="3">
        <f>IFERROR(__xludf.DUMMYFUNCTION("""COMPUTED_VALUE"""),40000.0)</f>
        <v>40000</v>
      </c>
      <c r="B823" s="1" t="str">
        <f>IFERROR(__xludf.DUMMYFUNCTION("""COMPUTED_VALUE"""),"60")</f>
        <v>60</v>
      </c>
    </row>
    <row r="824" ht="15.75" customHeight="1">
      <c r="A824" s="3">
        <f>IFERROR(__xludf.DUMMYFUNCTION("""COMPUTED_VALUE"""),20000.0)</f>
        <v>20000</v>
      </c>
      <c r="B824" s="1" t="str">
        <f>IFERROR(__xludf.DUMMYFUNCTION("""COMPUTED_VALUE"""),"50")</f>
        <v>50</v>
      </c>
    </row>
    <row r="825" ht="15.75" customHeight="1">
      <c r="A825" s="3">
        <f>IFERROR(__xludf.DUMMYFUNCTION("""COMPUTED_VALUE"""),70000.0)</f>
        <v>70000</v>
      </c>
      <c r="B825" s="1" t="str">
        <f>IFERROR(__xludf.DUMMYFUNCTION("""COMPUTED_VALUE"""),"56")</f>
        <v>56</v>
      </c>
    </row>
    <row r="826" ht="15.75" customHeight="1">
      <c r="A826" s="3">
        <f>IFERROR(__xludf.DUMMYFUNCTION("""COMPUTED_VALUE"""),40000.0)</f>
        <v>40000</v>
      </c>
      <c r="B826" s="1" t="str">
        <f>IFERROR(__xludf.DUMMYFUNCTION("""COMPUTED_VALUE"""),"29")</f>
        <v>29</v>
      </c>
    </row>
    <row r="827" ht="15.75" customHeight="1">
      <c r="A827" s="3">
        <f>IFERROR(__xludf.DUMMYFUNCTION("""COMPUTED_VALUE"""),130000.0)</f>
        <v>130000</v>
      </c>
      <c r="B827" s="1" t="str">
        <f>IFERROR(__xludf.DUMMYFUNCTION("""COMPUTED_VALUE"""),"38")</f>
        <v>38</v>
      </c>
    </row>
    <row r="828" ht="15.75" customHeight="1">
      <c r="A828" s="3">
        <f>IFERROR(__xludf.DUMMYFUNCTION("""COMPUTED_VALUE"""),40000.0)</f>
        <v>40000</v>
      </c>
      <c r="B828" s="1" t="str">
        <f>IFERROR(__xludf.DUMMYFUNCTION("""COMPUTED_VALUE"""),"60")</f>
        <v>60</v>
      </c>
    </row>
    <row r="829" ht="15.75" customHeight="1">
      <c r="A829" s="3">
        <f>IFERROR(__xludf.DUMMYFUNCTION("""COMPUTED_VALUE"""),130000.0)</f>
        <v>130000</v>
      </c>
      <c r="B829" s="1" t="str">
        <f>IFERROR(__xludf.DUMMYFUNCTION("""COMPUTED_VALUE"""),"67")</f>
        <v>67</v>
      </c>
    </row>
    <row r="830" ht="15.75" customHeight="1">
      <c r="A830" s="3">
        <f>IFERROR(__xludf.DUMMYFUNCTION("""COMPUTED_VALUE"""),60000.0)</f>
        <v>60000</v>
      </c>
      <c r="B830" s="1" t="str">
        <f>IFERROR(__xludf.DUMMYFUNCTION("""COMPUTED_VALUE"""),"32")</f>
        <v>32</v>
      </c>
    </row>
    <row r="831" ht="15.75" customHeight="1">
      <c r="A831" s="3">
        <f>IFERROR(__xludf.DUMMYFUNCTION("""COMPUTED_VALUE"""),50000.0)</f>
        <v>50000</v>
      </c>
      <c r="B831" s="1" t="str">
        <f>IFERROR(__xludf.DUMMYFUNCTION("""COMPUTED_VALUE"""),"39")</f>
        <v>39</v>
      </c>
    </row>
    <row r="832" ht="15.75" customHeight="1">
      <c r="A832" s="3">
        <f>IFERROR(__xludf.DUMMYFUNCTION("""COMPUTED_VALUE"""),60000.0)</f>
        <v>60000</v>
      </c>
      <c r="B832" s="1" t="str">
        <f>IFERROR(__xludf.DUMMYFUNCTION("""COMPUTED_VALUE"""),"35")</f>
        <v>35</v>
      </c>
    </row>
    <row r="833" ht="15.75" customHeight="1">
      <c r="A833" s="3">
        <f>IFERROR(__xludf.DUMMYFUNCTION("""COMPUTED_VALUE"""),60000.0)</f>
        <v>60000</v>
      </c>
      <c r="B833" s="1" t="str">
        <f>IFERROR(__xludf.DUMMYFUNCTION("""COMPUTED_VALUE"""),"32")</f>
        <v>32</v>
      </c>
    </row>
    <row r="834" ht="15.75" customHeight="1">
      <c r="A834" s="3">
        <f>IFERROR(__xludf.DUMMYFUNCTION("""COMPUTED_VALUE"""),30000.0)</f>
        <v>30000</v>
      </c>
      <c r="B834" s="1" t="str">
        <f>IFERROR(__xludf.DUMMYFUNCTION("""COMPUTED_VALUE"""),"31")</f>
        <v>31</v>
      </c>
    </row>
    <row r="835" ht="15.75" customHeight="1">
      <c r="A835" s="3">
        <f>IFERROR(__xludf.DUMMYFUNCTION("""COMPUTED_VALUE"""),40000.0)</f>
        <v>40000</v>
      </c>
      <c r="B835" s="1" t="str">
        <f>IFERROR(__xludf.DUMMYFUNCTION("""COMPUTED_VALUE"""),"27")</f>
        <v>27</v>
      </c>
    </row>
    <row r="836" ht="15.75" customHeight="1">
      <c r="A836" s="3">
        <f>IFERROR(__xludf.DUMMYFUNCTION("""COMPUTED_VALUE"""),60000.0)</f>
        <v>60000</v>
      </c>
      <c r="B836" s="1" t="str">
        <f>IFERROR(__xludf.DUMMYFUNCTION("""COMPUTED_VALUE"""),"47")</f>
        <v>47</v>
      </c>
    </row>
    <row r="837" ht="15.75" customHeight="1">
      <c r="A837" s="3">
        <f>IFERROR(__xludf.DUMMYFUNCTION("""COMPUTED_VALUE"""),40000.0)</f>
        <v>40000</v>
      </c>
      <c r="B837" s="1" t="str">
        <f>IFERROR(__xludf.DUMMYFUNCTION("""COMPUTED_VALUE"""),"42")</f>
        <v>42</v>
      </c>
    </row>
    <row r="838" ht="15.75" customHeight="1">
      <c r="A838" s="3">
        <f>IFERROR(__xludf.DUMMYFUNCTION("""COMPUTED_VALUE"""),30000.0)</f>
        <v>30000</v>
      </c>
      <c r="B838" s="1" t="str">
        <f>IFERROR(__xludf.DUMMYFUNCTION("""COMPUTED_VALUE"""),"49")</f>
        <v>49</v>
      </c>
    </row>
    <row r="839" ht="15.75" customHeight="1">
      <c r="A839" s="3">
        <f>IFERROR(__xludf.DUMMYFUNCTION("""COMPUTED_VALUE"""),30000.0)</f>
        <v>30000</v>
      </c>
      <c r="B839" s="1" t="str">
        <f>IFERROR(__xludf.DUMMYFUNCTION("""COMPUTED_VALUE"""),"32")</f>
        <v>32</v>
      </c>
    </row>
    <row r="840" ht="15.75" customHeight="1">
      <c r="A840" s="3">
        <f>IFERROR(__xludf.DUMMYFUNCTION("""COMPUTED_VALUE"""),20000.0)</f>
        <v>20000</v>
      </c>
      <c r="B840" s="1" t="str">
        <f>IFERROR(__xludf.DUMMYFUNCTION("""COMPUTED_VALUE"""),"53")</f>
        <v>53</v>
      </c>
    </row>
    <row r="841" ht="15.75" customHeight="1">
      <c r="A841" s="3">
        <f>IFERROR(__xludf.DUMMYFUNCTION("""COMPUTED_VALUE"""),50000.0)</f>
        <v>50000</v>
      </c>
      <c r="B841" s="1" t="str">
        <f>IFERROR(__xludf.DUMMYFUNCTION("""COMPUTED_VALUE"""),"32")</f>
        <v>32</v>
      </c>
    </row>
    <row r="842" ht="15.75" customHeight="1">
      <c r="A842" s="3">
        <f>IFERROR(__xludf.DUMMYFUNCTION("""COMPUTED_VALUE"""),80000.0)</f>
        <v>80000</v>
      </c>
      <c r="B842" s="1" t="str">
        <f>IFERROR(__xludf.DUMMYFUNCTION("""COMPUTED_VALUE"""),"38")</f>
        <v>38</v>
      </c>
    </row>
    <row r="843" ht="15.75" customHeight="1">
      <c r="A843" s="3">
        <f>IFERROR(__xludf.DUMMYFUNCTION("""COMPUTED_VALUE"""),40000.0)</f>
        <v>40000</v>
      </c>
      <c r="B843" s="1" t="str">
        <f>IFERROR(__xludf.DUMMYFUNCTION("""COMPUTED_VALUE"""),"31")</f>
        <v>31</v>
      </c>
    </row>
    <row r="844" ht="15.75" customHeight="1">
      <c r="A844" s="3">
        <f>IFERROR(__xludf.DUMMYFUNCTION("""COMPUTED_VALUE"""),80000.0)</f>
        <v>80000</v>
      </c>
      <c r="B844" s="1" t="str">
        <f>IFERROR(__xludf.DUMMYFUNCTION("""COMPUTED_VALUE"""),"38")</f>
        <v>38</v>
      </c>
    </row>
    <row r="845" ht="15.75" customHeight="1">
      <c r="A845" s="3">
        <f>IFERROR(__xludf.DUMMYFUNCTION("""COMPUTED_VALUE"""),60000.0)</f>
        <v>60000</v>
      </c>
      <c r="B845" s="1" t="str">
        <f>IFERROR(__xludf.DUMMYFUNCTION("""COMPUTED_VALUE"""),"55")</f>
        <v>55</v>
      </c>
    </row>
    <row r="846" ht="15.75" customHeight="1">
      <c r="A846" s="3">
        <f>IFERROR(__xludf.DUMMYFUNCTION("""COMPUTED_VALUE"""),70000.0)</f>
        <v>70000</v>
      </c>
      <c r="B846" s="1" t="str">
        <f>IFERROR(__xludf.DUMMYFUNCTION("""COMPUTED_VALUE"""),"49")</f>
        <v>49</v>
      </c>
    </row>
    <row r="847" ht="15.75" customHeight="1">
      <c r="A847" s="3">
        <f>IFERROR(__xludf.DUMMYFUNCTION("""COMPUTED_VALUE"""),30000.0)</f>
        <v>30000</v>
      </c>
      <c r="B847" s="1" t="str">
        <f>IFERROR(__xludf.DUMMYFUNCTION("""COMPUTED_VALUE"""),"60")</f>
        <v>60</v>
      </c>
    </row>
    <row r="848" ht="15.75" customHeight="1">
      <c r="A848" s="3">
        <f>IFERROR(__xludf.DUMMYFUNCTION("""COMPUTED_VALUE"""),110000.0)</f>
        <v>110000</v>
      </c>
      <c r="B848" s="1" t="str">
        <f>IFERROR(__xludf.DUMMYFUNCTION("""COMPUTED_VALUE"""),"42")</f>
        <v>42</v>
      </c>
    </row>
    <row r="849" ht="15.75" customHeight="1">
      <c r="A849" s="3">
        <f>IFERROR(__xludf.DUMMYFUNCTION("""COMPUTED_VALUE"""),60000.0)</f>
        <v>60000</v>
      </c>
      <c r="B849" s="1" t="str">
        <f>IFERROR(__xludf.DUMMYFUNCTION("""COMPUTED_VALUE"""),"46")</f>
        <v>46</v>
      </c>
    </row>
    <row r="850" ht="15.75" customHeight="1">
      <c r="A850" s="3">
        <f>IFERROR(__xludf.DUMMYFUNCTION("""COMPUTED_VALUE"""),60000.0)</f>
        <v>60000</v>
      </c>
      <c r="B850" s="1" t="str">
        <f>IFERROR(__xludf.DUMMYFUNCTION("""COMPUTED_VALUE"""),"55")</f>
        <v>55</v>
      </c>
    </row>
    <row r="851" ht="15.75" customHeight="1">
      <c r="A851" s="3">
        <f>IFERROR(__xludf.DUMMYFUNCTION("""COMPUTED_VALUE"""),70000.0)</f>
        <v>70000</v>
      </c>
      <c r="B851" s="1" t="str">
        <f>IFERROR(__xludf.DUMMYFUNCTION("""COMPUTED_VALUE"""),"53")</f>
        <v>53</v>
      </c>
    </row>
    <row r="852" ht="15.75" customHeight="1">
      <c r="A852" s="3">
        <f>IFERROR(__xludf.DUMMYFUNCTION("""COMPUTED_VALUE"""),50000.0)</f>
        <v>50000</v>
      </c>
      <c r="B852" s="1" t="str">
        <f>IFERROR(__xludf.DUMMYFUNCTION("""COMPUTED_VALUE"""),"40")</f>
        <v>40</v>
      </c>
    </row>
    <row r="853" ht="15.75" customHeight="1">
      <c r="A853" s="3">
        <f>IFERROR(__xludf.DUMMYFUNCTION("""COMPUTED_VALUE"""),30000.0)</f>
        <v>30000</v>
      </c>
      <c r="B853" s="1" t="str">
        <f>IFERROR(__xludf.DUMMYFUNCTION("""COMPUTED_VALUE"""),"53")</f>
        <v>53</v>
      </c>
    </row>
    <row r="854" ht="15.75" customHeight="1">
      <c r="A854" s="3">
        <f>IFERROR(__xludf.DUMMYFUNCTION("""COMPUTED_VALUE"""),70000.0)</f>
        <v>70000</v>
      </c>
      <c r="B854" s="1" t="str">
        <f>IFERROR(__xludf.DUMMYFUNCTION("""COMPUTED_VALUE"""),"38")</f>
        <v>38</v>
      </c>
    </row>
    <row r="855" ht="15.75" customHeight="1">
      <c r="A855" s="3">
        <f>IFERROR(__xludf.DUMMYFUNCTION("""COMPUTED_VALUE"""),30000.0)</f>
        <v>30000</v>
      </c>
      <c r="B855" s="1" t="str">
        <f>IFERROR(__xludf.DUMMYFUNCTION("""COMPUTED_VALUE"""),"26")</f>
        <v>26</v>
      </c>
    </row>
    <row r="856" ht="15.75" customHeight="1">
      <c r="A856" s="3">
        <f>IFERROR(__xludf.DUMMYFUNCTION("""COMPUTED_VALUE"""),70000.0)</f>
        <v>70000</v>
      </c>
      <c r="B856" s="1" t="str">
        <f>IFERROR(__xludf.DUMMYFUNCTION("""COMPUTED_VALUE"""),"61")</f>
        <v>61</v>
      </c>
    </row>
    <row r="857" ht="15.75" customHeight="1">
      <c r="A857" s="3">
        <f>IFERROR(__xludf.DUMMYFUNCTION("""COMPUTED_VALUE"""),50000.0)</f>
        <v>50000</v>
      </c>
      <c r="B857" s="1" t="str">
        <f>IFERROR(__xludf.DUMMYFUNCTION("""COMPUTED_VALUE"""),"71")</f>
        <v>71</v>
      </c>
    </row>
    <row r="858" ht="15.75" customHeight="1">
      <c r="A858" s="3">
        <f>IFERROR(__xludf.DUMMYFUNCTION("""COMPUTED_VALUE"""),90000.0)</f>
        <v>90000</v>
      </c>
      <c r="B858" s="1" t="str">
        <f>IFERROR(__xludf.DUMMYFUNCTION("""COMPUTED_VALUE"""),"45")</f>
        <v>45</v>
      </c>
    </row>
    <row r="859" ht="15.75" customHeight="1">
      <c r="A859" s="3">
        <f>IFERROR(__xludf.DUMMYFUNCTION("""COMPUTED_VALUE"""),80000.0)</f>
        <v>80000</v>
      </c>
      <c r="B859" s="1" t="str">
        <f>IFERROR(__xludf.DUMMYFUNCTION("""COMPUTED_VALUE"""),"37")</f>
        <v>37</v>
      </c>
    </row>
    <row r="860" ht="15.75" customHeight="1">
      <c r="A860" s="3">
        <f>IFERROR(__xludf.DUMMYFUNCTION("""COMPUTED_VALUE"""),80000.0)</f>
        <v>80000</v>
      </c>
      <c r="B860" s="1" t="str">
        <f>IFERROR(__xludf.DUMMYFUNCTION("""COMPUTED_VALUE"""),"72")</f>
        <v>72</v>
      </c>
    </row>
    <row r="861" ht="15.75" customHeight="1">
      <c r="A861" s="3">
        <f>IFERROR(__xludf.DUMMYFUNCTION("""COMPUTED_VALUE"""),30000.0)</f>
        <v>30000</v>
      </c>
      <c r="B861" s="1" t="str">
        <f>IFERROR(__xludf.DUMMYFUNCTION("""COMPUTED_VALUE"""),"32")</f>
        <v>32</v>
      </c>
    </row>
    <row r="862" ht="15.75" customHeight="1">
      <c r="A862" s="3">
        <f>IFERROR(__xludf.DUMMYFUNCTION("""COMPUTED_VALUE"""),60000.0)</f>
        <v>60000</v>
      </c>
      <c r="B862" s="1" t="str">
        <f>IFERROR(__xludf.DUMMYFUNCTION("""COMPUTED_VALUE"""),"48")</f>
        <v>48</v>
      </c>
    </row>
    <row r="863" ht="15.75" customHeight="1">
      <c r="A863" s="3">
        <f>IFERROR(__xludf.DUMMYFUNCTION("""COMPUTED_VALUE"""),80000.0)</f>
        <v>80000</v>
      </c>
      <c r="B863" s="1" t="str">
        <f>IFERROR(__xludf.DUMMYFUNCTION("""COMPUTED_VALUE"""),"68")</f>
        <v>68</v>
      </c>
    </row>
    <row r="864" ht="15.75" customHeight="1">
      <c r="A864" s="3">
        <f>IFERROR(__xludf.DUMMYFUNCTION("""COMPUTED_VALUE"""),20000.0)</f>
        <v>20000</v>
      </c>
      <c r="B864" s="1" t="str">
        <f>IFERROR(__xludf.DUMMYFUNCTION("""COMPUTED_VALUE"""),"49")</f>
        <v>49</v>
      </c>
    </row>
    <row r="865" ht="15.75" customHeight="1">
      <c r="A865" s="3">
        <f>IFERROR(__xludf.DUMMYFUNCTION("""COMPUTED_VALUE"""),70000.0)</f>
        <v>70000</v>
      </c>
      <c r="B865" s="1" t="str">
        <f>IFERROR(__xludf.DUMMYFUNCTION("""COMPUTED_VALUE"""),"34")</f>
        <v>34</v>
      </c>
    </row>
    <row r="866" ht="15.75" customHeight="1">
      <c r="A866" s="3">
        <f>IFERROR(__xludf.DUMMYFUNCTION("""COMPUTED_VALUE"""),50000.0)</f>
        <v>50000</v>
      </c>
      <c r="B866" s="1" t="str">
        <f>IFERROR(__xludf.DUMMYFUNCTION("""COMPUTED_VALUE"""),"32")</f>
        <v>32</v>
      </c>
    </row>
    <row r="867" ht="15.75" customHeight="1">
      <c r="A867" s="3">
        <f>IFERROR(__xludf.DUMMYFUNCTION("""COMPUTED_VALUE"""),60000.0)</f>
        <v>60000</v>
      </c>
      <c r="B867" s="1" t="str">
        <f>IFERROR(__xludf.DUMMYFUNCTION("""COMPUTED_VALUE"""),"42")</f>
        <v>42</v>
      </c>
    </row>
    <row r="868" ht="15.75" customHeight="1">
      <c r="A868" s="3">
        <f>IFERROR(__xludf.DUMMYFUNCTION("""COMPUTED_VALUE"""),70000.0)</f>
        <v>70000</v>
      </c>
      <c r="B868" s="1" t="str">
        <f>IFERROR(__xludf.DUMMYFUNCTION("""COMPUTED_VALUE"""),"35")</f>
        <v>35</v>
      </c>
    </row>
    <row r="869" ht="15.75" customHeight="1">
      <c r="A869" s="3">
        <f>IFERROR(__xludf.DUMMYFUNCTION("""COMPUTED_VALUE"""),40000.0)</f>
        <v>40000</v>
      </c>
      <c r="B869" s="1" t="str">
        <f>IFERROR(__xludf.DUMMYFUNCTION("""COMPUTED_VALUE"""),"48")</f>
        <v>48</v>
      </c>
    </row>
    <row r="870" ht="15.75" customHeight="1">
      <c r="A870" s="3">
        <f>IFERROR(__xludf.DUMMYFUNCTION("""COMPUTED_VALUE"""),100000.0)</f>
        <v>100000</v>
      </c>
      <c r="B870" s="1" t="str">
        <f>IFERROR(__xludf.DUMMYFUNCTION("""COMPUTED_VALUE"""),"73")</f>
        <v>73</v>
      </c>
    </row>
    <row r="871" ht="15.75" customHeight="1">
      <c r="A871" s="3">
        <f>IFERROR(__xludf.DUMMYFUNCTION("""COMPUTED_VALUE"""),70000.0)</f>
        <v>70000</v>
      </c>
      <c r="B871" s="1" t="str">
        <f>IFERROR(__xludf.DUMMYFUNCTION("""COMPUTED_VALUE"""),"43")</f>
        <v>43</v>
      </c>
    </row>
    <row r="872" ht="15.75" customHeight="1">
      <c r="A872" s="3">
        <f>IFERROR(__xludf.DUMMYFUNCTION("""COMPUTED_VALUE"""),60000.0)</f>
        <v>60000</v>
      </c>
      <c r="B872" s="1" t="str">
        <f>IFERROR(__xludf.DUMMYFUNCTION("""COMPUTED_VALUE"""),"35")</f>
        <v>35</v>
      </c>
    </row>
    <row r="873" ht="15.75" customHeight="1">
      <c r="A873" s="3">
        <f>IFERROR(__xludf.DUMMYFUNCTION("""COMPUTED_VALUE"""),70000.0)</f>
        <v>70000</v>
      </c>
      <c r="B873" s="1" t="str">
        <f>IFERROR(__xludf.DUMMYFUNCTION("""COMPUTED_VALUE"""),"35")</f>
        <v>35</v>
      </c>
    </row>
    <row r="874" ht="15.75" customHeight="1">
      <c r="A874" s="3">
        <f>IFERROR(__xludf.DUMMYFUNCTION("""COMPUTED_VALUE"""),50000.0)</f>
        <v>50000</v>
      </c>
      <c r="B874" s="1" t="str">
        <f>IFERROR(__xludf.DUMMYFUNCTION("""COMPUTED_VALUE"""),"64")</f>
        <v>64</v>
      </c>
    </row>
    <row r="875" ht="15.75" customHeight="1">
      <c r="A875" s="3">
        <f>IFERROR(__xludf.DUMMYFUNCTION("""COMPUTED_VALUE"""),50000.0)</f>
        <v>50000</v>
      </c>
      <c r="B875" s="1" t="str">
        <f>IFERROR(__xludf.DUMMYFUNCTION("""COMPUTED_VALUE"""),"34")</f>
        <v>34</v>
      </c>
    </row>
    <row r="876" ht="15.75" customHeight="1">
      <c r="A876" s="3">
        <f>IFERROR(__xludf.DUMMYFUNCTION("""COMPUTED_VALUE"""),30000.0)</f>
        <v>30000</v>
      </c>
      <c r="B876" s="1" t="str">
        <f>IFERROR(__xludf.DUMMYFUNCTION("""COMPUTED_VALUE"""),"28")</f>
        <v>28</v>
      </c>
    </row>
    <row r="877" ht="15.75" customHeight="1">
      <c r="A877" s="3">
        <f>IFERROR(__xludf.DUMMYFUNCTION("""COMPUTED_VALUE"""),70000.0)</f>
        <v>70000</v>
      </c>
      <c r="B877" s="1" t="str">
        <f>IFERROR(__xludf.DUMMYFUNCTION("""COMPUTED_VALUE"""),"60")</f>
        <v>60</v>
      </c>
    </row>
    <row r="878" ht="15.75" customHeight="1">
      <c r="A878" s="3">
        <f>IFERROR(__xludf.DUMMYFUNCTION("""COMPUTED_VALUE"""),70000.0)</f>
        <v>70000</v>
      </c>
      <c r="B878" s="1" t="str">
        <f>IFERROR(__xludf.DUMMYFUNCTION("""COMPUTED_VALUE"""),"46")</f>
        <v>46</v>
      </c>
    </row>
    <row r="879" ht="15.75" customHeight="1">
      <c r="A879" s="3">
        <f>IFERROR(__xludf.DUMMYFUNCTION("""COMPUTED_VALUE"""),40000.0)</f>
        <v>40000</v>
      </c>
      <c r="B879" s="1" t="str">
        <f>IFERROR(__xludf.DUMMYFUNCTION("""COMPUTED_VALUE"""),"44")</f>
        <v>44</v>
      </c>
    </row>
    <row r="880" ht="15.75" customHeight="1">
      <c r="A880" s="3">
        <f>IFERROR(__xludf.DUMMYFUNCTION("""COMPUTED_VALUE"""),60000.0)</f>
        <v>60000</v>
      </c>
      <c r="B880" s="1" t="str">
        <f>IFERROR(__xludf.DUMMYFUNCTION("""COMPUTED_VALUE"""),"42")</f>
        <v>42</v>
      </c>
    </row>
    <row r="881" ht="15.75" customHeight="1">
      <c r="A881" s="3">
        <f>IFERROR(__xludf.DUMMYFUNCTION("""COMPUTED_VALUE"""),80000.0)</f>
        <v>80000</v>
      </c>
      <c r="B881" s="1" t="str">
        <f>IFERROR(__xludf.DUMMYFUNCTION("""COMPUTED_VALUE"""),"40")</f>
        <v>40</v>
      </c>
    </row>
    <row r="882" ht="15.75" customHeight="1">
      <c r="A882" s="3">
        <f>IFERROR(__xludf.DUMMYFUNCTION("""COMPUTED_VALUE"""),90000.0)</f>
        <v>90000</v>
      </c>
      <c r="B882" s="1" t="str">
        <f>IFERROR(__xludf.DUMMYFUNCTION("""COMPUTED_VALUE"""),"73")</f>
        <v>73</v>
      </c>
    </row>
    <row r="883" ht="15.75" customHeight="1">
      <c r="A883" s="3">
        <f>IFERROR(__xludf.DUMMYFUNCTION("""COMPUTED_VALUE"""),60000.0)</f>
        <v>60000</v>
      </c>
      <c r="B883" s="1" t="str">
        <f>IFERROR(__xludf.DUMMYFUNCTION("""COMPUTED_VALUE"""),"36")</f>
        <v>36</v>
      </c>
    </row>
    <row r="884" ht="15.75" customHeight="1">
      <c r="A884" s="3">
        <f>IFERROR(__xludf.DUMMYFUNCTION("""COMPUTED_VALUE"""),90000.0)</f>
        <v>90000</v>
      </c>
      <c r="B884" s="1" t="str">
        <f>IFERROR(__xludf.DUMMYFUNCTION("""COMPUTED_VALUE"""),"38")</f>
        <v>38</v>
      </c>
    </row>
    <row r="885" ht="15.75" customHeight="1">
      <c r="A885" s="3">
        <f>IFERROR(__xludf.DUMMYFUNCTION("""COMPUTED_VALUE"""),60000.0)</f>
        <v>60000</v>
      </c>
      <c r="B885" s="1" t="str">
        <f>IFERROR(__xludf.DUMMYFUNCTION("""COMPUTED_VALUE"""),"34")</f>
        <v>34</v>
      </c>
    </row>
    <row r="886" ht="15.75" customHeight="1">
      <c r="A886" s="3">
        <f>IFERROR(__xludf.DUMMYFUNCTION("""COMPUTED_VALUE"""),50000.0)</f>
        <v>50000</v>
      </c>
      <c r="B886" s="1" t="str">
        <f>IFERROR(__xludf.DUMMYFUNCTION("""COMPUTED_VALUE"""),"63")</f>
        <v>63</v>
      </c>
    </row>
    <row r="887" ht="15.75" customHeight="1">
      <c r="A887" s="3">
        <f>IFERROR(__xludf.DUMMYFUNCTION("""COMPUTED_VALUE"""),50000.0)</f>
        <v>50000</v>
      </c>
      <c r="B887" s="1" t="str">
        <f>IFERROR(__xludf.DUMMYFUNCTION("""COMPUTED_VALUE"""),"41")</f>
        <v>41</v>
      </c>
    </row>
    <row r="888" ht="15.75" customHeight="1">
      <c r="A888" s="3">
        <f>IFERROR(__xludf.DUMMYFUNCTION("""COMPUTED_VALUE"""),60000.0)</f>
        <v>60000</v>
      </c>
      <c r="B888" s="1" t="str">
        <f>IFERROR(__xludf.DUMMYFUNCTION("""COMPUTED_VALUE"""),"39")</f>
        <v>39</v>
      </c>
    </row>
    <row r="889" ht="15.75" customHeight="1">
      <c r="A889" s="3">
        <f>IFERROR(__xludf.DUMMYFUNCTION("""COMPUTED_VALUE"""),40000.0)</f>
        <v>40000</v>
      </c>
      <c r="B889" s="1" t="str">
        <f>IFERROR(__xludf.DUMMYFUNCTION("""COMPUTED_VALUE"""),"46")</f>
        <v>46</v>
      </c>
    </row>
    <row r="890" ht="15.75" customHeight="1">
      <c r="A890" s="3">
        <f>IFERROR(__xludf.DUMMYFUNCTION("""COMPUTED_VALUE"""),80000.0)</f>
        <v>80000</v>
      </c>
      <c r="B890" s="1" t="str">
        <f>IFERROR(__xludf.DUMMYFUNCTION("""COMPUTED_VALUE"""),"64")</f>
        <v>64</v>
      </c>
    </row>
    <row r="891" ht="15.75" customHeight="1">
      <c r="A891" s="3">
        <f>IFERROR(__xludf.DUMMYFUNCTION("""COMPUTED_VALUE"""),40000.0)</f>
        <v>40000</v>
      </c>
      <c r="B891" s="1" t="str">
        <f>IFERROR(__xludf.DUMMYFUNCTION("""COMPUTED_VALUE"""),"32")</f>
        <v>32</v>
      </c>
    </row>
    <row r="892" ht="15.75" customHeight="1">
      <c r="A892" s="3">
        <f>IFERROR(__xludf.DUMMYFUNCTION("""COMPUTED_VALUE"""),60000.0)</f>
        <v>60000</v>
      </c>
      <c r="B892" s="1" t="str">
        <f>IFERROR(__xludf.DUMMYFUNCTION("""COMPUTED_VALUE"""),"36")</f>
        <v>36</v>
      </c>
    </row>
    <row r="893" ht="15.75" customHeight="1">
      <c r="A893" s="3">
        <f>IFERROR(__xludf.DUMMYFUNCTION("""COMPUTED_VALUE"""),80000.0)</f>
        <v>80000</v>
      </c>
      <c r="B893" s="1" t="str">
        <f>IFERROR(__xludf.DUMMYFUNCTION("""COMPUTED_VALUE"""),"47")</f>
        <v>47</v>
      </c>
    </row>
    <row r="894" ht="15.75" customHeight="1">
      <c r="A894" s="3">
        <f>IFERROR(__xludf.DUMMYFUNCTION("""COMPUTED_VALUE"""),60000.0)</f>
        <v>60000</v>
      </c>
      <c r="B894" s="1" t="str">
        <f>IFERROR(__xludf.DUMMYFUNCTION("""COMPUTED_VALUE"""),"64")</f>
        <v>64</v>
      </c>
    </row>
    <row r="895" ht="15.75" customHeight="1">
      <c r="A895" s="3">
        <f>IFERROR(__xludf.DUMMYFUNCTION("""COMPUTED_VALUE"""),70000.0)</f>
        <v>70000</v>
      </c>
      <c r="B895" s="1" t="str">
        <f>IFERROR(__xludf.DUMMYFUNCTION("""COMPUTED_VALUE"""),"35")</f>
        <v>35</v>
      </c>
    </row>
    <row r="896" ht="15.75" customHeight="1">
      <c r="A896" s="3">
        <f>IFERROR(__xludf.DUMMYFUNCTION("""COMPUTED_VALUE"""),110000.0)</f>
        <v>110000</v>
      </c>
      <c r="B896" s="1" t="str">
        <f>IFERROR(__xludf.DUMMYFUNCTION("""COMPUTED_VALUE"""),"40")</f>
        <v>40</v>
      </c>
    </row>
    <row r="897" ht="15.75" customHeight="1">
      <c r="A897" s="3">
        <f>IFERROR(__xludf.DUMMYFUNCTION("""COMPUTED_VALUE"""),70000.0)</f>
        <v>70000</v>
      </c>
      <c r="B897" s="1" t="str">
        <f>IFERROR(__xludf.DUMMYFUNCTION("""COMPUTED_VALUE"""),"34")</f>
        <v>34</v>
      </c>
    </row>
    <row r="898" ht="15.75" customHeight="1">
      <c r="A898" s="3">
        <f>IFERROR(__xludf.DUMMYFUNCTION("""COMPUTED_VALUE"""),40000.0)</f>
        <v>40000</v>
      </c>
      <c r="B898" s="1" t="str">
        <f>IFERROR(__xludf.DUMMYFUNCTION("""COMPUTED_VALUE"""),"61")</f>
        <v>61</v>
      </c>
    </row>
    <row r="899" ht="15.75" customHeight="1">
      <c r="A899" s="3">
        <f>IFERROR(__xludf.DUMMYFUNCTION("""COMPUTED_VALUE"""),30000.0)</f>
        <v>30000</v>
      </c>
      <c r="B899" s="1" t="str">
        <f>IFERROR(__xludf.DUMMYFUNCTION("""COMPUTED_VALUE"""),"51")</f>
        <v>51</v>
      </c>
    </row>
    <row r="900" ht="15.75" customHeight="1">
      <c r="A900" s="3">
        <f>IFERROR(__xludf.DUMMYFUNCTION("""COMPUTED_VALUE"""),70000.0)</f>
        <v>70000</v>
      </c>
      <c r="B900" s="1" t="str">
        <f>IFERROR(__xludf.DUMMYFUNCTION("""COMPUTED_VALUE"""),"49")</f>
        <v>49</v>
      </c>
    </row>
    <row r="901" ht="15.75" customHeight="1">
      <c r="A901" s="3">
        <f>IFERROR(__xludf.DUMMYFUNCTION("""COMPUTED_VALUE"""),40000.0)</f>
        <v>40000</v>
      </c>
      <c r="B901" s="1" t="str">
        <f>IFERROR(__xludf.DUMMYFUNCTION("""COMPUTED_VALUE"""),"54")</f>
        <v>54</v>
      </c>
    </row>
    <row r="902" ht="15.75" customHeight="1">
      <c r="A902" s="3">
        <f>IFERROR(__xludf.DUMMYFUNCTION("""COMPUTED_VALUE"""),70000.0)</f>
        <v>70000</v>
      </c>
      <c r="B902" s="1" t="str">
        <f>IFERROR(__xludf.DUMMYFUNCTION("""COMPUTED_VALUE"""),"53")</f>
        <v>53</v>
      </c>
    </row>
    <row r="903" ht="15.75" customHeight="1">
      <c r="A903" s="3">
        <f>IFERROR(__xludf.DUMMYFUNCTION("""COMPUTED_VALUE"""),90000.0)</f>
        <v>90000</v>
      </c>
      <c r="B903" s="1" t="str">
        <f>IFERROR(__xludf.DUMMYFUNCTION("""COMPUTED_VALUE"""),"48")</f>
        <v>48</v>
      </c>
    </row>
    <row r="904" ht="15.75" customHeight="1">
      <c r="A904" s="3">
        <f>IFERROR(__xludf.DUMMYFUNCTION("""COMPUTED_VALUE"""),50000.0)</f>
        <v>50000</v>
      </c>
      <c r="B904" s="1" t="str">
        <f>IFERROR(__xludf.DUMMYFUNCTION("""COMPUTED_VALUE"""),"33")</f>
        <v>33</v>
      </c>
    </row>
    <row r="905" ht="15.75" customHeight="1">
      <c r="A905" s="3">
        <f>IFERROR(__xludf.DUMMYFUNCTION("""COMPUTED_VALUE"""),40000.0)</f>
        <v>40000</v>
      </c>
      <c r="B905" s="1" t="str">
        <f>IFERROR(__xludf.DUMMYFUNCTION("""COMPUTED_VALUE"""),"57")</f>
        <v>57</v>
      </c>
    </row>
    <row r="906" ht="15.75" customHeight="1">
      <c r="A906" s="3">
        <f>IFERROR(__xludf.DUMMYFUNCTION("""COMPUTED_VALUE"""),70000.0)</f>
        <v>70000</v>
      </c>
      <c r="B906" s="1" t="str">
        <f>IFERROR(__xludf.DUMMYFUNCTION("""COMPUTED_VALUE"""),"39")</f>
        <v>39</v>
      </c>
    </row>
    <row r="907" ht="15.75" customHeight="1">
      <c r="A907" s="3">
        <f>IFERROR(__xludf.DUMMYFUNCTION("""COMPUTED_VALUE"""),60000.0)</f>
        <v>60000</v>
      </c>
      <c r="B907" s="1" t="str">
        <f>IFERROR(__xludf.DUMMYFUNCTION("""COMPUTED_VALUE"""),"48")</f>
        <v>48</v>
      </c>
    </row>
    <row r="908" ht="15.75" customHeight="1">
      <c r="A908" s="3">
        <f>IFERROR(__xludf.DUMMYFUNCTION("""COMPUTED_VALUE"""),60000.0)</f>
        <v>60000</v>
      </c>
      <c r="B908" s="1" t="str">
        <f>IFERROR(__xludf.DUMMYFUNCTION("""COMPUTED_VALUE"""),"50")</f>
        <v>50</v>
      </c>
    </row>
    <row r="909" ht="15.75" customHeight="1">
      <c r="A909" s="3">
        <f>IFERROR(__xludf.DUMMYFUNCTION("""COMPUTED_VALUE"""),70000.0)</f>
        <v>70000</v>
      </c>
      <c r="B909" s="1" t="str">
        <f>IFERROR(__xludf.DUMMYFUNCTION("""COMPUTED_VALUE"""),"47")</f>
        <v>47</v>
      </c>
    </row>
    <row r="910" ht="15.75" customHeight="1">
      <c r="A910" s="3">
        <f>IFERROR(__xludf.DUMMYFUNCTION("""COMPUTED_VALUE"""),40000.0)</f>
        <v>40000</v>
      </c>
      <c r="B910" s="1" t="str">
        <f>IFERROR(__xludf.DUMMYFUNCTION("""COMPUTED_VALUE"""),"49")</f>
        <v>49</v>
      </c>
    </row>
    <row r="911" ht="15.75" customHeight="1">
      <c r="A911" s="3">
        <f>IFERROR(__xludf.DUMMYFUNCTION("""COMPUTED_VALUE"""),40000.0)</f>
        <v>40000</v>
      </c>
      <c r="B911" s="1" t="str">
        <f>IFERROR(__xludf.DUMMYFUNCTION("""COMPUTED_VALUE"""),"27")</f>
        <v>27</v>
      </c>
    </row>
    <row r="912" ht="15.75" customHeight="1">
      <c r="A912" s="3">
        <f>IFERROR(__xludf.DUMMYFUNCTION("""COMPUTED_VALUE"""),60000.0)</f>
        <v>60000</v>
      </c>
      <c r="B912" s="1" t="str">
        <f>IFERROR(__xludf.DUMMYFUNCTION("""COMPUTED_VALUE"""),"59")</f>
        <v>59</v>
      </c>
    </row>
    <row r="913" ht="15.75" customHeight="1">
      <c r="A913" s="3">
        <f>IFERROR(__xludf.DUMMYFUNCTION("""COMPUTED_VALUE"""),60000.0)</f>
        <v>60000</v>
      </c>
      <c r="B913" s="1" t="str">
        <f>IFERROR(__xludf.DUMMYFUNCTION("""COMPUTED_VALUE"""),"45")</f>
        <v>45</v>
      </c>
    </row>
    <row r="914" ht="15.75" customHeight="1">
      <c r="A914" s="3">
        <f>IFERROR(__xludf.DUMMYFUNCTION("""COMPUTED_VALUE"""),60000.0)</f>
        <v>60000</v>
      </c>
      <c r="B914" s="1" t="str">
        <f>IFERROR(__xludf.DUMMYFUNCTION("""COMPUTED_VALUE"""),"60")</f>
        <v>60</v>
      </c>
    </row>
    <row r="915" ht="15.75" customHeight="1">
      <c r="A915" s="3">
        <f>IFERROR(__xludf.DUMMYFUNCTION("""COMPUTED_VALUE"""),70000.0)</f>
        <v>70000</v>
      </c>
      <c r="B915" s="1" t="str">
        <f>IFERROR(__xludf.DUMMYFUNCTION("""COMPUTED_VALUE"""),"36")</f>
        <v>36</v>
      </c>
    </row>
    <row r="916" ht="15.75" customHeight="1">
      <c r="A916" s="3">
        <f>IFERROR(__xludf.DUMMYFUNCTION("""COMPUTED_VALUE"""),40000.0)</f>
        <v>40000</v>
      </c>
      <c r="B916" s="1" t="str">
        <f>IFERROR(__xludf.DUMMYFUNCTION("""COMPUTED_VALUE"""),"27")</f>
        <v>27</v>
      </c>
    </row>
    <row r="917" ht="15.75" customHeight="1">
      <c r="A917" s="3">
        <f>IFERROR(__xludf.DUMMYFUNCTION("""COMPUTED_VALUE"""),80000.0)</f>
        <v>80000</v>
      </c>
      <c r="B917" s="1" t="str">
        <f>IFERROR(__xludf.DUMMYFUNCTION("""COMPUTED_VALUE"""),"50")</f>
        <v>50</v>
      </c>
    </row>
    <row r="918" ht="15.75" customHeight="1">
      <c r="A918" s="3">
        <f>IFERROR(__xludf.DUMMYFUNCTION("""COMPUTED_VALUE"""),60000.0)</f>
        <v>60000</v>
      </c>
      <c r="B918" s="1" t="str">
        <f>IFERROR(__xludf.DUMMYFUNCTION("""COMPUTED_VALUE"""),"35")</f>
        <v>35</v>
      </c>
    </row>
    <row r="919" ht="15.75" customHeight="1">
      <c r="A919" s="3">
        <f>IFERROR(__xludf.DUMMYFUNCTION("""COMPUTED_VALUE"""),60000.0)</f>
        <v>60000</v>
      </c>
      <c r="B919" s="1" t="str">
        <f>IFERROR(__xludf.DUMMYFUNCTION("""COMPUTED_VALUE"""),"34")</f>
        <v>34</v>
      </c>
    </row>
    <row r="920" ht="15.75" customHeight="1">
      <c r="A920" s="3">
        <f>IFERROR(__xludf.DUMMYFUNCTION("""COMPUTED_VALUE"""),40000.0)</f>
        <v>40000</v>
      </c>
      <c r="B920" s="1" t="str">
        <f>IFERROR(__xludf.DUMMYFUNCTION("""COMPUTED_VALUE"""),"54")</f>
        <v>54</v>
      </c>
    </row>
    <row r="921" ht="15.75" customHeight="1">
      <c r="A921" s="3">
        <f>IFERROR(__xludf.DUMMYFUNCTION("""COMPUTED_VALUE"""),60000.0)</f>
        <v>60000</v>
      </c>
      <c r="B921" s="1" t="str">
        <f>IFERROR(__xludf.DUMMYFUNCTION("""COMPUTED_VALUE"""),"42")</f>
        <v>42</v>
      </c>
    </row>
    <row r="922" ht="15.75" customHeight="1">
      <c r="A922" s="3">
        <f>IFERROR(__xludf.DUMMYFUNCTION("""COMPUTED_VALUE"""),50000.0)</f>
        <v>50000</v>
      </c>
      <c r="B922" s="1" t="str">
        <f>IFERROR(__xludf.DUMMYFUNCTION("""COMPUTED_VALUE"""),"34")</f>
        <v>34</v>
      </c>
    </row>
    <row r="923" ht="15.75" customHeight="1">
      <c r="A923" s="3">
        <f>IFERROR(__xludf.DUMMYFUNCTION("""COMPUTED_VALUE"""),50000.0)</f>
        <v>50000</v>
      </c>
      <c r="B923" s="1" t="str">
        <f>IFERROR(__xludf.DUMMYFUNCTION("""COMPUTED_VALUE"""),"38")</f>
        <v>38</v>
      </c>
    </row>
    <row r="924" ht="15.75" customHeight="1">
      <c r="A924" s="3">
        <f>IFERROR(__xludf.DUMMYFUNCTION("""COMPUTED_VALUE"""),90000.0)</f>
        <v>90000</v>
      </c>
      <c r="B924" s="1" t="str">
        <f>IFERROR(__xludf.DUMMYFUNCTION("""COMPUTED_VALUE"""),"63")</f>
        <v>63</v>
      </c>
    </row>
    <row r="925" ht="15.75" customHeight="1">
      <c r="A925" s="3">
        <f>IFERROR(__xludf.DUMMYFUNCTION("""COMPUTED_VALUE"""),90000.0)</f>
        <v>90000</v>
      </c>
      <c r="B925" s="1" t="str">
        <f>IFERROR(__xludf.DUMMYFUNCTION("""COMPUTED_VALUE"""),"45")</f>
        <v>45</v>
      </c>
    </row>
    <row r="926" ht="15.75" customHeight="1">
      <c r="A926" s="3">
        <f>IFERROR(__xludf.DUMMYFUNCTION("""COMPUTED_VALUE"""),60000.0)</f>
        <v>60000</v>
      </c>
      <c r="B926" s="1" t="str">
        <f>IFERROR(__xludf.DUMMYFUNCTION("""COMPUTED_VALUE"""),"40")</f>
        <v>40</v>
      </c>
    </row>
    <row r="927" ht="15.75" customHeight="1">
      <c r="A927" s="3">
        <f>IFERROR(__xludf.DUMMYFUNCTION("""COMPUTED_VALUE"""),70000.0)</f>
        <v>70000</v>
      </c>
      <c r="B927" s="1" t="str">
        <f>IFERROR(__xludf.DUMMYFUNCTION("""COMPUTED_VALUE"""),"53")</f>
        <v>53</v>
      </c>
    </row>
    <row r="928" ht="15.75" customHeight="1">
      <c r="A928" s="3">
        <f>IFERROR(__xludf.DUMMYFUNCTION("""COMPUTED_VALUE"""),70000.0)</f>
        <v>70000</v>
      </c>
      <c r="B928" s="1" t="str">
        <f>IFERROR(__xludf.DUMMYFUNCTION("""COMPUTED_VALUE"""),"34")</f>
        <v>34</v>
      </c>
    </row>
    <row r="929" ht="15.75" customHeight="1">
      <c r="A929" s="3">
        <f>IFERROR(__xludf.DUMMYFUNCTION("""COMPUTED_VALUE"""),70000.0)</f>
        <v>70000</v>
      </c>
      <c r="B929" s="1" t="str">
        <f>IFERROR(__xludf.DUMMYFUNCTION("""COMPUTED_VALUE"""),"38")</f>
        <v>38</v>
      </c>
    </row>
    <row r="930" ht="15.75" customHeight="1">
      <c r="A930" s="3">
        <f>IFERROR(__xludf.DUMMYFUNCTION("""COMPUTED_VALUE"""),70000.0)</f>
        <v>70000</v>
      </c>
      <c r="B930" s="1" t="str">
        <f>IFERROR(__xludf.DUMMYFUNCTION("""COMPUTED_VALUE"""),"59")</f>
        <v>59</v>
      </c>
    </row>
    <row r="931" ht="15.75" customHeight="1">
      <c r="A931" s="3">
        <f>IFERROR(__xludf.DUMMYFUNCTION("""COMPUTED_VALUE"""),40000.0)</f>
        <v>40000</v>
      </c>
      <c r="B931" s="1" t="str">
        <f>IFERROR(__xludf.DUMMYFUNCTION("""COMPUTED_VALUE"""),"30")</f>
        <v>30</v>
      </c>
    </row>
    <row r="932" ht="15.75" customHeight="1">
      <c r="A932" s="3">
        <f>IFERROR(__xludf.DUMMYFUNCTION("""COMPUTED_VALUE"""),60000.0)</f>
        <v>60000</v>
      </c>
      <c r="B932" s="1" t="str">
        <f>IFERROR(__xludf.DUMMYFUNCTION("""COMPUTED_VALUE"""),"48")</f>
        <v>48</v>
      </c>
    </row>
    <row r="933" ht="15.75" customHeight="1">
      <c r="A933" s="3">
        <f>IFERROR(__xludf.DUMMYFUNCTION("""COMPUTED_VALUE"""),40000.0)</f>
        <v>40000</v>
      </c>
      <c r="B933" s="1" t="str">
        <f>IFERROR(__xludf.DUMMYFUNCTION("""COMPUTED_VALUE"""),"43")</f>
        <v>43</v>
      </c>
    </row>
    <row r="934" ht="15.75" customHeight="1">
      <c r="A934" s="3">
        <f>IFERROR(__xludf.DUMMYFUNCTION("""COMPUTED_VALUE"""),70000.0)</f>
        <v>70000</v>
      </c>
      <c r="B934" s="1" t="str">
        <f>IFERROR(__xludf.DUMMYFUNCTION("""COMPUTED_VALUE"""),"35")</f>
        <v>35</v>
      </c>
    </row>
    <row r="935" ht="15.75" customHeight="1">
      <c r="A935" s="3">
        <f>IFERROR(__xludf.DUMMYFUNCTION("""COMPUTED_VALUE"""),60000.0)</f>
        <v>60000</v>
      </c>
      <c r="B935" s="1" t="str">
        <f>IFERROR(__xludf.DUMMYFUNCTION("""COMPUTED_VALUE"""),"30")</f>
        <v>30</v>
      </c>
    </row>
    <row r="936" ht="15.75" customHeight="1">
      <c r="A936" s="3">
        <f>IFERROR(__xludf.DUMMYFUNCTION("""COMPUTED_VALUE"""),90000.0)</f>
        <v>90000</v>
      </c>
      <c r="B936" s="1" t="str">
        <f>IFERROR(__xludf.DUMMYFUNCTION("""COMPUTED_VALUE"""),"47")</f>
        <v>47</v>
      </c>
    </row>
    <row r="937" ht="15.75" customHeight="1">
      <c r="A937" s="3">
        <f>IFERROR(__xludf.DUMMYFUNCTION("""COMPUTED_VALUE"""),60000.0)</f>
        <v>60000</v>
      </c>
      <c r="B937" s="1" t="str">
        <f>IFERROR(__xludf.DUMMYFUNCTION("""COMPUTED_VALUE"""),"45")</f>
        <v>45</v>
      </c>
    </row>
    <row r="938" ht="15.75" customHeight="1">
      <c r="A938" s="3">
        <f>IFERROR(__xludf.DUMMYFUNCTION("""COMPUTED_VALUE"""),100000.0)</f>
        <v>100000</v>
      </c>
      <c r="B938" s="1" t="str">
        <f>IFERROR(__xludf.DUMMYFUNCTION("""COMPUTED_VALUE"""),"45")</f>
        <v>45</v>
      </c>
    </row>
    <row r="939" ht="15.75" customHeight="1">
      <c r="A939" s="3">
        <f>IFERROR(__xludf.DUMMYFUNCTION("""COMPUTED_VALUE"""),120000.0)</f>
        <v>120000</v>
      </c>
      <c r="B939" s="1" t="str">
        <f>IFERROR(__xludf.DUMMYFUNCTION("""COMPUTED_VALUE"""),"62")</f>
        <v>62</v>
      </c>
    </row>
    <row r="940" ht="15.75" customHeight="1">
      <c r="A940" s="3">
        <f>IFERROR(__xludf.DUMMYFUNCTION("""COMPUTED_VALUE"""),60000.0)</f>
        <v>60000</v>
      </c>
      <c r="B940" s="1" t="str">
        <f>IFERROR(__xludf.DUMMYFUNCTION("""COMPUTED_VALUE"""),"55")</f>
        <v>55</v>
      </c>
    </row>
    <row r="941" ht="15.75" customHeight="1">
      <c r="A941" s="3">
        <f>IFERROR(__xludf.DUMMYFUNCTION("""COMPUTED_VALUE"""),90000.0)</f>
        <v>90000</v>
      </c>
      <c r="B941" s="1" t="str">
        <f>IFERROR(__xludf.DUMMYFUNCTION("""COMPUTED_VALUE"""),"66")</f>
        <v>66</v>
      </c>
    </row>
    <row r="942" ht="15.75" customHeight="1">
      <c r="A942" s="3">
        <f>IFERROR(__xludf.DUMMYFUNCTION("""COMPUTED_VALUE"""),70000.0)</f>
        <v>70000</v>
      </c>
      <c r="B942" s="1" t="str">
        <f>IFERROR(__xludf.DUMMYFUNCTION("""COMPUTED_VALUE"""),"56")</f>
        <v>56</v>
      </c>
    </row>
    <row r="943" ht="15.75" customHeight="1">
      <c r="A943" s="3">
        <f>IFERROR(__xludf.DUMMYFUNCTION("""COMPUTED_VALUE"""),50000.0)</f>
        <v>50000</v>
      </c>
      <c r="B943" s="1" t="str">
        <f>IFERROR(__xludf.DUMMYFUNCTION("""COMPUTED_VALUE"""),"40")</f>
        <v>40</v>
      </c>
    </row>
    <row r="944" ht="15.75" customHeight="1">
      <c r="A944" s="3">
        <f>IFERROR(__xludf.DUMMYFUNCTION("""COMPUTED_VALUE"""),50000.0)</f>
        <v>50000</v>
      </c>
      <c r="B944" s="1" t="str">
        <f>IFERROR(__xludf.DUMMYFUNCTION("""COMPUTED_VALUE"""),"33")</f>
        <v>33</v>
      </c>
    </row>
    <row r="945" ht="15.75" customHeight="1">
      <c r="A945" s="3">
        <f>IFERROR(__xludf.DUMMYFUNCTION("""COMPUTED_VALUE"""),80000.0)</f>
        <v>80000</v>
      </c>
      <c r="B945" s="1" t="str">
        <f>IFERROR(__xludf.DUMMYFUNCTION("""COMPUTED_VALUE"""),"56")</f>
        <v>56</v>
      </c>
    </row>
    <row r="946" ht="15.75" customHeight="1">
      <c r="A946" s="3">
        <f>IFERROR(__xludf.DUMMYFUNCTION("""COMPUTED_VALUE"""),30000.0)</f>
        <v>30000</v>
      </c>
      <c r="B946" s="1" t="str">
        <f>IFERROR(__xludf.DUMMYFUNCTION("""COMPUTED_VALUE"""),"27")</f>
        <v>27</v>
      </c>
    </row>
    <row r="947" ht="15.75" customHeight="1">
      <c r="A947" s="3">
        <f>IFERROR(__xludf.DUMMYFUNCTION("""COMPUTED_VALUE"""),60000.0)</f>
        <v>60000</v>
      </c>
      <c r="B947" s="1" t="str">
        <f>IFERROR(__xludf.DUMMYFUNCTION("""COMPUTED_VALUE"""),"39")</f>
        <v>39</v>
      </c>
    </row>
    <row r="948" ht="15.75" customHeight="1">
      <c r="A948" s="3">
        <f>IFERROR(__xludf.DUMMYFUNCTION("""COMPUTED_VALUE"""),60000.0)</f>
        <v>60000</v>
      </c>
      <c r="B948" s="1" t="str">
        <f>IFERROR(__xludf.DUMMYFUNCTION("""COMPUTED_VALUE"""),"31")</f>
        <v>31</v>
      </c>
    </row>
    <row r="949" ht="15.75" customHeight="1">
      <c r="A949" s="3">
        <f>IFERROR(__xludf.DUMMYFUNCTION("""COMPUTED_VALUE"""),60000.0)</f>
        <v>60000</v>
      </c>
      <c r="B949" s="1" t="str">
        <f>IFERROR(__xludf.DUMMYFUNCTION("""COMPUTED_VALUE"""),"51")</f>
        <v>51</v>
      </c>
    </row>
    <row r="950" ht="15.75" customHeight="1">
      <c r="A950" s="3">
        <f>IFERROR(__xludf.DUMMYFUNCTION("""COMPUTED_VALUE"""),30000.0)</f>
        <v>30000</v>
      </c>
      <c r="B950" s="1" t="str">
        <f>IFERROR(__xludf.DUMMYFUNCTION("""COMPUTED_VALUE"""),"52")</f>
        <v>52</v>
      </c>
    </row>
    <row r="951" ht="15.75" customHeight="1">
      <c r="A951" s="3">
        <f>IFERROR(__xludf.DUMMYFUNCTION("""COMPUTED_VALUE"""),60000.0)</f>
        <v>60000</v>
      </c>
      <c r="B951" s="1" t="str">
        <f>IFERROR(__xludf.DUMMYFUNCTION("""COMPUTED_VALUE"""),"47")</f>
        <v>47</v>
      </c>
    </row>
    <row r="952" ht="15.75" customHeight="1">
      <c r="A952" s="3">
        <f>IFERROR(__xludf.DUMMYFUNCTION("""COMPUTED_VALUE"""),70000.0)</f>
        <v>70000</v>
      </c>
      <c r="B952" s="1" t="str">
        <f>IFERROR(__xludf.DUMMYFUNCTION("""COMPUTED_VALUE"""),"53")</f>
        <v>53</v>
      </c>
    </row>
    <row r="953" ht="15.75" customHeight="1">
      <c r="A953" s="3">
        <f>IFERROR(__xludf.DUMMYFUNCTION("""COMPUTED_VALUE"""),70000.0)</f>
        <v>70000</v>
      </c>
      <c r="B953" s="1" t="str">
        <f>IFERROR(__xludf.DUMMYFUNCTION("""COMPUTED_VALUE"""),"35")</f>
        <v>35</v>
      </c>
    </row>
    <row r="954" ht="15.75" customHeight="1">
      <c r="A954" s="3">
        <f>IFERROR(__xludf.DUMMYFUNCTION("""COMPUTED_VALUE"""),60000.0)</f>
        <v>60000</v>
      </c>
      <c r="B954" s="1" t="str">
        <f>IFERROR(__xludf.DUMMYFUNCTION("""COMPUTED_VALUE"""),"66")</f>
        <v>66</v>
      </c>
    </row>
    <row r="955" ht="15.75" customHeight="1">
      <c r="A955" s="3">
        <f>IFERROR(__xludf.DUMMYFUNCTION("""COMPUTED_VALUE"""),80000.0)</f>
        <v>80000</v>
      </c>
      <c r="B955" s="1" t="str">
        <f>IFERROR(__xludf.DUMMYFUNCTION("""COMPUTED_VALUE"""),"65")</f>
        <v>65</v>
      </c>
    </row>
    <row r="956" ht="15.75" customHeight="1">
      <c r="A956" s="3">
        <f>IFERROR(__xludf.DUMMYFUNCTION("""COMPUTED_VALUE"""),80000.0)</f>
        <v>80000</v>
      </c>
      <c r="B956" s="1" t="str">
        <f>IFERROR(__xludf.DUMMYFUNCTION("""COMPUTED_VALUE"""),"45")</f>
        <v>45</v>
      </c>
    </row>
    <row r="957" ht="15.75" customHeight="1">
      <c r="A957" s="3">
        <f>IFERROR(__xludf.DUMMYFUNCTION("""COMPUTED_VALUE"""),40000.0)</f>
        <v>40000</v>
      </c>
      <c r="B957" s="1" t="str">
        <f>IFERROR(__xludf.DUMMYFUNCTION("""COMPUTED_VALUE"""),"31")</f>
        <v>31</v>
      </c>
    </row>
    <row r="958" ht="15.75" customHeight="1">
      <c r="A958" s="3">
        <f>IFERROR(__xludf.DUMMYFUNCTION("""COMPUTED_VALUE"""),80000.0)</f>
        <v>80000</v>
      </c>
      <c r="B958" s="1" t="str">
        <f>IFERROR(__xludf.DUMMYFUNCTION("""COMPUTED_VALUE"""),"40")</f>
        <v>40</v>
      </c>
    </row>
    <row r="959" ht="15.75" customHeight="1">
      <c r="A959" s="3">
        <f>IFERROR(__xludf.DUMMYFUNCTION("""COMPUTED_VALUE"""),110000.0)</f>
        <v>110000</v>
      </c>
      <c r="B959" s="1" t="str">
        <f>IFERROR(__xludf.DUMMYFUNCTION("""COMPUTED_VALUE"""),"46")</f>
        <v>46</v>
      </c>
    </row>
    <row r="960" ht="15.75" customHeight="1">
      <c r="A960" s="3">
        <f>IFERROR(__xludf.DUMMYFUNCTION("""COMPUTED_VALUE"""),40000.0)</f>
        <v>40000</v>
      </c>
      <c r="B960" s="1" t="str">
        <f>IFERROR(__xludf.DUMMYFUNCTION("""COMPUTED_VALUE"""),"47")</f>
        <v>47</v>
      </c>
    </row>
    <row r="961" ht="15.75" customHeight="1">
      <c r="A961" s="3">
        <f>IFERROR(__xludf.DUMMYFUNCTION("""COMPUTED_VALUE"""),130000.0)</f>
        <v>130000</v>
      </c>
      <c r="B961" s="1" t="str">
        <f>IFERROR(__xludf.DUMMYFUNCTION("""COMPUTED_VALUE"""),"41")</f>
        <v>41</v>
      </c>
    </row>
    <row r="962" ht="15.75" customHeight="1">
      <c r="A962" s="3">
        <f>IFERROR(__xludf.DUMMYFUNCTION("""COMPUTED_VALUE"""),60000.0)</f>
        <v>60000</v>
      </c>
      <c r="B962" s="1" t="str">
        <f>IFERROR(__xludf.DUMMYFUNCTION("""COMPUTED_VALUE"""),"48")</f>
        <v>48</v>
      </c>
    </row>
    <row r="963" ht="15.75" customHeight="1">
      <c r="A963" s="3">
        <f>IFERROR(__xludf.DUMMYFUNCTION("""COMPUTED_VALUE"""),50000.0)</f>
        <v>50000</v>
      </c>
      <c r="B963" s="1" t="str">
        <f>IFERROR(__xludf.DUMMYFUNCTION("""COMPUTED_VALUE"""),"42")</f>
        <v>42</v>
      </c>
    </row>
    <row r="964" ht="15.75" customHeight="1">
      <c r="A964" s="3">
        <f>IFERROR(__xludf.DUMMYFUNCTION("""COMPUTED_VALUE"""),60000.0)</f>
        <v>60000</v>
      </c>
      <c r="B964" s="1" t="str">
        <f>IFERROR(__xludf.DUMMYFUNCTION("""COMPUTED_VALUE"""),"66")</f>
        <v>66</v>
      </c>
    </row>
    <row r="965" ht="15.75" customHeight="1">
      <c r="A965" s="3">
        <f>IFERROR(__xludf.DUMMYFUNCTION("""COMPUTED_VALUE"""),70000.0)</f>
        <v>70000</v>
      </c>
      <c r="B965" s="1" t="str">
        <f>IFERROR(__xludf.DUMMYFUNCTION("""COMPUTED_VALUE"""),"63")</f>
        <v>63</v>
      </c>
    </row>
    <row r="966" ht="15.75" customHeight="1">
      <c r="A966" s="3">
        <f>IFERROR(__xludf.DUMMYFUNCTION("""COMPUTED_VALUE"""),60000.0)</f>
        <v>60000</v>
      </c>
      <c r="B966" s="1" t="str">
        <f>IFERROR(__xludf.DUMMYFUNCTION("""COMPUTED_VALUE"""),"42")</f>
        <v>42</v>
      </c>
    </row>
    <row r="967" ht="15.75" customHeight="1">
      <c r="A967" s="3">
        <f>IFERROR(__xludf.DUMMYFUNCTION("""COMPUTED_VALUE"""),30000.0)</f>
        <v>30000</v>
      </c>
      <c r="B967" s="1" t="str">
        <f>IFERROR(__xludf.DUMMYFUNCTION("""COMPUTED_VALUE"""),"26")</f>
        <v>26</v>
      </c>
    </row>
    <row r="968" ht="15.75" customHeight="1">
      <c r="A968" s="3">
        <f>IFERROR(__xludf.DUMMYFUNCTION("""COMPUTED_VALUE"""),60000.0)</f>
        <v>60000</v>
      </c>
      <c r="B968" s="1" t="str">
        <f>IFERROR(__xludf.DUMMYFUNCTION("""COMPUTED_VALUE"""),"36")</f>
        <v>36</v>
      </c>
    </row>
    <row r="969" ht="15.75" customHeight="1">
      <c r="A969" s="3">
        <f>IFERROR(__xludf.DUMMYFUNCTION("""COMPUTED_VALUE"""),90000.0)</f>
        <v>90000</v>
      </c>
      <c r="B969" s="1" t="str">
        <f>IFERROR(__xludf.DUMMYFUNCTION("""COMPUTED_VALUE"""),"49")</f>
        <v>49</v>
      </c>
    </row>
    <row r="970" ht="15.75" customHeight="1">
      <c r="A970" s="3">
        <f>IFERROR(__xludf.DUMMYFUNCTION("""COMPUTED_VALUE"""),150000.0)</f>
        <v>150000</v>
      </c>
      <c r="B970" s="1" t="str">
        <f>IFERROR(__xludf.DUMMYFUNCTION("""COMPUTED_VALUE"""),"44")</f>
        <v>44</v>
      </c>
    </row>
    <row r="971" ht="15.75" customHeight="1">
      <c r="A971" s="3">
        <f>IFERROR(__xludf.DUMMYFUNCTION("""COMPUTED_VALUE"""),80000.0)</f>
        <v>80000</v>
      </c>
      <c r="B971" s="1" t="str">
        <f>IFERROR(__xludf.DUMMYFUNCTION("""COMPUTED_VALUE"""),"46")</f>
        <v>46</v>
      </c>
    </row>
    <row r="972" ht="15.75" customHeight="1">
      <c r="A972" s="3">
        <f>IFERROR(__xludf.DUMMYFUNCTION("""COMPUTED_VALUE"""),60000.0)</f>
        <v>60000</v>
      </c>
      <c r="B972" s="1" t="str">
        <f>IFERROR(__xludf.DUMMYFUNCTION("""COMPUTED_VALUE"""),"54")</f>
        <v>54</v>
      </c>
    </row>
    <row r="973" ht="15.75" customHeight="1">
      <c r="A973" s="3">
        <f>IFERROR(__xludf.DUMMYFUNCTION("""COMPUTED_VALUE"""),70000.0)</f>
        <v>70000</v>
      </c>
      <c r="B973" s="1" t="str">
        <f>IFERROR(__xludf.DUMMYFUNCTION("""COMPUTED_VALUE"""),"35")</f>
        <v>35</v>
      </c>
    </row>
    <row r="974" ht="15.75" customHeight="1">
      <c r="A974" s="3">
        <f>IFERROR(__xludf.DUMMYFUNCTION("""COMPUTED_VALUE"""),60000.0)</f>
        <v>60000</v>
      </c>
      <c r="B974" s="1" t="str">
        <f>IFERROR(__xludf.DUMMYFUNCTION("""COMPUTED_VALUE"""),"38")</f>
        <v>38</v>
      </c>
    </row>
    <row r="975" ht="15.75" customHeight="1">
      <c r="A975" s="3">
        <f>IFERROR(__xludf.DUMMYFUNCTION("""COMPUTED_VALUE"""),100000.0)</f>
        <v>100000</v>
      </c>
      <c r="B975" s="1" t="str">
        <f>IFERROR(__xludf.DUMMYFUNCTION("""COMPUTED_VALUE"""),"38")</f>
        <v>38</v>
      </c>
    </row>
    <row r="976" ht="15.75" customHeight="1">
      <c r="A976" s="3">
        <f>IFERROR(__xludf.DUMMYFUNCTION("""COMPUTED_VALUE"""),60000.0)</f>
        <v>60000</v>
      </c>
      <c r="B976" s="1" t="str">
        <f>IFERROR(__xludf.DUMMYFUNCTION("""COMPUTED_VALUE"""),"53")</f>
        <v>53</v>
      </c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tr">
        <f>IFERROR(__xludf.DUMMYFUNCTION("QUERY(Import!B:M, ""SELECT B, COUNT(M) WHERE B IS NOT NULL GROUP BY B"", 1)
"),"Marital Status")</f>
        <v>Marital Status</v>
      </c>
      <c r="B1" s="1" t="str">
        <f>IFERROR(__xludf.DUMMYFUNCTION("""COMPUTED_VALUE"""),"count Purchased Bike")</f>
        <v>count Purchased Bike</v>
      </c>
    </row>
    <row r="2" ht="15.75" customHeight="1">
      <c r="A2" s="1" t="str">
        <f>IFERROR(__xludf.DUMMYFUNCTION("""COMPUTED_VALUE"""),"Married")</f>
        <v>Married</v>
      </c>
      <c r="B2" s="1">
        <f>IFERROR(__xludf.DUMMYFUNCTION("""COMPUTED_VALUE"""),525.0)</f>
        <v>525</v>
      </c>
    </row>
    <row r="3" ht="15.75" customHeight="1">
      <c r="A3" s="1" t="str">
        <f>IFERROR(__xludf.DUMMYFUNCTION("""COMPUTED_VALUE"""),"Single")</f>
        <v>Single</v>
      </c>
      <c r="B3" s="1">
        <f>IFERROR(__xludf.DUMMYFUNCTION("""COMPUTED_VALUE"""),445.0)</f>
        <v>445</v>
      </c>
    </row>
    <row r="4" ht="15.75" customHeight="1">
      <c r="A4" s="1" t="str">
        <f>IFERROR(__xludf.DUMMYFUNCTION("""COMPUTED_VALUE"""),"Unknown")</f>
        <v>Unknown</v>
      </c>
      <c r="B4" s="1">
        <f>IFERROR(__xludf.DUMMYFUNCTION("""COMPUTED_VALUE"""),5.0)</f>
        <v>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>
      <c r="A13" s="9" t="str">
        <f>IFERROR(__xludf.DUMMYFUNCTION("QUERY(Import!C:M, ""SELECT C, COUNT(M) WHERE C IS NOT NULL GROUP BY C"", 1)"),"Gender")</f>
        <v>Gender</v>
      </c>
      <c r="B13" s="1" t="str">
        <f>IFERROR(__xludf.DUMMYFUNCTION("""COMPUTED_VALUE"""),"count Purchased Bike")</f>
        <v>count Purchased Bike</v>
      </c>
    </row>
    <row r="14" ht="15.75" customHeight="1">
      <c r="A14" s="1" t="str">
        <f>IFERROR(__xludf.DUMMYFUNCTION("""COMPUTED_VALUE"""),"Female")</f>
        <v>Female</v>
      </c>
      <c r="B14" s="1">
        <f>IFERROR(__xludf.DUMMYFUNCTION("""COMPUTED_VALUE"""),480.0)</f>
        <v>480</v>
      </c>
    </row>
    <row r="15" ht="15.75" customHeight="1">
      <c r="A15" s="1" t="str">
        <f>IFERROR(__xludf.DUMMYFUNCTION("""COMPUTED_VALUE"""),"Male")</f>
        <v>Male</v>
      </c>
      <c r="B15" s="1">
        <f>IFERROR(__xludf.DUMMYFUNCTION("""COMPUTED_VALUE"""),485.0)</f>
        <v>485</v>
      </c>
    </row>
    <row r="16" ht="15.75" customHeight="1">
      <c r="A16" s="1" t="str">
        <f>IFERROR(__xludf.DUMMYFUNCTION("""COMPUTED_VALUE"""),"Unknown")</f>
        <v>Unknown</v>
      </c>
      <c r="B16" s="1">
        <f>IFERROR(__xludf.DUMMYFUNCTION("""COMPUTED_VALUE"""),10.0)</f>
        <v>10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D22" s="1" t="s">
        <v>11</v>
      </c>
      <c r="E22" s="1" t="s">
        <v>1121</v>
      </c>
    </row>
    <row r="23" ht="15.75" customHeight="1">
      <c r="D23" s="1" t="s">
        <v>1137</v>
      </c>
      <c r="E23" s="1">
        <v>80.0</v>
      </c>
    </row>
    <row r="24" ht="15.75" customHeight="1">
      <c r="D24" s="1" t="s">
        <v>1138</v>
      </c>
      <c r="E24" s="1">
        <v>295.0</v>
      </c>
    </row>
    <row r="25" ht="15.75" customHeight="1">
      <c r="D25" s="1" t="s">
        <v>1139</v>
      </c>
      <c r="E25" s="1">
        <v>307.0</v>
      </c>
    </row>
    <row r="26" ht="15.75" customHeight="1">
      <c r="D26" s="1" t="s">
        <v>1140</v>
      </c>
      <c r="E26" s="1">
        <v>181.0</v>
      </c>
    </row>
    <row r="27" ht="15.75" customHeight="1">
      <c r="D27" s="1" t="s">
        <v>1141</v>
      </c>
      <c r="E27" s="1">
        <v>98.0</v>
      </c>
    </row>
    <row r="28" ht="15.75" customHeight="1">
      <c r="D28" s="1" t="s">
        <v>1142</v>
      </c>
      <c r="E28" s="1">
        <v>12.0</v>
      </c>
    </row>
    <row r="29" ht="15.75" customHeight="1">
      <c r="D29" s="1" t="s">
        <v>1143</v>
      </c>
      <c r="E29" s="1">
        <v>2.0</v>
      </c>
    </row>
    <row r="30" ht="15.75" customHeight="1">
      <c r="D30" s="1" t="s">
        <v>1144</v>
      </c>
      <c r="E30" s="1">
        <v>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E45" s="9" t="str">
        <f>IFERROR(__xludf.DUMMYFUNCTION("QUERY(Import!K:M, ""SELECT K, COUNT(M) WHERE K is not null GROUP BY K"")"),"")</f>
        <v/>
      </c>
      <c r="F45" s="1" t="str">
        <f>IFERROR(__xludf.DUMMYFUNCTION("""COMPUTED_VALUE"""),"count ")</f>
        <v>count </v>
      </c>
    </row>
    <row r="46" ht="15.75" customHeight="1">
      <c r="E46" s="1" t="str">
        <f>IFERROR(__xludf.DUMMYFUNCTION("""COMPUTED_VALUE"""),"Europe")</f>
        <v>Europe</v>
      </c>
      <c r="F46" s="1">
        <f>IFERROR(__xludf.DUMMYFUNCTION("""COMPUTED_VALUE"""),289.0)</f>
        <v>289</v>
      </c>
    </row>
    <row r="47" ht="15.75" customHeight="1">
      <c r="E47" s="1" t="str">
        <f>IFERROR(__xludf.DUMMYFUNCTION("""COMPUTED_VALUE"""),"North America")</f>
        <v>North America</v>
      </c>
      <c r="F47" s="1">
        <f>IFERROR(__xludf.DUMMYFUNCTION("""COMPUTED_VALUE"""),497.0)</f>
        <v>497</v>
      </c>
    </row>
    <row r="48" ht="15.75" customHeight="1">
      <c r="E48" s="1" t="str">
        <f>IFERROR(__xludf.DUMMYFUNCTION("""COMPUTED_VALUE"""),"Pacific")</f>
        <v>Pacific</v>
      </c>
      <c r="F48" s="1">
        <f>IFERROR(__xludf.DUMMYFUNCTION("""COMPUTED_VALUE"""),189.0)</f>
        <v>189</v>
      </c>
    </row>
    <row r="49" ht="15.75" customHeight="1">
      <c r="E49" s="1" t="str">
        <f>IFERROR(__xludf.DUMMYFUNCTION("""COMPUTED_VALUE"""),"Region")</f>
        <v>Region</v>
      </c>
      <c r="F49" s="1">
        <f>IFERROR(__xludf.DUMMYFUNCTION("""COMPUTED_VALUE"""),1.0)</f>
        <v>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0" t="s">
        <v>1146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2"/>
  </mergeCells>
  <printOptions horizontalCentered="1"/>
  <pageMargins bottom="0.75" footer="0.0" header="0.0" left="0.25" right="0.25" top="0.75"/>
  <pageSetup paperSize="9" orientation="landscape" pageOrder="overThenDown"/>
  <drawing r:id="rId1"/>
</worksheet>
</file>