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8_{56196D73-6B4E-499A-9A60-D654D8DD2852}" xr6:coauthVersionLast="47" xr6:coauthVersionMax="47" xr10:uidLastSave="{00000000-0000-0000-0000-000000000000}"/>
  <bookViews>
    <workbookView xWindow="-108" yWindow="-108" windowWidth="23256" windowHeight="12456" firstSheet="15" activeTab="22" xr2:uid="{839DB1C7-4D98-4465-ACBB-8B076E00B023}"/>
  </bookViews>
  <sheets>
    <sheet name="1st class" sheetId="1" r:id="rId1"/>
    <sheet name="2nd class" sheetId="2" r:id="rId2"/>
    <sheet name="3rd class" sheetId="3" r:id="rId3"/>
    <sheet name="4th class" sheetId="4" r:id="rId4"/>
    <sheet name="5th class" sheetId="5" r:id="rId5"/>
    <sheet name="CALL STATISTICS" sheetId="6" r:id="rId6"/>
    <sheet name="6th class" sheetId="7" r:id="rId7"/>
    <sheet name="7th class" sheetId="8" r:id="rId8"/>
    <sheet name="textfile" sheetId="9" r:id="rId9"/>
    <sheet name="Balance Sheet" sheetId="10" r:id="rId10"/>
    <sheet name="web import" sheetId="11" r:id="rId11"/>
    <sheet name="subtotal" sheetId="13" r:id="rId12"/>
    <sheet name="Sheet1" sheetId="19" r:id="rId13"/>
    <sheet name="Text functions" sheetId="14" r:id="rId14"/>
    <sheet name="Film series" sheetId="15" r:id="rId15"/>
    <sheet name="ADV FILTER" sheetId="16" r:id="rId16"/>
    <sheet name="CNTD...." sheetId="17" r:id="rId17"/>
    <sheet name=" SUM AND PIE" sheetId="18" r:id="rId18"/>
    <sheet name="Pivot table" sheetId="21" r:id="rId19"/>
    <sheet name="Bar chart" sheetId="20" r:id="rId20"/>
    <sheet name="EMI" sheetId="22" r:id="rId21"/>
    <sheet name="FUTURE SALES" sheetId="23" r:id="rId22"/>
    <sheet name="%" sheetId="24" r:id="rId23"/>
  </sheets>
  <externalReferences>
    <externalReference r:id="rId24"/>
  </externalReferences>
  <definedNames>
    <definedName name="_xlnm._FilterDatabase" localSheetId="15" hidden="1">'ADV FILTER'!$B$2:$H$12</definedName>
    <definedName name="_xlnm.Criteria" localSheetId="15">'ADV FILTER'!$K$3:$K$4</definedName>
    <definedName name="ExternalData_1" localSheetId="8" hidden="1">textfile!$K$1:$R$16</definedName>
    <definedName name="ExternalData_1" localSheetId="10" hidden="1">'web import'!$C$5:$K$12</definedName>
    <definedName name="ExternalData_2" localSheetId="10" hidden="1">'web import'!$B$24:$H$29</definedName>
    <definedName name="_xlnm.Extract" localSheetId="15">'ADV FILTER'!$B$19:$H$19</definedName>
    <definedName name="_xlnm.Extract" localSheetId="16">'CNTD....'!$B$2:$H$2</definedName>
  </definedNames>
  <calcPr calcId="191029"/>
  <pivotCaches>
    <pivotCache cacheId="0" r:id="rId25"/>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1_76323e5a-808d-4aae-bebb-66cae041c0b7" name="Table 1" connection="Query - Table 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24" l="1"/>
  <c r="E23" i="24"/>
  <c r="B7" i="24"/>
  <c r="B8" i="24"/>
  <c r="M21" i="22"/>
  <c r="M22" i="22"/>
  <c r="H6" i="24"/>
  <c r="H3" i="24"/>
  <c r="H7" i="24" s="1"/>
  <c r="F6" i="24"/>
  <c r="F3" i="24"/>
  <c r="C4" i="16"/>
  <c r="E6" i="23"/>
  <c r="E5" i="23"/>
  <c r="Q16" i="22"/>
  <c r="P16" i="22"/>
  <c r="L15" i="22"/>
  <c r="H24" i="22"/>
  <c r="Q15" i="22"/>
  <c r="P15" i="22"/>
  <c r="Q14" i="22"/>
  <c r="P14" i="22"/>
  <c r="Q13" i="22"/>
  <c r="P13" i="22"/>
  <c r="Q12" i="22"/>
  <c r="P12" i="22"/>
  <c r="L17" i="22"/>
  <c r="L16" i="22"/>
  <c r="L12" i="22"/>
  <c r="L4" i="22"/>
  <c r="L14" i="22" s="1"/>
  <c r="C23" i="22"/>
  <c r="C19" i="22"/>
  <c r="C16" i="22"/>
  <c r="H23" i="22" s="1"/>
  <c r="H4" i="22"/>
  <c r="H9" i="22" s="1"/>
  <c r="C9" i="22"/>
  <c r="C10" i="22" s="1"/>
  <c r="C12" i="22" s="1"/>
  <c r="J24" i="20"/>
  <c r="H24" i="20"/>
  <c r="J22" i="20"/>
  <c r="I22" i="20"/>
  <c r="H22" i="20"/>
  <c r="G22" i="20"/>
  <c r="M16" i="20"/>
  <c r="M17" i="20"/>
  <c r="M15" i="20"/>
  <c r="L16" i="20"/>
  <c r="L17" i="20"/>
  <c r="L15" i="20"/>
  <c r="F16" i="20"/>
  <c r="F17" i="20"/>
  <c r="F15" i="20"/>
  <c r="N5" i="18"/>
  <c r="K5" i="18"/>
  <c r="M5" i="18"/>
  <c r="L5" i="18"/>
  <c r="K22" i="18"/>
  <c r="K21" i="18"/>
  <c r="K20" i="18"/>
  <c r="D18" i="18"/>
  <c r="D17" i="18"/>
  <c r="D16" i="18"/>
  <c r="D15" i="18"/>
  <c r="C5" i="16"/>
  <c r="C6" i="16"/>
  <c r="C7" i="16"/>
  <c r="C8" i="16"/>
  <c r="C9" i="16"/>
  <c r="C10" i="16"/>
  <c r="C11" i="16"/>
  <c r="C12" i="16"/>
  <c r="C3" i="16"/>
  <c r="B12" i="16"/>
  <c r="B11" i="16"/>
  <c r="B10" i="16"/>
  <c r="B9" i="16"/>
  <c r="B8" i="16"/>
  <c r="B7" i="16"/>
  <c r="B6" i="16"/>
  <c r="B5" i="16"/>
  <c r="B4" i="16"/>
  <c r="B3" i="16"/>
  <c r="M18" i="14"/>
  <c r="M17" i="14"/>
  <c r="L18" i="14"/>
  <c r="L17" i="14"/>
  <c r="I24" i="14"/>
  <c r="I23" i="14"/>
  <c r="I30" i="14"/>
  <c r="I29" i="14"/>
  <c r="I28" i="14"/>
  <c r="I27" i="14"/>
  <c r="I22" i="14"/>
  <c r="I19" i="14"/>
  <c r="I18" i="14"/>
  <c r="I17" i="14"/>
  <c r="J3" i="14"/>
  <c r="I14" i="14"/>
  <c r="I13" i="14"/>
  <c r="M7" i="14"/>
  <c r="M8" i="14"/>
  <c r="M6" i="14"/>
  <c r="L7" i="14"/>
  <c r="L8" i="14"/>
  <c r="L6" i="14"/>
  <c r="K7" i="14"/>
  <c r="K8" i="14"/>
  <c r="K6" i="14"/>
  <c r="J7" i="14"/>
  <c r="J8" i="14"/>
  <c r="J6" i="14"/>
  <c r="I7" i="14"/>
  <c r="I8" i="14"/>
  <c r="I6" i="14"/>
  <c r="L3" i="14"/>
  <c r="K3" i="14"/>
  <c r="I3" i="14"/>
  <c r="E19" i="13"/>
  <c r="D19" i="13"/>
  <c r="E13" i="13"/>
  <c r="D13" i="13"/>
  <c r="E6" i="13"/>
  <c r="E20" i="13" s="1"/>
  <c r="D6" i="13"/>
  <c r="D20" i="13" s="1"/>
  <c r="J16" i="5"/>
  <c r="G6" i="10" a="1"/>
  <c r="G6" i="10" s="1"/>
  <c r="E25" i="24" l="1"/>
  <c r="E26" i="24" s="1"/>
  <c r="L24" i="22"/>
  <c r="L23" i="22" s="1"/>
  <c r="L25" i="22" s="1"/>
  <c r="F7" i="24"/>
  <c r="D7" i="23"/>
  <c r="D8" i="23" s="1"/>
  <c r="H10" i="22"/>
  <c r="H12" i="22" s="1"/>
  <c r="E8" i="10"/>
  <c r="C8" i="10"/>
  <c r="B8" i="10"/>
  <c r="G27" i="9"/>
  <c r="F27" i="9"/>
  <c r="E27" i="9"/>
  <c r="D27" i="9"/>
  <c r="G26" i="9"/>
  <c r="F26" i="9"/>
  <c r="E26" i="9"/>
  <c r="D26" i="9"/>
  <c r="G25" i="9"/>
  <c r="F25" i="9"/>
  <c r="E25" i="9"/>
  <c r="D25" i="9"/>
  <c r="G24" i="9"/>
  <c r="F24" i="9"/>
  <c r="E24" i="9"/>
  <c r="D24" i="9"/>
  <c r="G23" i="9"/>
  <c r="F23" i="9"/>
  <c r="E23" i="9"/>
  <c r="D23" i="9"/>
  <c r="G22" i="9"/>
  <c r="F22" i="9"/>
  <c r="E22" i="9"/>
  <c r="D22" i="9"/>
  <c r="G21" i="9"/>
  <c r="F21" i="9"/>
  <c r="E21" i="9"/>
  <c r="D21" i="9"/>
  <c r="G20" i="9"/>
  <c r="F20" i="9"/>
  <c r="E20" i="9"/>
  <c r="D20" i="9"/>
  <c r="G19" i="9"/>
  <c r="F19" i="9"/>
  <c r="E19" i="9"/>
  <c r="D19" i="9"/>
  <c r="F9" i="8"/>
  <c r="F10" i="8"/>
  <c r="F11" i="8"/>
  <c r="F12" i="8"/>
  <c r="F13" i="8"/>
  <c r="F14" i="8"/>
  <c r="F15" i="8"/>
  <c r="F16" i="8"/>
  <c r="F8" i="8"/>
  <c r="B23" i="8"/>
  <c r="E9" i="8"/>
  <c r="E10" i="8"/>
  <c r="E11" i="8"/>
  <c r="E12" i="8"/>
  <c r="E13" i="8"/>
  <c r="E14" i="8"/>
  <c r="E15" i="8"/>
  <c r="E16" i="8"/>
  <c r="E8" i="8"/>
  <c r="D9" i="8"/>
  <c r="D10" i="8"/>
  <c r="D11" i="8"/>
  <c r="D12" i="8"/>
  <c r="D13" i="8"/>
  <c r="D14" i="8"/>
  <c r="D15" i="8"/>
  <c r="D16" i="8"/>
  <c r="D8" i="8"/>
  <c r="C9" i="8"/>
  <c r="C14" i="8"/>
  <c r="C15" i="8"/>
  <c r="C16" i="8"/>
  <c r="C13" i="8"/>
  <c r="C10" i="8"/>
  <c r="C11" i="8"/>
  <c r="C12" i="8"/>
  <c r="C8" i="8"/>
  <c r="B7" i="6"/>
  <c r="F23" i="7"/>
  <c r="F22" i="7"/>
  <c r="F21" i="7"/>
  <c r="F20" i="7"/>
  <c r="M7" i="7"/>
  <c r="M8" i="7"/>
  <c r="M9" i="7"/>
  <c r="M10" i="7"/>
  <c r="M11" i="7"/>
  <c r="M12" i="7"/>
  <c r="K7" i="7"/>
  <c r="K8" i="7"/>
  <c r="K9" i="7"/>
  <c r="K10" i="7"/>
  <c r="K11" i="7"/>
  <c r="K12" i="7"/>
  <c r="K13" i="7"/>
  <c r="K14" i="7"/>
  <c r="K15" i="7"/>
  <c r="K6" i="7"/>
  <c r="J7" i="7"/>
  <c r="L7" i="7" s="1"/>
  <c r="J8" i="7"/>
  <c r="L8" i="7" s="1"/>
  <c r="J9" i="7"/>
  <c r="L9" i="7" s="1"/>
  <c r="J10" i="7"/>
  <c r="L10" i="7" s="1"/>
  <c r="J11" i="7"/>
  <c r="L11" i="7" s="1"/>
  <c r="J12" i="7"/>
  <c r="L12" i="7" s="1"/>
  <c r="J13" i="7"/>
  <c r="L13" i="7" s="1"/>
  <c r="M13" i="7" s="1"/>
  <c r="J14" i="7"/>
  <c r="L14" i="7" s="1"/>
  <c r="M14" i="7" s="1"/>
  <c r="J15" i="7"/>
  <c r="L15" i="7" s="1"/>
  <c r="M15" i="7" s="1"/>
  <c r="J6" i="7"/>
  <c r="L6" i="7" s="1"/>
  <c r="M6" i="7" s="1"/>
  <c r="F7" i="7"/>
  <c r="F8" i="7"/>
  <c r="F9" i="7"/>
  <c r="F10" i="7"/>
  <c r="F11" i="7"/>
  <c r="F12" i="7"/>
  <c r="F13" i="7"/>
  <c r="F14" i="7"/>
  <c r="F15" i="7"/>
  <c r="F6" i="7"/>
  <c r="E6" i="7"/>
  <c r="E7" i="7" s="1"/>
  <c r="D13" i="6"/>
  <c r="D12" i="6"/>
  <c r="E5" i="6"/>
  <c r="E6" i="6"/>
  <c r="E7" i="6"/>
  <c r="E4" i="6"/>
  <c r="B6" i="6"/>
  <c r="B8" i="6" s="1"/>
  <c r="B9" i="6" s="1"/>
  <c r="B10" i="6" s="1"/>
  <c r="B11" i="6" s="1"/>
  <c r="E11" i="6" s="1"/>
  <c r="B5" i="6"/>
  <c r="D4" i="6"/>
  <c r="B4" i="6"/>
  <c r="D5" i="6"/>
  <c r="D6" i="6"/>
  <c r="D7" i="6"/>
  <c r="D8" i="6"/>
  <c r="D9" i="6"/>
  <c r="D10" i="6"/>
  <c r="D11" i="6"/>
  <c r="O13" i="5"/>
  <c r="O12" i="5"/>
  <c r="O11" i="5"/>
  <c r="O10" i="5"/>
  <c r="O9" i="5"/>
  <c r="N10" i="5"/>
  <c r="N11" i="5"/>
  <c r="N12" i="5"/>
  <c r="N13" i="5"/>
  <c r="N9" i="5"/>
  <c r="M10" i="5"/>
  <c r="M11" i="5"/>
  <c r="M12" i="5"/>
  <c r="M13" i="5"/>
  <c r="M9" i="5"/>
  <c r="L10" i="5"/>
  <c r="L11" i="5"/>
  <c r="L12" i="5"/>
  <c r="L13" i="5"/>
  <c r="L9" i="5"/>
  <c r="K13" i="5"/>
  <c r="K12" i="5"/>
  <c r="K11" i="5"/>
  <c r="K10" i="5"/>
  <c r="K9" i="5"/>
  <c r="P7" i="3"/>
  <c r="P6" i="3"/>
  <c r="P5" i="3"/>
  <c r="P4" i="3"/>
  <c r="P3" i="3"/>
  <c r="F5" i="5"/>
  <c r="E5" i="5"/>
  <c r="F7" i="5"/>
  <c r="F8" i="5"/>
  <c r="F9" i="5"/>
  <c r="F6" i="5"/>
  <c r="E7" i="5"/>
  <c r="E8" i="5"/>
  <c r="E9" i="5"/>
  <c r="E6" i="5"/>
  <c r="C11" i="5"/>
  <c r="I5" i="4"/>
  <c r="I6" i="4"/>
  <c r="I4" i="4"/>
  <c r="F5" i="4"/>
  <c r="F6" i="4"/>
  <c r="F7" i="4"/>
  <c r="F8" i="4"/>
  <c r="F9" i="4"/>
  <c r="F10" i="4"/>
  <c r="F11" i="4"/>
  <c r="F12" i="4"/>
  <c r="F4" i="4"/>
  <c r="E13" i="4"/>
  <c r="Q7" i="3"/>
  <c r="Q5" i="3"/>
  <c r="Q4" i="3"/>
  <c r="Q6" i="3"/>
  <c r="Q3" i="3"/>
  <c r="O4" i="3"/>
  <c r="O5" i="3"/>
  <c r="O6" i="3"/>
  <c r="O7" i="3"/>
  <c r="O3" i="3"/>
  <c r="N4" i="3"/>
  <c r="N5" i="3"/>
  <c r="N6" i="3"/>
  <c r="N7" i="3"/>
  <c r="N3" i="3"/>
  <c r="E3" i="3"/>
  <c r="E6" i="3"/>
  <c r="E5" i="3"/>
  <c r="E4" i="3"/>
  <c r="L11" i="2"/>
  <c r="L12" i="2"/>
  <c r="L13" i="2"/>
  <c r="L14" i="2"/>
  <c r="L15" i="2"/>
  <c r="M15" i="2" s="1"/>
  <c r="L16" i="2"/>
  <c r="M16" i="2" s="1"/>
  <c r="L7" i="2"/>
  <c r="M7" i="2" s="1"/>
  <c r="K8" i="2"/>
  <c r="K9" i="2"/>
  <c r="K10" i="2"/>
  <c r="K11" i="2"/>
  <c r="K12" i="2"/>
  <c r="M12" i="2" s="1"/>
  <c r="K13" i="2"/>
  <c r="M13" i="2" s="1"/>
  <c r="K14" i="2"/>
  <c r="M14" i="2" s="1"/>
  <c r="K15" i="2"/>
  <c r="K16" i="2"/>
  <c r="K7" i="2"/>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2" i="1"/>
  <c r="F10" i="23" l="1"/>
  <c r="I9" i="23" s="1"/>
  <c r="B12" i="6"/>
  <c r="B13" i="6" s="1"/>
  <c r="E13" i="6" s="1"/>
  <c r="E10" i="6"/>
  <c r="E9" i="6"/>
  <c r="E8" i="6"/>
  <c r="O6" i="7"/>
  <c r="G7" i="7"/>
  <c r="E8" i="7"/>
  <c r="G6" i="7"/>
  <c r="N6" i="7"/>
  <c r="M11" i="2"/>
  <c r="L8" i="2"/>
  <c r="M8" i="2" s="1"/>
  <c r="O7" i="2"/>
  <c r="L10" i="2"/>
  <c r="M10" i="2" s="1"/>
  <c r="L9" i="2"/>
  <c r="N7" i="2" s="1"/>
  <c r="E12" i="6" l="1"/>
  <c r="E9" i="7"/>
  <c r="G8" i="7"/>
  <c r="M9" i="2"/>
  <c r="E10" i="7" l="1"/>
  <c r="G9" i="7"/>
  <c r="E11" i="7" l="1"/>
  <c r="G10" i="7"/>
  <c r="E12" i="7" l="1"/>
  <c r="G11" i="7"/>
  <c r="E13" i="7" l="1"/>
  <c r="G12" i="7"/>
  <c r="G13" i="7" l="1"/>
  <c r="E14" i="7"/>
  <c r="E15" i="7" l="1"/>
  <c r="G15" i="7" s="1"/>
  <c r="G1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A4ACA7-2DD3-468D-BBA0-263AF3502D75}" keepAlive="1" name="ModelConnection_ExternalData_2" description="Data Model" type="5" refreshedVersion="8" minRefreshableVersion="5" saveData="1">
    <dbPr connection="Data Model Connection" command="Table 1" commandType="3"/>
    <extLst>
      <ext xmlns:x15="http://schemas.microsoft.com/office/spreadsheetml/2010/11/main" uri="{DE250136-89BD-433C-8126-D09CA5730AF9}">
        <x15:connection id="" model="1"/>
      </ext>
    </extLst>
  </connection>
  <connection id="2" xr16:uid="{5AE8B658-656A-40BB-B420-721AE641137B}" keepAlive="1" name="Query - Balance sheet" description="Connection to the 'Balance sheet' query in the workbook." type="5" refreshedVersion="0" background="1" saveData="1">
    <dbPr connection="Provider=Microsoft.Mashup.OleDb.1;Data Source=$Workbook$;Location=&quot;Balance sheet&quot;;Extended Properties=&quot;&quot;" command="SELECT * FROM [Balance sheet]"/>
  </connection>
  <connection id="3" xr16:uid="{F684C4FF-E122-41D4-95D8-32EC1093F697}"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4" xr16:uid="{85E6D69E-E880-40F0-82D4-804656CA16B1}" name="Query - Table 1" description="Connection to the 'Table 1' query in the workbook." type="100" refreshedVersion="8" minRefreshableVersion="5">
    <extLst>
      <ext xmlns:x15="http://schemas.microsoft.com/office/spreadsheetml/2010/11/main" uri="{DE250136-89BD-433C-8126-D09CA5730AF9}">
        <x15:connection id="48e80406-61b9-4708-bf78-2c7e84f06d31"/>
      </ext>
    </extLst>
  </connection>
  <connection id="5" xr16:uid="{FB4AF0EB-F723-472C-B0B6-BA170B0D2CE9}" keepAlive="1" name="Query - textfile" description="Connection to the 'textfile' query in the workbook." type="5" refreshedVersion="8" background="1" saveData="1">
    <dbPr connection="Provider=Microsoft.Mashup.OleDb.1;Data Source=$Workbook$;Location=textfile;Extended Properties=&quot;&quot;" command="SELECT * FROM [textfile]"/>
  </connection>
  <connection id="6" xr16:uid="{D17F1E0B-1B3B-42BD-BCA6-AB31E8ECED8D}" keepAlive="1" name="Query - textfile (2)" description="Connection to the 'textfile (2)' query in the workbook." type="5" refreshedVersion="0" background="1">
    <dbPr connection="Provider=Microsoft.Mashup.OleDb.1;Data Source=$Workbook$;Location=&quot;textfile (2)&quot;;Extended Properties=&quot;&quot;" command="SELECT * FROM [textfile (2)]"/>
  </connection>
  <connection id="7" xr16:uid="{4C7C70BE-0741-4F31-AB49-ADD53475A66B}" keepAlive="1" name="Query - textfile (3)" description="Connection to the 'textfile (3)' query in the workbook." type="5" refreshedVersion="8" background="1">
    <dbPr connection="Provider=Microsoft.Mashup.OleDb.1;Data Source=$Workbook$;Location=&quot;textfile (3)&quot;;Extended Properties=&quot;&quot;" command="SELECT * FROM [textfile (3)]"/>
  </connection>
  <connection id="8" xr16:uid="{7B52583E-667D-46D0-87B4-952C96D327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<sst xmlns="http://schemas.openxmlformats.org/spreadsheetml/2006/main" count="907" uniqueCount="496">
  <si>
    <t>SR. NO.</t>
  </si>
  <si>
    <t>ROLL NO.</t>
  </si>
  <si>
    <t>COURSE</t>
  </si>
  <si>
    <t>BCA</t>
  </si>
  <si>
    <t>SOFTWARE</t>
  </si>
  <si>
    <t>AI</t>
  </si>
  <si>
    <t>DATA SCIENCE</t>
  </si>
  <si>
    <t>MGN</t>
  </si>
  <si>
    <t>MKT</t>
  </si>
  <si>
    <t>TOTAL</t>
  </si>
  <si>
    <t>AVERAGE</t>
  </si>
  <si>
    <t>RESULT</t>
  </si>
  <si>
    <t>RELIANCE COMPANY</t>
  </si>
  <si>
    <t>MONTHLY SALES REPORT-DECEMBER</t>
  </si>
  <si>
    <t>EMP. NO.</t>
  </si>
  <si>
    <t>NAME</t>
  </si>
  <si>
    <t>SALARY</t>
  </si>
  <si>
    <t>SALES ACCOUNT</t>
  </si>
  <si>
    <t>COMISSION</t>
  </si>
  <si>
    <t>TOTALS</t>
  </si>
  <si>
    <t>ANKUSH</t>
  </si>
  <si>
    <t>PRINCE KUMAR</t>
  </si>
  <si>
    <t>PAWANDEEP</t>
  </si>
  <si>
    <t xml:space="preserve">ANUSHKA </t>
  </si>
  <si>
    <t>KARAN KUMAR</t>
  </si>
  <si>
    <t>AKASH SINGH</t>
  </si>
  <si>
    <t>BHUMI GOYAL</t>
  </si>
  <si>
    <t>ADITYA</t>
  </si>
  <si>
    <t>RISHABH SINGH</t>
  </si>
  <si>
    <t>ARUN KUMAR</t>
  </si>
  <si>
    <t>HIGHEST</t>
  </si>
  <si>
    <t>LOWEST</t>
  </si>
  <si>
    <t>CHERRIES</t>
  </si>
  <si>
    <t>BANANAS</t>
  </si>
  <si>
    <t>APPLES</t>
  </si>
  <si>
    <t>ORANGES</t>
  </si>
  <si>
    <t>JOHN</t>
  </si>
  <si>
    <t>MIKE</t>
  </si>
  <si>
    <t>PETE</t>
  </si>
  <si>
    <t>FRUITS</t>
  </si>
  <si>
    <t>NAMES</t>
  </si>
  <si>
    <t>PRICE</t>
  </si>
  <si>
    <t>NAMES IN FRONT</t>
  </si>
  <si>
    <t>STUDENT NO.</t>
  </si>
  <si>
    <t>STUDENT NAME</t>
  </si>
  <si>
    <t>MATHS</t>
  </si>
  <si>
    <t>PHYSICS</t>
  </si>
  <si>
    <t>CHEMISTRY</t>
  </si>
  <si>
    <t>SUM</t>
  </si>
  <si>
    <t xml:space="preserve">DATE </t>
  </si>
  <si>
    <t>TIME</t>
  </si>
  <si>
    <t>XAVIER</t>
  </si>
  <si>
    <t>MILTON</t>
  </si>
  <si>
    <t>CLARA</t>
  </si>
  <si>
    <t>LINDA</t>
  </si>
  <si>
    <t xml:space="preserve">    </t>
  </si>
  <si>
    <t>SR,NO.</t>
  </si>
  <si>
    <t>BULBASAUR</t>
  </si>
  <si>
    <t>IVTSAUR</t>
  </si>
  <si>
    <t>VENUSAUR</t>
  </si>
  <si>
    <t>CHARMANDER</t>
  </si>
  <si>
    <t>CHARMELON</t>
  </si>
  <si>
    <t>CHARIZARD</t>
  </si>
  <si>
    <t>SQUIRTLE</t>
  </si>
  <si>
    <t>WARTOTLE</t>
  </si>
  <si>
    <t>BLASTOISE</t>
  </si>
  <si>
    <t>TYPE1</t>
  </si>
  <si>
    <t>GRASS</t>
  </si>
  <si>
    <t>FIRE</t>
  </si>
  <si>
    <t>WATER</t>
  </si>
  <si>
    <t>TYPE</t>
  </si>
  <si>
    <t>TOTAL SUM</t>
  </si>
  <si>
    <t>LONDON TEAM CALL STATISTICS</t>
  </si>
  <si>
    <t>ADAM</t>
  </si>
  <si>
    <t>JHON</t>
  </si>
  <si>
    <t>JAMES</t>
  </si>
  <si>
    <t>ALEX</t>
  </si>
  <si>
    <t>EMMA</t>
  </si>
  <si>
    <t>NO. CALLS</t>
  </si>
  <si>
    <t>HOURS WORKED</t>
  </si>
  <si>
    <t>CALLS PER HOUR</t>
  </si>
  <si>
    <t>BONUS RATE (25%)</t>
  </si>
  <si>
    <t>DAY</t>
  </si>
  <si>
    <t>MONTH</t>
  </si>
  <si>
    <t>YEAR</t>
  </si>
  <si>
    <t>SR.NO.</t>
  </si>
  <si>
    <t xml:space="preserve">JUMP  2 DAYS </t>
  </si>
  <si>
    <t>START DATE</t>
  </si>
  <si>
    <t>NAME OF CANDIDATE</t>
  </si>
  <si>
    <t>END DATE</t>
  </si>
  <si>
    <t>CHLOE</t>
  </si>
  <si>
    <t>CHARLES</t>
  </si>
  <si>
    <t>JOE</t>
  </si>
  <si>
    <t>MARGARET</t>
  </si>
  <si>
    <t>DAVID</t>
  </si>
  <si>
    <t>COUNT DAYS</t>
  </si>
  <si>
    <t>CA1</t>
  </si>
  <si>
    <t>CA2</t>
  </si>
  <si>
    <t>TOTAL MARKS</t>
  </si>
  <si>
    <t>AVG</t>
  </si>
  <si>
    <t>PASS RATIO</t>
  </si>
  <si>
    <t>VEGGIES</t>
  </si>
  <si>
    <t>POTATO</t>
  </si>
  <si>
    <t>TOMATO</t>
  </si>
  <si>
    <t>BROCCOLI</t>
  </si>
  <si>
    <t>CARROT</t>
  </si>
  <si>
    <t>hello world</t>
  </si>
  <si>
    <t>**GROUP AND UNGROUP SHEETS TO COPY THE DATA OF THAT SHEET INTO OTHER SHEETS AND THEN UNGROUP WHEN NOT NEEDED-&gt;RIGHT CLICK ON SHEETS -&gt;SELECT ALL SHEETS</t>
  </si>
  <si>
    <t>HELLO!!!!!</t>
  </si>
  <si>
    <t>NUMBER</t>
  </si>
  <si>
    <t>ROUND</t>
  </si>
  <si>
    <t>ROUNDDOWN</t>
  </si>
  <si>
    <t>ROUNDUP</t>
  </si>
  <si>
    <t>MROUND</t>
  </si>
  <si>
    <t>IT WILL REDUCE NUMBER IGNORING DECIMAL PLACES</t>
  </si>
  <si>
    <t>IT WILL INCREASE THE NUMBER KEEPING IN MIND DECIMAL PLACES</t>
  </si>
  <si>
    <t>NORMLLY WILL REDUCE OR INCREASE DECIMAL PLACE</t>
  </si>
  <si>
    <t>FOR MULTIPLES IF WANT TO INCREASE OR DECREASE MARKS TO CATEGORISE PROPERLY</t>
  </si>
  <si>
    <t>The main difference between paste and paste special is that the paste command allows the user to insert the selected data from the clipboard into an application while the paste special command follows the same functionality similar to paste, but provides additional options to select how the inserted data should appear on the application.</t>
  </si>
  <si>
    <t>HYPERLINK</t>
  </si>
  <si>
    <t>hello!!</t>
  </si>
  <si>
    <t>gergtgtr</t>
  </si>
  <si>
    <t>ROUND FUNCTION TO TEXT</t>
  </si>
  <si>
    <t xml:space="preserve">ROUND FUNCTION </t>
  </si>
  <si>
    <t>Column1</t>
  </si>
  <si>
    <t>Column2</t>
  </si>
  <si>
    <t>Column3</t>
  </si>
  <si>
    <t>Column4</t>
  </si>
  <si>
    <t>Column5</t>
  </si>
  <si>
    <t>Column6</t>
  </si>
  <si>
    <t>Column7</t>
  </si>
  <si>
    <t>Column8</t>
  </si>
  <si>
    <t/>
  </si>
  <si>
    <t>135.4324353</t>
  </si>
  <si>
    <t>135.4</t>
  </si>
  <si>
    <t>136</t>
  </si>
  <si>
    <t>135</t>
  </si>
  <si>
    <t>78.7454</t>
  </si>
  <si>
    <t>79</t>
  </si>
  <si>
    <t>78.7</t>
  </si>
  <si>
    <t>80</t>
  </si>
  <si>
    <t>911.3545645</t>
  </si>
  <si>
    <t>911.4</t>
  </si>
  <si>
    <t>911.3</t>
  </si>
  <si>
    <t>912</t>
  </si>
  <si>
    <t>910</t>
  </si>
  <si>
    <t>201.354365</t>
  </si>
  <si>
    <t>201.4</t>
  </si>
  <si>
    <t>201.3</t>
  </si>
  <si>
    <t>202</t>
  </si>
  <si>
    <t>200</t>
  </si>
  <si>
    <t>180.92135</t>
  </si>
  <si>
    <t>180.9</t>
  </si>
  <si>
    <t>181</t>
  </si>
  <si>
    <t>180</t>
  </si>
  <si>
    <t>638.25435</t>
  </si>
  <si>
    <t>638.25</t>
  </si>
  <si>
    <t>638.2</t>
  </si>
  <si>
    <t>639</t>
  </si>
  <si>
    <t>640</t>
  </si>
  <si>
    <t>975.545656</t>
  </si>
  <si>
    <t>975.55</t>
  </si>
  <si>
    <t>975.5</t>
  </si>
  <si>
    <t>976</t>
  </si>
  <si>
    <t>975</t>
  </si>
  <si>
    <t>378.3242542</t>
  </si>
  <si>
    <t>378.32</t>
  </si>
  <si>
    <t>378.3</t>
  </si>
  <si>
    <t>379</t>
  </si>
  <si>
    <t>380</t>
  </si>
  <si>
    <t>5435.32534</t>
  </si>
  <si>
    <t>5435.33</t>
  </si>
  <si>
    <t>5435.3</t>
  </si>
  <si>
    <t>5436</t>
  </si>
  <si>
    <t>5435</t>
  </si>
  <si>
    <t>IMPORTING TEXT FILE IN EXCEL-:                                                                                 first go to file-&gt;export-&gt;change file type-&gt;from text-&gt;saveas then go to data there is a option from text/csv -&gt;then load select-&gt;load to and fill worksheet and column.</t>
  </si>
  <si>
    <t>RAM</t>
  </si>
  <si>
    <t>AKASH</t>
  </si>
  <si>
    <t>RISHABH</t>
  </si>
  <si>
    <t>MONIKA</t>
  </si>
  <si>
    <t>TO REMOVE DUPLICATE VALUES-: DATA-&gt;DATA TOOLS-&gt;2ND COL-&gt;2ND ICON</t>
  </si>
  <si>
    <t>Download a spreadsheet and make it similar.</t>
  </si>
  <si>
    <t>Company</t>
  </si>
  <si>
    <t>Production* Target</t>
  </si>
  <si>
    <t>Production* Ach. (Prov)</t>
  </si>
  <si>
    <t>Production* Actual During Cores 
			period of previous year</t>
  </si>
  <si>
    <t>Production* Growth (%)</t>
  </si>
  <si>
    <t>Offtake/Dispatch* Target</t>
  </si>
  <si>
    <t>Offtake/Dispatch* Ach. (Prov.)</t>
  </si>
  <si>
    <t>Offtake/Dispatch* Actual During Cores 
			period of previous year</t>
  </si>
  <si>
    <t>Offtake/Dispatch* Growth (%)</t>
  </si>
  <si>
    <t>Production*</t>
  </si>
  <si>
    <t>Offtake/Dispatch*</t>
  </si>
  <si>
    <t>Target</t>
  </si>
  <si>
    <t>Ach. (Prov)</t>
  </si>
  <si>
    <t>Actual During Cores_x000D_
			period of previous year</t>
  </si>
  <si>
    <t>Growth (%)</t>
  </si>
  <si>
    <t>Ach. (Prov.)</t>
  </si>
  <si>
    <t>CIL</t>
  </si>
  <si>
    <t>780.00</t>
  </si>
  <si>
    <t>610.29</t>
  </si>
  <si>
    <t>550.92</t>
  </si>
  <si>
    <t>10.78</t>
  </si>
  <si>
    <t>619.64</t>
  </si>
  <si>
    <t>572.03</t>
  </si>
  <si>
    <t>8.32</t>
  </si>
  <si>
    <t>SCCL</t>
  </si>
  <si>
    <t>70.00</t>
  </si>
  <si>
    <t>56.30</t>
  </si>
  <si>
    <t>54.10</t>
  </si>
  <si>
    <t>4.07</t>
  </si>
  <si>
    <t>57.27</t>
  </si>
  <si>
    <t>54.05</t>
  </si>
  <si>
    <t>5.96</t>
  </si>
  <si>
    <t>Captive &amp; Others</t>
  </si>
  <si>
    <t>162.14</t>
  </si>
  <si>
    <t>117.50</t>
  </si>
  <si>
    <t>94.35</t>
  </si>
  <si>
    <t>24.54</t>
  </si>
  <si>
    <t>120.95</t>
  </si>
  <si>
    <t>93.45</t>
  </si>
  <si>
    <t>29.43</t>
  </si>
  <si>
    <t>Total</t>
  </si>
  <si>
    <t>1012.14</t>
  </si>
  <si>
    <t>784.09</t>
  </si>
  <si>
    <t>699.37</t>
  </si>
  <si>
    <t>12.11</t>
  </si>
  <si>
    <t>797.86</t>
  </si>
  <si>
    <t>719.53</t>
  </si>
  <si>
    <t>10.89</t>
  </si>
  <si>
    <t>Source: CCO</t>
  </si>
  <si>
    <t>DON’T WANT THE  FILTERS GO TO HOME-&gt;SORT AND FILTER</t>
  </si>
  <si>
    <t>CALCULATING MULTIPLE SHEETS DATA START FROM B2 ALWAYS AND GO TO SUM EMPTY SHEET WRITE [=SUM()] AND SELECT ALL SHEETS AND DATA USING SHIFT TAB.</t>
  </si>
  <si>
    <r>
      <rPr>
        <sz val="16"/>
        <color theme="1"/>
        <rFont val="Aptos Narrow"/>
        <family val="2"/>
        <scheme val="minor"/>
      </rPr>
      <t xml:space="preserve">DATA CONSOLIDATION -:                                                DATA-&gt;SUBTOTAL                                                                                                                                                                                                           WE NEED TO SELECT THE SHEET AND ADD EVERY SHEET.                </t>
    </r>
    <r>
      <rPr>
        <sz val="11"/>
        <color theme="1"/>
        <rFont val="Aptos Narrow"/>
        <family val="2"/>
        <scheme val="minor"/>
      </rPr>
      <t xml:space="preserve">                          </t>
    </r>
  </si>
  <si>
    <t>data validation</t>
  </si>
  <si>
    <t>Coal</t>
  </si>
  <si>
    <t>2019-20</t>
  </si>
  <si>
    <t>2020-21</t>
  </si>
  <si>
    <t>2021-22</t>
  </si>
  <si>
    <t>2022-23</t>
  </si>
  <si>
    <t>2023-24*</t>
  </si>
  <si>
    <t>Coking Coal</t>
  </si>
  <si>
    <t>51.83</t>
  </si>
  <si>
    <t>51.20</t>
  </si>
  <si>
    <t>57.16</t>
  </si>
  <si>
    <t>56.05</t>
  </si>
  <si>
    <t>38.94</t>
  </si>
  <si>
    <t>Non-Coking Coal</t>
  </si>
  <si>
    <t>196.70</t>
  </si>
  <si>
    <t>164.05</t>
  </si>
  <si>
    <t>151.77</t>
  </si>
  <si>
    <t>181.62</t>
  </si>
  <si>
    <t>135.45</t>
  </si>
  <si>
    <t>Total Coal Import</t>
  </si>
  <si>
    <t>248.53</t>
  </si>
  <si>
    <t>215.25</t>
  </si>
  <si>
    <t>208.93</t>
  </si>
  <si>
    <t>237.67</t>
  </si>
  <si>
    <t>174.39</t>
  </si>
  <si>
    <t>Coke</t>
  </si>
  <si>
    <t>2.88</t>
  </si>
  <si>
    <t>2.46</t>
  </si>
  <si>
    <t>2.48</t>
  </si>
  <si>
    <t>3.63</t>
  </si>
  <si>
    <t>2.44</t>
  </si>
  <si>
    <t>*Import upto Nov, 2023  (Source:-DGCI&amp;S)</t>
  </si>
  <si>
    <t>HOLIDAYS</t>
  </si>
  <si>
    <t>NET WORKING DAYS</t>
  </si>
  <si>
    <t>PRODUCT</t>
  </si>
  <si>
    <t>QTY</t>
  </si>
  <si>
    <t>A</t>
  </si>
  <si>
    <t>B</t>
  </si>
  <si>
    <t>C</t>
  </si>
  <si>
    <t>A Total</t>
  </si>
  <si>
    <t>B Total</t>
  </si>
  <si>
    <t>C Total</t>
  </si>
  <si>
    <t>Grand Total</t>
  </si>
  <si>
    <t>SHIPPING</t>
  </si>
  <si>
    <t xml:space="preserve">change in date </t>
  </si>
  <si>
    <t>LENGTH</t>
  </si>
  <si>
    <t>MIDDLE</t>
  </si>
  <si>
    <t>LEFT</t>
  </si>
  <si>
    <t>RIGHT</t>
  </si>
  <si>
    <t>DE-503-MGN</t>
  </si>
  <si>
    <t>TEXT    FUNCTIONS</t>
  </si>
  <si>
    <t>PROPER</t>
  </si>
  <si>
    <t>LOWER</t>
  </si>
  <si>
    <t>UPPER</t>
  </si>
  <si>
    <t>TRIM</t>
  </si>
  <si>
    <t>Bhumi Goyal</t>
  </si>
  <si>
    <t>Monika</t>
  </si>
  <si>
    <t>Aditya    Kumar</t>
  </si>
  <si>
    <t>PROPER+TRIM</t>
  </si>
  <si>
    <t>LIST INSERT</t>
  </si>
  <si>
    <t>SALES RECORD</t>
  </si>
  <si>
    <t>COMBINED TEXT</t>
  </si>
  <si>
    <t>SALES RECORD-2019</t>
  </si>
  <si>
    <t>b</t>
  </si>
  <si>
    <t>SEARCH</t>
  </si>
  <si>
    <t>Aman@123</t>
  </si>
  <si>
    <t>Bhumi goyal</t>
  </si>
  <si>
    <t>REPLACE</t>
  </si>
  <si>
    <t>Elizabeth watson</t>
  </si>
  <si>
    <t>TUTTLE</t>
  </si>
  <si>
    <t>LIME</t>
  </si>
  <si>
    <t>SUBSTITUTE</t>
  </si>
  <si>
    <t>THE SQUIRREL</t>
  </si>
  <si>
    <t>REPEAT</t>
  </si>
  <si>
    <t>HA</t>
  </si>
  <si>
    <t>YAH</t>
  </si>
  <si>
    <t>TOP 10 FILMS OF ALL TIME(ROTTEN TOMATOES)</t>
  </si>
  <si>
    <t>Rank</t>
  </si>
  <si>
    <t>Film Title</t>
  </si>
  <si>
    <t>The wizard of Oz(1939)Directed by King Vidor and Victor Fleming</t>
  </si>
  <si>
    <t>Citizen Kane(1941) Directed by Orson Welles</t>
  </si>
  <si>
    <t>Get Out (2017) Directed by Jordan Peele</t>
  </si>
  <si>
    <t>CHAR CODE</t>
  </si>
  <si>
    <t>The Third Man (1949) Directed by  Carol Reed</t>
  </si>
  <si>
    <t>Mad Max: Fury Road(2015) Directed by George Miller</t>
  </si>
  <si>
    <t>The Cabinet of Dr. Caligari(Das Cabinet des Dr. Caligari)(1920)</t>
  </si>
  <si>
    <t>All About Eve(1950) Directed by Joseph L. Mankiewicz</t>
  </si>
  <si>
    <t>Inside Out (2015) Directed by Pete Docter and Ronnie del Carmen</t>
  </si>
  <si>
    <t>Metropolis (1927) Directed by Fritz Lang</t>
  </si>
  <si>
    <t>Moonlight(2016) Directed by Barry Jenkins(|||)</t>
  </si>
  <si>
    <t>Studio</t>
  </si>
  <si>
    <t>Warner Bros.</t>
  </si>
  <si>
    <t>RKO Radio</t>
  </si>
  <si>
    <t>Universal</t>
  </si>
  <si>
    <t>Rialto</t>
  </si>
  <si>
    <t>20th Century Fox</t>
  </si>
  <si>
    <t>Disney/Pixar</t>
  </si>
  <si>
    <t>Paramount</t>
  </si>
  <si>
    <t>A24 Films</t>
  </si>
  <si>
    <t>DATE</t>
  </si>
  <si>
    <t>DESRIPTION</t>
  </si>
  <si>
    <t>year and month change</t>
  </si>
  <si>
    <t>REGION</t>
  </si>
  <si>
    <t>South west</t>
  </si>
  <si>
    <t>South east</t>
  </si>
  <si>
    <t>East</t>
  </si>
  <si>
    <t>West</t>
  </si>
  <si>
    <t>North</t>
  </si>
  <si>
    <t>Bhumi</t>
  </si>
  <si>
    <t>Aditya</t>
  </si>
  <si>
    <t>Akash</t>
  </si>
  <si>
    <t>Shivangi</t>
  </si>
  <si>
    <t>Rishabh</t>
  </si>
  <si>
    <t>Muskan</t>
  </si>
  <si>
    <t>Musarrat</t>
  </si>
  <si>
    <t>Gurjit</t>
  </si>
  <si>
    <t>Karan</t>
  </si>
  <si>
    <t>Ashish</t>
  </si>
  <si>
    <t>CRITERIA</t>
  </si>
  <si>
    <t>open</t>
  </si>
  <si>
    <t>a</t>
  </si>
  <si>
    <t>blank</t>
  </si>
  <si>
    <t>to</t>
  </si>
  <si>
    <t>fill</t>
  </si>
  <si>
    <t>series</t>
  </si>
  <si>
    <t>text to column parsing</t>
  </si>
  <si>
    <t>CATEGORY</t>
  </si>
  <si>
    <t>Pen</t>
  </si>
  <si>
    <t>Pencil</t>
  </si>
  <si>
    <t>Book</t>
  </si>
  <si>
    <t>Laptop</t>
  </si>
  <si>
    <t>Tape</t>
  </si>
  <si>
    <t>c</t>
  </si>
  <si>
    <t>d</t>
  </si>
  <si>
    <t>e</t>
  </si>
  <si>
    <t>COUNT</t>
  </si>
  <si>
    <t>SUM IF</t>
  </si>
  <si>
    <t>COUNT IF</t>
  </si>
  <si>
    <t>M</t>
  </si>
  <si>
    <t>F</t>
  </si>
  <si>
    <t>MARKS</t>
  </si>
  <si>
    <t>SUM OF MARKS WHERE REG ID MORE THAN 108</t>
  </si>
  <si>
    <t>MEAN/AVERAGE</t>
  </si>
  <si>
    <t>MEDIAN</t>
  </si>
  <si>
    <t>MODE</t>
  </si>
  <si>
    <t>MID VALUE</t>
  </si>
  <si>
    <t>REPEATING VALUE</t>
  </si>
  <si>
    <t>SUM OF ALL MALE STUDENT MARKS</t>
  </si>
  <si>
    <t>SUM OF MARKS MORE THAN 50</t>
  </si>
  <si>
    <t>SUM OF MALE STUDENTS WHEREREG ID IS MORE THAN 108</t>
  </si>
  <si>
    <t>COLUMN AND BAR CHART</t>
  </si>
  <si>
    <t>STUDENTS</t>
  </si>
  <si>
    <t>SUB 1</t>
  </si>
  <si>
    <t>SUB 2</t>
  </si>
  <si>
    <t>SUB 3</t>
  </si>
  <si>
    <t>RAVI 1</t>
  </si>
  <si>
    <t>RAVI 2</t>
  </si>
  <si>
    <t>RAVI 3</t>
  </si>
  <si>
    <t>RAVI 4</t>
  </si>
  <si>
    <t>RAVI 5</t>
  </si>
  <si>
    <t>RAVI 6</t>
  </si>
  <si>
    <t>RAVI 7</t>
  </si>
  <si>
    <t>RAVI 8</t>
  </si>
  <si>
    <t>SUB 4</t>
  </si>
  <si>
    <t>Row Labels</t>
  </si>
  <si>
    <t>Sum of SUB 1</t>
  </si>
  <si>
    <t>Sum of SUB 2</t>
  </si>
  <si>
    <t>Sum of SUB 3</t>
  </si>
  <si>
    <t>Sum of SUB 4</t>
  </si>
  <si>
    <t>Sum of SUB 5</t>
  </si>
  <si>
    <t>Sum of SUB 6</t>
  </si>
  <si>
    <t>Sum of SUB 7</t>
  </si>
  <si>
    <t>Sum of SUB 8</t>
  </si>
  <si>
    <t>Sum of SUB 9</t>
  </si>
  <si>
    <t>Sum of SUB 10</t>
  </si>
  <si>
    <t>QUANTITY</t>
  </si>
  <si>
    <t>PRICE P.Q.</t>
  </si>
  <si>
    <t>EXPENSES-:</t>
  </si>
  <si>
    <t>ADV.</t>
  </si>
  <si>
    <t>SELLING</t>
  </si>
  <si>
    <t>GENERAL</t>
  </si>
  <si>
    <t>REVENUE</t>
  </si>
  <si>
    <t>PROFIT/LOSS</t>
  </si>
  <si>
    <t>TOTAL EXP</t>
  </si>
  <si>
    <t>INT/TAX</t>
  </si>
  <si>
    <t>PROFIT LOSS</t>
  </si>
  <si>
    <t>EMI</t>
  </si>
  <si>
    <t>AMT</t>
  </si>
  <si>
    <t>DOWNPAY</t>
  </si>
  <si>
    <t>INTEREST</t>
  </si>
  <si>
    <t>TIME PERIOD</t>
  </si>
  <si>
    <t>PRINCIPAL VALUE</t>
  </si>
  <si>
    <t>PERIODS</t>
  </si>
  <si>
    <t>CONVERT TO DECIMAL</t>
  </si>
  <si>
    <t>CONVERT TO MONTHS</t>
  </si>
  <si>
    <t>Annual Rate</t>
  </si>
  <si>
    <t>Number of years</t>
  </si>
  <si>
    <t>Number of payments</t>
  </si>
  <si>
    <t>Loan amount</t>
  </si>
  <si>
    <t>Monthly payment</t>
  </si>
  <si>
    <t>Total cost</t>
  </si>
  <si>
    <t>Total interest</t>
  </si>
  <si>
    <t>Revenue</t>
  </si>
  <si>
    <t>Unit</t>
  </si>
  <si>
    <t>Price</t>
  </si>
  <si>
    <t>Cost of goods sold</t>
  </si>
  <si>
    <t>Labour</t>
  </si>
  <si>
    <t>Marketing</t>
  </si>
  <si>
    <t>Unit Price</t>
  </si>
  <si>
    <t>Total Expenses</t>
  </si>
  <si>
    <t>INCOME STATEMENT</t>
  </si>
  <si>
    <t>GROSS PROFIT= REVENUE-COGS</t>
  </si>
  <si>
    <t>UNIT*UNIT PRICE</t>
  </si>
  <si>
    <t>UNIT*PRICE</t>
  </si>
  <si>
    <t>ALL EXPENSES</t>
  </si>
  <si>
    <t>Sales A</t>
  </si>
  <si>
    <t>Sales B</t>
  </si>
  <si>
    <t>COGS</t>
  </si>
  <si>
    <t>Adv exp</t>
  </si>
  <si>
    <t>General</t>
  </si>
  <si>
    <t>Legal exp</t>
  </si>
  <si>
    <t>Gross P/L</t>
  </si>
  <si>
    <t>Net P/L</t>
  </si>
  <si>
    <t>% of GP = GP/SALES*100</t>
  </si>
  <si>
    <t>% OF NP= NP/SALES*100</t>
  </si>
  <si>
    <t>Sales-COGS=Gross profit</t>
  </si>
  <si>
    <t>Total exp</t>
  </si>
  <si>
    <t>Total sales/Revenue</t>
  </si>
  <si>
    <t>% of GP</t>
  </si>
  <si>
    <t>% of NP</t>
  </si>
  <si>
    <t>Sales</t>
  </si>
  <si>
    <t>Quantity</t>
  </si>
  <si>
    <t>Interest</t>
  </si>
  <si>
    <t>Gross Profit</t>
  </si>
  <si>
    <t>Net Profit</t>
  </si>
  <si>
    <t>NET PROFIT =Total revenue-TOTAL EXPENSES</t>
  </si>
  <si>
    <t>Amt</t>
  </si>
  <si>
    <t>INT</t>
  </si>
  <si>
    <t>Time</t>
  </si>
  <si>
    <t xml:space="preserve">Monthly </t>
  </si>
  <si>
    <t>Future</t>
  </si>
  <si>
    <t>Rohan</t>
  </si>
  <si>
    <t>Hindi</t>
  </si>
  <si>
    <t>English</t>
  </si>
  <si>
    <t>Maths</t>
  </si>
  <si>
    <t>Science</t>
  </si>
  <si>
    <t>Computer</t>
  </si>
  <si>
    <t>Percent</t>
  </si>
  <si>
    <t>Name</t>
  </si>
  <si>
    <t>Total Revenue</t>
  </si>
  <si>
    <t>Transport ost</t>
  </si>
  <si>
    <t>Item cost</t>
  </si>
  <si>
    <t>Profit</t>
  </si>
  <si>
    <t>Int</t>
  </si>
  <si>
    <t>Future value</t>
  </si>
  <si>
    <t>PMT</t>
  </si>
  <si>
    <t>MR JOHN IS COMPUTING ANNUAL REVENUE OF 29000 QUANTITIES WITH PRCE 4 PER EACH. THERE WERE RS. 0.45 ARISE ON COST OF SELLING THE PRODUCTS.. AT THE END OF THE YEAR , 45000 AS FIXED COST . HOW YOU CAN DISCLOSE THE PROFIT AND LOSS THROUGH INCOME STATEMENT OF THIS DATA.</t>
  </si>
  <si>
    <t>Qty</t>
  </si>
  <si>
    <t>Price of selling</t>
  </si>
  <si>
    <t>fixed cost</t>
  </si>
  <si>
    <t>Gross profit/loss</t>
  </si>
  <si>
    <t>Net profit/loss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</si>
</sst>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 #,##0.00;[Red]&quot;₹&quot;\ \-#,##0.00"/>
    <numFmt numFmtId="44" formatCode="_ &quot;₹&quot;\ * #,##0.00_ ;_ &quot;₹&quot;\ * \-#,##0.00_ ;_ &quot;₹&quot;\ * &quot;-&quot;??_ ;_ @_ "/>
    <numFmt numFmtId="164" formatCode="_ &quot;₹&quot;\ * #,##0_ ;_ &quot;₹&quot;\ * \-#,##0_ ;_ &quot;₹&quot;\ * &quot;-&quot;??_ ;_ @_ "/>
    <numFmt numFmtId="165" formatCode="&quot;₹&quot;\ #,##0.00"/>
  </numFmts>
  <fonts count="20" x14ac:knownFonts="1">
    <font>
      <sz val="11"/>
      <color theme="1"/>
      <name val="Aptos Narrow"/>
      <family val="2"/>
      <scheme val="minor"/>
    </font>
    <font>
      <sz val="11"/>
      <color theme="1"/>
      <name val="Aptos Narrow"/>
      <family val="2"/>
      <scheme val="minor"/>
    </font>
    <font>
      <b/>
      <sz val="11"/>
      <color theme="1"/>
      <name val="Aptos Narrow"/>
      <family val="2"/>
      <scheme val="minor"/>
    </font>
    <font>
      <b/>
      <u/>
      <sz val="24"/>
      <color theme="1"/>
      <name val="Aptos Narrow"/>
      <family val="2"/>
      <scheme val="minor"/>
    </font>
    <font>
      <sz val="20"/>
      <color theme="1"/>
      <name val="Aptos Narrow"/>
      <family val="2"/>
      <scheme val="minor"/>
    </font>
    <font>
      <b/>
      <sz val="14"/>
      <color theme="1"/>
      <name val="Aptos Narrow"/>
      <family val="2"/>
      <scheme val="minor"/>
    </font>
    <font>
      <sz val="14"/>
      <color theme="1"/>
      <name val="Aptos Narrow"/>
      <family val="2"/>
      <scheme val="minor"/>
    </font>
    <font>
      <sz val="11"/>
      <color rgb="FFFF99CC"/>
      <name val="Aptos Narrow"/>
      <family val="2"/>
      <scheme val="minor"/>
    </font>
    <font>
      <b/>
      <sz val="18"/>
      <color theme="1"/>
      <name val="Aptos Narrow"/>
      <family val="2"/>
      <scheme val="minor"/>
    </font>
    <font>
      <sz val="18"/>
      <color theme="1"/>
      <name val="Aptos Narrow"/>
      <family val="2"/>
      <scheme val="minor"/>
    </font>
    <font>
      <sz val="12"/>
      <color theme="1"/>
      <name val="Aptos Narrow"/>
      <family val="2"/>
      <scheme val="minor"/>
    </font>
    <font>
      <u/>
      <sz val="11"/>
      <color theme="10"/>
      <name val="Aptos Narrow"/>
      <family val="2"/>
      <scheme val="minor"/>
    </font>
    <font>
      <u/>
      <sz val="14"/>
      <color theme="10"/>
      <name val="Aptos Narrow"/>
      <family val="2"/>
      <scheme val="minor"/>
    </font>
    <font>
      <b/>
      <sz val="20"/>
      <color theme="1"/>
      <name val="Aptos Narrow"/>
      <family val="2"/>
      <scheme val="minor"/>
    </font>
    <font>
      <b/>
      <sz val="16"/>
      <color theme="1"/>
      <name val="Aptos Narrow"/>
      <family val="2"/>
      <scheme val="minor"/>
    </font>
    <font>
      <sz val="16"/>
      <color theme="1"/>
      <name val="Aptos Narrow"/>
      <family val="2"/>
      <scheme val="minor"/>
    </font>
    <font>
      <b/>
      <sz val="12"/>
      <color theme="1"/>
      <name val="Aptos Narrow"/>
      <family val="2"/>
      <scheme val="minor"/>
    </font>
    <font>
      <b/>
      <sz val="11"/>
      <color rgb="FFFF0000"/>
      <name val="Aptos Narrow"/>
      <family val="2"/>
      <scheme val="minor"/>
    </font>
    <font>
      <sz val="8"/>
      <name val="Aptos Narrow"/>
      <family val="2"/>
      <scheme val="minor"/>
    </font>
    <font>
      <sz val="11"/>
      <color theme="0"/>
      <name val="Aptos Narrow"/>
      <family val="2"/>
      <scheme val="minor"/>
    </font>
  </fonts>
  <fills count="22">
    <fill>
      <patternFill patternType="none"/>
    </fill>
    <fill>
      <patternFill patternType="gray125"/>
    </fill>
    <fill>
      <patternFill patternType="solid">
        <fgColor rgb="FFFFC000"/>
        <bgColor indexed="64"/>
      </patternFill>
    </fill>
    <fill>
      <patternFill patternType="solid">
        <fgColor rgb="FF7030A0"/>
        <bgColor indexed="64"/>
      </patternFill>
    </fill>
    <fill>
      <patternFill patternType="solid">
        <fgColor theme="0" tint="-0.249977111117893"/>
        <bgColor indexed="64"/>
      </patternFill>
    </fill>
    <fill>
      <patternFill patternType="solid">
        <fgColor rgb="FFFF99CC"/>
        <bgColor indexed="64"/>
      </patternFill>
    </fill>
    <fill>
      <patternFill patternType="solid">
        <fgColor rgb="FFFF0000"/>
        <bgColor indexed="64"/>
      </patternFill>
    </fill>
    <fill>
      <patternFill patternType="solid">
        <fgColor rgb="FFA50021"/>
        <bgColor indexed="64"/>
      </patternFill>
    </fill>
    <fill>
      <patternFill patternType="solid">
        <fgColor rgb="FFFFFF00"/>
        <bgColor indexed="64"/>
      </patternFill>
    </fill>
    <fill>
      <patternFill patternType="solid">
        <fgColor rgb="FFF1682B"/>
        <bgColor indexed="64"/>
      </patternFill>
    </fill>
    <fill>
      <patternFill patternType="solid">
        <fgColor rgb="FF00B050"/>
        <bgColor indexed="64"/>
      </patternFill>
    </fill>
    <fill>
      <patternFill patternType="solid">
        <fgColor theme="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9FF99"/>
        <bgColor indexed="64"/>
      </patternFill>
    </fill>
    <fill>
      <patternFill patternType="solid">
        <fgColor rgb="FFCCFF33"/>
        <bgColor indexed="64"/>
      </patternFill>
    </fill>
    <fill>
      <patternFill patternType="solid">
        <fgColor rgb="FFFF0066"/>
        <bgColor indexed="64"/>
      </patternFill>
    </fill>
    <fill>
      <patternFill patternType="solid">
        <fgColor theme="2" tint="-0.499984740745262"/>
        <bgColor indexed="64"/>
      </patternFill>
    </fill>
    <fill>
      <patternFill patternType="solid">
        <fgColor rgb="FFCC66FF"/>
        <bgColor indexed="64"/>
      </patternFill>
    </fill>
    <fill>
      <patternFill patternType="solid">
        <fgColor rgb="FFFFCCFF"/>
        <bgColor indexed="64"/>
      </patternFill>
    </fill>
    <fill>
      <patternFill patternType="solid">
        <fgColor rgb="FFFF9999"/>
        <bgColor indexed="64"/>
      </patternFill>
    </fill>
    <fill>
      <patternFill patternType="solid">
        <fgColor rgb="FFFFCCCC"/>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64"/>
      </right>
      <top style="medium">
        <color indexed="64"/>
      </top>
      <bottom/>
      <diagonal/>
    </border>
  </borders>
  <cellStyleXfs count="4">
    <xf numFmtId="0" fontId="0" fillId="0" borderId="0"/>
    <xf numFmtId="44" fontId="1" fillId="0" borderId="0" applyFont="0" applyFill="0" applyBorder="0" applyAlignment="0" applyProtection="0"/>
    <xf numFmtId="0" fontId="11" fillId="0" borderId="0" applyNumberFormat="0" applyFill="0" applyBorder="0" applyAlignment="0" applyProtection="0"/>
    <xf numFmtId="9" fontId="1" fillId="0" borderId="0" applyFont="0" applyFill="0" applyBorder="0" applyAlignment="0" applyProtection="0"/>
  </cellStyleXfs>
  <cellXfs count="164">
    <xf numFmtId="0" fontId="0" fillId="0" borderId="0" xfId="0"/>
    <xf numFmtId="0" fontId="0" fillId="0" borderId="1"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1" xfId="0" applyBorder="1"/>
    <xf numFmtId="0" fontId="0" fillId="0" borderId="1" xfId="0" applyBorder="1" applyAlignment="1">
      <alignment horizontal="righ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7" xfId="0" applyFont="1" applyFill="1" applyBorder="1" applyAlignment="1">
      <alignment horizontal="center"/>
    </xf>
    <xf numFmtId="0" fontId="2" fillId="2" borderId="10" xfId="0" applyFont="1" applyFill="1" applyBorder="1" applyAlignment="1">
      <alignment horizontal="center"/>
    </xf>
    <xf numFmtId="0" fontId="0" fillId="0" borderId="12" xfId="0" applyBorder="1"/>
    <xf numFmtId="0" fontId="2" fillId="2" borderId="13" xfId="0" applyFont="1" applyFill="1" applyBorder="1" applyAlignment="1">
      <alignment horizontal="center"/>
    </xf>
    <xf numFmtId="44" fontId="0" fillId="0" borderId="0" xfId="1" applyFont="1"/>
    <xf numFmtId="0" fontId="2" fillId="0" borderId="0" xfId="0" applyFont="1" applyAlignment="1">
      <alignment horizontal="center"/>
    </xf>
    <xf numFmtId="0" fontId="2" fillId="0" borderId="0" xfId="0" applyFont="1" applyAlignment="1">
      <alignment horizontal="left"/>
    </xf>
    <xf numFmtId="0" fontId="5" fillId="0" borderId="0" xfId="0" applyFont="1" applyAlignment="1">
      <alignment horizontal="left"/>
    </xf>
    <xf numFmtId="0" fontId="5" fillId="5" borderId="1" xfId="0" applyFont="1" applyFill="1" applyBorder="1" applyAlignment="1">
      <alignment horizontal="center"/>
    </xf>
    <xf numFmtId="0" fontId="6" fillId="0" borderId="1" xfId="0" applyFont="1" applyBorder="1" applyAlignment="1">
      <alignment horizontal="center"/>
    </xf>
    <xf numFmtId="164" fontId="6" fillId="0" borderId="1" xfId="1" applyNumberFormat="1" applyFont="1" applyBorder="1" applyAlignment="1">
      <alignment horizontal="center"/>
    </xf>
    <xf numFmtId="164" fontId="6" fillId="0" borderId="1" xfId="0" applyNumberFormat="1" applyFont="1" applyBorder="1"/>
    <xf numFmtId="0" fontId="6" fillId="0" borderId="1" xfId="0" applyFont="1" applyBorder="1"/>
    <xf numFmtId="0" fontId="6" fillId="0" borderId="0" xfId="0" applyFont="1"/>
    <xf numFmtId="0" fontId="7" fillId="0" borderId="0" xfId="0" applyFont="1"/>
    <xf numFmtId="0" fontId="8" fillId="5" borderId="1" xfId="0" applyFont="1" applyFill="1" applyBorder="1"/>
    <xf numFmtId="0" fontId="9" fillId="0" borderId="1" xfId="0" applyFont="1" applyBorder="1"/>
    <xf numFmtId="0" fontId="9" fillId="6" borderId="1" xfId="0" applyFont="1" applyFill="1" applyBorder="1"/>
    <xf numFmtId="0" fontId="9" fillId="7" borderId="1" xfId="0" applyFont="1" applyFill="1" applyBorder="1"/>
    <xf numFmtId="0" fontId="9" fillId="8" borderId="1" xfId="0" applyFont="1" applyFill="1" applyBorder="1"/>
    <xf numFmtId="0" fontId="9" fillId="9" borderId="1" xfId="0" applyFont="1" applyFill="1" applyBorder="1"/>
    <xf numFmtId="0" fontId="9" fillId="0" borderId="0" xfId="0" applyFont="1"/>
    <xf numFmtId="14" fontId="0" fillId="0" borderId="0" xfId="0" applyNumberFormat="1"/>
    <xf numFmtId="0" fontId="8" fillId="5" borderId="0" xfId="0" applyFont="1" applyFill="1" applyAlignment="1">
      <alignment horizontal="center"/>
    </xf>
    <xf numFmtId="18" fontId="0" fillId="0" borderId="0" xfId="0" applyNumberFormat="1"/>
    <xf numFmtId="0" fontId="0" fillId="0" borderId="0" xfId="0" applyAlignment="1">
      <alignment wrapText="1"/>
    </xf>
    <xf numFmtId="0" fontId="2" fillId="10" borderId="1" xfId="0" applyFont="1" applyFill="1" applyBorder="1"/>
    <xf numFmtId="0" fontId="2" fillId="11" borderId="8" xfId="0" applyFont="1" applyFill="1" applyBorder="1"/>
    <xf numFmtId="0" fontId="0" fillId="12" borderId="1" xfId="0" applyFill="1" applyBorder="1"/>
    <xf numFmtId="0" fontId="2" fillId="0" borderId="1" xfId="0" applyFont="1" applyBorder="1"/>
    <xf numFmtId="0" fontId="2" fillId="0" borderId="1" xfId="0" applyFont="1" applyBorder="1" applyAlignment="1">
      <alignment wrapText="1"/>
    </xf>
    <xf numFmtId="0" fontId="8" fillId="5" borderId="1" xfId="0" applyFont="1" applyFill="1" applyBorder="1" applyAlignment="1">
      <alignment horizontal="center"/>
    </xf>
    <xf numFmtId="14" fontId="0" fillId="0" borderId="1" xfId="0" applyNumberFormat="1" applyBorder="1"/>
    <xf numFmtId="0" fontId="2" fillId="12" borderId="1" xfId="0" applyFont="1" applyFill="1" applyBorder="1"/>
    <xf numFmtId="0" fontId="2" fillId="12" borderId="1" xfId="0" applyFont="1" applyFill="1" applyBorder="1" applyAlignment="1">
      <alignment wrapText="1"/>
    </xf>
    <xf numFmtId="0" fontId="5" fillId="13" borderId="1" xfId="0" applyFont="1" applyFill="1" applyBorder="1" applyAlignment="1">
      <alignment horizontal="center"/>
    </xf>
    <xf numFmtId="0" fontId="2" fillId="13" borderId="1" xfId="0" applyFont="1" applyFill="1" applyBorder="1"/>
    <xf numFmtId="0" fontId="0" fillId="0" borderId="1" xfId="0" applyBorder="1" applyAlignment="1">
      <alignment horizontal="center"/>
    </xf>
    <xf numFmtId="0" fontId="2" fillId="0" borderId="0" xfId="0" applyFont="1"/>
    <xf numFmtId="0" fontId="2" fillId="14" borderId="1" xfId="0" applyFont="1" applyFill="1" applyBorder="1"/>
    <xf numFmtId="0" fontId="0" fillId="0" borderId="14" xfId="0" applyBorder="1"/>
    <xf numFmtId="0" fontId="2" fillId="5" borderId="1" xfId="0" applyFont="1" applyFill="1" applyBorder="1"/>
    <xf numFmtId="0" fontId="2" fillId="9" borderId="1" xfId="0" applyFont="1" applyFill="1" applyBorder="1"/>
    <xf numFmtId="0" fontId="2" fillId="8" borderId="1" xfId="0" applyFont="1" applyFill="1" applyBorder="1"/>
    <xf numFmtId="0" fontId="0" fillId="14" borderId="0" xfId="0" applyFill="1"/>
    <xf numFmtId="0" fontId="6" fillId="14" borderId="0" xfId="0" applyFont="1" applyFill="1"/>
    <xf numFmtId="0" fontId="12" fillId="14" borderId="0" xfId="2" applyFont="1" applyFill="1"/>
    <xf numFmtId="0" fontId="5" fillId="14" borderId="0" xfId="0" applyFont="1" applyFill="1"/>
    <xf numFmtId="0" fontId="5" fillId="16" borderId="1" xfId="0" applyFont="1" applyFill="1" applyBorder="1" applyAlignment="1">
      <alignment horizontal="center"/>
    </xf>
    <xf numFmtId="0" fontId="5" fillId="16" borderId="8" xfId="0" applyFont="1" applyFill="1" applyBorder="1" applyAlignment="1">
      <alignment horizontal="center"/>
    </xf>
    <xf numFmtId="0" fontId="6" fillId="0" borderId="8" xfId="0" applyFont="1" applyBorder="1"/>
    <xf numFmtId="0" fontId="6" fillId="0" borderId="10" xfId="0" applyFont="1" applyBorder="1"/>
    <xf numFmtId="0" fontId="6" fillId="0" borderId="14" xfId="0" applyFont="1" applyBorder="1"/>
    <xf numFmtId="0" fontId="5" fillId="15" borderId="0" xfId="0" applyFont="1" applyFill="1"/>
    <xf numFmtId="0" fontId="2" fillId="15" borderId="0" xfId="0" applyFont="1" applyFill="1"/>
    <xf numFmtId="0" fontId="2" fillId="8" borderId="0" xfId="0" applyFont="1" applyFill="1"/>
    <xf numFmtId="0" fontId="16" fillId="8" borderId="0" xfId="0" applyFont="1" applyFill="1"/>
    <xf numFmtId="0" fontId="0" fillId="8" borderId="0" xfId="0" applyFill="1"/>
    <xf numFmtId="0" fontId="2" fillId="18" borderId="1" xfId="0" applyFont="1" applyFill="1" applyBorder="1"/>
    <xf numFmtId="0" fontId="11" fillId="0" borderId="1" xfId="2" applyFill="1" applyBorder="1"/>
    <xf numFmtId="0" fontId="11" fillId="0" borderId="1" xfId="2" applyBorder="1"/>
    <xf numFmtId="0" fontId="0" fillId="19" borderId="0" xfId="0" applyFill="1" applyAlignment="1">
      <alignment horizontal="center" wrapText="1"/>
    </xf>
    <xf numFmtId="0" fontId="0" fillId="0" borderId="1" xfId="0" applyBorder="1" applyAlignment="1">
      <alignment wrapText="1"/>
    </xf>
    <xf numFmtId="0" fontId="0" fillId="0" borderId="0" xfId="0" applyAlignment="1">
      <alignment horizontal="center" wrapText="1"/>
    </xf>
    <xf numFmtId="0" fontId="0" fillId="0" borderId="0" xfId="0" pivotButton="1"/>
    <xf numFmtId="0" fontId="0" fillId="0" borderId="0" xfId="0" applyAlignment="1">
      <alignment horizontal="left"/>
    </xf>
    <xf numFmtId="0" fontId="2" fillId="21" borderId="1" xfId="0" applyFont="1" applyFill="1" applyBorder="1"/>
    <xf numFmtId="0" fontId="2" fillId="21" borderId="15" xfId="0" applyFont="1" applyFill="1" applyBorder="1"/>
    <xf numFmtId="0" fontId="0" fillId="0" borderId="15" xfId="0" applyBorder="1"/>
    <xf numFmtId="0" fontId="0" fillId="0" borderId="16" xfId="0" applyBorder="1"/>
    <xf numFmtId="0" fontId="0" fillId="0" borderId="17" xfId="0" applyBorder="1"/>
    <xf numFmtId="0" fontId="0" fillId="0" borderId="19" xfId="0" applyBorder="1"/>
    <xf numFmtId="0" fontId="0" fillId="0" borderId="20" xfId="0" applyBorder="1"/>
    <xf numFmtId="0" fontId="2" fillId="21" borderId="8" xfId="0" applyFont="1" applyFill="1" applyBorder="1"/>
    <xf numFmtId="0" fontId="2" fillId="21" borderId="11" xfId="0" applyFont="1" applyFill="1" applyBorder="1"/>
    <xf numFmtId="0" fontId="2" fillId="21" borderId="2" xfId="0" applyFont="1" applyFill="1" applyBorder="1"/>
    <xf numFmtId="0" fontId="2" fillId="21" borderId="18" xfId="0" applyFont="1" applyFill="1" applyBorder="1"/>
    <xf numFmtId="0" fontId="2" fillId="20" borderId="21" xfId="0" applyFont="1" applyFill="1" applyBorder="1"/>
    <xf numFmtId="3" fontId="0" fillId="0" borderId="0" xfId="0" applyNumberFormat="1"/>
    <xf numFmtId="9" fontId="0" fillId="0" borderId="0" xfId="0" applyNumberFormat="1"/>
    <xf numFmtId="9" fontId="0" fillId="0" borderId="0" xfId="3" applyFont="1"/>
    <xf numFmtId="0" fontId="0" fillId="0" borderId="0" xfId="1" applyNumberFormat="1" applyFont="1"/>
    <xf numFmtId="8" fontId="0" fillId="0" borderId="0" xfId="0" applyNumberFormat="1"/>
    <xf numFmtId="0" fontId="0" fillId="21" borderId="1" xfId="0" applyFill="1" applyBorder="1"/>
    <xf numFmtId="9" fontId="0" fillId="21" borderId="1" xfId="0" applyNumberFormat="1" applyFill="1" applyBorder="1"/>
    <xf numFmtId="8" fontId="0" fillId="21" borderId="1" xfId="0" applyNumberFormat="1" applyFill="1" applyBorder="1"/>
    <xf numFmtId="0" fontId="0" fillId="19" borderId="1" xfId="0" applyFill="1" applyBorder="1"/>
    <xf numFmtId="9" fontId="0" fillId="19" borderId="1" xfId="0" applyNumberFormat="1" applyFill="1" applyBorder="1"/>
    <xf numFmtId="8" fontId="0" fillId="19" borderId="1" xfId="0" applyNumberFormat="1" applyFill="1" applyBorder="1"/>
    <xf numFmtId="0" fontId="19" fillId="0" borderId="0" xfId="0" applyFont="1"/>
    <xf numFmtId="9" fontId="19" fillId="0" borderId="0" xfId="0" applyNumberFormat="1" applyFont="1"/>
    <xf numFmtId="8" fontId="19" fillId="0" borderId="0" xfId="0" applyNumberFormat="1" applyFont="1"/>
    <xf numFmtId="0" fontId="0" fillId="0" borderId="22" xfId="0" applyBorder="1"/>
    <xf numFmtId="0" fontId="0" fillId="0" borderId="24" xfId="0" applyBorder="1"/>
    <xf numFmtId="0" fontId="0" fillId="0" borderId="25" xfId="0" applyBorder="1"/>
    <xf numFmtId="0" fontId="0" fillId="21" borderId="0" xfId="0" applyFill="1"/>
    <xf numFmtId="8" fontId="0" fillId="21" borderId="0" xfId="0" applyNumberFormat="1" applyFill="1"/>
    <xf numFmtId="0" fontId="0" fillId="19" borderId="0" xfId="0" applyFill="1"/>
    <xf numFmtId="8" fontId="0" fillId="19" borderId="0" xfId="0" applyNumberFormat="1" applyFill="1"/>
    <xf numFmtId="0" fontId="0" fillId="0" borderId="27" xfId="0" applyBorder="1"/>
    <xf numFmtId="0" fontId="0" fillId="0" borderId="0" xfId="0" applyAlignment="1">
      <alignment horizontal="center"/>
    </xf>
    <xf numFmtId="0" fontId="0" fillId="0" borderId="10" xfId="0" applyBorder="1"/>
    <xf numFmtId="0" fontId="0" fillId="0" borderId="21" xfId="0" applyBorder="1"/>
    <xf numFmtId="0" fontId="0" fillId="0" borderId="13" xfId="0" applyBorder="1"/>
    <xf numFmtId="3" fontId="0" fillId="0" borderId="28" xfId="0" applyNumberFormat="1" applyBorder="1"/>
    <xf numFmtId="3" fontId="0" fillId="0" borderId="29" xfId="0" applyNumberFormat="1" applyBorder="1"/>
    <xf numFmtId="3" fontId="2" fillId="0" borderId="30" xfId="0" applyNumberFormat="1" applyFont="1" applyBorder="1"/>
    <xf numFmtId="3" fontId="0" fillId="0" borderId="30" xfId="0" applyNumberFormat="1" applyBorder="1"/>
    <xf numFmtId="3" fontId="2" fillId="0" borderId="29" xfId="0" applyNumberFormat="1" applyFont="1" applyBorder="1"/>
    <xf numFmtId="0" fontId="2" fillId="0" borderId="29" xfId="0" applyFont="1" applyBorder="1"/>
    <xf numFmtId="0" fontId="2" fillId="0" borderId="30" xfId="0" applyFont="1" applyBorder="1"/>
    <xf numFmtId="0" fontId="2" fillId="0" borderId="13" xfId="0" applyFont="1" applyBorder="1"/>
    <xf numFmtId="0" fontId="2" fillId="0" borderId="21" xfId="0" applyFont="1" applyBorder="1"/>
    <xf numFmtId="0" fontId="2" fillId="20" borderId="1" xfId="0" applyFont="1" applyFill="1" applyBorder="1"/>
    <xf numFmtId="10" fontId="0" fillId="0" borderId="0" xfId="0" applyNumberFormat="1"/>
    <xf numFmtId="165" fontId="0" fillId="0" borderId="0" xfId="0" applyNumberFormat="1"/>
    <xf numFmtId="0" fontId="3" fillId="3" borderId="0" xfId="0" applyFont="1" applyFill="1" applyAlignment="1">
      <alignment horizontal="center"/>
    </xf>
    <xf numFmtId="0" fontId="0" fillId="3" borderId="0" xfId="0" applyFill="1" applyAlignment="1">
      <alignment horizontal="center"/>
    </xf>
    <xf numFmtId="0" fontId="4" fillId="4" borderId="0" xfId="0" applyFont="1" applyFill="1" applyAlignment="1">
      <alignment horizontal="center"/>
    </xf>
    <xf numFmtId="0" fontId="0" fillId="4" borderId="0" xfId="0" applyFill="1" applyAlignment="1">
      <alignment horizontal="center"/>
    </xf>
    <xf numFmtId="0" fontId="2" fillId="12" borderId="1" xfId="0" applyFont="1" applyFill="1" applyBorder="1" applyAlignment="1">
      <alignment horizontal="center"/>
    </xf>
    <xf numFmtId="0" fontId="0" fillId="8" borderId="0" xfId="0" applyFill="1" applyAlignment="1">
      <alignment horizontal="center" wrapText="1"/>
    </xf>
    <xf numFmtId="0" fontId="2" fillId="14" borderId="0" xfId="0" applyFont="1" applyFill="1" applyAlignment="1">
      <alignment horizontal="center"/>
    </xf>
    <xf numFmtId="0" fontId="0" fillId="5" borderId="14" xfId="0" applyFill="1" applyBorder="1" applyAlignment="1">
      <alignment horizontal="center" wrapText="1"/>
    </xf>
    <xf numFmtId="0" fontId="0" fillId="5" borderId="0" xfId="0" applyFill="1" applyAlignment="1">
      <alignment horizontal="center" wrapText="1"/>
    </xf>
    <xf numFmtId="0" fontId="0" fillId="9" borderId="14" xfId="0" applyFill="1" applyBorder="1" applyAlignment="1">
      <alignment horizontal="center" wrapText="1"/>
    </xf>
    <xf numFmtId="0" fontId="0" fillId="9" borderId="0" xfId="0" applyFill="1" applyAlignment="1">
      <alignment horizontal="center" wrapText="1"/>
    </xf>
    <xf numFmtId="0" fontId="0" fillId="12" borderId="14" xfId="0" applyFill="1" applyBorder="1" applyAlignment="1">
      <alignment horizontal="center" wrapText="1"/>
    </xf>
    <xf numFmtId="0" fontId="0" fillId="12" borderId="0" xfId="0" applyFill="1" applyAlignment="1">
      <alignment horizontal="center" wrapText="1"/>
    </xf>
    <xf numFmtId="0" fontId="10" fillId="14" borderId="0" xfId="0" applyFont="1" applyFill="1" applyAlignment="1">
      <alignment horizontal="center" wrapText="1"/>
    </xf>
    <xf numFmtId="0" fontId="13" fillId="15" borderId="0" xfId="0" applyFont="1" applyFill="1" applyAlignment="1">
      <alignment horizontal="center" wrapText="1"/>
    </xf>
    <xf numFmtId="0" fontId="2" fillId="15" borderId="0" xfId="0" applyFont="1" applyFill="1" applyAlignment="1">
      <alignment horizontal="center" wrapText="1"/>
    </xf>
    <xf numFmtId="0" fontId="9" fillId="15" borderId="0" xfId="0" applyFont="1" applyFill="1" applyAlignment="1">
      <alignment horizontal="center" wrapText="1"/>
    </xf>
    <xf numFmtId="0" fontId="0" fillId="15" borderId="0" xfId="0" applyFill="1" applyAlignment="1">
      <alignment horizontal="center" wrapText="1"/>
    </xf>
    <xf numFmtId="0" fontId="14" fillId="15" borderId="0" xfId="0" applyFont="1" applyFill="1" applyAlignment="1">
      <alignment horizontal="center" wrapText="1"/>
    </xf>
    <xf numFmtId="0" fontId="0" fillId="17" borderId="0" xfId="0" applyFill="1" applyAlignment="1">
      <alignment horizontal="center" wrapText="1"/>
    </xf>
    <xf numFmtId="0" fontId="9" fillId="17" borderId="0" xfId="0" applyFont="1" applyFill="1" applyAlignment="1">
      <alignment horizontal="center" wrapText="1"/>
    </xf>
    <xf numFmtId="0" fontId="2" fillId="5" borderId="0" xfId="0" applyFont="1" applyFill="1" applyAlignment="1">
      <alignment horizontal="center" wrapText="1"/>
    </xf>
    <xf numFmtId="0" fontId="17" fillId="0" borderId="0" xfId="0" applyFont="1" applyAlignment="1">
      <alignment horizontal="center" wrapText="1"/>
    </xf>
    <xf numFmtId="0" fontId="2" fillId="0" borderId="0" xfId="0" applyFont="1" applyAlignment="1">
      <alignment horizontal="center" wrapText="1"/>
    </xf>
    <xf numFmtId="0" fontId="2" fillId="20" borderId="22" xfId="0" applyFont="1" applyFill="1" applyBorder="1" applyAlignment="1">
      <alignment horizontal="center" wrapText="1"/>
    </xf>
    <xf numFmtId="0" fontId="2" fillId="20" borderId="23" xfId="0" applyFont="1" applyFill="1" applyBorder="1" applyAlignment="1">
      <alignment horizontal="center" wrapText="1"/>
    </xf>
    <xf numFmtId="0" fontId="2" fillId="20" borderId="31" xfId="0" applyFont="1" applyFill="1" applyBorder="1" applyAlignment="1">
      <alignment horizontal="center" wrapText="1"/>
    </xf>
    <xf numFmtId="0" fontId="2" fillId="21" borderId="0" xfId="0" applyFont="1" applyFill="1" applyAlignment="1">
      <alignment horizontal="center" wrapText="1"/>
    </xf>
    <xf numFmtId="0" fontId="0" fillId="0" borderId="26" xfId="0" applyBorder="1" applyAlignment="1">
      <alignment horizontal="center" wrapText="1"/>
    </xf>
    <xf numFmtId="0" fontId="0" fillId="0" borderId="22" xfId="0" applyBorder="1" applyAlignment="1">
      <alignment horizont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0" xfId="0" applyAlignment="1">
      <alignment horizontal="center" wrapText="1"/>
    </xf>
    <xf numFmtId="1" fontId="0" fillId="0" borderId="0" xfId="0" applyNumberFormat="1"/>
  </cellXfs>
  <cellStyles count="4">
    <cellStyle name="Currency" xfId="1" builtinId="4"/>
    <cellStyle name="Hyperlink" xfId="2" builtinId="8"/>
    <cellStyle name="Normal" xfId="0" builtinId="0"/>
    <cellStyle name="Percent" xfId="3" builtinId="5"/>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fill>
        <patternFill patternType="solid">
          <fgColor indexed="64"/>
          <bgColor rgb="FFFFC00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99FFCC"/>
      <color rgb="FF33CCFF"/>
      <color rgb="FFFFCCCC"/>
      <color rgb="FFFFCCFF"/>
      <color rgb="FFCCFFFF"/>
      <color rgb="FFFF9999"/>
      <color rgb="FFFF99CC"/>
      <color rgb="FFFF5050"/>
      <color rgb="FFCC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 Id="rId30"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 SUM AND PIE'!$J$4</c:f>
              <c:strCache>
                <c:ptCount val="1"/>
                <c:pt idx="0">
                  <c:v>MARKS</c:v>
                </c:pt>
              </c:strCache>
            </c:strRef>
          </c:tx>
          <c:explosion val="24"/>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6DB-44FC-B810-D00F14768CE0}"/>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6DB-44FC-B810-D00F14768CE0}"/>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6DB-44FC-B810-D00F14768CE0}"/>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6DB-44FC-B810-D00F14768CE0}"/>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6DB-44FC-B810-D00F14768CE0}"/>
              </c:ext>
            </c:extLst>
          </c:dPt>
          <c:dPt>
            <c:idx val="5"/>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6DB-44FC-B810-D00F14768CE0}"/>
              </c:ext>
            </c:extLst>
          </c:dPt>
          <c:dPt>
            <c:idx val="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6DB-44FC-B810-D00F14768CE0}"/>
              </c:ext>
            </c:extLst>
          </c:dPt>
          <c:dPt>
            <c:idx val="7"/>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6DB-44FC-B810-D00F14768CE0}"/>
              </c:ext>
            </c:extLst>
          </c:dPt>
          <c:dPt>
            <c:idx val="8"/>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6DB-44FC-B810-D00F14768CE0}"/>
              </c:ext>
            </c:extLst>
          </c:dPt>
          <c:dPt>
            <c:idx val="9"/>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6DB-44FC-B810-D00F14768CE0}"/>
              </c:ext>
            </c:extLst>
          </c:dPt>
          <c:dPt>
            <c:idx val="1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6DB-44FC-B810-D00F14768CE0}"/>
              </c:ext>
            </c:extLst>
          </c:dPt>
          <c:dPt>
            <c:idx val="11"/>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6DB-44FC-B810-D00F14768CE0}"/>
              </c:ext>
            </c:extLst>
          </c:dPt>
          <c:dPt>
            <c:idx val="12"/>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6DB-44FC-B810-D00F14768CE0}"/>
              </c:ext>
            </c:extLst>
          </c:dPt>
          <c:dPt>
            <c:idx val="13"/>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D6DB-44FC-B810-D00F14768CE0}"/>
              </c:ext>
            </c:extLst>
          </c:dPt>
          <c:dPt>
            <c:idx val="14"/>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6DB-44FC-B810-D00F14768CE0}"/>
              </c:ext>
            </c:extLst>
          </c:dPt>
          <c:cat>
            <c:multiLvlStrRef>
              <c:f>' SUM AND PIE'!$H$5:$I$19</c:f>
              <c:multiLvlStrCache>
                <c:ptCount val="15"/>
                <c:lvl>
                  <c:pt idx="0">
                    <c:v>M</c:v>
                  </c:pt>
                  <c:pt idx="1">
                    <c:v>F</c:v>
                  </c:pt>
                  <c:pt idx="2">
                    <c:v>M</c:v>
                  </c:pt>
                  <c:pt idx="3">
                    <c:v>F</c:v>
                  </c:pt>
                  <c:pt idx="4">
                    <c:v>F</c:v>
                  </c:pt>
                  <c:pt idx="5">
                    <c:v>M</c:v>
                  </c:pt>
                  <c:pt idx="6">
                    <c:v>M</c:v>
                  </c:pt>
                  <c:pt idx="7">
                    <c:v>M</c:v>
                  </c:pt>
                  <c:pt idx="8">
                    <c:v>M</c:v>
                  </c:pt>
                  <c:pt idx="9">
                    <c:v>F</c:v>
                  </c:pt>
                  <c:pt idx="10">
                    <c:v>F</c:v>
                  </c:pt>
                  <c:pt idx="11">
                    <c:v>F</c:v>
                  </c:pt>
                  <c:pt idx="12">
                    <c:v>F</c:v>
                  </c:pt>
                  <c:pt idx="13">
                    <c:v>M</c:v>
                  </c:pt>
                  <c:pt idx="14">
                    <c:v>M</c:v>
                  </c:pt>
                </c:lvl>
                <c:lvl>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lvl>
              </c:multiLvlStrCache>
            </c:multiLvlStrRef>
          </c:cat>
          <c:val>
            <c:numRef>
              <c:f>' SUM AND PIE'!$J$5:$J$19</c:f>
              <c:numCache>
                <c:formatCode>General</c:formatCode>
                <c:ptCount val="15"/>
                <c:pt idx="0">
                  <c:v>52</c:v>
                </c:pt>
                <c:pt idx="1">
                  <c:v>14</c:v>
                </c:pt>
                <c:pt idx="2">
                  <c:v>65</c:v>
                </c:pt>
                <c:pt idx="3">
                  <c:v>85</c:v>
                </c:pt>
                <c:pt idx="4">
                  <c:v>45</c:v>
                </c:pt>
                <c:pt idx="5">
                  <c:v>96</c:v>
                </c:pt>
                <c:pt idx="6">
                  <c:v>74</c:v>
                </c:pt>
                <c:pt idx="7">
                  <c:v>89</c:v>
                </c:pt>
                <c:pt idx="8">
                  <c:v>56</c:v>
                </c:pt>
                <c:pt idx="9">
                  <c:v>25</c:v>
                </c:pt>
                <c:pt idx="10">
                  <c:v>45</c:v>
                </c:pt>
                <c:pt idx="11">
                  <c:v>89</c:v>
                </c:pt>
                <c:pt idx="12">
                  <c:v>49</c:v>
                </c:pt>
                <c:pt idx="13">
                  <c:v>50</c:v>
                </c:pt>
                <c:pt idx="14">
                  <c:v>90</c:v>
                </c:pt>
              </c:numCache>
            </c:numRef>
          </c:val>
          <c:extLst>
            <c:ext xmlns:c16="http://schemas.microsoft.com/office/drawing/2014/chart" uri="{C3380CC4-5D6E-409C-BE32-E72D297353CC}">
              <c16:uniqueId val="{00000000-BE6E-4E34-B4B1-B428FF2B118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[textfile.xlsx]Pivot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Sum of SUB 1</c:v>
                </c:pt>
              </c:strCache>
            </c:strRef>
          </c:tx>
          <c:spPr>
            <a:solidFill>
              <a:schemeClr val="accent1"/>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table'!$B$2:$B$10</c:f>
              <c:numCache>
                <c:formatCode>General</c:formatCode>
                <c:ptCount val="8"/>
                <c:pt idx="0">
                  <c:v>100</c:v>
                </c:pt>
                <c:pt idx="1">
                  <c:v>600</c:v>
                </c:pt>
                <c:pt idx="2">
                  <c:v>300</c:v>
                </c:pt>
                <c:pt idx="3">
                  <c:v>200</c:v>
                </c:pt>
                <c:pt idx="4">
                  <c:v>500</c:v>
                </c:pt>
                <c:pt idx="5">
                  <c:v>600</c:v>
                </c:pt>
                <c:pt idx="6">
                  <c:v>500</c:v>
                </c:pt>
                <c:pt idx="7">
                  <c:v>800</c:v>
                </c:pt>
              </c:numCache>
            </c:numRef>
          </c:val>
          <c:extLst>
            <c:ext xmlns:c16="http://schemas.microsoft.com/office/drawing/2014/chart" uri="{C3380CC4-5D6E-409C-BE32-E72D297353CC}">
              <c16:uniqueId val="{00000000-1512-4FD7-9024-F2C9D89C809B}"/>
            </c:ext>
          </c:extLst>
        </c:ser>
        <c:ser>
          <c:idx val="1"/>
          <c:order val="1"/>
          <c:tx>
            <c:strRef>
              <c:f>'Pivot table'!$C$1</c:f>
              <c:strCache>
                <c:ptCount val="1"/>
                <c:pt idx="0">
                  <c:v>Sum of SUB 2</c:v>
                </c:pt>
              </c:strCache>
            </c:strRef>
          </c:tx>
          <c:spPr>
            <a:solidFill>
              <a:schemeClr val="accent2"/>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table'!$C$2:$C$10</c:f>
              <c:numCache>
                <c:formatCode>General</c:formatCode>
                <c:ptCount val="8"/>
                <c:pt idx="0">
                  <c:v>20</c:v>
                </c:pt>
                <c:pt idx="1">
                  <c:v>40</c:v>
                </c:pt>
                <c:pt idx="2">
                  <c:v>60</c:v>
                </c:pt>
                <c:pt idx="3">
                  <c:v>80</c:v>
                </c:pt>
                <c:pt idx="4">
                  <c:v>100</c:v>
                </c:pt>
                <c:pt idx="5">
                  <c:v>120</c:v>
                </c:pt>
                <c:pt idx="6">
                  <c:v>140</c:v>
                </c:pt>
                <c:pt idx="7">
                  <c:v>160</c:v>
                </c:pt>
              </c:numCache>
            </c:numRef>
          </c:val>
          <c:extLst>
            <c:ext xmlns:c16="http://schemas.microsoft.com/office/drawing/2014/chart" uri="{C3380CC4-5D6E-409C-BE32-E72D297353CC}">
              <c16:uniqueId val="{00000002-1512-4FD7-9024-F2C9D89C809B}"/>
            </c:ext>
          </c:extLst>
        </c:ser>
        <c:ser>
          <c:idx val="2"/>
          <c:order val="2"/>
          <c:tx>
            <c:strRef>
              <c:f>'Pivot table'!$D$1</c:f>
              <c:strCache>
                <c:ptCount val="1"/>
                <c:pt idx="0">
                  <c:v>Sum of SUB 3</c:v>
                </c:pt>
              </c:strCache>
            </c:strRef>
          </c:tx>
          <c:spPr>
            <a:solidFill>
              <a:schemeClr val="accent3"/>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table'!$D$2:$D$10</c:f>
              <c:numCache>
                <c:formatCode>General</c:formatCode>
                <c:ptCount val="8"/>
                <c:pt idx="0">
                  <c:v>116</c:v>
                </c:pt>
                <c:pt idx="1">
                  <c:v>214</c:v>
                </c:pt>
                <c:pt idx="2">
                  <c:v>302</c:v>
                </c:pt>
                <c:pt idx="3">
                  <c:v>475</c:v>
                </c:pt>
                <c:pt idx="4">
                  <c:v>324</c:v>
                </c:pt>
                <c:pt idx="5">
                  <c:v>381</c:v>
                </c:pt>
                <c:pt idx="6">
                  <c:v>247</c:v>
                </c:pt>
                <c:pt idx="7">
                  <c:v>229</c:v>
                </c:pt>
              </c:numCache>
            </c:numRef>
          </c:val>
          <c:extLst>
            <c:ext xmlns:c16="http://schemas.microsoft.com/office/drawing/2014/chart" uri="{C3380CC4-5D6E-409C-BE32-E72D297353CC}">
              <c16:uniqueId val="{00000003-1512-4FD7-9024-F2C9D89C809B}"/>
            </c:ext>
          </c:extLst>
        </c:ser>
        <c:ser>
          <c:idx val="3"/>
          <c:order val="3"/>
          <c:tx>
            <c:strRef>
              <c:f>'Pivot table'!$E$1</c:f>
              <c:strCache>
                <c:ptCount val="1"/>
                <c:pt idx="0">
                  <c:v>Sum of SUB 4</c:v>
                </c:pt>
              </c:strCache>
            </c:strRef>
          </c:tx>
          <c:spPr>
            <a:solidFill>
              <a:schemeClr val="accent4"/>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table'!$E$2:$E$10</c:f>
              <c:numCache>
                <c:formatCode>General</c:formatCode>
                <c:ptCount val="8"/>
                <c:pt idx="0">
                  <c:v>94.6666666666667</c:v>
                </c:pt>
                <c:pt idx="1">
                  <c:v>-101.333333333333</c:v>
                </c:pt>
                <c:pt idx="2">
                  <c:v>222.666666666667</c:v>
                </c:pt>
                <c:pt idx="3">
                  <c:v>526.66666666666697</c:v>
                </c:pt>
                <c:pt idx="4">
                  <c:v>132</c:v>
                </c:pt>
                <c:pt idx="5">
                  <c:v>148</c:v>
                </c:pt>
                <c:pt idx="6">
                  <c:v>42.6666666666667</c:v>
                </c:pt>
                <c:pt idx="7">
                  <c:v>-174.666666666667</c:v>
                </c:pt>
              </c:numCache>
            </c:numRef>
          </c:val>
          <c:extLst>
            <c:ext xmlns:c16="http://schemas.microsoft.com/office/drawing/2014/chart" uri="{C3380CC4-5D6E-409C-BE32-E72D297353CC}">
              <c16:uniqueId val="{00000004-1512-4FD7-9024-F2C9D89C809B}"/>
            </c:ext>
          </c:extLst>
        </c:ser>
        <c:ser>
          <c:idx val="4"/>
          <c:order val="4"/>
          <c:tx>
            <c:strRef>
              <c:f>'Pivot table'!$F$1</c:f>
              <c:strCache>
                <c:ptCount val="1"/>
                <c:pt idx="0">
                  <c:v>Sum of SUB 5</c:v>
                </c:pt>
              </c:strCache>
            </c:strRef>
          </c:tx>
          <c:spPr>
            <a:solidFill>
              <a:schemeClr val="accent5"/>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table'!$F$2:$F$10</c:f>
              <c:numCache>
                <c:formatCode>General</c:formatCode>
                <c:ptCount val="8"/>
                <c:pt idx="0">
                  <c:v>102.666666666667</c:v>
                </c:pt>
                <c:pt idx="1">
                  <c:v>-294.33333333333297</c:v>
                </c:pt>
                <c:pt idx="2">
                  <c:v>223.666666666667</c:v>
                </c:pt>
                <c:pt idx="3">
                  <c:v>664.16666666666697</c:v>
                </c:pt>
                <c:pt idx="4">
                  <c:v>44</c:v>
                </c:pt>
                <c:pt idx="5">
                  <c:v>38.5</c:v>
                </c:pt>
                <c:pt idx="6">
                  <c:v>-83.8333333333333</c:v>
                </c:pt>
                <c:pt idx="7">
                  <c:v>-460.16666666666703</c:v>
                </c:pt>
              </c:numCache>
            </c:numRef>
          </c:val>
          <c:extLst>
            <c:ext xmlns:c16="http://schemas.microsoft.com/office/drawing/2014/chart" uri="{C3380CC4-5D6E-409C-BE32-E72D297353CC}">
              <c16:uniqueId val="{00000005-1512-4FD7-9024-F2C9D89C809B}"/>
            </c:ext>
          </c:extLst>
        </c:ser>
        <c:ser>
          <c:idx val="5"/>
          <c:order val="5"/>
          <c:tx>
            <c:strRef>
              <c:f>'Pivot table'!$G$1</c:f>
              <c:strCache>
                <c:ptCount val="1"/>
                <c:pt idx="0">
                  <c:v>Sum of SUB 6</c:v>
                </c:pt>
              </c:strCache>
            </c:strRef>
          </c:tx>
          <c:spPr>
            <a:solidFill>
              <a:schemeClr val="accent6"/>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table'!$G$2:$G$10</c:f>
              <c:numCache>
                <c:formatCode>General</c:formatCode>
                <c:ptCount val="8"/>
                <c:pt idx="0">
                  <c:v>110.666666666667</c:v>
                </c:pt>
                <c:pt idx="1">
                  <c:v>-487.33333333333297</c:v>
                </c:pt>
                <c:pt idx="2">
                  <c:v>224.666666666667</c:v>
                </c:pt>
                <c:pt idx="3">
                  <c:v>801.66666666666697</c:v>
                </c:pt>
                <c:pt idx="4">
                  <c:v>-44</c:v>
                </c:pt>
                <c:pt idx="5">
                  <c:v>-71</c:v>
                </c:pt>
                <c:pt idx="6">
                  <c:v>-210.333333333333</c:v>
                </c:pt>
                <c:pt idx="7">
                  <c:v>-745.66666666666697</c:v>
                </c:pt>
              </c:numCache>
            </c:numRef>
          </c:val>
          <c:extLst>
            <c:ext xmlns:c16="http://schemas.microsoft.com/office/drawing/2014/chart" uri="{C3380CC4-5D6E-409C-BE32-E72D297353CC}">
              <c16:uniqueId val="{00000006-1512-4FD7-9024-F2C9D89C809B}"/>
            </c:ext>
          </c:extLst>
        </c:ser>
        <c:ser>
          <c:idx val="6"/>
          <c:order val="6"/>
          <c:tx>
            <c:strRef>
              <c:f>'Pivot table'!$H$1</c:f>
              <c:strCache>
                <c:ptCount val="1"/>
                <c:pt idx="0">
                  <c:v>Sum of SUB 7</c:v>
                </c:pt>
              </c:strCache>
            </c:strRef>
          </c:tx>
          <c:spPr>
            <a:solidFill>
              <a:schemeClr val="accent1">
                <a:lumMod val="60000"/>
              </a:schemeClr>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table'!$H$2:$H$10</c:f>
              <c:numCache>
                <c:formatCode>General</c:formatCode>
                <c:ptCount val="8"/>
                <c:pt idx="0">
                  <c:v>118.666666666667</c:v>
                </c:pt>
                <c:pt idx="1">
                  <c:v>-680.33333333333303</c:v>
                </c:pt>
                <c:pt idx="2">
                  <c:v>225.666666666667</c:v>
                </c:pt>
                <c:pt idx="3">
                  <c:v>939.16666666666697</c:v>
                </c:pt>
                <c:pt idx="4">
                  <c:v>-132</c:v>
                </c:pt>
                <c:pt idx="5">
                  <c:v>-180.5</c:v>
                </c:pt>
                <c:pt idx="6">
                  <c:v>-336.83333333333297</c:v>
                </c:pt>
                <c:pt idx="7">
                  <c:v>-1031.1666666666699</c:v>
                </c:pt>
              </c:numCache>
            </c:numRef>
          </c:val>
          <c:extLst>
            <c:ext xmlns:c16="http://schemas.microsoft.com/office/drawing/2014/chart" uri="{C3380CC4-5D6E-409C-BE32-E72D297353CC}">
              <c16:uniqueId val="{00000007-1512-4FD7-9024-F2C9D89C809B}"/>
            </c:ext>
          </c:extLst>
        </c:ser>
        <c:ser>
          <c:idx val="7"/>
          <c:order val="7"/>
          <c:tx>
            <c:strRef>
              <c:f>'Pivot table'!$I$1</c:f>
              <c:strCache>
                <c:ptCount val="1"/>
                <c:pt idx="0">
                  <c:v>Sum of SUB 8</c:v>
                </c:pt>
              </c:strCache>
            </c:strRef>
          </c:tx>
          <c:spPr>
            <a:solidFill>
              <a:schemeClr val="accent2">
                <a:lumMod val="60000"/>
              </a:schemeClr>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table'!$I$2:$I$10</c:f>
              <c:numCache>
                <c:formatCode>General</c:formatCode>
                <c:ptCount val="8"/>
                <c:pt idx="0">
                  <c:v>126.666666666667</c:v>
                </c:pt>
                <c:pt idx="1">
                  <c:v>-873.33333333333303</c:v>
                </c:pt>
                <c:pt idx="2">
                  <c:v>226.666666666667</c:v>
                </c:pt>
                <c:pt idx="3">
                  <c:v>1076.6666666666699</c:v>
                </c:pt>
                <c:pt idx="4">
                  <c:v>-220</c:v>
                </c:pt>
                <c:pt idx="5">
                  <c:v>-290</c:v>
                </c:pt>
                <c:pt idx="6">
                  <c:v>-463.33333333333297</c:v>
                </c:pt>
                <c:pt idx="7">
                  <c:v>-1316.6666666666699</c:v>
                </c:pt>
              </c:numCache>
            </c:numRef>
          </c:val>
          <c:extLst>
            <c:ext xmlns:c16="http://schemas.microsoft.com/office/drawing/2014/chart" uri="{C3380CC4-5D6E-409C-BE32-E72D297353CC}">
              <c16:uniqueId val="{00000008-1512-4FD7-9024-F2C9D89C809B}"/>
            </c:ext>
          </c:extLst>
        </c:ser>
        <c:ser>
          <c:idx val="8"/>
          <c:order val="8"/>
          <c:tx>
            <c:strRef>
              <c:f>'Pivot table'!$J$1</c:f>
              <c:strCache>
                <c:ptCount val="1"/>
                <c:pt idx="0">
                  <c:v>Sum of SUB 9</c:v>
                </c:pt>
              </c:strCache>
            </c:strRef>
          </c:tx>
          <c:spPr>
            <a:solidFill>
              <a:schemeClr val="accent3">
                <a:lumMod val="60000"/>
              </a:schemeClr>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table'!$J$2:$J$10</c:f>
              <c:numCache>
                <c:formatCode>General</c:formatCode>
                <c:ptCount val="8"/>
                <c:pt idx="0">
                  <c:v>134.666666666667</c:v>
                </c:pt>
                <c:pt idx="1">
                  <c:v>-1066.3333333333301</c:v>
                </c:pt>
                <c:pt idx="2">
                  <c:v>227.666666666667</c:v>
                </c:pt>
                <c:pt idx="3">
                  <c:v>1214.1666666666699</c:v>
                </c:pt>
                <c:pt idx="4">
                  <c:v>-308</c:v>
                </c:pt>
                <c:pt idx="5">
                  <c:v>-399.5</c:v>
                </c:pt>
                <c:pt idx="6">
                  <c:v>-589.83333333333303</c:v>
                </c:pt>
                <c:pt idx="7">
                  <c:v>-1602.1666666666699</c:v>
                </c:pt>
              </c:numCache>
            </c:numRef>
          </c:val>
          <c:extLst>
            <c:ext xmlns:c16="http://schemas.microsoft.com/office/drawing/2014/chart" uri="{C3380CC4-5D6E-409C-BE32-E72D297353CC}">
              <c16:uniqueId val="{00000009-1512-4FD7-9024-F2C9D89C809B}"/>
            </c:ext>
          </c:extLst>
        </c:ser>
        <c:ser>
          <c:idx val="9"/>
          <c:order val="9"/>
          <c:tx>
            <c:strRef>
              <c:f>'Pivot table'!$K$1</c:f>
              <c:strCache>
                <c:ptCount val="1"/>
                <c:pt idx="0">
                  <c:v>Sum of SUB 10</c:v>
                </c:pt>
              </c:strCache>
            </c:strRef>
          </c:tx>
          <c:spPr>
            <a:solidFill>
              <a:schemeClr val="accent4">
                <a:lumMod val="60000"/>
              </a:schemeClr>
            </a:solidFill>
            <a:ln>
              <a:noFill/>
            </a:ln>
            <a:effectLst/>
          </c:spPr>
          <c:invertIfNegative val="0"/>
          <c:cat>
            <c:strRef>
              <c:f>'Pivot table'!$A$2:$A$10</c:f>
              <c:strCache>
                <c:ptCount val="8"/>
                <c:pt idx="0">
                  <c:v>RAVI 1</c:v>
                </c:pt>
                <c:pt idx="1">
                  <c:v>RAVI 2</c:v>
                </c:pt>
                <c:pt idx="2">
                  <c:v>RAVI 3</c:v>
                </c:pt>
                <c:pt idx="3">
                  <c:v>RAVI 4</c:v>
                </c:pt>
                <c:pt idx="4">
                  <c:v>RAVI 5</c:v>
                </c:pt>
                <c:pt idx="5">
                  <c:v>RAVI 6</c:v>
                </c:pt>
                <c:pt idx="6">
                  <c:v>RAVI 7</c:v>
                </c:pt>
                <c:pt idx="7">
                  <c:v>RAVI 8</c:v>
                </c:pt>
              </c:strCache>
            </c:strRef>
          </c:cat>
          <c:val>
            <c:numRef>
              <c:f>'Pivot table'!$K$2:$K$10</c:f>
              <c:numCache>
                <c:formatCode>General</c:formatCode>
                <c:ptCount val="8"/>
                <c:pt idx="0">
                  <c:v>142.666666666667</c:v>
                </c:pt>
                <c:pt idx="1">
                  <c:v>-1259.3333333333301</c:v>
                </c:pt>
                <c:pt idx="2">
                  <c:v>228.666666666667</c:v>
                </c:pt>
                <c:pt idx="3">
                  <c:v>1351.6666666666699</c:v>
                </c:pt>
                <c:pt idx="4">
                  <c:v>-396</c:v>
                </c:pt>
                <c:pt idx="5">
                  <c:v>-509</c:v>
                </c:pt>
                <c:pt idx="6">
                  <c:v>-716.33333333333303</c:v>
                </c:pt>
                <c:pt idx="7">
                  <c:v>-1887.6666666666699</c:v>
                </c:pt>
              </c:numCache>
            </c:numRef>
          </c:val>
          <c:extLst>
            <c:ext xmlns:c16="http://schemas.microsoft.com/office/drawing/2014/chart" uri="{C3380CC4-5D6E-409C-BE32-E72D297353CC}">
              <c16:uniqueId val="{0000000A-1512-4FD7-9024-F2C9D89C809B}"/>
            </c:ext>
          </c:extLst>
        </c:ser>
        <c:dLbls>
          <c:showLegendKey val="0"/>
          <c:showVal val="0"/>
          <c:showCatName val="0"/>
          <c:showSerName val="0"/>
          <c:showPercent val="0"/>
          <c:showBubbleSize val="0"/>
        </c:dLbls>
        <c:gapWidth val="219"/>
        <c:overlap val="-27"/>
        <c:axId val="1925921983"/>
        <c:axId val="1512152047"/>
      </c:barChart>
      <c:catAx>
        <c:axId val="192592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152047"/>
        <c:crosses val="autoZero"/>
        <c:auto val="1"/>
        <c:lblAlgn val="ctr"/>
        <c:lblOffset val="100"/>
        <c:noMultiLvlLbl val="0"/>
      </c:catAx>
      <c:valAx>
        <c:axId val="151215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921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'Bar chart'!$B$1:$B$2</c:f>
              <c:strCache>
                <c:ptCount val="2"/>
                <c:pt idx="0">
                  <c:v>COLUMN AND BAR CHART</c:v>
                </c:pt>
                <c:pt idx="1">
                  <c:v>SUB 1</c:v>
                </c:pt>
              </c:strCache>
            </c:strRef>
          </c:tx>
          <c:spPr>
            <a:solidFill>
              <a:schemeClr val="accent1"/>
            </a:solidFill>
            <a:ln>
              <a:noFill/>
            </a:ln>
            <a:effectLst/>
            <a:sp3d/>
          </c:spPr>
          <c:invertIfNegative val="0"/>
          <c:cat>
            <c:strRef>
              <c:f>'Bar chart'!$A$3:$A$10</c:f>
              <c:strCache>
                <c:ptCount val="8"/>
                <c:pt idx="0">
                  <c:v>RAVI 1</c:v>
                </c:pt>
                <c:pt idx="1">
                  <c:v>RAVI 2</c:v>
                </c:pt>
                <c:pt idx="2">
                  <c:v>RAVI 3</c:v>
                </c:pt>
                <c:pt idx="3">
                  <c:v>RAVI 4</c:v>
                </c:pt>
                <c:pt idx="4">
                  <c:v>RAVI 5</c:v>
                </c:pt>
                <c:pt idx="5">
                  <c:v>RAVI 6</c:v>
                </c:pt>
                <c:pt idx="6">
                  <c:v>RAVI 7</c:v>
                </c:pt>
                <c:pt idx="7">
                  <c:v>RAVI 8</c:v>
                </c:pt>
              </c:strCache>
            </c:strRef>
          </c:cat>
          <c:val>
            <c:numRef>
              <c:f>'Bar chart'!$B$3:$B$10</c:f>
              <c:numCache>
                <c:formatCode>General</c:formatCode>
                <c:ptCount val="8"/>
                <c:pt idx="0">
                  <c:v>100</c:v>
                </c:pt>
                <c:pt idx="1">
                  <c:v>600</c:v>
                </c:pt>
                <c:pt idx="2">
                  <c:v>300</c:v>
                </c:pt>
                <c:pt idx="3">
                  <c:v>200</c:v>
                </c:pt>
                <c:pt idx="4">
                  <c:v>500</c:v>
                </c:pt>
                <c:pt idx="5">
                  <c:v>600</c:v>
                </c:pt>
                <c:pt idx="6">
                  <c:v>500</c:v>
                </c:pt>
                <c:pt idx="7">
                  <c:v>800</c:v>
                </c:pt>
              </c:numCache>
            </c:numRef>
          </c:val>
          <c:extLst>
            <c:ext xmlns:c16="http://schemas.microsoft.com/office/drawing/2014/chart" uri="{C3380CC4-5D6E-409C-BE32-E72D297353CC}">
              <c16:uniqueId val="{00000000-7586-4DF9-AAB2-78CD3D329674}"/>
            </c:ext>
          </c:extLst>
        </c:ser>
        <c:ser>
          <c:idx val="1"/>
          <c:order val="1"/>
          <c:tx>
            <c:strRef>
              <c:f>'Bar chart'!$C$1:$C$2</c:f>
              <c:strCache>
                <c:ptCount val="2"/>
                <c:pt idx="0">
                  <c:v>COLUMN AND BAR CHART</c:v>
                </c:pt>
                <c:pt idx="1">
                  <c:v>SUB 2</c:v>
                </c:pt>
              </c:strCache>
            </c:strRef>
          </c:tx>
          <c:spPr>
            <a:solidFill>
              <a:schemeClr val="accent2"/>
            </a:solidFill>
            <a:ln>
              <a:noFill/>
            </a:ln>
            <a:effectLst/>
            <a:sp3d/>
          </c:spPr>
          <c:invertIfNegative val="0"/>
          <c:cat>
            <c:strRef>
              <c:f>'Bar chart'!$A$3:$A$10</c:f>
              <c:strCache>
                <c:ptCount val="8"/>
                <c:pt idx="0">
                  <c:v>RAVI 1</c:v>
                </c:pt>
                <c:pt idx="1">
                  <c:v>RAVI 2</c:v>
                </c:pt>
                <c:pt idx="2">
                  <c:v>RAVI 3</c:v>
                </c:pt>
                <c:pt idx="3">
                  <c:v>RAVI 4</c:v>
                </c:pt>
                <c:pt idx="4">
                  <c:v>RAVI 5</c:v>
                </c:pt>
                <c:pt idx="5">
                  <c:v>RAVI 6</c:v>
                </c:pt>
                <c:pt idx="6">
                  <c:v>RAVI 7</c:v>
                </c:pt>
                <c:pt idx="7">
                  <c:v>RAVI 8</c:v>
                </c:pt>
              </c:strCache>
            </c:strRef>
          </c:cat>
          <c:val>
            <c:numRef>
              <c:f>'Bar chart'!$C$3:$C$10</c:f>
              <c:numCache>
                <c:formatCode>General</c:formatCode>
                <c:ptCount val="8"/>
                <c:pt idx="0">
                  <c:v>20</c:v>
                </c:pt>
                <c:pt idx="1">
                  <c:v>40</c:v>
                </c:pt>
                <c:pt idx="2">
                  <c:v>60</c:v>
                </c:pt>
                <c:pt idx="3">
                  <c:v>80</c:v>
                </c:pt>
                <c:pt idx="4">
                  <c:v>100</c:v>
                </c:pt>
                <c:pt idx="5">
                  <c:v>120</c:v>
                </c:pt>
                <c:pt idx="6">
                  <c:v>140</c:v>
                </c:pt>
                <c:pt idx="7">
                  <c:v>160</c:v>
                </c:pt>
              </c:numCache>
            </c:numRef>
          </c:val>
          <c:extLst>
            <c:ext xmlns:c16="http://schemas.microsoft.com/office/drawing/2014/chart" uri="{C3380CC4-5D6E-409C-BE32-E72D297353CC}">
              <c16:uniqueId val="{00000001-7586-4DF9-AAB2-78CD3D329674}"/>
            </c:ext>
          </c:extLst>
        </c:ser>
        <c:ser>
          <c:idx val="2"/>
          <c:order val="2"/>
          <c:tx>
            <c:strRef>
              <c:f>'Bar chart'!$D$1:$D$2</c:f>
              <c:strCache>
                <c:ptCount val="2"/>
                <c:pt idx="0">
                  <c:v>COLUMN AND BAR CHART</c:v>
                </c:pt>
                <c:pt idx="1">
                  <c:v>SUB 3</c:v>
                </c:pt>
              </c:strCache>
            </c:strRef>
          </c:tx>
          <c:spPr>
            <a:solidFill>
              <a:schemeClr val="accent3"/>
            </a:solidFill>
            <a:ln>
              <a:noFill/>
            </a:ln>
            <a:effectLst/>
            <a:sp3d/>
          </c:spPr>
          <c:invertIfNegative val="0"/>
          <c:cat>
            <c:strRef>
              <c:f>'Bar chart'!$A$3:$A$10</c:f>
              <c:strCache>
                <c:ptCount val="8"/>
                <c:pt idx="0">
                  <c:v>RAVI 1</c:v>
                </c:pt>
                <c:pt idx="1">
                  <c:v>RAVI 2</c:v>
                </c:pt>
                <c:pt idx="2">
                  <c:v>RAVI 3</c:v>
                </c:pt>
                <c:pt idx="3">
                  <c:v>RAVI 4</c:v>
                </c:pt>
                <c:pt idx="4">
                  <c:v>RAVI 5</c:v>
                </c:pt>
                <c:pt idx="5">
                  <c:v>RAVI 6</c:v>
                </c:pt>
                <c:pt idx="6">
                  <c:v>RAVI 7</c:v>
                </c:pt>
                <c:pt idx="7">
                  <c:v>RAVI 8</c:v>
                </c:pt>
              </c:strCache>
            </c:strRef>
          </c:cat>
          <c:val>
            <c:numRef>
              <c:f>'Bar chart'!$D$3:$D$10</c:f>
              <c:numCache>
                <c:formatCode>General</c:formatCode>
                <c:ptCount val="8"/>
                <c:pt idx="0">
                  <c:v>116</c:v>
                </c:pt>
                <c:pt idx="1">
                  <c:v>214</c:v>
                </c:pt>
                <c:pt idx="2">
                  <c:v>302</c:v>
                </c:pt>
                <c:pt idx="3">
                  <c:v>475</c:v>
                </c:pt>
                <c:pt idx="4">
                  <c:v>324</c:v>
                </c:pt>
                <c:pt idx="5">
                  <c:v>381</c:v>
                </c:pt>
                <c:pt idx="6">
                  <c:v>247</c:v>
                </c:pt>
                <c:pt idx="7">
                  <c:v>229</c:v>
                </c:pt>
              </c:numCache>
            </c:numRef>
          </c:val>
          <c:extLst>
            <c:ext xmlns:c16="http://schemas.microsoft.com/office/drawing/2014/chart" uri="{C3380CC4-5D6E-409C-BE32-E72D297353CC}">
              <c16:uniqueId val="{00000002-7586-4DF9-AAB2-78CD3D329674}"/>
            </c:ext>
          </c:extLst>
        </c:ser>
        <c:dLbls>
          <c:showLegendKey val="0"/>
          <c:showVal val="0"/>
          <c:showCatName val="0"/>
          <c:showSerName val="0"/>
          <c:showPercent val="0"/>
          <c:showBubbleSize val="0"/>
        </c:dLbls>
        <c:gapWidth val="150"/>
        <c:shape val="box"/>
        <c:axId val="1309535167"/>
        <c:axId val="1441183631"/>
        <c:axId val="0"/>
      </c:bar3DChart>
      <c:catAx>
        <c:axId val="1309535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183631"/>
        <c:crosses val="autoZero"/>
        <c:auto val="1"/>
        <c:lblAlgn val="ctr"/>
        <c:lblOffset val="100"/>
        <c:noMultiLvlLbl val="0"/>
      </c:catAx>
      <c:valAx>
        <c:axId val="14411836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535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236220</xdr:colOff>
      <xdr:row>3</xdr:row>
      <xdr:rowOff>598170</xdr:rowOff>
    </xdr:from>
    <xdr:to>
      <xdr:col>21</xdr:col>
      <xdr:colOff>243840</xdr:colOff>
      <xdr:row>21</xdr:row>
      <xdr:rowOff>53340</xdr:rowOff>
    </xdr:to>
    <xdr:graphicFrame macro="">
      <xdr:nvGraphicFramePr>
        <xdr:cNvPr id="3" name="Chart 2">
          <a:extLst>
            <a:ext uri="{FF2B5EF4-FFF2-40B4-BE49-F238E27FC236}">
              <a16:creationId xmlns:a16="http://schemas.microsoft.com/office/drawing/2014/main" id="{00CB616D-F8D4-DC73-1C14-3FEF5F3E3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198120</xdr:colOff>
      <xdr:row>12</xdr:row>
      <xdr:rowOff>129540</xdr:rowOff>
    </xdr:from>
    <xdr:to>
      <xdr:col>10</xdr:col>
      <xdr:colOff>15240</xdr:colOff>
      <xdr:row>30</xdr:row>
      <xdr:rowOff>152400</xdr:rowOff>
    </xdr:to>
    <xdr:graphicFrame macro="">
      <xdr:nvGraphicFramePr>
        <xdr:cNvPr id="2" name="Chart 1">
          <a:extLst>
            <a:ext uri="{FF2B5EF4-FFF2-40B4-BE49-F238E27FC236}">
              <a16:creationId xmlns:a16="http://schemas.microsoft.com/office/drawing/2014/main" id="{1164625B-735D-B167-D9D8-171EC00D0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411480</xdr:colOff>
      <xdr:row>0</xdr:row>
      <xdr:rowOff>15240</xdr:rowOff>
    </xdr:from>
    <xdr:to>
      <xdr:col>21</xdr:col>
      <xdr:colOff>358140</xdr:colOff>
      <xdr:row>18</xdr:row>
      <xdr:rowOff>60960</xdr:rowOff>
    </xdr:to>
    <xdr:graphicFrame macro="">
      <xdr:nvGraphicFramePr>
        <xdr:cNvPr id="2" name="Chart 1">
          <a:extLst>
            <a:ext uri="{FF2B5EF4-FFF2-40B4-BE49-F238E27FC236}">
              <a16:creationId xmlns:a16="http://schemas.microsoft.com/office/drawing/2014/main" id="{4634398F-D2AB-680B-C163-514360E32B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be321aa2dcc779c2/&#12489;&#12461;&#12517;&#12513;&#12531;&#12488;/2ND%20CLASS.xlsx" TargetMode="External"/><Relationship Id="rId1" Type="http://schemas.openxmlformats.org/officeDocument/2006/relationships/externalLinkPath" Target="/Users/DELL/OneDrive/&#12489;&#12461;&#12517;&#12513;&#12531;&#12488;/2ND%20CLAS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st class"/>
      <sheetName val="2nd class"/>
      <sheetName val="3rd class"/>
      <sheetName val="Sheet1"/>
      <sheetName val="4th class"/>
      <sheetName val="5th class"/>
      <sheetName val="CALL STATISTICS"/>
      <sheetName val="6th class"/>
      <sheetName val="7th class"/>
      <sheetName val="8th class"/>
    </sheetNames>
    <sheetDataSet>
      <sheetData sheetId="0"/>
      <sheetData sheetId="1"/>
      <sheetData sheetId="2"/>
      <sheetData sheetId="3"/>
      <sheetData sheetId="4"/>
      <sheetData sheetId="5"/>
      <sheetData sheetId="6"/>
      <sheetData sheetId="7"/>
      <sheetData sheetId="8"/>
      <sheetData sheetId="9">
        <row r="19">
          <cell r="C19">
            <v>135.43243530000001</v>
          </cell>
          <cell r="D19">
            <v>135.4</v>
          </cell>
          <cell r="E19">
            <v>135.4</v>
          </cell>
          <cell r="F19">
            <v>136</v>
          </cell>
          <cell r="G19">
            <v>135</v>
          </cell>
        </row>
        <row r="20">
          <cell r="C20">
            <v>78.745400000000004</v>
          </cell>
          <cell r="D20">
            <v>79</v>
          </cell>
          <cell r="E20">
            <v>78.7</v>
          </cell>
          <cell r="F20">
            <v>79</v>
          </cell>
          <cell r="G20">
            <v>80</v>
          </cell>
        </row>
        <row r="21">
          <cell r="C21">
            <v>911.35456450000004</v>
          </cell>
          <cell r="D21">
            <v>911.4</v>
          </cell>
          <cell r="E21">
            <v>911.3</v>
          </cell>
          <cell r="F21">
            <v>912</v>
          </cell>
          <cell r="G21">
            <v>910</v>
          </cell>
        </row>
        <row r="22">
          <cell r="C22">
            <v>201.354365</v>
          </cell>
          <cell r="D22">
            <v>201.4</v>
          </cell>
          <cell r="E22">
            <v>201.3</v>
          </cell>
          <cell r="F22">
            <v>202</v>
          </cell>
          <cell r="G22">
            <v>200</v>
          </cell>
        </row>
        <row r="23">
          <cell r="C23">
            <v>180.92134999999999</v>
          </cell>
          <cell r="D23">
            <v>180.9</v>
          </cell>
          <cell r="E23">
            <v>180.9</v>
          </cell>
          <cell r="F23">
            <v>181</v>
          </cell>
          <cell r="G23">
            <v>180</v>
          </cell>
        </row>
        <row r="24">
          <cell r="C24">
            <v>638.25435000000004</v>
          </cell>
          <cell r="D24">
            <v>638.25</v>
          </cell>
          <cell r="E24">
            <v>638.20000000000005</v>
          </cell>
          <cell r="F24">
            <v>639</v>
          </cell>
          <cell r="G24">
            <v>640</v>
          </cell>
        </row>
        <row r="25">
          <cell r="C25">
            <v>975.54565600000001</v>
          </cell>
          <cell r="D25">
            <v>975.55</v>
          </cell>
          <cell r="E25">
            <v>975.5</v>
          </cell>
          <cell r="F25">
            <v>976</v>
          </cell>
          <cell r="G25">
            <v>975</v>
          </cell>
        </row>
        <row r="26">
          <cell r="C26">
            <v>378.32425419999998</v>
          </cell>
          <cell r="D26">
            <v>378.32</v>
          </cell>
          <cell r="E26">
            <v>378.3</v>
          </cell>
          <cell r="F26">
            <v>379</v>
          </cell>
          <cell r="G26">
            <v>380</v>
          </cell>
        </row>
        <row r="27">
          <cell r="C27">
            <v>5435.3253400000003</v>
          </cell>
          <cell r="D27">
            <v>5435.33</v>
          </cell>
          <cell r="E27">
            <v>5435.3</v>
          </cell>
          <cell r="F27">
            <v>5436</v>
          </cell>
          <cell r="G27">
            <v>5435</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83.554121875" createdVersion="8" refreshedVersion="8" minRefreshableVersion="3" recordCount="8" xr:uid="{BCBF4CA1-B23D-4728-9B39-BF0B2E1B14F5}">
  <cacheSource type="worksheet">
    <worksheetSource ref="A2:L10" sheet="Bar chart"/>
  </cacheSource>
  <cacheFields count="11">
    <cacheField name="STUDENTS" numFmtId="0">
      <sharedItems count="8">
        <s v="RAVI 1"/>
        <s v="RAVI 2"/>
        <s v="RAVI 3"/>
        <s v="RAVI 4"/>
        <s v="RAVI 5"/>
        <s v="RAVI 6"/>
        <s v="RAVI 7"/>
        <s v="RAVI 8"/>
      </sharedItems>
    </cacheField>
    <cacheField name="SUB 1" numFmtId="0">
      <sharedItems containsSemiMixedTypes="0" containsString="0" containsNumber="1" containsInteger="1" minValue="100" maxValue="800"/>
    </cacheField>
    <cacheField name="SUB 2" numFmtId="0">
      <sharedItems containsSemiMixedTypes="0" containsString="0" containsNumber="1" containsInteger="1" minValue="20" maxValue="160"/>
    </cacheField>
    <cacheField name="SUB 3" numFmtId="0">
      <sharedItems containsSemiMixedTypes="0" containsString="0" containsNumber="1" containsInteger="1" minValue="116" maxValue="475"/>
    </cacheField>
    <cacheField name="SUB 4" numFmtId="0">
      <sharedItems containsSemiMixedTypes="0" containsString="0" containsNumber="1" minValue="-174.666666666667" maxValue="526.66666666666697"/>
    </cacheField>
    <cacheField name="SUB 5" numFmtId="0">
      <sharedItems containsSemiMixedTypes="0" containsString="0" containsNumber="1" minValue="-460.16666666666703" maxValue="664.16666666666697"/>
    </cacheField>
    <cacheField name="SUB 6" numFmtId="0">
      <sharedItems containsSemiMixedTypes="0" containsString="0" containsNumber="1" minValue="-745.66666666666697" maxValue="801.66666666666697"/>
    </cacheField>
    <cacheField name="SUB 7" numFmtId="0">
      <sharedItems containsSemiMixedTypes="0" containsString="0" containsNumber="1" minValue="-1031.1666666666699" maxValue="939.16666666666697"/>
    </cacheField>
    <cacheField name="SUB 8" numFmtId="0">
      <sharedItems containsSemiMixedTypes="0" containsString="0" containsNumber="1" minValue="-1316.6666666666699" maxValue="1076.6666666666699"/>
    </cacheField>
    <cacheField name="SUB 9" numFmtId="0">
      <sharedItems containsSemiMixedTypes="0" containsString="0" containsNumber="1" minValue="-1602.1666666666699" maxValue="1214.1666666666699"/>
    </cacheField>
    <cacheField name="SUB 10" numFmtId="0">
      <sharedItems containsSemiMixedTypes="0" containsString="0" containsNumber="1" minValue="-1887.6666666666699" maxValue="1351.66666666666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100"/>
    <n v="20"/>
    <n v="116"/>
    <n v="94.6666666666667"/>
    <n v="102.666666666667"/>
    <n v="110.666666666667"/>
    <n v="118.666666666667"/>
    <n v="126.666666666667"/>
    <n v="134.666666666667"/>
    <n v="142.666666666667"/>
  </r>
  <r>
    <x v="1"/>
    <n v="600"/>
    <n v="40"/>
    <n v="214"/>
    <n v="-101.333333333333"/>
    <n v="-294.33333333333297"/>
    <n v="-487.33333333333297"/>
    <n v="-680.33333333333303"/>
    <n v="-873.33333333333303"/>
    <n v="-1066.3333333333301"/>
    <n v="-1259.3333333333301"/>
  </r>
  <r>
    <x v="2"/>
    <n v="300"/>
    <n v="60"/>
    <n v="302"/>
    <n v="222.666666666667"/>
    <n v="223.666666666667"/>
    <n v="224.666666666667"/>
    <n v="225.666666666667"/>
    <n v="226.666666666667"/>
    <n v="227.666666666667"/>
    <n v="228.666666666667"/>
  </r>
  <r>
    <x v="3"/>
    <n v="200"/>
    <n v="80"/>
    <n v="475"/>
    <n v="526.66666666666697"/>
    <n v="664.16666666666697"/>
    <n v="801.66666666666697"/>
    <n v="939.16666666666697"/>
    <n v="1076.6666666666699"/>
    <n v="1214.1666666666699"/>
    <n v="1351.6666666666699"/>
  </r>
  <r>
    <x v="4"/>
    <n v="500"/>
    <n v="100"/>
    <n v="324"/>
    <n v="132"/>
    <n v="44"/>
    <n v="-44"/>
    <n v="-132"/>
    <n v="-220"/>
    <n v="-308"/>
    <n v="-396"/>
  </r>
  <r>
    <x v="5"/>
    <n v="600"/>
    <n v="120"/>
    <n v="381"/>
    <n v="148"/>
    <n v="38.5"/>
    <n v="-71"/>
    <n v="-180.5"/>
    <n v="-290"/>
    <n v="-399.5"/>
    <n v="-509"/>
  </r>
  <r>
    <x v="6"/>
    <n v="500"/>
    <n v="140"/>
    <n v="247"/>
    <n v="42.6666666666667"/>
    <n v="-83.8333333333333"/>
    <n v="-210.333333333333"/>
    <n v="-336.83333333333297"/>
    <n v="-463.33333333333297"/>
    <n v="-589.83333333333303"/>
    <n v="-716.33333333333303"/>
  </r>
  <r>
    <x v="7"/>
    <n v="800"/>
    <n v="160"/>
    <n v="229"/>
    <n v="-174.666666666667"/>
    <n v="-460.16666666666703"/>
    <n v="-745.66666666666697"/>
    <n v="-1031.1666666666699"/>
    <n v="-1316.6666666666699"/>
    <n v="-1602.1666666666699"/>
    <n v="-1887.66666666666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283CC1-3F9E-4E56-918A-675DCBF594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K10" firstHeaderRow="0" firstDataRow="1" firstDataCol="1"/>
  <pivotFields count="11">
    <pivotField axis="axisRow" showAll="0">
      <items count="9">
        <item x="0"/>
        <item x="1"/>
        <item x="2"/>
        <item x="3"/>
        <item x="4"/>
        <item x="5"/>
        <item x="6"/>
        <item x="7"/>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9">
    <i>
      <x/>
    </i>
    <i>
      <x v="1"/>
    </i>
    <i>
      <x v="2"/>
    </i>
    <i>
      <x v="3"/>
    </i>
    <i>
      <x v="4"/>
    </i>
    <i>
      <x v="5"/>
    </i>
    <i>
      <x v="6"/>
    </i>
    <i>
      <x v="7"/>
    </i>
    <i t="grand">
      <x/>
    </i>
  </rowItems>
  <colFields count="1">
    <field x="-2"/>
  </colFields>
  <colItems count="10">
    <i>
      <x/>
    </i>
    <i i="1">
      <x v="1"/>
    </i>
    <i i="2">
      <x v="2"/>
    </i>
    <i i="3">
      <x v="3"/>
    </i>
    <i i="4">
      <x v="4"/>
    </i>
    <i i="5">
      <x v="5"/>
    </i>
    <i i="6">
      <x v="6"/>
    </i>
    <i i="7">
      <x v="7"/>
    </i>
    <i i="8">
      <x v="8"/>
    </i>
    <i i="9">
      <x v="9"/>
    </i>
  </colItems>
  <dataFields count="10">
    <dataField name="Sum of SUB 1" fld="1" baseField="0" baseItem="0"/>
    <dataField name="Sum of SUB 2" fld="2" baseField="0" baseItem="0"/>
    <dataField name="Sum of SUB 3" fld="3" baseField="0" baseItem="0"/>
    <dataField name="Sum of SUB 4" fld="4" baseField="0" baseItem="0"/>
    <dataField name="Sum of SUB 5" fld="5" baseField="0" baseItem="0"/>
    <dataField name="Sum of SUB 6" fld="6" baseField="0" baseItem="0"/>
    <dataField name="Sum of SUB 7" fld="7" baseField="0" baseItem="0"/>
    <dataField name="Sum of SUB 8" fld="8" baseField="0" baseItem="0"/>
    <dataField name="Sum of SUB 9" fld="9" baseField="0" baseItem="0"/>
    <dataField name="Sum of SUB 10" fld="10"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4BFECCE9-9517-48AA-8DBE-D73DCB7F8164}"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1F0F1D3E-6EB6-480B-BCD3-251AB7D31853}" autoFormatId="16" applyNumberFormats="0" applyBorderFormats="0" applyFontFormats="0" applyPatternFormats="0" applyAlignmentFormats="0" applyWidthHeightFormats="0">
  <queryTableRefresh nextId="11">
    <queryTableFields count="9">
      <queryTableField id="1" name="Company" tableColumnId="1"/>
      <queryTableField id="2" name="Production* Target" tableColumnId="2"/>
      <queryTableField id="3" name="Production* Ach. (Prov)" tableColumnId="3"/>
      <queryTableField id="4" name="Production* Actual During Cores _x000a__x0009__x0009__x0009_period of previous year" tableColumnId="4"/>
      <queryTableField id="5" name="Production* Growth (%)" tableColumnId="5"/>
      <queryTableField id="6" name="Offtake/Dispatch* Target" tableColumnId="6"/>
      <queryTableField id="7" name="Offtake/Dispatch* Ach. (Prov.)" tableColumnId="7"/>
      <queryTableField id="8" name="Offtake/Dispatch* Actual During Cores _x000a__x0009__x0009__x0009_period of previous year" tableColumnId="8"/>
      <queryTableField id="9" name="Offtake/Dispatch* Growth (%)"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5974E109-70EC-4BA5-8870-FD6FAA2CCD7C}" autoFormatId="16" applyNumberFormats="0" applyBorderFormats="0" applyFontFormats="0" applyPatternFormats="0" applyAlignmentFormats="0" applyWidthHeightFormats="0">
  <queryTableRefresh nextId="8">
    <queryTableFields count="7">
      <queryTableField id="1" name="Coal" tableColumnId="1"/>
      <queryTableField id="2" name="2019-20" tableColumnId="2"/>
      <queryTableField id="3" name="2020-21" tableColumnId="3"/>
      <queryTableField id="4" name="2021-22" tableColumnId="4"/>
      <queryTableField id="5" name="2022-23" tableColumnId="5"/>
      <queryTableField id="6" name="2023-24*" tableColumnId="6"/>
      <queryTableField id="7" name="Column7" tableColumnId="7"/>
    </queryTableFields>
  </queryTableRefresh>
  <extLst>
    <ext xmlns:x15="http://schemas.microsoft.com/office/spreadsheetml/2010/11/main" uri="{883FBD77-0823-4a55-B5E3-86C4891E6966}">
      <x15:queryTable sourceDataName="Query - Table 1"/>
    </ext>
  </extLst>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F9EA22-2246-40CD-84FF-85FA9BA1D0D1}" name="Table2" displayName="Table2" ref="A1:K53" totalsRowShown="0" headerRowDxfId="25">
  <autoFilter ref="A1:K53" xr:uid="{B2F9EA22-2246-40CD-84FF-85FA9BA1D0D1}"/>
  <tableColumns count="11">
    <tableColumn id="1" xr3:uid="{67C27BDC-9F27-41C7-959D-4041777A9286}" name="SR. NO."/>
    <tableColumn id="2" xr3:uid="{AB6E077B-91B2-4D7C-A421-E424943C46AF}" name="COURSE"/>
    <tableColumn id="3" xr3:uid="{C776B455-7266-4454-A790-E9621C12BC70}" name="ROLL NO."/>
    <tableColumn id="4" xr3:uid="{EC51EE7A-2518-4064-8A63-AD6BDD7D645F}" name="SOFTWARE"/>
    <tableColumn id="5" xr3:uid="{A0333861-0C8A-4B03-846A-93BAB64A8E74}" name="AI"/>
    <tableColumn id="6" xr3:uid="{88DF20A3-4D2B-4FD7-9BE4-A86D562B2860}" name="DATA SCIENCE"/>
    <tableColumn id="7" xr3:uid="{C7107FA5-E135-44BE-A325-76841DE4B629}" name="MGN"/>
    <tableColumn id="8" xr3:uid="{01B89634-796A-4E40-AB2F-76F923683A14}" name="MKT"/>
    <tableColumn id="9" xr3:uid="{B0E182F6-447C-48D5-ABB6-889E86E4B177}" name="TOTAL"/>
    <tableColumn id="10" xr3:uid="{5CAD512D-69B1-49F9-99B8-C121BE696E7F}" name="AVERAGE"/>
    <tableColumn id="11" xr3:uid="{1BEB574E-5EB0-4581-A171-1182CBE594C4}" name="RESULT" dataDxfId="24">
      <calculatedColumnFormula>IF(Table2[[#This Row],[TOTAL]]&gt;90,"PASS","FAIL")</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13A98B-368A-4421-90CA-42131D7B9B1A}" name="textfile" displayName="textfile" ref="K1:R16" tableType="queryTable" totalsRowShown="0">
  <autoFilter ref="K1:R16" xr:uid="{5413A98B-368A-4421-90CA-42131D7B9B1A}"/>
  <tableColumns count="8">
    <tableColumn id="1" xr3:uid="{428D5B4F-5B54-4A4B-86EA-8D9039EFDFB5}" uniqueName="1" name="Column1" queryTableFieldId="1" dataDxfId="23"/>
    <tableColumn id="2" xr3:uid="{9EC9CF65-3D13-4379-B855-61CD8AE76882}" uniqueName="2" name="Column2" queryTableFieldId="2" dataDxfId="22"/>
    <tableColumn id="3" xr3:uid="{AA5FE28D-B75A-4FD6-82D1-DBC1BD850435}" uniqueName="3" name="Column3" queryTableFieldId="3" dataDxfId="21"/>
    <tableColumn id="4" xr3:uid="{F0B56FB5-729C-4CBD-B46F-82CE42C9DFB8}" uniqueName="4" name="Column4" queryTableFieldId="4" dataDxfId="20"/>
    <tableColumn id="5" xr3:uid="{AB3EE7F8-1155-4953-AAA1-DB3ADDA88873}" uniqueName="5" name="Column5" queryTableFieldId="5" dataDxfId="19"/>
    <tableColumn id="6" xr3:uid="{F21A313B-2B1A-48B2-B662-BB127A260F50}" uniqueName="6" name="Column6" queryTableFieldId="6" dataDxfId="18"/>
    <tableColumn id="7" xr3:uid="{DB19C876-2ACE-4303-9A47-3D139A3D82DD}" uniqueName="7" name="Column7" queryTableFieldId="7" dataDxfId="17"/>
    <tableColumn id="8" xr3:uid="{E5F1F1ED-1226-49CF-8509-767BE0732EF2}" uniqueName="8" name="Column8" queryTableFieldId="8"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46E0E8-7BFC-424E-B49E-B3677F486399}" name="Table_0" displayName="Table_0" ref="C5:K12" tableType="queryTable" totalsRowShown="0">
  <tableColumns count="9">
    <tableColumn id="1" xr3:uid="{57D263C0-0AA8-4B46-A589-E960623C7C53}" uniqueName="1" name="Company" queryTableFieldId="1" dataDxfId="15"/>
    <tableColumn id="2" xr3:uid="{D5AC5738-F52A-40A9-8D45-BD984C3EEBC5}" uniqueName="2" name="Production* Target" queryTableFieldId="2" dataDxfId="14"/>
    <tableColumn id="3" xr3:uid="{9D1D6CBF-A151-4A68-BC1C-C5368EB8BA1D}" uniqueName="3" name="Production* Ach. (Prov)" queryTableFieldId="3" dataDxfId="13"/>
    <tableColumn id="4" xr3:uid="{41B0B530-55F9-4533-9BAF-A0FFE3793AE4}" uniqueName="4" name="Production* Actual During Cores _x000a__x0009__x0009__x0009_period of previous year" queryTableFieldId="4" dataDxfId="12"/>
    <tableColumn id="5" xr3:uid="{27E65EDC-80AC-458A-A386-C19BDA51E2AC}" uniqueName="5" name="Production* Growth (%)" queryTableFieldId="5" dataDxfId="11"/>
    <tableColumn id="6" xr3:uid="{B86086E8-509E-4271-892F-E421F16E5F4A}" uniqueName="6" name="Offtake/Dispatch* Target" queryTableFieldId="6" dataDxfId="10"/>
    <tableColumn id="7" xr3:uid="{FBB6C303-CBDC-4D5B-9970-90FCC31E115F}" uniqueName="7" name="Offtake/Dispatch* Ach. (Prov.)" queryTableFieldId="7" dataDxfId="9"/>
    <tableColumn id="8" xr3:uid="{C633C2FB-1815-4B16-B79B-74B6CAE4E262}" uniqueName="8" name="Offtake/Dispatch* Actual During Cores _x000a__x0009__x0009__x0009_period of previous year" queryTableFieldId="8" dataDxfId="8"/>
    <tableColumn id="9" xr3:uid="{2671B7BC-AF51-4EBC-8B4A-B8D3B6A58043}" uniqueName="9" name="Offtake/Dispatch* Growth (%)" queryTableFieldId="9"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CA1B36-4F0A-42F4-878B-6D9959F3B577}" name="Table_1" displayName="Table_1" ref="B24:H29" tableType="queryTable" totalsRowShown="0">
  <autoFilter ref="B24:H29" xr:uid="{43CA1B36-4F0A-42F4-878B-6D9959F3B577}"/>
  <tableColumns count="7">
    <tableColumn id="1" xr3:uid="{E645C3D7-16E1-4485-B7F0-7DEFF6DC160A}" uniqueName="1" name="Coal" queryTableFieldId="1" dataDxfId="6"/>
    <tableColumn id="2" xr3:uid="{52926CBB-34B2-49D8-8790-E9E8C8F03566}" uniqueName="2" name="2019-20" queryTableFieldId="2" dataDxfId="5"/>
    <tableColumn id="3" xr3:uid="{36B7E146-54DA-4462-9CB7-1DAAC62927EC}" uniqueName="3" name="2020-21" queryTableFieldId="3" dataDxfId="4"/>
    <tableColumn id="4" xr3:uid="{6D6509C0-868F-4146-AC2F-DF206356CB19}" uniqueName="4" name="2021-22" queryTableFieldId="4" dataDxfId="3"/>
    <tableColumn id="5" xr3:uid="{436674F8-642F-498C-A7BF-716CED4B7F56}" uniqueName="5" name="2022-23" queryTableFieldId="5" dataDxfId="2"/>
    <tableColumn id="6" xr3:uid="{1FCF2DDB-D25B-4E4C-83ED-93C1EFB9C444}" uniqueName="6" name="2023-24*" queryTableFieldId="6" dataDxfId="1"/>
    <tableColumn id="7" xr3:uid="{CD1FEE37-1298-4EB0-BECC-CEBF7A8EE876}"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4.xml.rels><?xml version="1.0" encoding="UTF-8" standalone="yes"?>
<Relationships xmlns="http://schemas.openxmlformats.org/package/2006/relationships"><Relationship Id="rId2" Type="http://schemas.openxmlformats.org/officeDocument/2006/relationships/hyperlink" Target="mailto:Aman@123" TargetMode="External"/><Relationship Id="rId1" Type="http://schemas.openxmlformats.org/officeDocument/2006/relationships/hyperlink" Target="mailto:Aman@123"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0DDE6-3E4D-4B46-8AEA-5C52DF323FF5}">
  <sheetPr codeName="Sheet1">
    <tabColor rgb="FF7030A0"/>
  </sheetPr>
  <dimension ref="A1:O76"/>
  <sheetViews>
    <sheetView workbookViewId="0">
      <selection activeCell="P19" sqref="P19"/>
    </sheetView>
  </sheetViews>
  <sheetFormatPr defaultRowHeight="14.4" x14ac:dyDescent="0.3"/>
  <cols>
    <col min="1" max="1" width="9.21875" customWidth="1"/>
    <col min="2" max="2" width="9.88671875" customWidth="1"/>
    <col min="3" max="3" width="10.6640625" customWidth="1"/>
    <col min="4" max="4" width="12.109375" customWidth="1"/>
    <col min="6" max="6" width="15" customWidth="1"/>
    <col min="10" max="10" width="10.6640625" customWidth="1"/>
  </cols>
  <sheetData>
    <row r="1" spans="1:15" ht="15" thickBot="1" x14ac:dyDescent="0.35">
      <c r="A1" s="9" t="s">
        <v>0</v>
      </c>
      <c r="B1" s="10" t="s">
        <v>2</v>
      </c>
      <c r="C1" s="10" t="s">
        <v>1</v>
      </c>
      <c r="D1" s="10" t="s">
        <v>4</v>
      </c>
      <c r="E1" s="10" t="s">
        <v>5</v>
      </c>
      <c r="F1" s="10" t="s">
        <v>6</v>
      </c>
      <c r="G1" s="10" t="s">
        <v>7</v>
      </c>
      <c r="H1" s="11" t="s">
        <v>8</v>
      </c>
      <c r="I1" s="12" t="s">
        <v>9</v>
      </c>
      <c r="J1" s="14" t="s">
        <v>10</v>
      </c>
      <c r="K1" s="14" t="s">
        <v>11</v>
      </c>
    </row>
    <row r="2" spans="1:15" ht="15" thickBot="1" x14ac:dyDescent="0.35">
      <c r="A2" s="2">
        <v>1</v>
      </c>
      <c r="B2" s="1" t="s">
        <v>3</v>
      </c>
      <c r="C2" s="1">
        <v>1</v>
      </c>
      <c r="D2" s="1">
        <v>23</v>
      </c>
      <c r="E2" s="1">
        <v>25</v>
      </c>
      <c r="F2" s="1">
        <v>20</v>
      </c>
      <c r="G2" s="1">
        <v>28</v>
      </c>
      <c r="H2" s="5">
        <v>29</v>
      </c>
      <c r="I2" s="7">
        <f>SUM(D2:H2)</f>
        <v>125</v>
      </c>
      <c r="J2">
        <f t="shared" ref="J2:J33" si="0">AVERAGE(D2:H2)</f>
        <v>25</v>
      </c>
      <c r="K2" s="15" t="str">
        <f>IF(Table2[[#This Row],[TOTAL]]&gt;90,"PASS","FAIL")</f>
        <v>PASS</v>
      </c>
    </row>
    <row r="3" spans="1:15" ht="15" thickBot="1" x14ac:dyDescent="0.35">
      <c r="A3" s="2">
        <v>2</v>
      </c>
      <c r="B3" s="1" t="s">
        <v>3</v>
      </c>
      <c r="C3" s="1">
        <v>2</v>
      </c>
      <c r="D3" s="1">
        <v>20</v>
      </c>
      <c r="E3" s="1">
        <v>21</v>
      </c>
      <c r="F3" s="1">
        <v>28</v>
      </c>
      <c r="G3" s="1">
        <v>25</v>
      </c>
      <c r="H3" s="5">
        <v>24</v>
      </c>
      <c r="I3" s="7">
        <f t="shared" ref="I3:I51" si="1">SUM(D3:H3)</f>
        <v>118</v>
      </c>
      <c r="J3">
        <f t="shared" si="0"/>
        <v>23.6</v>
      </c>
      <c r="K3" t="str">
        <f>IF(Table2[[#This Row],[TOTAL]]&gt;90,"PASS","FAIL")</f>
        <v>PASS</v>
      </c>
    </row>
    <row r="4" spans="1:15" ht="15" thickBot="1" x14ac:dyDescent="0.35">
      <c r="A4" s="2">
        <v>3</v>
      </c>
      <c r="B4" s="1" t="s">
        <v>3</v>
      </c>
      <c r="C4" s="1">
        <v>3</v>
      </c>
      <c r="D4" s="1">
        <v>13</v>
      </c>
      <c r="E4" s="1">
        <v>23</v>
      </c>
      <c r="F4" s="8">
        <v>25</v>
      </c>
      <c r="G4" s="1">
        <v>28</v>
      </c>
      <c r="H4" s="5">
        <v>25</v>
      </c>
      <c r="I4" s="7">
        <f t="shared" si="1"/>
        <v>114</v>
      </c>
      <c r="J4">
        <f t="shared" si="0"/>
        <v>22.8</v>
      </c>
      <c r="K4" t="str">
        <f>IF(Table2[[#This Row],[TOTAL]]&gt;90,"PASS","FAIL")</f>
        <v>PASS</v>
      </c>
    </row>
    <row r="5" spans="1:15" ht="15" thickBot="1" x14ac:dyDescent="0.35">
      <c r="A5" s="2">
        <v>4</v>
      </c>
      <c r="B5" s="1" t="s">
        <v>3</v>
      </c>
      <c r="C5" s="1">
        <v>4</v>
      </c>
      <c r="D5" s="1">
        <v>22</v>
      </c>
      <c r="E5" s="1">
        <v>26</v>
      </c>
      <c r="F5" s="1">
        <v>15</v>
      </c>
      <c r="G5" s="1">
        <v>14</v>
      </c>
      <c r="H5" s="5">
        <v>23</v>
      </c>
      <c r="I5" s="7">
        <f t="shared" si="1"/>
        <v>100</v>
      </c>
      <c r="J5">
        <f t="shared" si="0"/>
        <v>20</v>
      </c>
      <c r="K5" t="str">
        <f>IF(Table2[[#This Row],[TOTAL]]&gt;90,"PASS","FAIL")</f>
        <v>PASS</v>
      </c>
    </row>
    <row r="6" spans="1:15" ht="15" thickBot="1" x14ac:dyDescent="0.35">
      <c r="A6" s="2">
        <v>5</v>
      </c>
      <c r="B6" s="1" t="s">
        <v>3</v>
      </c>
      <c r="C6" s="1">
        <v>5</v>
      </c>
      <c r="D6" s="1">
        <v>22</v>
      </c>
      <c r="E6" s="1">
        <v>25</v>
      </c>
      <c r="F6" s="1">
        <v>13</v>
      </c>
      <c r="G6" s="1">
        <v>23</v>
      </c>
      <c r="H6" s="5">
        <v>22</v>
      </c>
      <c r="I6" s="7">
        <f t="shared" si="1"/>
        <v>105</v>
      </c>
      <c r="J6">
        <f t="shared" si="0"/>
        <v>21</v>
      </c>
      <c r="K6" t="str">
        <f>IF(Table2[[#This Row],[TOTAL]]&gt;90,"PASS","FAIL")</f>
        <v>PASS</v>
      </c>
    </row>
    <row r="7" spans="1:15" ht="15" thickBot="1" x14ac:dyDescent="0.35">
      <c r="A7" s="2">
        <v>6</v>
      </c>
      <c r="B7" s="1" t="s">
        <v>3</v>
      </c>
      <c r="C7" s="1">
        <v>6</v>
      </c>
      <c r="D7" s="1">
        <v>14</v>
      </c>
      <c r="E7" s="1">
        <v>27</v>
      </c>
      <c r="F7" s="1">
        <v>11</v>
      </c>
      <c r="G7" s="1">
        <v>8</v>
      </c>
      <c r="H7" s="5">
        <v>25</v>
      </c>
      <c r="I7" s="7">
        <f t="shared" si="1"/>
        <v>85</v>
      </c>
      <c r="J7">
        <f t="shared" si="0"/>
        <v>17</v>
      </c>
      <c r="K7" t="str">
        <f>IF(Table2[[#This Row],[TOTAL]]&gt;90,"PASS","FAIL")</f>
        <v>FAIL</v>
      </c>
    </row>
    <row r="8" spans="1:15" ht="15" thickBot="1" x14ac:dyDescent="0.35">
      <c r="A8" s="2">
        <v>7</v>
      </c>
      <c r="B8" s="1" t="s">
        <v>3</v>
      </c>
      <c r="C8" s="1">
        <v>7</v>
      </c>
      <c r="D8" s="1">
        <v>19</v>
      </c>
      <c r="E8" s="1">
        <v>12</v>
      </c>
      <c r="F8" s="1">
        <v>22</v>
      </c>
      <c r="G8" s="1">
        <v>7</v>
      </c>
      <c r="H8" s="5">
        <v>21</v>
      </c>
      <c r="I8" s="7">
        <f t="shared" si="1"/>
        <v>81</v>
      </c>
      <c r="J8">
        <f t="shared" si="0"/>
        <v>16.2</v>
      </c>
      <c r="K8" t="str">
        <f>IF(Table2[[#This Row],[TOTAL]]&gt;90,"PASS","FAIL")</f>
        <v>FAIL</v>
      </c>
    </row>
    <row r="9" spans="1:15" ht="15" thickBot="1" x14ac:dyDescent="0.35">
      <c r="A9" s="2">
        <v>8</v>
      </c>
      <c r="B9" s="1" t="s">
        <v>3</v>
      </c>
      <c r="C9" s="1">
        <v>8</v>
      </c>
      <c r="D9" s="1">
        <v>9</v>
      </c>
      <c r="E9" s="1">
        <v>26</v>
      </c>
      <c r="F9" s="1">
        <v>23</v>
      </c>
      <c r="G9" s="1">
        <v>16</v>
      </c>
      <c r="H9" s="5">
        <v>20</v>
      </c>
      <c r="I9" s="7">
        <f t="shared" si="1"/>
        <v>94</v>
      </c>
      <c r="J9">
        <f t="shared" si="0"/>
        <v>18.8</v>
      </c>
      <c r="K9" t="str">
        <f>IF(Table2[[#This Row],[TOTAL]]&gt;90,"PASS","FAIL")</f>
        <v>PASS</v>
      </c>
    </row>
    <row r="10" spans="1:15" ht="15" thickBot="1" x14ac:dyDescent="0.35">
      <c r="A10" s="2">
        <v>9</v>
      </c>
      <c r="B10" s="1" t="s">
        <v>3</v>
      </c>
      <c r="C10" s="1">
        <v>9</v>
      </c>
      <c r="D10" s="1">
        <v>5</v>
      </c>
      <c r="E10" s="1">
        <v>18</v>
      </c>
      <c r="F10" s="1">
        <v>26</v>
      </c>
      <c r="G10" s="1">
        <v>20</v>
      </c>
      <c r="H10" s="5">
        <v>27</v>
      </c>
      <c r="I10" s="7">
        <f t="shared" si="1"/>
        <v>96</v>
      </c>
      <c r="J10">
        <f t="shared" si="0"/>
        <v>19.2</v>
      </c>
      <c r="K10" t="str">
        <f>IF(Table2[[#This Row],[TOTAL]]&gt;90,"PASS","FAIL")</f>
        <v>PASS</v>
      </c>
    </row>
    <row r="11" spans="1:15" ht="15" thickBot="1" x14ac:dyDescent="0.35">
      <c r="A11" s="2">
        <v>10</v>
      </c>
      <c r="B11" s="1" t="s">
        <v>3</v>
      </c>
      <c r="C11" s="1">
        <v>10</v>
      </c>
      <c r="D11" s="1">
        <v>29</v>
      </c>
      <c r="E11" s="1">
        <v>10</v>
      </c>
      <c r="F11" s="1">
        <v>19</v>
      </c>
      <c r="G11" s="1">
        <v>24</v>
      </c>
      <c r="H11" s="5">
        <v>14</v>
      </c>
      <c r="I11" s="7">
        <f t="shared" si="1"/>
        <v>96</v>
      </c>
      <c r="J11">
        <f t="shared" si="0"/>
        <v>19.2</v>
      </c>
      <c r="K11" t="str">
        <f>IF(Table2[[#This Row],[TOTAL]]&gt;90,"PASS","FAIL")</f>
        <v>PASS</v>
      </c>
    </row>
    <row r="12" spans="1:15" ht="15" thickBot="1" x14ac:dyDescent="0.35">
      <c r="A12" s="2">
        <v>11</v>
      </c>
      <c r="B12" s="1" t="s">
        <v>3</v>
      </c>
      <c r="C12" s="1">
        <v>11</v>
      </c>
      <c r="D12" s="1">
        <v>29</v>
      </c>
      <c r="E12" s="1">
        <v>10</v>
      </c>
      <c r="F12" s="1">
        <v>19</v>
      </c>
      <c r="G12" s="1">
        <v>24</v>
      </c>
      <c r="H12" s="5">
        <v>14</v>
      </c>
      <c r="I12" s="7">
        <f t="shared" si="1"/>
        <v>96</v>
      </c>
      <c r="J12">
        <f t="shared" si="0"/>
        <v>19.2</v>
      </c>
      <c r="K12" t="str">
        <f>IF(Table2[[#This Row],[TOTAL]]&gt;90,"PASS","FAIL")</f>
        <v>PASS</v>
      </c>
    </row>
    <row r="13" spans="1:15" ht="15" thickBot="1" x14ac:dyDescent="0.35">
      <c r="A13" s="2">
        <v>12</v>
      </c>
      <c r="B13" s="1" t="s">
        <v>3</v>
      </c>
      <c r="C13" s="1">
        <v>12</v>
      </c>
      <c r="D13" s="1">
        <v>29</v>
      </c>
      <c r="E13" s="1">
        <v>10</v>
      </c>
      <c r="F13" s="1">
        <v>19</v>
      </c>
      <c r="G13" s="1">
        <v>24</v>
      </c>
      <c r="H13" s="5">
        <v>14</v>
      </c>
      <c r="I13" s="7">
        <f t="shared" si="1"/>
        <v>96</v>
      </c>
      <c r="J13">
        <f t="shared" si="0"/>
        <v>19.2</v>
      </c>
      <c r="K13" t="str">
        <f>IF(Table2[[#This Row],[TOTAL]]&gt;90,"PASS","FAIL")</f>
        <v>PASS</v>
      </c>
    </row>
    <row r="14" spans="1:15" ht="15" thickBot="1" x14ac:dyDescent="0.35">
      <c r="A14" s="2">
        <v>13</v>
      </c>
      <c r="B14" s="1" t="s">
        <v>3</v>
      </c>
      <c r="C14" s="1">
        <v>13</v>
      </c>
      <c r="D14" s="1">
        <v>29</v>
      </c>
      <c r="E14" s="1">
        <v>10</v>
      </c>
      <c r="F14" s="1">
        <v>19</v>
      </c>
      <c r="G14" s="1">
        <v>24</v>
      </c>
      <c r="H14" s="5">
        <v>14</v>
      </c>
      <c r="I14" s="7">
        <f t="shared" si="1"/>
        <v>96</v>
      </c>
      <c r="J14">
        <f t="shared" si="0"/>
        <v>19.2</v>
      </c>
      <c r="K14" t="str">
        <f>IF(Table2[[#This Row],[TOTAL]]&gt;90,"PASS","FAIL")</f>
        <v>PASS</v>
      </c>
      <c r="O14" t="s">
        <v>108</v>
      </c>
    </row>
    <row r="15" spans="1:15" ht="15" thickBot="1" x14ac:dyDescent="0.35">
      <c r="A15" s="2">
        <v>14</v>
      </c>
      <c r="B15" s="1" t="s">
        <v>3</v>
      </c>
      <c r="C15" s="1">
        <v>14</v>
      </c>
      <c r="D15" s="1">
        <v>29</v>
      </c>
      <c r="E15" s="1">
        <v>10</v>
      </c>
      <c r="F15" s="1">
        <v>19</v>
      </c>
      <c r="G15" s="1">
        <v>24</v>
      </c>
      <c r="H15" s="5">
        <v>14</v>
      </c>
      <c r="I15" s="7">
        <f t="shared" si="1"/>
        <v>96</v>
      </c>
      <c r="J15">
        <f t="shared" si="0"/>
        <v>19.2</v>
      </c>
      <c r="K15" t="str">
        <f>IF(Table2[[#This Row],[TOTAL]]&gt;90,"PASS","FAIL")</f>
        <v>PASS</v>
      </c>
    </row>
    <row r="16" spans="1:15" ht="15" thickBot="1" x14ac:dyDescent="0.35">
      <c r="A16" s="2">
        <v>15</v>
      </c>
      <c r="B16" s="1" t="s">
        <v>3</v>
      </c>
      <c r="C16" s="1">
        <v>15</v>
      </c>
      <c r="D16" s="1">
        <v>29</v>
      </c>
      <c r="E16" s="1">
        <v>10</v>
      </c>
      <c r="F16" s="1">
        <v>19</v>
      </c>
      <c r="G16" s="1">
        <v>24</v>
      </c>
      <c r="H16" s="5">
        <v>14</v>
      </c>
      <c r="I16" s="7">
        <f t="shared" si="1"/>
        <v>96</v>
      </c>
      <c r="J16">
        <f t="shared" si="0"/>
        <v>19.2</v>
      </c>
      <c r="K16" t="str">
        <f>IF(Table2[[#This Row],[TOTAL]]&gt;90,"PASS","FAIL")</f>
        <v>PASS</v>
      </c>
    </row>
    <row r="17" spans="1:11" ht="15" thickBot="1" x14ac:dyDescent="0.35">
      <c r="A17" s="2">
        <v>16</v>
      </c>
      <c r="B17" s="1" t="s">
        <v>3</v>
      </c>
      <c r="C17" s="1">
        <v>16</v>
      </c>
      <c r="D17" s="1">
        <v>29</v>
      </c>
      <c r="E17" s="1">
        <v>10</v>
      </c>
      <c r="F17" s="1">
        <v>19</v>
      </c>
      <c r="G17" s="1">
        <v>24</v>
      </c>
      <c r="H17" s="5">
        <v>14</v>
      </c>
      <c r="I17" s="7">
        <f t="shared" si="1"/>
        <v>96</v>
      </c>
      <c r="J17">
        <f t="shared" si="0"/>
        <v>19.2</v>
      </c>
      <c r="K17" t="str">
        <f>IF(Table2[[#This Row],[TOTAL]]&gt;90,"PASS","FAIL")</f>
        <v>PASS</v>
      </c>
    </row>
    <row r="18" spans="1:11" ht="15" thickBot="1" x14ac:dyDescent="0.35">
      <c r="A18" s="2">
        <v>17</v>
      </c>
      <c r="B18" s="1" t="s">
        <v>3</v>
      </c>
      <c r="C18" s="1">
        <v>17</v>
      </c>
      <c r="D18" s="1">
        <v>29</v>
      </c>
      <c r="E18" s="1">
        <v>10</v>
      </c>
      <c r="F18" s="1">
        <v>19</v>
      </c>
      <c r="G18" s="1">
        <v>24</v>
      </c>
      <c r="H18" s="5">
        <v>14</v>
      </c>
      <c r="I18" s="7">
        <f t="shared" si="1"/>
        <v>96</v>
      </c>
      <c r="J18">
        <f t="shared" si="0"/>
        <v>19.2</v>
      </c>
      <c r="K18" t="str">
        <f>IF(Table2[[#This Row],[TOTAL]]&gt;90,"PASS","FAIL")</f>
        <v>PASS</v>
      </c>
    </row>
    <row r="19" spans="1:11" ht="15" thickBot="1" x14ac:dyDescent="0.35">
      <c r="A19" s="2">
        <v>18</v>
      </c>
      <c r="B19" s="1" t="s">
        <v>3</v>
      </c>
      <c r="C19" s="1">
        <v>18</v>
      </c>
      <c r="D19" s="1">
        <v>29</v>
      </c>
      <c r="E19" s="1">
        <v>10</v>
      </c>
      <c r="F19" s="1">
        <v>19</v>
      </c>
      <c r="G19" s="1">
        <v>24</v>
      </c>
      <c r="H19" s="5">
        <v>14</v>
      </c>
      <c r="I19" s="7">
        <f t="shared" si="1"/>
        <v>96</v>
      </c>
      <c r="J19">
        <f t="shared" si="0"/>
        <v>19.2</v>
      </c>
      <c r="K19" t="str">
        <f>IF(Table2[[#This Row],[TOTAL]]&gt;90,"PASS","FAIL")</f>
        <v>PASS</v>
      </c>
    </row>
    <row r="20" spans="1:11" ht="15" thickBot="1" x14ac:dyDescent="0.35">
      <c r="A20" s="2">
        <v>19</v>
      </c>
      <c r="B20" s="1" t="s">
        <v>3</v>
      </c>
      <c r="C20" s="1">
        <v>19</v>
      </c>
      <c r="D20" s="1">
        <v>29</v>
      </c>
      <c r="E20" s="1">
        <v>10</v>
      </c>
      <c r="F20" s="1">
        <v>19</v>
      </c>
      <c r="G20" s="1">
        <v>24</v>
      </c>
      <c r="H20" s="5">
        <v>14</v>
      </c>
      <c r="I20" s="7">
        <f t="shared" si="1"/>
        <v>96</v>
      </c>
      <c r="J20">
        <f t="shared" si="0"/>
        <v>19.2</v>
      </c>
      <c r="K20" t="str">
        <f>IF(Table2[[#This Row],[TOTAL]]&gt;90,"PASS","FAIL")</f>
        <v>PASS</v>
      </c>
    </row>
    <row r="21" spans="1:11" ht="15" thickBot="1" x14ac:dyDescent="0.35">
      <c r="A21" s="2">
        <v>20</v>
      </c>
      <c r="B21" s="1" t="s">
        <v>3</v>
      </c>
      <c r="C21" s="1">
        <v>20</v>
      </c>
      <c r="D21" s="1">
        <v>29</v>
      </c>
      <c r="E21" s="1">
        <v>10</v>
      </c>
      <c r="F21" s="1">
        <v>19</v>
      </c>
      <c r="G21" s="1">
        <v>24</v>
      </c>
      <c r="H21" s="5">
        <v>14</v>
      </c>
      <c r="I21" s="7">
        <f t="shared" si="1"/>
        <v>96</v>
      </c>
      <c r="J21">
        <f t="shared" si="0"/>
        <v>19.2</v>
      </c>
      <c r="K21" t="str">
        <f>IF(Table2[[#This Row],[TOTAL]]&gt;90,"PASS","FAIL")</f>
        <v>PASS</v>
      </c>
    </row>
    <row r="22" spans="1:11" ht="15" thickBot="1" x14ac:dyDescent="0.35">
      <c r="A22" s="2">
        <v>21</v>
      </c>
      <c r="B22" s="1" t="s">
        <v>3</v>
      </c>
      <c r="C22" s="1">
        <v>21</v>
      </c>
      <c r="D22" s="1">
        <v>29</v>
      </c>
      <c r="E22" s="1">
        <v>10</v>
      </c>
      <c r="F22" s="1">
        <v>19</v>
      </c>
      <c r="G22" s="1">
        <v>24</v>
      </c>
      <c r="H22" s="5">
        <v>14</v>
      </c>
      <c r="I22" s="7">
        <f t="shared" si="1"/>
        <v>96</v>
      </c>
      <c r="J22">
        <f t="shared" si="0"/>
        <v>19.2</v>
      </c>
      <c r="K22" t="str">
        <f>IF(Table2[[#This Row],[TOTAL]]&gt;90,"PASS","FAIL")</f>
        <v>PASS</v>
      </c>
    </row>
    <row r="23" spans="1:11" ht="15" thickBot="1" x14ac:dyDescent="0.35">
      <c r="A23" s="2">
        <v>22</v>
      </c>
      <c r="B23" s="1" t="s">
        <v>3</v>
      </c>
      <c r="C23" s="1">
        <v>22</v>
      </c>
      <c r="D23" s="1">
        <v>29</v>
      </c>
      <c r="E23" s="1">
        <v>10</v>
      </c>
      <c r="F23" s="1">
        <v>19</v>
      </c>
      <c r="G23" s="1">
        <v>24</v>
      </c>
      <c r="H23" s="5">
        <v>14</v>
      </c>
      <c r="I23" s="7">
        <f t="shared" si="1"/>
        <v>96</v>
      </c>
      <c r="J23">
        <f t="shared" si="0"/>
        <v>19.2</v>
      </c>
      <c r="K23" t="str">
        <f>IF(Table2[[#This Row],[TOTAL]]&gt;90,"PASS","FAIL")</f>
        <v>PASS</v>
      </c>
    </row>
    <row r="24" spans="1:11" ht="15" thickBot="1" x14ac:dyDescent="0.35">
      <c r="A24" s="2">
        <v>23</v>
      </c>
      <c r="B24" s="1" t="s">
        <v>3</v>
      </c>
      <c r="C24" s="1">
        <v>23</v>
      </c>
      <c r="D24" s="1">
        <v>29</v>
      </c>
      <c r="E24" s="1">
        <v>10</v>
      </c>
      <c r="F24" s="1">
        <v>19</v>
      </c>
      <c r="G24" s="1">
        <v>24</v>
      </c>
      <c r="H24" s="5">
        <v>14</v>
      </c>
      <c r="I24" s="7">
        <f t="shared" si="1"/>
        <v>96</v>
      </c>
      <c r="J24">
        <f t="shared" si="0"/>
        <v>19.2</v>
      </c>
      <c r="K24" t="str">
        <f>IF(Table2[[#This Row],[TOTAL]]&gt;90,"PASS","FAIL")</f>
        <v>PASS</v>
      </c>
    </row>
    <row r="25" spans="1:11" ht="15" thickBot="1" x14ac:dyDescent="0.35">
      <c r="A25" s="2">
        <v>24</v>
      </c>
      <c r="B25" s="1" t="s">
        <v>3</v>
      </c>
      <c r="C25" s="1">
        <v>24</v>
      </c>
      <c r="D25" s="1">
        <v>29</v>
      </c>
      <c r="E25" s="1">
        <v>10</v>
      </c>
      <c r="F25" s="1">
        <v>19</v>
      </c>
      <c r="G25" s="1">
        <v>24</v>
      </c>
      <c r="H25" s="5">
        <v>14</v>
      </c>
      <c r="I25" s="7">
        <f t="shared" si="1"/>
        <v>96</v>
      </c>
      <c r="J25">
        <f t="shared" si="0"/>
        <v>19.2</v>
      </c>
      <c r="K25" t="str">
        <f>IF(Table2[[#This Row],[TOTAL]]&gt;90,"PASS","FAIL")</f>
        <v>PASS</v>
      </c>
    </row>
    <row r="26" spans="1:11" ht="15" thickBot="1" x14ac:dyDescent="0.35">
      <c r="A26" s="2">
        <v>25</v>
      </c>
      <c r="B26" s="1" t="s">
        <v>3</v>
      </c>
      <c r="C26" s="1">
        <v>25</v>
      </c>
      <c r="D26" s="1">
        <v>29</v>
      </c>
      <c r="E26" s="1">
        <v>10</v>
      </c>
      <c r="F26" s="1">
        <v>19</v>
      </c>
      <c r="G26" s="1">
        <v>24</v>
      </c>
      <c r="H26" s="5">
        <v>14</v>
      </c>
      <c r="I26" s="7">
        <f t="shared" si="1"/>
        <v>96</v>
      </c>
      <c r="J26">
        <f t="shared" si="0"/>
        <v>19.2</v>
      </c>
      <c r="K26" t="str">
        <f>IF(Table2[[#This Row],[TOTAL]]&gt;90,"PASS","FAIL")</f>
        <v>PASS</v>
      </c>
    </row>
    <row r="27" spans="1:11" ht="15" thickBot="1" x14ac:dyDescent="0.35">
      <c r="A27" s="2">
        <v>26</v>
      </c>
      <c r="B27" s="1" t="s">
        <v>3</v>
      </c>
      <c r="C27" s="1">
        <v>26</v>
      </c>
      <c r="D27" s="1">
        <v>29</v>
      </c>
      <c r="E27" s="1">
        <v>10</v>
      </c>
      <c r="F27" s="1">
        <v>19</v>
      </c>
      <c r="G27" s="1">
        <v>24</v>
      </c>
      <c r="H27" s="5">
        <v>14</v>
      </c>
      <c r="I27" s="7">
        <f t="shared" si="1"/>
        <v>96</v>
      </c>
      <c r="J27">
        <f t="shared" si="0"/>
        <v>19.2</v>
      </c>
      <c r="K27" t="str">
        <f>IF(Table2[[#This Row],[TOTAL]]&gt;90,"PASS","FAIL")</f>
        <v>PASS</v>
      </c>
    </row>
    <row r="28" spans="1:11" ht="15" thickBot="1" x14ac:dyDescent="0.35">
      <c r="A28" s="2">
        <v>27</v>
      </c>
      <c r="B28" s="1" t="s">
        <v>3</v>
      </c>
      <c r="C28" s="1">
        <v>27</v>
      </c>
      <c r="D28" s="1">
        <v>29</v>
      </c>
      <c r="E28" s="1">
        <v>10</v>
      </c>
      <c r="F28" s="1">
        <v>19</v>
      </c>
      <c r="G28" s="1">
        <v>24</v>
      </c>
      <c r="H28" s="5">
        <v>14</v>
      </c>
      <c r="I28" s="7">
        <f t="shared" si="1"/>
        <v>96</v>
      </c>
      <c r="J28">
        <f t="shared" si="0"/>
        <v>19.2</v>
      </c>
      <c r="K28" t="str">
        <f>IF(Table2[[#This Row],[TOTAL]]&gt;90,"PASS","FAIL")</f>
        <v>PASS</v>
      </c>
    </row>
    <row r="29" spans="1:11" ht="15" thickBot="1" x14ac:dyDescent="0.35">
      <c r="A29" s="2">
        <v>28</v>
      </c>
      <c r="B29" s="1" t="s">
        <v>3</v>
      </c>
      <c r="C29" s="1">
        <v>28</v>
      </c>
      <c r="D29" s="1">
        <v>29</v>
      </c>
      <c r="E29" s="1">
        <v>10</v>
      </c>
      <c r="F29" s="1">
        <v>19</v>
      </c>
      <c r="G29" s="1">
        <v>24</v>
      </c>
      <c r="H29" s="5">
        <v>14</v>
      </c>
      <c r="I29" s="7">
        <f t="shared" si="1"/>
        <v>96</v>
      </c>
      <c r="J29">
        <f t="shared" si="0"/>
        <v>19.2</v>
      </c>
      <c r="K29" t="str">
        <f>IF(Table2[[#This Row],[TOTAL]]&gt;90,"PASS","FAIL")</f>
        <v>PASS</v>
      </c>
    </row>
    <row r="30" spans="1:11" ht="15" thickBot="1" x14ac:dyDescent="0.35">
      <c r="A30" s="2">
        <v>29</v>
      </c>
      <c r="B30" s="1" t="s">
        <v>3</v>
      </c>
      <c r="C30" s="1">
        <v>29</v>
      </c>
      <c r="D30" s="1">
        <v>29</v>
      </c>
      <c r="E30" s="1">
        <v>10</v>
      </c>
      <c r="F30" s="1">
        <v>19</v>
      </c>
      <c r="G30" s="1">
        <v>24</v>
      </c>
      <c r="H30" s="5">
        <v>14</v>
      </c>
      <c r="I30" s="7">
        <f t="shared" si="1"/>
        <v>96</v>
      </c>
      <c r="J30">
        <f t="shared" si="0"/>
        <v>19.2</v>
      </c>
      <c r="K30" t="str">
        <f>IF(Table2[[#This Row],[TOTAL]]&gt;90,"PASS","FAIL")</f>
        <v>PASS</v>
      </c>
    </row>
    <row r="31" spans="1:11" ht="15" thickBot="1" x14ac:dyDescent="0.35">
      <c r="A31" s="2">
        <v>30</v>
      </c>
      <c r="B31" s="1" t="s">
        <v>3</v>
      </c>
      <c r="C31" s="1">
        <v>30</v>
      </c>
      <c r="D31" s="1">
        <v>29</v>
      </c>
      <c r="E31" s="1">
        <v>10</v>
      </c>
      <c r="F31" s="1">
        <v>19</v>
      </c>
      <c r="G31" s="1">
        <v>24</v>
      </c>
      <c r="H31" s="5">
        <v>14</v>
      </c>
      <c r="I31" s="7">
        <f t="shared" si="1"/>
        <v>96</v>
      </c>
      <c r="J31">
        <f t="shared" si="0"/>
        <v>19.2</v>
      </c>
      <c r="K31" t="str">
        <f>IF(Table2[[#This Row],[TOTAL]]&gt;90,"PASS","FAIL")</f>
        <v>PASS</v>
      </c>
    </row>
    <row r="32" spans="1:11" ht="15" thickBot="1" x14ac:dyDescent="0.35">
      <c r="A32" s="2">
        <v>31</v>
      </c>
      <c r="B32" s="1" t="s">
        <v>3</v>
      </c>
      <c r="C32" s="1">
        <v>31</v>
      </c>
      <c r="D32" s="1">
        <v>29</v>
      </c>
      <c r="E32" s="1">
        <v>10</v>
      </c>
      <c r="F32" s="1">
        <v>19</v>
      </c>
      <c r="G32" s="1">
        <v>24</v>
      </c>
      <c r="H32" s="5">
        <v>14</v>
      </c>
      <c r="I32" s="7">
        <f t="shared" si="1"/>
        <v>96</v>
      </c>
      <c r="J32">
        <f t="shared" si="0"/>
        <v>19.2</v>
      </c>
      <c r="K32" t="str">
        <f>IF(Table2[[#This Row],[TOTAL]]&gt;90,"PASS","FAIL")</f>
        <v>PASS</v>
      </c>
    </row>
    <row r="33" spans="1:11" ht="15" thickBot="1" x14ac:dyDescent="0.35">
      <c r="A33" s="2">
        <v>32</v>
      </c>
      <c r="B33" s="1" t="s">
        <v>3</v>
      </c>
      <c r="C33" s="1">
        <v>32</v>
      </c>
      <c r="D33" s="1">
        <v>29</v>
      </c>
      <c r="E33" s="1">
        <v>10</v>
      </c>
      <c r="F33" s="1">
        <v>19</v>
      </c>
      <c r="G33" s="1">
        <v>24</v>
      </c>
      <c r="H33" s="5">
        <v>14</v>
      </c>
      <c r="I33" s="7">
        <f t="shared" si="1"/>
        <v>96</v>
      </c>
      <c r="J33">
        <f t="shared" si="0"/>
        <v>19.2</v>
      </c>
      <c r="K33" t="str">
        <f>IF(Table2[[#This Row],[TOTAL]]&gt;90,"PASS","FAIL")</f>
        <v>PASS</v>
      </c>
    </row>
    <row r="34" spans="1:11" ht="15" thickBot="1" x14ac:dyDescent="0.35">
      <c r="A34" s="2">
        <v>33</v>
      </c>
      <c r="B34" s="1" t="s">
        <v>3</v>
      </c>
      <c r="C34" s="1">
        <v>33</v>
      </c>
      <c r="D34" s="1">
        <v>29</v>
      </c>
      <c r="E34" s="1">
        <v>10</v>
      </c>
      <c r="F34" s="1">
        <v>19</v>
      </c>
      <c r="G34" s="1">
        <v>24</v>
      </c>
      <c r="H34" s="5">
        <v>14</v>
      </c>
      <c r="I34" s="7">
        <f t="shared" si="1"/>
        <v>96</v>
      </c>
      <c r="J34">
        <f t="shared" ref="J34:J51" si="2">AVERAGE(D34:H34)</f>
        <v>19.2</v>
      </c>
      <c r="K34" t="str">
        <f>IF(Table2[[#This Row],[TOTAL]]&gt;90,"PASS","FAIL")</f>
        <v>PASS</v>
      </c>
    </row>
    <row r="35" spans="1:11" ht="15" thickBot="1" x14ac:dyDescent="0.35">
      <c r="A35" s="2">
        <v>34</v>
      </c>
      <c r="B35" s="1" t="s">
        <v>3</v>
      </c>
      <c r="C35" s="1">
        <v>34</v>
      </c>
      <c r="D35" s="1">
        <v>29</v>
      </c>
      <c r="E35" s="1">
        <v>10</v>
      </c>
      <c r="F35" s="1">
        <v>19</v>
      </c>
      <c r="G35" s="1">
        <v>24</v>
      </c>
      <c r="H35" s="5">
        <v>14</v>
      </c>
      <c r="I35" s="7">
        <f t="shared" si="1"/>
        <v>96</v>
      </c>
      <c r="J35">
        <f t="shared" si="2"/>
        <v>19.2</v>
      </c>
      <c r="K35" t="str">
        <f>IF(Table2[[#This Row],[TOTAL]]&gt;90,"PASS","FAIL")</f>
        <v>PASS</v>
      </c>
    </row>
    <row r="36" spans="1:11" ht="15" thickBot="1" x14ac:dyDescent="0.35">
      <c r="A36" s="2">
        <v>35</v>
      </c>
      <c r="B36" s="1" t="s">
        <v>3</v>
      </c>
      <c r="C36" s="1">
        <v>35</v>
      </c>
      <c r="D36" s="1">
        <v>29</v>
      </c>
      <c r="E36" s="1">
        <v>10</v>
      </c>
      <c r="F36" s="1">
        <v>19</v>
      </c>
      <c r="G36" s="1">
        <v>24</v>
      </c>
      <c r="H36" s="5">
        <v>14</v>
      </c>
      <c r="I36" s="7">
        <f t="shared" si="1"/>
        <v>96</v>
      </c>
      <c r="J36">
        <f t="shared" si="2"/>
        <v>19.2</v>
      </c>
      <c r="K36" t="str">
        <f>IF(Table2[[#This Row],[TOTAL]]&gt;90,"PASS","FAIL")</f>
        <v>PASS</v>
      </c>
    </row>
    <row r="37" spans="1:11" ht="15" thickBot="1" x14ac:dyDescent="0.35">
      <c r="A37" s="2">
        <v>36</v>
      </c>
      <c r="B37" s="1" t="s">
        <v>3</v>
      </c>
      <c r="C37" s="1">
        <v>36</v>
      </c>
      <c r="D37" s="1">
        <v>29</v>
      </c>
      <c r="E37" s="1">
        <v>10</v>
      </c>
      <c r="F37" s="1">
        <v>19</v>
      </c>
      <c r="G37" s="1">
        <v>24</v>
      </c>
      <c r="H37" s="5">
        <v>14</v>
      </c>
      <c r="I37" s="7">
        <f t="shared" si="1"/>
        <v>96</v>
      </c>
      <c r="J37">
        <f t="shared" si="2"/>
        <v>19.2</v>
      </c>
      <c r="K37" t="str">
        <f>IF(Table2[[#This Row],[TOTAL]]&gt;90,"PASS","FAIL")</f>
        <v>PASS</v>
      </c>
    </row>
    <row r="38" spans="1:11" ht="15" thickBot="1" x14ac:dyDescent="0.35">
      <c r="A38" s="2">
        <v>37</v>
      </c>
      <c r="B38" s="1" t="s">
        <v>3</v>
      </c>
      <c r="C38" s="1">
        <v>37</v>
      </c>
      <c r="D38" s="1">
        <v>29</v>
      </c>
      <c r="E38" s="1">
        <v>10</v>
      </c>
      <c r="F38" s="1">
        <v>19</v>
      </c>
      <c r="G38" s="1">
        <v>24</v>
      </c>
      <c r="H38" s="5">
        <v>14</v>
      </c>
      <c r="I38" s="7">
        <f t="shared" si="1"/>
        <v>96</v>
      </c>
      <c r="J38">
        <f t="shared" si="2"/>
        <v>19.2</v>
      </c>
      <c r="K38" t="str">
        <f>IF(Table2[[#This Row],[TOTAL]]&gt;90,"PASS","FAIL")</f>
        <v>PASS</v>
      </c>
    </row>
    <row r="39" spans="1:11" ht="15" thickBot="1" x14ac:dyDescent="0.35">
      <c r="A39" s="2">
        <v>38</v>
      </c>
      <c r="B39" s="1" t="s">
        <v>3</v>
      </c>
      <c r="C39" s="1">
        <v>38</v>
      </c>
      <c r="D39" s="1">
        <v>29</v>
      </c>
      <c r="E39" s="1">
        <v>10</v>
      </c>
      <c r="F39" s="1">
        <v>19</v>
      </c>
      <c r="G39" s="1">
        <v>24</v>
      </c>
      <c r="H39" s="5">
        <v>14</v>
      </c>
      <c r="I39" s="7">
        <f t="shared" si="1"/>
        <v>96</v>
      </c>
      <c r="J39">
        <f t="shared" si="2"/>
        <v>19.2</v>
      </c>
      <c r="K39" t="str">
        <f>IF(Table2[[#This Row],[TOTAL]]&gt;90,"PASS","FAIL")</f>
        <v>PASS</v>
      </c>
    </row>
    <row r="40" spans="1:11" ht="15" thickBot="1" x14ac:dyDescent="0.35">
      <c r="A40" s="2">
        <v>39</v>
      </c>
      <c r="B40" s="1" t="s">
        <v>3</v>
      </c>
      <c r="C40" s="1">
        <v>39</v>
      </c>
      <c r="D40" s="1">
        <v>29</v>
      </c>
      <c r="E40" s="1">
        <v>10</v>
      </c>
      <c r="F40" s="1">
        <v>19</v>
      </c>
      <c r="G40" s="1">
        <v>24</v>
      </c>
      <c r="H40" s="5">
        <v>14</v>
      </c>
      <c r="I40" s="7">
        <f t="shared" si="1"/>
        <v>96</v>
      </c>
      <c r="J40">
        <f t="shared" si="2"/>
        <v>19.2</v>
      </c>
      <c r="K40" t="str">
        <f>IF(Table2[[#This Row],[TOTAL]]&gt;90,"PASS","FAIL")</f>
        <v>PASS</v>
      </c>
    </row>
    <row r="41" spans="1:11" ht="15" thickBot="1" x14ac:dyDescent="0.35">
      <c r="A41" s="2">
        <v>40</v>
      </c>
      <c r="B41" s="1" t="s">
        <v>3</v>
      </c>
      <c r="C41" s="1">
        <v>40</v>
      </c>
      <c r="D41" s="1">
        <v>29</v>
      </c>
      <c r="E41" s="1">
        <v>10</v>
      </c>
      <c r="F41" s="1">
        <v>19</v>
      </c>
      <c r="G41" s="1">
        <v>24</v>
      </c>
      <c r="H41" s="5">
        <v>14</v>
      </c>
      <c r="I41" s="7">
        <f t="shared" si="1"/>
        <v>96</v>
      </c>
      <c r="J41">
        <f t="shared" si="2"/>
        <v>19.2</v>
      </c>
      <c r="K41" t="str">
        <f>IF(Table2[[#This Row],[TOTAL]]&gt;90,"PASS","FAIL")</f>
        <v>PASS</v>
      </c>
    </row>
    <row r="42" spans="1:11" ht="15" thickBot="1" x14ac:dyDescent="0.35">
      <c r="A42" s="2">
        <v>41</v>
      </c>
      <c r="B42" s="1" t="s">
        <v>3</v>
      </c>
      <c r="C42" s="1">
        <v>41</v>
      </c>
      <c r="D42" s="1">
        <v>29</v>
      </c>
      <c r="E42" s="1">
        <v>10</v>
      </c>
      <c r="F42" s="1">
        <v>19</v>
      </c>
      <c r="G42" s="1">
        <v>24</v>
      </c>
      <c r="H42" s="5">
        <v>14</v>
      </c>
      <c r="I42" s="7">
        <f t="shared" si="1"/>
        <v>96</v>
      </c>
      <c r="J42">
        <f t="shared" si="2"/>
        <v>19.2</v>
      </c>
      <c r="K42" t="str">
        <f>IF(Table2[[#This Row],[TOTAL]]&gt;90,"PASS","FAIL")</f>
        <v>PASS</v>
      </c>
    </row>
    <row r="43" spans="1:11" ht="15" thickBot="1" x14ac:dyDescent="0.35">
      <c r="A43" s="2">
        <v>42</v>
      </c>
      <c r="B43" s="1" t="s">
        <v>3</v>
      </c>
      <c r="C43" s="1">
        <v>42</v>
      </c>
      <c r="D43" s="1">
        <v>29</v>
      </c>
      <c r="E43" s="1">
        <v>10</v>
      </c>
      <c r="F43" s="1">
        <v>19</v>
      </c>
      <c r="G43" s="1">
        <v>24</v>
      </c>
      <c r="H43" s="5">
        <v>14</v>
      </c>
      <c r="I43" s="7">
        <f t="shared" si="1"/>
        <v>96</v>
      </c>
      <c r="J43">
        <f t="shared" si="2"/>
        <v>19.2</v>
      </c>
      <c r="K43" t="str">
        <f>IF(Table2[[#This Row],[TOTAL]]&gt;90,"PASS","FAIL")</f>
        <v>PASS</v>
      </c>
    </row>
    <row r="44" spans="1:11" ht="15" thickBot="1" x14ac:dyDescent="0.35">
      <c r="A44" s="2">
        <v>43</v>
      </c>
      <c r="B44" s="1" t="s">
        <v>3</v>
      </c>
      <c r="C44" s="1">
        <v>43</v>
      </c>
      <c r="D44" s="1">
        <v>29</v>
      </c>
      <c r="E44" s="1">
        <v>10</v>
      </c>
      <c r="F44" s="1">
        <v>19</v>
      </c>
      <c r="G44" s="1">
        <v>24</v>
      </c>
      <c r="H44" s="5">
        <v>14</v>
      </c>
      <c r="I44" s="7">
        <f t="shared" si="1"/>
        <v>96</v>
      </c>
      <c r="J44">
        <f t="shared" si="2"/>
        <v>19.2</v>
      </c>
      <c r="K44" t="str">
        <f>IF(Table2[[#This Row],[TOTAL]]&gt;90,"PASS","FAIL")</f>
        <v>PASS</v>
      </c>
    </row>
    <row r="45" spans="1:11" ht="15" thickBot="1" x14ac:dyDescent="0.35">
      <c r="A45" s="2">
        <v>44</v>
      </c>
      <c r="B45" s="1" t="s">
        <v>3</v>
      </c>
      <c r="C45" s="1">
        <v>44</v>
      </c>
      <c r="D45" s="1">
        <v>29</v>
      </c>
      <c r="E45" s="1">
        <v>10</v>
      </c>
      <c r="F45" s="1">
        <v>19</v>
      </c>
      <c r="G45" s="1">
        <v>24</v>
      </c>
      <c r="H45" s="5">
        <v>14</v>
      </c>
      <c r="I45" s="7">
        <f t="shared" si="1"/>
        <v>96</v>
      </c>
      <c r="J45">
        <f t="shared" si="2"/>
        <v>19.2</v>
      </c>
      <c r="K45" t="str">
        <f>IF(Table2[[#This Row],[TOTAL]]&gt;90,"PASS","FAIL")</f>
        <v>PASS</v>
      </c>
    </row>
    <row r="46" spans="1:11" ht="15" thickBot="1" x14ac:dyDescent="0.35">
      <c r="A46" s="2">
        <v>45</v>
      </c>
      <c r="B46" s="1" t="s">
        <v>3</v>
      </c>
      <c r="C46" s="1">
        <v>45</v>
      </c>
      <c r="D46" s="1">
        <v>29</v>
      </c>
      <c r="E46" s="1">
        <v>10</v>
      </c>
      <c r="F46" s="1">
        <v>19</v>
      </c>
      <c r="G46" s="1">
        <v>24</v>
      </c>
      <c r="H46" s="5">
        <v>14</v>
      </c>
      <c r="I46" s="7">
        <f t="shared" si="1"/>
        <v>96</v>
      </c>
      <c r="J46">
        <f t="shared" si="2"/>
        <v>19.2</v>
      </c>
      <c r="K46" t="str">
        <f>IF(Table2[[#This Row],[TOTAL]]&gt;90,"PASS","FAIL")</f>
        <v>PASS</v>
      </c>
    </row>
    <row r="47" spans="1:11" ht="15" thickBot="1" x14ac:dyDescent="0.35">
      <c r="A47" s="2">
        <v>46</v>
      </c>
      <c r="B47" s="1" t="s">
        <v>3</v>
      </c>
      <c r="C47" s="1">
        <v>46</v>
      </c>
      <c r="D47" s="1">
        <v>29</v>
      </c>
      <c r="E47" s="1">
        <v>10</v>
      </c>
      <c r="F47" s="1">
        <v>19</v>
      </c>
      <c r="G47" s="1">
        <v>24</v>
      </c>
      <c r="H47" s="5">
        <v>14</v>
      </c>
      <c r="I47" s="7">
        <f t="shared" si="1"/>
        <v>96</v>
      </c>
      <c r="J47">
        <f t="shared" si="2"/>
        <v>19.2</v>
      </c>
      <c r="K47" t="str">
        <f>IF(Table2[[#This Row],[TOTAL]]&gt;90,"PASS","FAIL")</f>
        <v>PASS</v>
      </c>
    </row>
    <row r="48" spans="1:11" ht="15" thickBot="1" x14ac:dyDescent="0.35">
      <c r="A48" s="2">
        <v>47</v>
      </c>
      <c r="B48" s="1" t="s">
        <v>3</v>
      </c>
      <c r="C48" s="1">
        <v>47</v>
      </c>
      <c r="D48" s="1">
        <v>29</v>
      </c>
      <c r="E48" s="1">
        <v>10</v>
      </c>
      <c r="F48" s="1">
        <v>19</v>
      </c>
      <c r="G48" s="1">
        <v>24</v>
      </c>
      <c r="H48" s="5">
        <v>14</v>
      </c>
      <c r="I48" s="7">
        <f t="shared" si="1"/>
        <v>96</v>
      </c>
      <c r="J48">
        <f t="shared" si="2"/>
        <v>19.2</v>
      </c>
      <c r="K48" t="str">
        <f>IF(Table2[[#This Row],[TOTAL]]&gt;90,"PASS","FAIL")</f>
        <v>PASS</v>
      </c>
    </row>
    <row r="49" spans="1:11" ht="15" thickBot="1" x14ac:dyDescent="0.35">
      <c r="A49" s="2">
        <v>48</v>
      </c>
      <c r="B49" s="1" t="s">
        <v>3</v>
      </c>
      <c r="C49" s="1">
        <v>48</v>
      </c>
      <c r="D49" s="1">
        <v>29</v>
      </c>
      <c r="E49" s="1">
        <v>10</v>
      </c>
      <c r="F49" s="1">
        <v>19</v>
      </c>
      <c r="G49" s="1">
        <v>24</v>
      </c>
      <c r="H49" s="5">
        <v>14</v>
      </c>
      <c r="I49" s="7">
        <f t="shared" si="1"/>
        <v>96</v>
      </c>
      <c r="J49">
        <f t="shared" si="2"/>
        <v>19.2</v>
      </c>
      <c r="K49" t="str">
        <f>IF(Table2[[#This Row],[TOTAL]]&gt;90,"PASS","FAIL")</f>
        <v>PASS</v>
      </c>
    </row>
    <row r="50" spans="1:11" x14ac:dyDescent="0.3">
      <c r="A50" s="2">
        <v>49</v>
      </c>
      <c r="B50" s="1" t="s">
        <v>3</v>
      </c>
      <c r="C50" s="1">
        <v>49</v>
      </c>
      <c r="D50" s="1">
        <v>29</v>
      </c>
      <c r="E50" s="1">
        <v>10</v>
      </c>
      <c r="F50" s="1">
        <v>19</v>
      </c>
      <c r="G50" s="1">
        <v>24</v>
      </c>
      <c r="H50" s="5">
        <v>14</v>
      </c>
      <c r="I50" s="13">
        <f t="shared" si="1"/>
        <v>96</v>
      </c>
      <c r="J50">
        <f t="shared" si="2"/>
        <v>19.2</v>
      </c>
      <c r="K50" t="str">
        <f>IF(Table2[[#This Row],[TOTAL]]&gt;90,"PASS","FAIL")</f>
        <v>PASS</v>
      </c>
    </row>
    <row r="51" spans="1:11" ht="15" thickBot="1" x14ac:dyDescent="0.35">
      <c r="A51" s="3">
        <v>50</v>
      </c>
      <c r="B51" s="4" t="s">
        <v>3</v>
      </c>
      <c r="C51" s="4">
        <v>50</v>
      </c>
      <c r="D51" s="4">
        <v>29</v>
      </c>
      <c r="E51" s="4">
        <v>10</v>
      </c>
      <c r="F51" s="4">
        <v>19</v>
      </c>
      <c r="G51" s="4">
        <v>24</v>
      </c>
      <c r="H51" s="6">
        <v>14</v>
      </c>
      <c r="I51" s="1">
        <f t="shared" si="1"/>
        <v>96</v>
      </c>
      <c r="J51">
        <f t="shared" si="2"/>
        <v>19.2</v>
      </c>
      <c r="K51" t="str">
        <f>IF(Table2[[#This Row],[TOTAL]]&gt;90,"PASS","FAIL")</f>
        <v>PASS</v>
      </c>
    </row>
    <row r="52" spans="1:11" x14ac:dyDescent="0.3">
      <c r="K52" t="str">
        <f>IF(Table2[[#This Row],[TOTAL]]&gt;90,"PASS","FAIL")</f>
        <v>FAIL</v>
      </c>
    </row>
    <row r="53" spans="1:11" x14ac:dyDescent="0.3">
      <c r="K53" t="str">
        <f>IF(Table2[[#This Row],[TOTAL]]&gt;90,"PASS","FAIL")</f>
        <v>FAIL</v>
      </c>
    </row>
    <row r="76" spans="8:8" x14ac:dyDescent="0.3">
      <c r="H76" t="s">
        <v>106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3074E-A672-43D5-81F4-0B89C6493B8A}">
  <sheetPr codeName="Sheet2">
    <tabColor rgb="FFFF99CC"/>
  </sheetPr>
  <dimension ref="A1:T20"/>
  <sheetViews>
    <sheetView showWhiteSpace="0" topLeftCell="G1" zoomScaleNormal="100" zoomScaleSheetLayoutView="100" workbookViewId="0">
      <selection activeCell="P19" sqref="P19"/>
    </sheetView>
  </sheetViews>
  <sheetFormatPr defaultRowHeight="14.4" x14ac:dyDescent="0.3"/>
  <cols>
    <col min="1" max="1" width="5.44140625" hidden="1" customWidth="1"/>
    <col min="2" max="4" width="8.88671875" hidden="1" customWidth="1"/>
    <col min="5" max="5" width="10.88671875" hidden="1" customWidth="1"/>
    <col min="6" max="6" width="9.109375" hidden="1" customWidth="1"/>
    <col min="7" max="7" width="11.6640625" customWidth="1"/>
    <col min="8" max="8" width="17.44140625" customWidth="1"/>
    <col min="9" max="9" width="12.21875" customWidth="1"/>
    <col min="10" max="10" width="19.5546875" customWidth="1"/>
    <col min="11" max="11" width="12.88671875" customWidth="1"/>
    <col min="12" max="12" width="14" customWidth="1"/>
    <col min="13" max="15" width="11" bestFit="1" customWidth="1"/>
  </cols>
  <sheetData>
    <row r="1" spans="1:20" ht="31.2" x14ac:dyDescent="0.6">
      <c r="A1" s="127" t="s">
        <v>12</v>
      </c>
      <c r="B1" s="128"/>
      <c r="C1" s="128"/>
      <c r="D1" s="128"/>
      <c r="E1" s="128"/>
      <c r="F1" s="128"/>
      <c r="G1" s="128"/>
      <c r="H1" s="128"/>
      <c r="I1" s="128"/>
      <c r="J1" s="128"/>
      <c r="K1" s="128"/>
      <c r="L1" s="128"/>
      <c r="M1" s="128"/>
      <c r="N1" s="128"/>
      <c r="O1" s="128"/>
      <c r="P1" s="128"/>
      <c r="Q1" s="128"/>
      <c r="R1" s="128"/>
      <c r="S1" s="128"/>
      <c r="T1" s="128"/>
    </row>
    <row r="2" spans="1:20" x14ac:dyDescent="0.3">
      <c r="A2" s="129" t="s">
        <v>13</v>
      </c>
      <c r="B2" s="130"/>
      <c r="C2" s="130"/>
      <c r="D2" s="130"/>
      <c r="E2" s="130"/>
      <c r="F2" s="130"/>
      <c r="G2" s="130"/>
      <c r="H2" s="130"/>
      <c r="I2" s="130"/>
      <c r="J2" s="130"/>
      <c r="K2" s="130"/>
      <c r="L2" s="130"/>
      <c r="M2" s="130"/>
      <c r="N2" s="130"/>
      <c r="O2" s="130"/>
      <c r="P2" s="130"/>
      <c r="Q2" s="130"/>
      <c r="R2" s="130"/>
      <c r="S2" s="130"/>
      <c r="T2" s="130"/>
    </row>
    <row r="3" spans="1:20" x14ac:dyDescent="0.3">
      <c r="A3" s="130"/>
      <c r="B3" s="130"/>
      <c r="C3" s="130"/>
      <c r="D3" s="130"/>
      <c r="E3" s="130"/>
      <c r="F3" s="130"/>
      <c r="G3" s="130"/>
      <c r="H3" s="130"/>
      <c r="I3" s="130"/>
      <c r="J3" s="130"/>
      <c r="K3" s="130"/>
      <c r="L3" s="130"/>
      <c r="M3" s="130"/>
      <c r="N3" s="130"/>
      <c r="O3" s="130"/>
      <c r="P3" s="130"/>
      <c r="Q3" s="130"/>
      <c r="R3" s="130"/>
      <c r="S3" s="130"/>
      <c r="T3" s="130"/>
    </row>
    <row r="5" spans="1:20" ht="18" x14ac:dyDescent="0.35">
      <c r="B5" s="17"/>
      <c r="C5" s="17"/>
      <c r="D5" s="17"/>
      <c r="E5" s="17"/>
      <c r="F5" s="17"/>
      <c r="G5" s="18"/>
      <c r="H5" s="18"/>
      <c r="I5" s="18"/>
      <c r="J5" s="18"/>
      <c r="K5" s="18"/>
      <c r="L5" s="18"/>
      <c r="M5" s="18"/>
      <c r="N5" s="18"/>
      <c r="O5" s="18"/>
    </row>
    <row r="6" spans="1:20" ht="18" x14ac:dyDescent="0.35">
      <c r="G6" s="19" t="s">
        <v>14</v>
      </c>
      <c r="H6" s="19" t="s">
        <v>15</v>
      </c>
      <c r="I6" s="19" t="s">
        <v>16</v>
      </c>
      <c r="J6" s="19" t="s">
        <v>17</v>
      </c>
      <c r="K6" s="19" t="s">
        <v>18</v>
      </c>
      <c r="L6" s="19" t="s">
        <v>19</v>
      </c>
      <c r="M6" s="19" t="s">
        <v>10</v>
      </c>
      <c r="N6" s="19" t="s">
        <v>30</v>
      </c>
      <c r="O6" s="19" t="s">
        <v>31</v>
      </c>
    </row>
    <row r="7" spans="1:20" ht="18" x14ac:dyDescent="0.35">
      <c r="E7" s="17"/>
      <c r="F7" s="17"/>
      <c r="G7" s="20">
        <v>101</v>
      </c>
      <c r="H7" s="20" t="s">
        <v>20</v>
      </c>
      <c r="I7" s="21">
        <v>18000</v>
      </c>
      <c r="J7" s="21">
        <v>21000</v>
      </c>
      <c r="K7" s="21">
        <f>I7*5%</f>
        <v>900</v>
      </c>
      <c r="L7" s="22">
        <f>I7+K7</f>
        <v>18900</v>
      </c>
      <c r="M7" s="22">
        <f>AVERAGE(I7:L7)</f>
        <v>14700</v>
      </c>
      <c r="N7" s="22">
        <f>MAX(H7:H16,L7:L16)</f>
        <v>42000</v>
      </c>
      <c r="O7" s="22">
        <f>MIN(L7:L16)</f>
        <v>10500</v>
      </c>
    </row>
    <row r="8" spans="1:20" ht="18" x14ac:dyDescent="0.35">
      <c r="B8" s="16"/>
      <c r="C8" s="16"/>
      <c r="D8" s="16"/>
      <c r="E8" s="16"/>
      <c r="F8" s="16"/>
      <c r="G8" s="20">
        <v>102</v>
      </c>
      <c r="H8" s="20" t="s">
        <v>21</v>
      </c>
      <c r="I8" s="21">
        <v>15000</v>
      </c>
      <c r="J8" s="21">
        <v>19000</v>
      </c>
      <c r="K8" s="21">
        <f t="shared" ref="K8:K16" si="0">I8*5%</f>
        <v>750</v>
      </c>
      <c r="L8" s="22">
        <f t="shared" ref="L8:L16" si="1">I8+K8</f>
        <v>15750</v>
      </c>
      <c r="M8" s="22">
        <f t="shared" ref="M8:M16" si="2">AVERAGE(I8:L8)</f>
        <v>12625</v>
      </c>
      <c r="N8" s="23"/>
      <c r="O8" s="23"/>
    </row>
    <row r="9" spans="1:20" ht="18" x14ac:dyDescent="0.35">
      <c r="G9" s="20">
        <v>103</v>
      </c>
      <c r="H9" s="20" t="s">
        <v>22</v>
      </c>
      <c r="I9" s="21">
        <v>12000</v>
      </c>
      <c r="J9" s="21">
        <v>14000</v>
      </c>
      <c r="K9" s="21">
        <f t="shared" si="0"/>
        <v>600</v>
      </c>
      <c r="L9" s="22">
        <f t="shared" si="1"/>
        <v>12600</v>
      </c>
      <c r="M9" s="22">
        <f t="shared" si="2"/>
        <v>9800</v>
      </c>
      <c r="N9" s="23"/>
      <c r="O9" s="23"/>
    </row>
    <row r="10" spans="1:20" ht="18" x14ac:dyDescent="0.35">
      <c r="G10" s="20">
        <v>104</v>
      </c>
      <c r="H10" s="20" t="s">
        <v>23</v>
      </c>
      <c r="I10" s="21">
        <v>25000</v>
      </c>
      <c r="J10" s="21">
        <v>29000</v>
      </c>
      <c r="K10" s="21">
        <f t="shared" si="0"/>
        <v>1250</v>
      </c>
      <c r="L10" s="22">
        <f t="shared" si="1"/>
        <v>26250</v>
      </c>
      <c r="M10" s="22">
        <f t="shared" si="2"/>
        <v>20375</v>
      </c>
      <c r="N10" s="23"/>
      <c r="O10" s="23"/>
    </row>
    <row r="11" spans="1:20" ht="18" x14ac:dyDescent="0.35">
      <c r="G11" s="20">
        <v>105</v>
      </c>
      <c r="H11" s="20" t="s">
        <v>24</v>
      </c>
      <c r="I11" s="21">
        <v>10000</v>
      </c>
      <c r="J11" s="21">
        <v>15000</v>
      </c>
      <c r="K11" s="21">
        <f t="shared" si="0"/>
        <v>500</v>
      </c>
      <c r="L11" s="22">
        <f t="shared" si="1"/>
        <v>10500</v>
      </c>
      <c r="M11" s="22">
        <f t="shared" si="2"/>
        <v>9000</v>
      </c>
      <c r="N11" s="23"/>
      <c r="O11" s="23"/>
    </row>
    <row r="12" spans="1:20" ht="18" x14ac:dyDescent="0.35">
      <c r="G12" s="20">
        <v>106</v>
      </c>
      <c r="H12" s="20" t="s">
        <v>25</v>
      </c>
      <c r="I12" s="21">
        <v>28000</v>
      </c>
      <c r="J12" s="21">
        <v>30000</v>
      </c>
      <c r="K12" s="21">
        <f t="shared" si="0"/>
        <v>1400</v>
      </c>
      <c r="L12" s="22">
        <f t="shared" si="1"/>
        <v>29400</v>
      </c>
      <c r="M12" s="22">
        <f t="shared" si="2"/>
        <v>22200</v>
      </c>
      <c r="N12" s="23"/>
      <c r="O12" s="23"/>
    </row>
    <row r="13" spans="1:20" ht="18" x14ac:dyDescent="0.35">
      <c r="G13" s="20">
        <v>107</v>
      </c>
      <c r="H13" s="20" t="s">
        <v>26</v>
      </c>
      <c r="I13" s="21">
        <v>35000</v>
      </c>
      <c r="J13" s="21">
        <v>40000</v>
      </c>
      <c r="K13" s="21">
        <f t="shared" si="0"/>
        <v>1750</v>
      </c>
      <c r="L13" s="22">
        <f t="shared" si="1"/>
        <v>36750</v>
      </c>
      <c r="M13" s="22">
        <f t="shared" si="2"/>
        <v>28375</v>
      </c>
      <c r="N13" s="23"/>
      <c r="O13" s="23"/>
    </row>
    <row r="14" spans="1:20" ht="18" x14ac:dyDescent="0.35">
      <c r="G14" s="20">
        <v>108</v>
      </c>
      <c r="H14" s="20" t="s">
        <v>27</v>
      </c>
      <c r="I14" s="21">
        <v>40000</v>
      </c>
      <c r="J14" s="21">
        <v>45000</v>
      </c>
      <c r="K14" s="21">
        <f t="shared" si="0"/>
        <v>2000</v>
      </c>
      <c r="L14" s="22">
        <f t="shared" si="1"/>
        <v>42000</v>
      </c>
      <c r="M14" s="22">
        <f t="shared" si="2"/>
        <v>32250</v>
      </c>
      <c r="N14" s="23"/>
      <c r="O14" s="23" t="s">
        <v>108</v>
      </c>
    </row>
    <row r="15" spans="1:20" ht="18" x14ac:dyDescent="0.35">
      <c r="G15" s="20">
        <v>109</v>
      </c>
      <c r="H15" s="20" t="s">
        <v>28</v>
      </c>
      <c r="I15" s="21">
        <v>22000</v>
      </c>
      <c r="J15" s="21">
        <v>25000</v>
      </c>
      <c r="K15" s="21">
        <f t="shared" si="0"/>
        <v>1100</v>
      </c>
      <c r="L15" s="22">
        <f t="shared" si="1"/>
        <v>23100</v>
      </c>
      <c r="M15" s="22">
        <f t="shared" si="2"/>
        <v>17800</v>
      </c>
      <c r="N15" s="23"/>
      <c r="O15" s="23"/>
    </row>
    <row r="16" spans="1:20" ht="18" x14ac:dyDescent="0.35">
      <c r="G16" s="20">
        <v>110</v>
      </c>
      <c r="H16" s="20" t="s">
        <v>29</v>
      </c>
      <c r="I16" s="21">
        <v>20000</v>
      </c>
      <c r="J16" s="21">
        <v>26000</v>
      </c>
      <c r="K16" s="21">
        <f t="shared" si="0"/>
        <v>1000</v>
      </c>
      <c r="L16" s="22">
        <f t="shared" si="1"/>
        <v>21000</v>
      </c>
      <c r="M16" s="22">
        <f t="shared" si="2"/>
        <v>17000</v>
      </c>
      <c r="N16" s="23"/>
      <c r="O16" s="23"/>
    </row>
    <row r="17" spans="7:16" ht="18" x14ac:dyDescent="0.35">
      <c r="G17" s="24"/>
      <c r="H17" s="24"/>
      <c r="I17" s="24"/>
      <c r="J17" s="24"/>
      <c r="K17" s="24"/>
      <c r="L17" s="24"/>
      <c r="M17" s="24"/>
      <c r="N17" s="24"/>
      <c r="O17" s="24"/>
      <c r="P17" s="24"/>
    </row>
    <row r="18" spans="7:16" ht="18" x14ac:dyDescent="0.35">
      <c r="G18" s="24"/>
      <c r="H18" s="24"/>
      <c r="I18" s="24"/>
      <c r="J18" s="24"/>
      <c r="K18" s="24"/>
      <c r="L18" s="24"/>
      <c r="M18" s="24"/>
      <c r="N18" s="24"/>
      <c r="O18" s="24"/>
    </row>
    <row r="19" spans="7:16" x14ac:dyDescent="0.3">
      <c r="P19" t="s">
        <v>120</v>
      </c>
    </row>
    <row r="20" spans="7:16" x14ac:dyDescent="0.3">
      <c r="O20" t="s">
        <v>121</v>
      </c>
    </row>
  </sheetData>
  <mergeCells count="2">
    <mergeCell ref="A1:T1"/>
    <mergeCell ref="A2:T3"/>
  </mergeCells>
  <pageMargins left="0.7" right="0.7" top="0.75" bottom="0.75" header="0.3" footer="0.3"/>
  <pageSetup paperSize="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98602-06F1-4763-B82A-AF04496BEE45}">
  <sheetPr codeName="Sheet3">
    <tabColor rgb="FF00B050"/>
  </sheetPr>
  <dimension ref="B2:Q20"/>
  <sheetViews>
    <sheetView topLeftCell="B1" workbookViewId="0">
      <selection activeCell="E3" sqref="E3"/>
    </sheetView>
  </sheetViews>
  <sheetFormatPr defaultRowHeight="14.4" x14ac:dyDescent="0.3"/>
  <cols>
    <col min="2" max="2" width="14.77734375" customWidth="1"/>
    <col min="3" max="3" width="12.77734375" customWidth="1"/>
    <col min="4" max="4" width="15.44140625" customWidth="1"/>
    <col min="5" max="5" width="13.5546875" customWidth="1"/>
    <col min="6" max="6" width="25.33203125" customWidth="1"/>
    <col min="9" max="9" width="18.33203125" customWidth="1"/>
    <col min="10" max="10" width="23.21875" customWidth="1"/>
    <col min="11" max="11" width="11.88671875" customWidth="1"/>
    <col min="12" max="12" width="14.109375" customWidth="1"/>
    <col min="13" max="13" width="17.44140625" customWidth="1"/>
    <col min="15" max="15" width="14.5546875" customWidth="1"/>
    <col min="16" max="16" width="19.77734375" customWidth="1"/>
    <col min="17" max="17" width="16.21875" customWidth="1"/>
    <col min="19" max="19" width="12.88671875" customWidth="1"/>
  </cols>
  <sheetData>
    <row r="2" spans="2:17" ht="23.4" x14ac:dyDescent="0.45">
      <c r="B2" s="26" t="s">
        <v>39</v>
      </c>
      <c r="C2" s="26" t="s">
        <v>40</v>
      </c>
      <c r="D2" s="26" t="s">
        <v>41</v>
      </c>
      <c r="E2" s="26" t="s">
        <v>19</v>
      </c>
      <c r="F2" s="26" t="s">
        <v>42</v>
      </c>
      <c r="I2" s="34" t="s">
        <v>43</v>
      </c>
      <c r="J2" s="34" t="s">
        <v>44</v>
      </c>
      <c r="K2" s="34" t="s">
        <v>45</v>
      </c>
      <c r="L2" s="34" t="s">
        <v>46</v>
      </c>
      <c r="M2" s="34" t="s">
        <v>47</v>
      </c>
      <c r="N2" s="34" t="s">
        <v>48</v>
      </c>
      <c r="O2" s="34" t="s">
        <v>10</v>
      </c>
      <c r="P2" s="34" t="s">
        <v>49</v>
      </c>
      <c r="Q2" s="34" t="s">
        <v>50</v>
      </c>
    </row>
    <row r="3" spans="2:17" ht="23.4" x14ac:dyDescent="0.45">
      <c r="B3" s="27" t="s">
        <v>32</v>
      </c>
      <c r="C3" s="27" t="s">
        <v>36</v>
      </c>
      <c r="D3" s="27">
        <v>200</v>
      </c>
      <c r="E3" s="28">
        <f>SUMIF(B3:B10,"APPLES",D3:D10)</f>
        <v>410</v>
      </c>
      <c r="F3" s="28" t="s">
        <v>34</v>
      </c>
      <c r="I3">
        <v>1</v>
      </c>
      <c r="J3" t="s">
        <v>36</v>
      </c>
      <c r="K3">
        <v>85</v>
      </c>
      <c r="L3">
        <v>75</v>
      </c>
      <c r="M3">
        <v>60</v>
      </c>
      <c r="N3">
        <f>SUM(K3:M3)</f>
        <v>220</v>
      </c>
      <c r="O3">
        <f>AVERAGE(K3:M3)</f>
        <v>73.333333333333329</v>
      </c>
      <c r="P3" s="33">
        <f>DATE(2023,12,14)</f>
        <v>45274</v>
      </c>
      <c r="Q3" s="35">
        <f>TIME(14,30,0)</f>
        <v>0.60416666666666663</v>
      </c>
    </row>
    <row r="4" spans="2:17" ht="23.4" x14ac:dyDescent="0.45">
      <c r="B4" s="27" t="s">
        <v>33</v>
      </c>
      <c r="C4" s="27" t="s">
        <v>37</v>
      </c>
      <c r="D4" s="27">
        <v>350</v>
      </c>
      <c r="E4" s="29">
        <f>SUMIF(B3:B10,"CHERRIES",D3:D10)</f>
        <v>530</v>
      </c>
      <c r="F4" s="29" t="s">
        <v>32</v>
      </c>
      <c r="I4">
        <v>2</v>
      </c>
      <c r="J4" t="s">
        <v>51</v>
      </c>
      <c r="K4">
        <v>100</v>
      </c>
      <c r="L4">
        <v>78</v>
      </c>
      <c r="M4">
        <v>85</v>
      </c>
      <c r="N4">
        <f t="shared" ref="N4:N7" si="0">SUM(K4:M4)</f>
        <v>263</v>
      </c>
      <c r="O4">
        <f t="shared" ref="O4:O7" si="1">AVERAGE(K4:M4)</f>
        <v>87.666666666666671</v>
      </c>
      <c r="P4" s="33">
        <f>DATE(2023,12,15)</f>
        <v>45275</v>
      </c>
      <c r="Q4" s="35">
        <f>TIME(13,30,0)</f>
        <v>0.5625</v>
      </c>
    </row>
    <row r="5" spans="2:17" ht="23.4" x14ac:dyDescent="0.45">
      <c r="B5" s="27" t="s">
        <v>34</v>
      </c>
      <c r="C5" s="27" t="s">
        <v>38</v>
      </c>
      <c r="D5" s="27">
        <v>180</v>
      </c>
      <c r="E5" s="30">
        <f>SUMIF(B3:B10,"BANANAS",D3:D10)</f>
        <v>600</v>
      </c>
      <c r="F5" s="30" t="s">
        <v>33</v>
      </c>
      <c r="I5">
        <v>3</v>
      </c>
      <c r="J5" t="s">
        <v>52</v>
      </c>
      <c r="K5">
        <v>88</v>
      </c>
      <c r="L5">
        <v>72</v>
      </c>
      <c r="M5">
        <v>75</v>
      </c>
      <c r="N5">
        <f t="shared" si="0"/>
        <v>235</v>
      </c>
      <c r="O5">
        <f t="shared" si="1"/>
        <v>78.333333333333329</v>
      </c>
      <c r="P5" s="33">
        <f>DATE(2023,12,16)</f>
        <v>45276</v>
      </c>
      <c r="Q5" s="35">
        <f>TIME(12,30,0)</f>
        <v>0.52083333333333337</v>
      </c>
    </row>
    <row r="6" spans="2:17" ht="23.4" x14ac:dyDescent="0.45">
      <c r="B6" s="27" t="s">
        <v>35</v>
      </c>
      <c r="C6" s="27" t="s">
        <v>37</v>
      </c>
      <c r="D6" s="27">
        <v>400</v>
      </c>
      <c r="E6" s="31">
        <f>SUMIF(B3:B10,"ORANGES",D3:D10)</f>
        <v>400</v>
      </c>
      <c r="F6" s="31" t="s">
        <v>35</v>
      </c>
      <c r="I6">
        <v>4</v>
      </c>
      <c r="J6" t="s">
        <v>53</v>
      </c>
      <c r="K6">
        <v>90</v>
      </c>
      <c r="L6">
        <v>95</v>
      </c>
      <c r="M6">
        <v>80</v>
      </c>
      <c r="N6">
        <f t="shared" si="0"/>
        <v>265</v>
      </c>
      <c r="O6">
        <f t="shared" si="1"/>
        <v>88.333333333333329</v>
      </c>
      <c r="P6" s="33">
        <f>DATE(2023,12,17)</f>
        <v>45277</v>
      </c>
      <c r="Q6" s="35">
        <f t="shared" ref="Q6" si="2">TIME(14,30,0)</f>
        <v>0.60416666666666663</v>
      </c>
    </row>
    <row r="7" spans="2:17" ht="23.4" x14ac:dyDescent="0.45">
      <c r="B7" s="27" t="s">
        <v>33</v>
      </c>
      <c r="C7" s="27" t="s">
        <v>36</v>
      </c>
      <c r="D7" s="27">
        <v>250</v>
      </c>
      <c r="E7" s="27"/>
      <c r="F7" s="27"/>
      <c r="I7">
        <v>5</v>
      </c>
      <c r="J7" t="s">
        <v>54</v>
      </c>
      <c r="K7">
        <v>95</v>
      </c>
      <c r="L7">
        <v>82</v>
      </c>
      <c r="M7">
        <v>99</v>
      </c>
      <c r="N7">
        <f t="shared" si="0"/>
        <v>276</v>
      </c>
      <c r="O7">
        <f t="shared" si="1"/>
        <v>92</v>
      </c>
      <c r="P7" s="33">
        <f>DATE(2023,12,18)</f>
        <v>45278</v>
      </c>
      <c r="Q7" s="35">
        <f>TIME(15,30,0)</f>
        <v>0.64583333333333337</v>
      </c>
    </row>
    <row r="8" spans="2:17" ht="23.4" x14ac:dyDescent="0.45">
      <c r="B8" s="27" t="s">
        <v>34</v>
      </c>
      <c r="C8" s="27" t="s">
        <v>37</v>
      </c>
      <c r="D8" s="27">
        <v>120</v>
      </c>
      <c r="E8" s="27"/>
      <c r="F8" s="27"/>
    </row>
    <row r="9" spans="2:17" ht="23.4" x14ac:dyDescent="0.45">
      <c r="B9" s="27" t="s">
        <v>32</v>
      </c>
      <c r="C9" s="27" t="s">
        <v>36</v>
      </c>
      <c r="D9" s="27">
        <v>330</v>
      </c>
      <c r="E9" s="27"/>
      <c r="F9" s="27"/>
      <c r="I9" s="25"/>
    </row>
    <row r="10" spans="2:17" ht="23.4" x14ac:dyDescent="0.45">
      <c r="B10" s="27" t="s">
        <v>34</v>
      </c>
      <c r="C10" s="27" t="s">
        <v>38</v>
      </c>
      <c r="D10" s="27">
        <v>110</v>
      </c>
      <c r="E10" s="27"/>
      <c r="F10" s="27"/>
    </row>
    <row r="13" spans="2:17" ht="23.4" x14ac:dyDescent="0.45">
      <c r="B13" s="32"/>
    </row>
    <row r="14" spans="2:17" x14ac:dyDescent="0.3">
      <c r="O14" t="s">
        <v>108</v>
      </c>
    </row>
    <row r="19" spans="15:16" x14ac:dyDescent="0.3">
      <c r="P19" t="s">
        <v>120</v>
      </c>
    </row>
    <row r="20" spans="15:16" x14ac:dyDescent="0.3">
      <c r="O20"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D8088-1D99-4EAD-867F-6C25AFAFD290}">
  <sheetPr>
    <tabColor rgb="FFFFFF00"/>
  </sheetPr>
  <dimension ref="B3:P76"/>
  <sheetViews>
    <sheetView workbookViewId="0">
      <selection activeCell="P19" sqref="P19"/>
    </sheetView>
  </sheetViews>
  <sheetFormatPr defaultRowHeight="14.4" x14ac:dyDescent="0.3"/>
  <cols>
    <col min="3" max="3" width="15.88671875" customWidth="1"/>
    <col min="9" max="9" width="11" customWidth="1"/>
  </cols>
  <sheetData>
    <row r="3" spans="2:15" x14ac:dyDescent="0.3">
      <c r="B3" s="37" t="s">
        <v>56</v>
      </c>
      <c r="C3" s="37" t="s">
        <v>15</v>
      </c>
      <c r="D3" s="37" t="s">
        <v>66</v>
      </c>
      <c r="E3" s="37" t="s">
        <v>9</v>
      </c>
      <c r="F3" s="37" t="s">
        <v>67</v>
      </c>
      <c r="G3" s="38"/>
      <c r="H3" s="37" t="s">
        <v>70</v>
      </c>
      <c r="I3" s="37" t="s">
        <v>71</v>
      </c>
    </row>
    <row r="4" spans="2:15" x14ac:dyDescent="0.3">
      <c r="B4" s="1">
        <v>1</v>
      </c>
      <c r="C4" s="1" t="s">
        <v>57</v>
      </c>
      <c r="D4" s="1" t="s">
        <v>67</v>
      </c>
      <c r="E4" s="1">
        <v>318</v>
      </c>
      <c r="F4" s="1" t="str">
        <f>IF(D4="GRASS","YES","NO")</f>
        <v>YES</v>
      </c>
      <c r="H4" s="1" t="s">
        <v>67</v>
      </c>
      <c r="I4" s="1">
        <f>SUMIF(D4:D12,D4,E4:E12)</f>
        <v>1248</v>
      </c>
    </row>
    <row r="5" spans="2:15" x14ac:dyDescent="0.3">
      <c r="B5" s="1">
        <v>2</v>
      </c>
      <c r="C5" s="1" t="s">
        <v>58</v>
      </c>
      <c r="D5" s="1" t="s">
        <v>67</v>
      </c>
      <c r="E5" s="1">
        <v>405</v>
      </c>
      <c r="F5" s="1" t="str">
        <f t="shared" ref="F5:F12" si="0">IF(D5="GRASS","YES","NO")</f>
        <v>YES</v>
      </c>
      <c r="H5" s="1" t="s">
        <v>68</v>
      </c>
      <c r="I5" s="1">
        <f t="shared" ref="I5:I6" si="1">SUMIF(D5:D13,D5,E5:E13)</f>
        <v>930</v>
      </c>
    </row>
    <row r="6" spans="2:15" x14ac:dyDescent="0.3">
      <c r="B6" s="1">
        <v>3</v>
      </c>
      <c r="C6" s="1" t="s">
        <v>59</v>
      </c>
      <c r="D6" s="1" t="s">
        <v>67</v>
      </c>
      <c r="E6" s="1">
        <v>525</v>
      </c>
      <c r="F6" s="1" t="str">
        <f t="shared" si="0"/>
        <v>YES</v>
      </c>
      <c r="H6" s="1" t="s">
        <v>69</v>
      </c>
      <c r="I6" s="1">
        <f t="shared" si="1"/>
        <v>525</v>
      </c>
    </row>
    <row r="7" spans="2:15" x14ac:dyDescent="0.3">
      <c r="B7" s="1">
        <v>4</v>
      </c>
      <c r="C7" s="1" t="s">
        <v>60</v>
      </c>
      <c r="D7" s="1" t="s">
        <v>68</v>
      </c>
      <c r="E7" s="1">
        <v>309</v>
      </c>
      <c r="F7" s="1" t="str">
        <f t="shared" si="0"/>
        <v>NO</v>
      </c>
    </row>
    <row r="8" spans="2:15" x14ac:dyDescent="0.3">
      <c r="B8" s="1">
        <v>5</v>
      </c>
      <c r="C8" s="1" t="s">
        <v>61</v>
      </c>
      <c r="D8" s="1" t="s">
        <v>68</v>
      </c>
      <c r="E8" s="1">
        <v>405</v>
      </c>
      <c r="F8" s="1" t="str">
        <f t="shared" si="0"/>
        <v>NO</v>
      </c>
    </row>
    <row r="9" spans="2:15" x14ac:dyDescent="0.3">
      <c r="B9" s="1">
        <v>6</v>
      </c>
      <c r="C9" s="1" t="s">
        <v>62</v>
      </c>
      <c r="D9" s="1" t="s">
        <v>68</v>
      </c>
      <c r="E9" s="1">
        <v>534</v>
      </c>
      <c r="F9" s="1" t="str">
        <f t="shared" si="0"/>
        <v>NO</v>
      </c>
    </row>
    <row r="10" spans="2:15" x14ac:dyDescent="0.3">
      <c r="B10" s="1">
        <v>7</v>
      </c>
      <c r="C10" s="1" t="s">
        <v>63</v>
      </c>
      <c r="D10" s="1" t="s">
        <v>69</v>
      </c>
      <c r="E10" s="1">
        <v>314</v>
      </c>
      <c r="F10" s="1" t="str">
        <f t="shared" si="0"/>
        <v>NO</v>
      </c>
    </row>
    <row r="11" spans="2:15" x14ac:dyDescent="0.3">
      <c r="B11" s="1">
        <v>8</v>
      </c>
      <c r="C11" s="1" t="s">
        <v>64</v>
      </c>
      <c r="D11" s="1" t="s">
        <v>69</v>
      </c>
      <c r="E11" s="1">
        <v>405</v>
      </c>
      <c r="F11" s="1" t="str">
        <f t="shared" si="0"/>
        <v>NO</v>
      </c>
    </row>
    <row r="12" spans="2:15" x14ac:dyDescent="0.3">
      <c r="B12" s="1">
        <v>9</v>
      </c>
      <c r="C12" s="1" t="s">
        <v>65</v>
      </c>
      <c r="D12" s="1" t="s">
        <v>69</v>
      </c>
      <c r="E12" s="1">
        <v>530</v>
      </c>
      <c r="F12" s="1" t="str">
        <f t="shared" si="0"/>
        <v>NO</v>
      </c>
    </row>
    <row r="13" spans="2:15" x14ac:dyDescent="0.3">
      <c r="B13" s="1"/>
      <c r="C13" s="1"/>
      <c r="D13" s="39" t="s">
        <v>9</v>
      </c>
      <c r="E13" s="39">
        <f>SUM(E4:E12)</f>
        <v>3745</v>
      </c>
      <c r="F13" s="1"/>
    </row>
    <row r="14" spans="2:15" x14ac:dyDescent="0.3">
      <c r="O14" t="s">
        <v>108</v>
      </c>
    </row>
    <row r="19" spans="7:16" x14ac:dyDescent="0.3">
      <c r="P19" t="s">
        <v>120</v>
      </c>
    </row>
    <row r="20" spans="7:16" x14ac:dyDescent="0.3">
      <c r="O20" t="s">
        <v>121</v>
      </c>
    </row>
    <row r="24" spans="7:16" x14ac:dyDescent="0.3">
      <c r="G24" t="s">
        <v>55</v>
      </c>
    </row>
    <row r="76" spans="8:8" x14ac:dyDescent="0.3">
      <c r="H76"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6230B-D174-4266-BEB6-3FE505A14BFC}">
  <sheetPr>
    <tabColor rgb="FF00B0F0"/>
  </sheetPr>
  <dimension ref="B2:P76"/>
  <sheetViews>
    <sheetView topLeftCell="A4" workbookViewId="0">
      <selection activeCell="J24" sqref="J24"/>
    </sheetView>
  </sheetViews>
  <sheetFormatPr defaultRowHeight="14.4" x14ac:dyDescent="0.3"/>
  <cols>
    <col min="3" max="3" width="10.33203125" customWidth="1"/>
    <col min="10" max="10" width="22.109375" customWidth="1"/>
    <col min="11" max="11" width="12.44140625" customWidth="1"/>
    <col min="12" max="12" width="11.5546875" customWidth="1"/>
    <col min="13" max="13" width="12.33203125" customWidth="1"/>
    <col min="14" max="14" width="11.88671875" customWidth="1"/>
    <col min="15" max="15" width="21.109375" customWidth="1"/>
  </cols>
  <sheetData>
    <row r="2" spans="2:15" x14ac:dyDescent="0.3">
      <c r="B2" s="131" t="s">
        <v>72</v>
      </c>
      <c r="C2" s="131"/>
      <c r="D2" s="131"/>
      <c r="E2" s="131"/>
      <c r="F2" s="131"/>
      <c r="G2" s="131"/>
    </row>
    <row r="3" spans="2:15" x14ac:dyDescent="0.3">
      <c r="B3" s="1"/>
      <c r="C3" s="1"/>
      <c r="D3" s="1"/>
      <c r="E3" s="1"/>
      <c r="F3" s="1"/>
      <c r="G3" s="1"/>
    </row>
    <row r="4" spans="2:15" ht="43.2" x14ac:dyDescent="0.3">
      <c r="B4" s="40" t="s">
        <v>15</v>
      </c>
      <c r="C4" s="40" t="s">
        <v>78</v>
      </c>
      <c r="D4" s="41" t="s">
        <v>79</v>
      </c>
      <c r="E4" s="41" t="s">
        <v>80</v>
      </c>
      <c r="F4" s="41" t="s">
        <v>81</v>
      </c>
      <c r="G4" s="40"/>
    </row>
    <row r="5" spans="2:15" x14ac:dyDescent="0.3">
      <c r="B5" s="1" t="s">
        <v>73</v>
      </c>
      <c r="C5" s="1">
        <v>42</v>
      </c>
      <c r="D5" s="1">
        <v>5</v>
      </c>
      <c r="E5" s="1">
        <f>C5/D5</f>
        <v>8.4</v>
      </c>
      <c r="F5" s="1">
        <f>E5*25%</f>
        <v>2.1</v>
      </c>
      <c r="G5" s="1"/>
    </row>
    <row r="6" spans="2:15" x14ac:dyDescent="0.3">
      <c r="B6" s="1" t="s">
        <v>74</v>
      </c>
      <c r="C6" s="1">
        <v>6</v>
      </c>
      <c r="D6" s="1">
        <v>4</v>
      </c>
      <c r="E6" s="1">
        <f>C6/D6</f>
        <v>1.5</v>
      </c>
      <c r="F6" s="1">
        <f>E6*25%</f>
        <v>0.375</v>
      </c>
      <c r="G6" s="1"/>
    </row>
    <row r="7" spans="2:15" x14ac:dyDescent="0.3">
      <c r="B7" s="1" t="s">
        <v>75</v>
      </c>
      <c r="C7" s="1">
        <v>39</v>
      </c>
      <c r="D7" s="1">
        <v>6</v>
      </c>
      <c r="E7" s="1">
        <f t="shared" ref="E7:E9" si="0">C7/D7</f>
        <v>6.5</v>
      </c>
      <c r="F7" s="1">
        <f t="shared" ref="F7:F9" si="1">E7*25%</f>
        <v>1.625</v>
      </c>
      <c r="G7" s="1"/>
    </row>
    <row r="8" spans="2:15" ht="23.4" x14ac:dyDescent="0.45">
      <c r="B8" s="1" t="s">
        <v>76</v>
      </c>
      <c r="C8" s="1">
        <v>15</v>
      </c>
      <c r="D8" s="1">
        <v>6</v>
      </c>
      <c r="E8" s="1">
        <f t="shared" si="0"/>
        <v>2.5</v>
      </c>
      <c r="F8" s="1">
        <f t="shared" si="1"/>
        <v>0.625</v>
      </c>
      <c r="G8" s="1"/>
      <c r="J8" s="26" t="s">
        <v>85</v>
      </c>
      <c r="K8" s="42" t="s">
        <v>49</v>
      </c>
      <c r="L8" s="42" t="s">
        <v>82</v>
      </c>
      <c r="M8" s="42" t="s">
        <v>83</v>
      </c>
      <c r="N8" s="42" t="s">
        <v>84</v>
      </c>
      <c r="O8" s="42" t="s">
        <v>86</v>
      </c>
    </row>
    <row r="9" spans="2:15" x14ac:dyDescent="0.3">
      <c r="B9" s="1" t="s">
        <v>77</v>
      </c>
      <c r="C9" s="1">
        <v>2</v>
      </c>
      <c r="D9" s="1">
        <v>7</v>
      </c>
      <c r="E9" s="1">
        <f t="shared" si="0"/>
        <v>0.2857142857142857</v>
      </c>
      <c r="F9" s="1">
        <f t="shared" si="1"/>
        <v>7.1428571428571425E-2</v>
      </c>
      <c r="G9" s="1"/>
      <c r="J9" s="1">
        <v>1</v>
      </c>
      <c r="K9" s="43">
        <f>DATE(2023,12,14)</f>
        <v>45274</v>
      </c>
      <c r="L9" s="1">
        <f>DAY(K9)</f>
        <v>14</v>
      </c>
      <c r="M9" s="1">
        <f>MONTH(K9)</f>
        <v>12</v>
      </c>
      <c r="N9" s="1">
        <f>YEAR(K9)</f>
        <v>2023</v>
      </c>
      <c r="O9" s="43">
        <f>K9+2</f>
        <v>45276</v>
      </c>
    </row>
    <row r="10" spans="2:15" x14ac:dyDescent="0.3">
      <c r="B10" s="1"/>
      <c r="C10" s="1"/>
      <c r="D10" s="1"/>
      <c r="E10" s="1"/>
      <c r="F10" s="1"/>
      <c r="G10" s="1"/>
      <c r="J10" s="1">
        <v>2</v>
      </c>
      <c r="K10" s="43">
        <f>DATE(2023,12,15)</f>
        <v>45275</v>
      </c>
      <c r="L10" s="1">
        <f t="shared" ref="L10:L13" si="2">DAY(K10)</f>
        <v>15</v>
      </c>
      <c r="M10" s="1">
        <f t="shared" ref="M10:M13" si="3">MONTH(K10)</f>
        <v>12</v>
      </c>
      <c r="N10" s="1">
        <f t="shared" ref="N10:N13" si="4">YEAR(K10)</f>
        <v>2023</v>
      </c>
      <c r="O10" s="43">
        <f>K10-3</f>
        <v>45272</v>
      </c>
    </row>
    <row r="11" spans="2:15" x14ac:dyDescent="0.3">
      <c r="B11" s="40" t="s">
        <v>9</v>
      </c>
      <c r="C11" s="1">
        <f>SUM(C5:C9)</f>
        <v>104</v>
      </c>
      <c r="D11" s="1"/>
      <c r="E11" s="1"/>
      <c r="F11" s="1"/>
      <c r="G11" s="1"/>
      <c r="J11" s="1">
        <v>3</v>
      </c>
      <c r="K11" s="43">
        <f>DATE(2023,12,16)</f>
        <v>45276</v>
      </c>
      <c r="L11" s="1">
        <f t="shared" si="2"/>
        <v>16</v>
      </c>
      <c r="M11" s="1">
        <f t="shared" si="3"/>
        <v>12</v>
      </c>
      <c r="N11" s="1">
        <f t="shared" si="4"/>
        <v>2023</v>
      </c>
      <c r="O11" s="43">
        <f>K11+6</f>
        <v>45282</v>
      </c>
    </row>
    <row r="12" spans="2:15" x14ac:dyDescent="0.3">
      <c r="J12" s="1">
        <v>4</v>
      </c>
      <c r="K12" s="43">
        <f>DATE(2023,12,17)</f>
        <v>45277</v>
      </c>
      <c r="L12" s="1">
        <f t="shared" si="2"/>
        <v>17</v>
      </c>
      <c r="M12" s="1">
        <f t="shared" si="3"/>
        <v>12</v>
      </c>
      <c r="N12" s="1">
        <f t="shared" si="4"/>
        <v>2023</v>
      </c>
      <c r="O12" s="43">
        <f>K12+10</f>
        <v>45287</v>
      </c>
    </row>
    <row r="13" spans="2:15" x14ac:dyDescent="0.3">
      <c r="J13" s="1">
        <v>5</v>
      </c>
      <c r="K13" s="43">
        <f>DATE(2023,12,18)</f>
        <v>45278</v>
      </c>
      <c r="L13" s="1">
        <f t="shared" si="2"/>
        <v>18</v>
      </c>
      <c r="M13" s="1">
        <f t="shared" si="3"/>
        <v>12</v>
      </c>
      <c r="N13" s="1">
        <f t="shared" si="4"/>
        <v>2023</v>
      </c>
      <c r="O13" s="43">
        <f>K13-20</f>
        <v>45258</v>
      </c>
    </row>
    <row r="14" spans="2:15" x14ac:dyDescent="0.3">
      <c r="O14" t="s">
        <v>108</v>
      </c>
    </row>
    <row r="16" spans="2:15" ht="15.6" x14ac:dyDescent="0.3">
      <c r="J16" s="67" t="str">
        <f>TEXT(K9,"mmmm d")&amp;"th,"&amp;TEXT(K9,"yyyy")</f>
        <v>December 14th,2023</v>
      </c>
      <c r="K16" s="67" t="s">
        <v>278</v>
      </c>
      <c r="L16" s="68"/>
    </row>
    <row r="19" spans="15:16" x14ac:dyDescent="0.3">
      <c r="P19" t="s">
        <v>120</v>
      </c>
    </row>
    <row r="20" spans="15:16" x14ac:dyDescent="0.3">
      <c r="O20" t="s">
        <v>121</v>
      </c>
    </row>
    <row r="76" spans="8:8" x14ac:dyDescent="0.3">
      <c r="H76" t="s">
        <v>106</v>
      </c>
    </row>
  </sheetData>
  <mergeCells count="1">
    <mergeCell ref="B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6DBE7-E3CF-4530-A44C-676EB6536DFB}">
  <sheetPr>
    <tabColor rgb="FFF1682B"/>
  </sheetPr>
  <dimension ref="A2:P76"/>
  <sheetViews>
    <sheetView workbookViewId="0">
      <selection activeCell="E4" sqref="E4"/>
    </sheetView>
  </sheetViews>
  <sheetFormatPr defaultRowHeight="14.4" x14ac:dyDescent="0.3"/>
  <cols>
    <col min="2" max="2" width="10.21875" customWidth="1"/>
    <col min="3" max="3" width="11.21875" customWidth="1"/>
    <col min="4" max="4" width="10.33203125" customWidth="1"/>
    <col min="5" max="5" width="11.5546875" customWidth="1"/>
    <col min="6" max="6" width="15.88671875" customWidth="1"/>
    <col min="7" max="7" width="10.88671875" customWidth="1"/>
  </cols>
  <sheetData>
    <row r="2" spans="1:15" ht="39.6" customHeight="1" x14ac:dyDescent="0.3"/>
    <row r="3" spans="1:15" ht="30.6" customHeight="1" x14ac:dyDescent="0.3">
      <c r="A3" s="44" t="s">
        <v>85</v>
      </c>
      <c r="B3" s="45" t="s">
        <v>87</v>
      </c>
      <c r="C3" s="45" t="s">
        <v>88</v>
      </c>
      <c r="D3" s="45" t="s">
        <v>89</v>
      </c>
      <c r="E3" s="45" t="s">
        <v>95</v>
      </c>
      <c r="F3" s="36"/>
    </row>
    <row r="4" spans="1:15" x14ac:dyDescent="0.3">
      <c r="A4" s="1">
        <v>1</v>
      </c>
      <c r="B4" s="43">
        <f>DATE(2010,4,15)</f>
        <v>40283</v>
      </c>
      <c r="C4" s="1" t="s">
        <v>36</v>
      </c>
      <c r="D4" s="43">
        <f>DATE(2010,4,30)</f>
        <v>40298</v>
      </c>
      <c r="E4" s="1">
        <f>_xlfn.DAYS(D4,B4)</f>
        <v>15</v>
      </c>
    </row>
    <row r="5" spans="1:15" x14ac:dyDescent="0.3">
      <c r="A5" s="1">
        <v>2</v>
      </c>
      <c r="B5" s="43">
        <f>B4+2</f>
        <v>40285</v>
      </c>
      <c r="C5" s="1" t="s">
        <v>90</v>
      </c>
      <c r="D5" s="43">
        <f t="shared" ref="D5:D11" si="0">DATE(2010,4,30)</f>
        <v>40298</v>
      </c>
      <c r="E5" s="1">
        <f t="shared" ref="E5:E13" si="1">_xlfn.DAYS(D5,B5)</f>
        <v>13</v>
      </c>
    </row>
    <row r="6" spans="1:15" x14ac:dyDescent="0.3">
      <c r="A6" s="1">
        <v>3</v>
      </c>
      <c r="B6" s="43">
        <f t="shared" ref="B6:B13" si="2">B5+2</f>
        <v>40287</v>
      </c>
      <c r="C6" s="1" t="s">
        <v>77</v>
      </c>
      <c r="D6" s="43">
        <f t="shared" si="0"/>
        <v>40298</v>
      </c>
      <c r="E6" s="1">
        <f t="shared" si="1"/>
        <v>11</v>
      </c>
    </row>
    <row r="7" spans="1:15" x14ac:dyDescent="0.3">
      <c r="A7" s="1">
        <v>4</v>
      </c>
      <c r="B7" s="43">
        <f t="shared" si="2"/>
        <v>40289</v>
      </c>
      <c r="C7" s="1" t="s">
        <v>91</v>
      </c>
      <c r="D7" s="43">
        <f t="shared" si="0"/>
        <v>40298</v>
      </c>
      <c r="E7" s="1">
        <f t="shared" si="1"/>
        <v>9</v>
      </c>
    </row>
    <row r="8" spans="1:15" x14ac:dyDescent="0.3">
      <c r="A8" s="1">
        <v>5</v>
      </c>
      <c r="B8" s="43">
        <f t="shared" si="2"/>
        <v>40291</v>
      </c>
      <c r="C8" s="1" t="s">
        <v>92</v>
      </c>
      <c r="D8" s="43">
        <f t="shared" si="0"/>
        <v>40298</v>
      </c>
      <c r="E8" s="1">
        <f t="shared" si="1"/>
        <v>7</v>
      </c>
    </row>
    <row r="9" spans="1:15" x14ac:dyDescent="0.3">
      <c r="A9" s="1">
        <v>6</v>
      </c>
      <c r="B9" s="43">
        <f t="shared" si="2"/>
        <v>40293</v>
      </c>
      <c r="C9" s="1" t="s">
        <v>75</v>
      </c>
      <c r="D9" s="43">
        <f t="shared" si="0"/>
        <v>40298</v>
      </c>
      <c r="E9" s="1">
        <f t="shared" si="1"/>
        <v>5</v>
      </c>
    </row>
    <row r="10" spans="1:15" x14ac:dyDescent="0.3">
      <c r="A10" s="1">
        <v>7</v>
      </c>
      <c r="B10" s="43">
        <f t="shared" si="2"/>
        <v>40295</v>
      </c>
      <c r="C10" s="1" t="s">
        <v>93</v>
      </c>
      <c r="D10" s="43">
        <f t="shared" si="0"/>
        <v>40298</v>
      </c>
      <c r="E10" s="1">
        <f t="shared" si="1"/>
        <v>3</v>
      </c>
    </row>
    <row r="11" spans="1:15" x14ac:dyDescent="0.3">
      <c r="A11" s="1">
        <v>8</v>
      </c>
      <c r="B11" s="43">
        <f t="shared" si="2"/>
        <v>40297</v>
      </c>
      <c r="C11" s="1" t="s">
        <v>94</v>
      </c>
      <c r="D11" s="43">
        <f t="shared" si="0"/>
        <v>40298</v>
      </c>
      <c r="E11" s="1">
        <f t="shared" si="1"/>
        <v>1</v>
      </c>
    </row>
    <row r="12" spans="1:15" x14ac:dyDescent="0.3">
      <c r="A12" s="1">
        <v>9</v>
      </c>
      <c r="B12" s="43">
        <f>B11+2</f>
        <v>40299</v>
      </c>
      <c r="C12" s="1" t="s">
        <v>51</v>
      </c>
      <c r="D12" s="43">
        <f>DATE(2010,5,30)</f>
        <v>40328</v>
      </c>
      <c r="E12" s="1">
        <f t="shared" si="1"/>
        <v>29</v>
      </c>
    </row>
    <row r="13" spans="1:15" x14ac:dyDescent="0.3">
      <c r="A13" s="1">
        <v>10</v>
      </c>
      <c r="B13" s="43">
        <f t="shared" si="2"/>
        <v>40301</v>
      </c>
      <c r="C13" s="1" t="s">
        <v>53</v>
      </c>
      <c r="D13" s="43">
        <f>DATE(2010,5,10)</f>
        <v>40308</v>
      </c>
      <c r="E13" s="1">
        <f t="shared" si="1"/>
        <v>7</v>
      </c>
    </row>
    <row r="14" spans="1:15" x14ac:dyDescent="0.3">
      <c r="O14" t="s">
        <v>108</v>
      </c>
    </row>
    <row r="19" spans="15:16" x14ac:dyDescent="0.3">
      <c r="P19" t="s">
        <v>120</v>
      </c>
    </row>
    <row r="20" spans="15:16" x14ac:dyDescent="0.3">
      <c r="O20" t="s">
        <v>121</v>
      </c>
    </row>
    <row r="76" spans="8:8" x14ac:dyDescent="0.3">
      <c r="H76"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F0179-6D93-4BD3-A05E-8A9BF8F87689}">
  <sheetPr>
    <tabColor theme="8" tint="0.39997558519241921"/>
  </sheetPr>
  <dimension ref="B1:P76"/>
  <sheetViews>
    <sheetView view="pageLayout" topLeftCell="D8" zoomScaleNormal="100" workbookViewId="0">
      <selection activeCell="N7" sqref="N7"/>
    </sheetView>
  </sheetViews>
  <sheetFormatPr defaultRowHeight="14.4" x14ac:dyDescent="0.3"/>
  <cols>
    <col min="3" max="3" width="13.21875" customWidth="1"/>
    <col min="4" max="4" width="19" customWidth="1"/>
    <col min="5" max="5" width="10.5546875" customWidth="1"/>
    <col min="6" max="6" width="10.33203125" bestFit="1" customWidth="1"/>
    <col min="7" max="7" width="11.6640625" customWidth="1"/>
    <col min="9" max="9" width="8.88671875" customWidth="1"/>
    <col min="10" max="10" width="11.77734375" customWidth="1"/>
    <col min="13" max="13" width="10.21875" customWidth="1"/>
  </cols>
  <sheetData>
    <row r="1" spans="3:15" x14ac:dyDescent="0.3">
      <c r="D1" s="15"/>
    </row>
    <row r="5" spans="3:15" ht="18" x14ac:dyDescent="0.35">
      <c r="C5" s="46" t="s">
        <v>1</v>
      </c>
      <c r="D5" s="46" t="s">
        <v>15</v>
      </c>
      <c r="E5" s="47" t="s">
        <v>87</v>
      </c>
      <c r="F5" s="47" t="s">
        <v>89</v>
      </c>
      <c r="G5" s="47" t="s">
        <v>95</v>
      </c>
      <c r="H5" s="47" t="s">
        <v>96</v>
      </c>
      <c r="I5" s="47" t="s">
        <v>97</v>
      </c>
      <c r="J5" s="47" t="s">
        <v>98</v>
      </c>
      <c r="K5" s="47" t="s">
        <v>99</v>
      </c>
      <c r="L5" s="47" t="s">
        <v>11</v>
      </c>
      <c r="M5" s="47" t="s">
        <v>100</v>
      </c>
      <c r="N5" s="47" t="s">
        <v>30</v>
      </c>
      <c r="O5" s="47" t="s">
        <v>31</v>
      </c>
    </row>
    <row r="6" spans="3:15" x14ac:dyDescent="0.3">
      <c r="C6" s="48">
        <v>101</v>
      </c>
      <c r="D6" s="48" t="s">
        <v>20</v>
      </c>
      <c r="E6" s="43">
        <f>DATE(2023,7,1)</f>
        <v>45108</v>
      </c>
      <c r="F6" s="43">
        <f>DATE(2023,12,25)</f>
        <v>45285</v>
      </c>
      <c r="G6" s="1">
        <f>_xlfn.DAYS(F6,E6)</f>
        <v>177</v>
      </c>
      <c r="H6" s="1">
        <v>20</v>
      </c>
      <c r="I6" s="1">
        <v>25</v>
      </c>
      <c r="J6" s="1">
        <f>SUM(H6:I6)</f>
        <v>45</v>
      </c>
      <c r="K6" s="1">
        <f>AVERAGE(H6:I6)</f>
        <v>22.5</v>
      </c>
      <c r="L6" s="1" t="str">
        <f>IF(J6&gt;25,"PASS","FAIL")</f>
        <v>PASS</v>
      </c>
      <c r="M6" s="1" t="str">
        <f>IF(L6="PASS","YES","NO")</f>
        <v>YES</v>
      </c>
      <c r="N6" s="1">
        <f>MAX(D6:D15,J6:J15)</f>
        <v>57</v>
      </c>
      <c r="O6" s="1">
        <f>MIN(D6:D15,J6:J15)</f>
        <v>18</v>
      </c>
    </row>
    <row r="7" spans="3:15" x14ac:dyDescent="0.3">
      <c r="C7" s="48">
        <v>102</v>
      </c>
      <c r="D7" s="48" t="s">
        <v>21</v>
      </c>
      <c r="E7" s="43">
        <f>E6+2</f>
        <v>45110</v>
      </c>
      <c r="F7" s="43">
        <f t="shared" ref="F7:F15" si="0">DATE(2023,12,25)</f>
        <v>45285</v>
      </c>
      <c r="G7" s="1">
        <f t="shared" ref="G7:G15" si="1">_xlfn.DAYS(F7,E7)</f>
        <v>175</v>
      </c>
      <c r="H7" s="1">
        <v>15</v>
      </c>
      <c r="I7" s="1">
        <v>26</v>
      </c>
      <c r="J7" s="1">
        <f t="shared" ref="J7:J15" si="2">SUM(H7:I7)</f>
        <v>41</v>
      </c>
      <c r="K7" s="1">
        <f t="shared" ref="K7:K15" si="3">AVERAGE(H7:I7)</f>
        <v>20.5</v>
      </c>
      <c r="L7" s="1" t="str">
        <f t="shared" ref="L7:L15" si="4">IF(J7&gt;25,"PASS","FAIL")</f>
        <v>PASS</v>
      </c>
      <c r="M7" s="1" t="str">
        <f t="shared" ref="M7:M15" si="5">IF(L7="PASS","YES","NO")</f>
        <v>YES</v>
      </c>
      <c r="N7" s="1"/>
      <c r="O7" s="1"/>
    </row>
    <row r="8" spans="3:15" x14ac:dyDescent="0.3">
      <c r="C8" s="48">
        <v>103</v>
      </c>
      <c r="D8" s="48" t="s">
        <v>22</v>
      </c>
      <c r="E8" s="43">
        <f>E7+2</f>
        <v>45112</v>
      </c>
      <c r="F8" s="43">
        <f t="shared" si="0"/>
        <v>45285</v>
      </c>
      <c r="G8" s="1">
        <f t="shared" si="1"/>
        <v>173</v>
      </c>
      <c r="H8" s="1">
        <v>23</v>
      </c>
      <c r="I8" s="1">
        <v>25</v>
      </c>
      <c r="J8" s="1">
        <f t="shared" si="2"/>
        <v>48</v>
      </c>
      <c r="K8" s="1">
        <f t="shared" si="3"/>
        <v>24</v>
      </c>
      <c r="L8" s="1" t="str">
        <f t="shared" si="4"/>
        <v>PASS</v>
      </c>
      <c r="M8" s="1" t="str">
        <f t="shared" si="5"/>
        <v>YES</v>
      </c>
      <c r="N8" s="1"/>
      <c r="O8" s="1"/>
    </row>
    <row r="9" spans="3:15" x14ac:dyDescent="0.3">
      <c r="C9" s="48">
        <v>104</v>
      </c>
      <c r="D9" s="48" t="s">
        <v>23</v>
      </c>
      <c r="E9" s="43">
        <f>E8+2</f>
        <v>45114</v>
      </c>
      <c r="F9" s="43">
        <f t="shared" si="0"/>
        <v>45285</v>
      </c>
      <c r="G9" s="1">
        <f t="shared" si="1"/>
        <v>171</v>
      </c>
      <c r="H9" s="1">
        <v>5</v>
      </c>
      <c r="I9" s="1">
        <v>18</v>
      </c>
      <c r="J9" s="1">
        <f t="shared" si="2"/>
        <v>23</v>
      </c>
      <c r="K9" s="1">
        <f t="shared" si="3"/>
        <v>11.5</v>
      </c>
      <c r="L9" s="1" t="str">
        <f t="shared" si="4"/>
        <v>FAIL</v>
      </c>
      <c r="M9" s="1" t="str">
        <f t="shared" si="5"/>
        <v>NO</v>
      </c>
      <c r="N9" s="1"/>
      <c r="O9" s="1"/>
    </row>
    <row r="10" spans="3:15" x14ac:dyDescent="0.3">
      <c r="C10" s="48">
        <v>105</v>
      </c>
      <c r="D10" s="48" t="s">
        <v>24</v>
      </c>
      <c r="E10" s="43">
        <f>E9+2</f>
        <v>45116</v>
      </c>
      <c r="F10" s="43">
        <f t="shared" si="0"/>
        <v>45285</v>
      </c>
      <c r="G10" s="1">
        <f t="shared" si="1"/>
        <v>169</v>
      </c>
      <c r="H10" s="1">
        <v>12</v>
      </c>
      <c r="I10" s="1">
        <v>20</v>
      </c>
      <c r="J10" s="1">
        <f t="shared" si="2"/>
        <v>32</v>
      </c>
      <c r="K10" s="1">
        <f t="shared" si="3"/>
        <v>16</v>
      </c>
      <c r="L10" s="1" t="str">
        <f t="shared" si="4"/>
        <v>PASS</v>
      </c>
      <c r="M10" s="1" t="str">
        <f t="shared" si="5"/>
        <v>YES</v>
      </c>
      <c r="N10" s="1"/>
      <c r="O10" s="1"/>
    </row>
    <row r="11" spans="3:15" x14ac:dyDescent="0.3">
      <c r="C11" s="48">
        <v>106</v>
      </c>
      <c r="D11" s="48" t="s">
        <v>25</v>
      </c>
      <c r="E11" s="43">
        <f>EOMONTH(E10,0.5)</f>
        <v>45138</v>
      </c>
      <c r="F11" s="43">
        <f t="shared" si="0"/>
        <v>45285</v>
      </c>
      <c r="G11" s="1">
        <f t="shared" si="1"/>
        <v>147</v>
      </c>
      <c r="H11" s="1">
        <v>8</v>
      </c>
      <c r="I11" s="1">
        <v>10</v>
      </c>
      <c r="J11" s="1">
        <f t="shared" si="2"/>
        <v>18</v>
      </c>
      <c r="K11" s="1">
        <f t="shared" si="3"/>
        <v>9</v>
      </c>
      <c r="L11" s="1" t="str">
        <f t="shared" si="4"/>
        <v>FAIL</v>
      </c>
      <c r="M11" s="1" t="str">
        <f t="shared" si="5"/>
        <v>NO</v>
      </c>
      <c r="N11" s="1"/>
      <c r="O11" s="1"/>
    </row>
    <row r="12" spans="3:15" x14ac:dyDescent="0.3">
      <c r="C12" s="48">
        <v>107</v>
      </c>
      <c r="D12" s="48" t="s">
        <v>26</v>
      </c>
      <c r="E12" s="43">
        <f>E11+4</f>
        <v>45142</v>
      </c>
      <c r="F12" s="43">
        <f t="shared" si="0"/>
        <v>45285</v>
      </c>
      <c r="G12" s="1">
        <f t="shared" si="1"/>
        <v>143</v>
      </c>
      <c r="H12" s="1">
        <v>29</v>
      </c>
      <c r="I12" s="1">
        <v>28</v>
      </c>
      <c r="J12" s="1">
        <f t="shared" si="2"/>
        <v>57</v>
      </c>
      <c r="K12" s="1">
        <f t="shared" si="3"/>
        <v>28.5</v>
      </c>
      <c r="L12" s="1" t="str">
        <f t="shared" si="4"/>
        <v>PASS</v>
      </c>
      <c r="M12" s="1" t="str">
        <f t="shared" si="5"/>
        <v>YES</v>
      </c>
      <c r="N12" s="1"/>
      <c r="O12" s="1"/>
    </row>
    <row r="13" spans="3:15" x14ac:dyDescent="0.3">
      <c r="C13" s="48">
        <v>108</v>
      </c>
      <c r="D13" s="48" t="s">
        <v>27</v>
      </c>
      <c r="E13" s="43">
        <f>E12+4</f>
        <v>45146</v>
      </c>
      <c r="F13" s="43">
        <f t="shared" si="0"/>
        <v>45285</v>
      </c>
      <c r="G13" s="1">
        <f t="shared" si="1"/>
        <v>139</v>
      </c>
      <c r="H13" s="1">
        <v>16</v>
      </c>
      <c r="I13" s="1">
        <v>15</v>
      </c>
      <c r="J13" s="1">
        <f t="shared" si="2"/>
        <v>31</v>
      </c>
      <c r="K13" s="1">
        <f t="shared" si="3"/>
        <v>15.5</v>
      </c>
      <c r="L13" s="1" t="str">
        <f t="shared" si="4"/>
        <v>PASS</v>
      </c>
      <c r="M13" s="1" t="str">
        <f t="shared" si="5"/>
        <v>YES</v>
      </c>
      <c r="N13" s="1"/>
      <c r="O13" s="1"/>
    </row>
    <row r="14" spans="3:15" x14ac:dyDescent="0.3">
      <c r="C14" s="48">
        <v>109</v>
      </c>
      <c r="D14" s="48" t="s">
        <v>28</v>
      </c>
      <c r="E14" s="43">
        <f>E13+4</f>
        <v>45150</v>
      </c>
      <c r="F14" s="43">
        <f t="shared" si="0"/>
        <v>45285</v>
      </c>
      <c r="G14" s="1">
        <f t="shared" si="1"/>
        <v>135</v>
      </c>
      <c r="H14" s="1">
        <v>22</v>
      </c>
      <c r="I14" s="1">
        <v>24</v>
      </c>
      <c r="J14" s="1">
        <f t="shared" si="2"/>
        <v>46</v>
      </c>
      <c r="K14" s="1">
        <f t="shared" si="3"/>
        <v>23</v>
      </c>
      <c r="L14" s="1" t="str">
        <f t="shared" si="4"/>
        <v>PASS</v>
      </c>
      <c r="M14" s="1" t="str">
        <f t="shared" si="5"/>
        <v>YES</v>
      </c>
      <c r="N14" s="1"/>
      <c r="O14" s="1" t="s">
        <v>108</v>
      </c>
    </row>
    <row r="15" spans="3:15" x14ac:dyDescent="0.3">
      <c r="C15" s="48">
        <v>110</v>
      </c>
      <c r="D15" s="48" t="s">
        <v>29</v>
      </c>
      <c r="E15" s="43">
        <f t="shared" ref="E15" si="6">E14+4</f>
        <v>45154</v>
      </c>
      <c r="F15" s="43">
        <f t="shared" si="0"/>
        <v>45285</v>
      </c>
      <c r="G15" s="1">
        <f t="shared" si="1"/>
        <v>131</v>
      </c>
      <c r="H15" s="1">
        <v>24</v>
      </c>
      <c r="I15" s="1">
        <v>20</v>
      </c>
      <c r="J15" s="1">
        <f t="shared" si="2"/>
        <v>44</v>
      </c>
      <c r="K15" s="1">
        <f t="shared" si="3"/>
        <v>22</v>
      </c>
      <c r="L15" s="1" t="str">
        <f t="shared" si="4"/>
        <v>PASS</v>
      </c>
      <c r="M15" s="1" t="str">
        <f t="shared" si="5"/>
        <v>YES</v>
      </c>
      <c r="N15" s="1"/>
      <c r="O15" s="1"/>
    </row>
    <row r="19" spans="2:16" x14ac:dyDescent="0.3">
      <c r="C19" s="47" t="s">
        <v>101</v>
      </c>
      <c r="D19" s="47" t="s">
        <v>40</v>
      </c>
      <c r="E19" s="47" t="s">
        <v>41</v>
      </c>
      <c r="F19" s="47" t="s">
        <v>19</v>
      </c>
      <c r="H19" s="49"/>
      <c r="I19" s="49"/>
      <c r="P19" t="s">
        <v>120</v>
      </c>
    </row>
    <row r="20" spans="2:16" x14ac:dyDescent="0.3">
      <c r="C20" s="1" t="s">
        <v>102</v>
      </c>
      <c r="D20" s="1" t="s">
        <v>36</v>
      </c>
      <c r="E20" s="1">
        <v>200</v>
      </c>
      <c r="F20" s="1">
        <f>SUMIF(C20:C27,"POTATO",E20:E27)</f>
        <v>450</v>
      </c>
      <c r="O20" t="s">
        <v>121</v>
      </c>
    </row>
    <row r="21" spans="2:16" x14ac:dyDescent="0.3">
      <c r="C21" s="1" t="s">
        <v>103</v>
      </c>
      <c r="D21" s="1" t="s">
        <v>37</v>
      </c>
      <c r="E21" s="1">
        <v>350</v>
      </c>
      <c r="F21" s="1">
        <f>SUMIF(C21:C28,"TOMATO",E21:E28)</f>
        <v>470</v>
      </c>
    </row>
    <row r="22" spans="2:16" x14ac:dyDescent="0.3">
      <c r="C22" s="1" t="s">
        <v>104</v>
      </c>
      <c r="D22" s="1" t="s">
        <v>38</v>
      </c>
      <c r="E22" s="1">
        <v>180</v>
      </c>
      <c r="F22" s="1">
        <f>SUMIF(C22:C29,"BROCCOLI",E22:E29)</f>
        <v>510</v>
      </c>
    </row>
    <row r="23" spans="2:16" x14ac:dyDescent="0.3">
      <c r="C23" s="1" t="s">
        <v>105</v>
      </c>
      <c r="D23" s="1" t="s">
        <v>37</v>
      </c>
      <c r="E23" s="1">
        <v>400</v>
      </c>
      <c r="F23" s="1">
        <f>SUMIF(C23:C30,"CARROT",E23:E30)</f>
        <v>510</v>
      </c>
    </row>
    <row r="24" spans="2:16" x14ac:dyDescent="0.3">
      <c r="C24" s="1" t="s">
        <v>102</v>
      </c>
      <c r="D24" s="1" t="s">
        <v>36</v>
      </c>
      <c r="E24" s="1">
        <v>250</v>
      </c>
      <c r="F24" s="1"/>
    </row>
    <row r="25" spans="2:16" x14ac:dyDescent="0.3">
      <c r="C25" s="1" t="s">
        <v>103</v>
      </c>
      <c r="D25" s="1" t="s">
        <v>37</v>
      </c>
      <c r="E25" s="1">
        <v>120</v>
      </c>
      <c r="F25" s="1"/>
    </row>
    <row r="26" spans="2:16" x14ac:dyDescent="0.3">
      <c r="C26" s="1" t="s">
        <v>104</v>
      </c>
      <c r="D26" s="1" t="s">
        <v>36</v>
      </c>
      <c r="E26" s="1">
        <v>330</v>
      </c>
      <c r="F26" s="1"/>
    </row>
    <row r="27" spans="2:16" x14ac:dyDescent="0.3">
      <c r="C27" s="1" t="s">
        <v>105</v>
      </c>
      <c r="D27" s="1" t="s">
        <v>38</v>
      </c>
      <c r="E27" s="1">
        <v>110</v>
      </c>
      <c r="F27" s="1"/>
    </row>
    <row r="30" spans="2:16" x14ac:dyDescent="0.3">
      <c r="B30" s="1">
        <v>78.745400000000004</v>
      </c>
      <c r="C30" s="1">
        <v>79</v>
      </c>
      <c r="D30" s="1">
        <v>78.7</v>
      </c>
      <c r="E30" s="1">
        <v>79</v>
      </c>
      <c r="F30" s="1">
        <v>80</v>
      </c>
    </row>
    <row r="76" spans="8:8" x14ac:dyDescent="0.3">
      <c r="H76" t="s">
        <v>106</v>
      </c>
    </row>
  </sheetData>
  <pageMargins left="0.7" right="0.7" top="0.75" bottom="0.75" header="0.3" footer="0.3"/>
  <pageSetup paperSize="3" orientation="landscape" r:id="rId1"/>
  <headerFooter>
    <oddHeader>&amp;C&amp;26&amp;K09-024SOME PREVIEW OF PREVIOUS CLASSES</oddHeader>
    <oddFooter>&amp;C&amp;22&amp;K09-024* END OF WORKSHEET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D0295-CF2F-4A86-918D-B57022201B26}">
  <sheetPr>
    <tabColor rgb="FF99FF99"/>
  </sheetPr>
  <dimension ref="A3:R76"/>
  <sheetViews>
    <sheetView workbookViewId="0">
      <selection activeCell="P19" sqref="P19"/>
    </sheetView>
  </sheetViews>
  <sheetFormatPr defaultRowHeight="14.4" x14ac:dyDescent="0.3"/>
  <cols>
    <col min="2" max="3" width="16.5546875" customWidth="1"/>
    <col min="4" max="4" width="16.44140625" customWidth="1"/>
    <col min="5" max="5" width="18.6640625" customWidth="1"/>
    <col min="6" max="6" width="13.33203125" customWidth="1"/>
    <col min="7" max="7" width="12.109375" customWidth="1"/>
  </cols>
  <sheetData>
    <row r="3" spans="2:18" x14ac:dyDescent="0.3">
      <c r="B3" s="133" t="s">
        <v>107</v>
      </c>
      <c r="C3" s="133"/>
      <c r="D3" s="133"/>
      <c r="E3" s="133"/>
      <c r="F3" s="133"/>
      <c r="G3" s="133"/>
      <c r="H3" s="133"/>
      <c r="I3" s="133"/>
      <c r="J3" s="133"/>
      <c r="K3" s="133"/>
      <c r="L3" s="133"/>
      <c r="M3" s="133"/>
      <c r="N3" s="133"/>
      <c r="O3" s="133"/>
      <c r="P3" s="133"/>
      <c r="Q3" s="133"/>
      <c r="R3" s="133"/>
    </row>
    <row r="6" spans="2:18" x14ac:dyDescent="0.3">
      <c r="H6" s="140" t="s">
        <v>118</v>
      </c>
      <c r="I6" s="140"/>
      <c r="J6" s="140"/>
      <c r="K6" s="140"/>
      <c r="L6" s="140"/>
      <c r="M6" s="140"/>
      <c r="N6" s="140"/>
      <c r="O6" s="140"/>
      <c r="P6" s="140"/>
      <c r="Q6" s="140"/>
    </row>
    <row r="7" spans="2:18" x14ac:dyDescent="0.3">
      <c r="B7" s="50" t="s">
        <v>109</v>
      </c>
      <c r="C7" s="44" t="s">
        <v>110</v>
      </c>
      <c r="D7" s="52" t="s">
        <v>111</v>
      </c>
      <c r="E7" s="53" t="s">
        <v>112</v>
      </c>
      <c r="F7" s="54" t="s">
        <v>113</v>
      </c>
      <c r="H7" s="140"/>
      <c r="I7" s="140"/>
      <c r="J7" s="140"/>
      <c r="K7" s="140"/>
      <c r="L7" s="140"/>
      <c r="M7" s="140"/>
      <c r="N7" s="140"/>
      <c r="O7" s="140"/>
      <c r="P7" s="140"/>
      <c r="Q7" s="140"/>
    </row>
    <row r="8" spans="2:18" x14ac:dyDescent="0.3">
      <c r="B8" s="1">
        <v>135.43243530000001</v>
      </c>
      <c r="C8" s="1">
        <f>ROUND(B8,1)</f>
        <v>135.4</v>
      </c>
      <c r="D8" s="1">
        <f>ROUNDDOWN(B8,1)</f>
        <v>135.4</v>
      </c>
      <c r="E8" s="1">
        <f>ROUNDUP(B8,0)</f>
        <v>136</v>
      </c>
      <c r="F8" s="1">
        <f>MROUND(B8,5)</f>
        <v>135</v>
      </c>
      <c r="H8" s="140"/>
      <c r="I8" s="140"/>
      <c r="J8" s="140"/>
      <c r="K8" s="140"/>
      <c r="L8" s="140"/>
      <c r="M8" s="140"/>
      <c r="N8" s="140"/>
      <c r="O8" s="140"/>
      <c r="P8" s="140"/>
      <c r="Q8" s="140"/>
    </row>
    <row r="9" spans="2:18" x14ac:dyDescent="0.3">
      <c r="B9" s="1">
        <v>78.745400000000004</v>
      </c>
      <c r="C9" s="1">
        <f>ROUND(B9,0)</f>
        <v>79</v>
      </c>
      <c r="D9" s="1">
        <f t="shared" ref="D9:D16" si="0">ROUNDDOWN(B9,1)</f>
        <v>78.7</v>
      </c>
      <c r="E9" s="1">
        <f t="shared" ref="E9:E16" si="1">ROUNDUP(B9,0)</f>
        <v>79</v>
      </c>
      <c r="F9" s="1">
        <f t="shared" ref="F9:F16" si="2">MROUND(B9,5)</f>
        <v>80</v>
      </c>
      <c r="H9" s="140"/>
      <c r="I9" s="140"/>
      <c r="J9" s="140"/>
      <c r="K9" s="140"/>
      <c r="L9" s="140"/>
      <c r="M9" s="140"/>
      <c r="N9" s="140"/>
      <c r="O9" s="140"/>
      <c r="P9" s="140"/>
      <c r="Q9" s="140"/>
    </row>
    <row r="10" spans="2:18" x14ac:dyDescent="0.3">
      <c r="B10" s="1">
        <v>911.35456450000004</v>
      </c>
      <c r="C10" s="1">
        <f t="shared" ref="C10:C12" si="3">ROUND(B10,1)</f>
        <v>911.4</v>
      </c>
      <c r="D10" s="1">
        <f t="shared" si="0"/>
        <v>911.3</v>
      </c>
      <c r="E10" s="1">
        <f t="shared" si="1"/>
        <v>912</v>
      </c>
      <c r="F10" s="1">
        <f t="shared" si="2"/>
        <v>910</v>
      </c>
      <c r="H10" s="140"/>
      <c r="I10" s="140"/>
      <c r="J10" s="140"/>
      <c r="K10" s="140"/>
      <c r="L10" s="140"/>
      <c r="M10" s="140"/>
      <c r="N10" s="140"/>
      <c r="O10" s="140"/>
      <c r="P10" s="140"/>
      <c r="Q10" s="140"/>
    </row>
    <row r="11" spans="2:18" x14ac:dyDescent="0.3">
      <c r="B11" s="1">
        <v>201.354365</v>
      </c>
      <c r="C11" s="1">
        <f t="shared" si="3"/>
        <v>201.4</v>
      </c>
      <c r="D11" s="1">
        <f t="shared" si="0"/>
        <v>201.3</v>
      </c>
      <c r="E11" s="1">
        <f t="shared" si="1"/>
        <v>202</v>
      </c>
      <c r="F11" s="1">
        <f t="shared" si="2"/>
        <v>200</v>
      </c>
      <c r="H11" s="140"/>
      <c r="I11" s="140"/>
      <c r="J11" s="140"/>
      <c r="K11" s="140"/>
      <c r="L11" s="140"/>
      <c r="M11" s="140"/>
      <c r="N11" s="140"/>
      <c r="O11" s="140"/>
      <c r="P11" s="140"/>
      <c r="Q11" s="140"/>
    </row>
    <row r="12" spans="2:18" x14ac:dyDescent="0.3">
      <c r="B12" s="1">
        <v>180.92134999999999</v>
      </c>
      <c r="C12" s="1">
        <f t="shared" si="3"/>
        <v>180.9</v>
      </c>
      <c r="D12" s="1">
        <f t="shared" si="0"/>
        <v>180.9</v>
      </c>
      <c r="E12" s="1">
        <f t="shared" si="1"/>
        <v>181</v>
      </c>
      <c r="F12" s="1">
        <f t="shared" si="2"/>
        <v>180</v>
      </c>
    </row>
    <row r="13" spans="2:18" x14ac:dyDescent="0.3">
      <c r="B13" s="1">
        <v>638.25435000000004</v>
      </c>
      <c r="C13" s="1">
        <f>ROUND(B13,2)</f>
        <v>638.25</v>
      </c>
      <c r="D13" s="1">
        <f t="shared" si="0"/>
        <v>638.20000000000005</v>
      </c>
      <c r="E13" s="1">
        <f t="shared" si="1"/>
        <v>639</v>
      </c>
      <c r="F13" s="1">
        <f t="shared" si="2"/>
        <v>640</v>
      </c>
    </row>
    <row r="14" spans="2:18" x14ac:dyDescent="0.3">
      <c r="B14" s="1">
        <v>975.54565600000001</v>
      </c>
      <c r="C14" s="1">
        <f t="shared" ref="C14:C16" si="4">ROUND(B14,2)</f>
        <v>975.55</v>
      </c>
      <c r="D14" s="1">
        <f t="shared" si="0"/>
        <v>975.5</v>
      </c>
      <c r="E14" s="1">
        <f t="shared" si="1"/>
        <v>976</v>
      </c>
      <c r="F14" s="1">
        <f t="shared" si="2"/>
        <v>975</v>
      </c>
      <c r="O14" t="s">
        <v>108</v>
      </c>
    </row>
    <row r="15" spans="2:18" x14ac:dyDescent="0.3">
      <c r="B15" s="1">
        <v>378.32425419999998</v>
      </c>
      <c r="C15" s="1">
        <f t="shared" si="4"/>
        <v>378.32</v>
      </c>
      <c r="D15" s="1">
        <f t="shared" si="0"/>
        <v>378.3</v>
      </c>
      <c r="E15" s="1">
        <f t="shared" si="1"/>
        <v>379</v>
      </c>
      <c r="F15" s="1">
        <f t="shared" si="2"/>
        <v>380</v>
      </c>
    </row>
    <row r="16" spans="2:18" x14ac:dyDescent="0.3">
      <c r="B16" s="1">
        <v>5435.3253400000003</v>
      </c>
      <c r="C16" s="1">
        <f t="shared" si="4"/>
        <v>5435.33</v>
      </c>
      <c r="D16" s="1">
        <f t="shared" si="0"/>
        <v>5435.3</v>
      </c>
      <c r="E16" s="1">
        <f t="shared" si="1"/>
        <v>5436</v>
      </c>
      <c r="F16" s="1">
        <f t="shared" si="2"/>
        <v>5435</v>
      </c>
    </row>
    <row r="17" spans="1:16" ht="14.4" customHeight="1" x14ac:dyDescent="0.3">
      <c r="C17" s="138" t="s">
        <v>116</v>
      </c>
      <c r="D17" s="134" t="s">
        <v>114</v>
      </c>
      <c r="E17" s="136" t="s">
        <v>115</v>
      </c>
      <c r="F17" s="132" t="s">
        <v>117</v>
      </c>
      <c r="G17" s="132"/>
    </row>
    <row r="18" spans="1:16" x14ac:dyDescent="0.3">
      <c r="C18" s="139"/>
      <c r="D18" s="135"/>
      <c r="E18" s="137"/>
      <c r="F18" s="132"/>
      <c r="G18" s="132"/>
    </row>
    <row r="19" spans="1:16" x14ac:dyDescent="0.3">
      <c r="C19" s="139"/>
      <c r="D19" s="135"/>
      <c r="E19" s="137"/>
      <c r="F19" s="132"/>
      <c r="G19" s="132"/>
      <c r="P19" t="s">
        <v>120</v>
      </c>
    </row>
    <row r="20" spans="1:16" x14ac:dyDescent="0.3">
      <c r="C20" s="139"/>
      <c r="D20" s="135"/>
      <c r="E20" s="137"/>
      <c r="F20" s="132"/>
      <c r="G20" s="132"/>
    </row>
    <row r="21" spans="1:16" x14ac:dyDescent="0.3">
      <c r="F21" s="51"/>
    </row>
    <row r="22" spans="1:16" ht="18" x14ac:dyDescent="0.35">
      <c r="A22" s="24"/>
      <c r="B22" s="24"/>
      <c r="C22" s="24"/>
      <c r="D22" s="24"/>
      <c r="E22" s="24"/>
      <c r="F22" s="24"/>
    </row>
    <row r="23" spans="1:16" ht="18" x14ac:dyDescent="0.35">
      <c r="A23" s="56"/>
      <c r="B23" s="57" t="str">
        <f>HYPERLINK("https://ums.lpu.in/lpuums/frmStudentsAcademicCalendar.aspx")</f>
        <v>https://ums.lpu.in/lpuums/frmStudentsAcademicCalendar.aspx</v>
      </c>
      <c r="C23" s="56"/>
      <c r="D23" s="56"/>
      <c r="E23" s="56"/>
      <c r="F23" s="58" t="s">
        <v>119</v>
      </c>
      <c r="G23" s="55"/>
    </row>
    <row r="24" spans="1:16" x14ac:dyDescent="0.3">
      <c r="A24" s="55"/>
      <c r="B24" s="55"/>
      <c r="C24" s="55"/>
      <c r="D24" s="55"/>
      <c r="E24" s="55"/>
      <c r="F24" s="55"/>
      <c r="G24" s="55"/>
    </row>
    <row r="76" spans="8:8" x14ac:dyDescent="0.3">
      <c r="H76" t="s">
        <v>106</v>
      </c>
    </row>
  </sheetData>
  <mergeCells count="6">
    <mergeCell ref="F17:G20"/>
    <mergeCell ref="B3:R3"/>
    <mergeCell ref="D17:D20"/>
    <mergeCell ref="E17:E20"/>
    <mergeCell ref="C17:C20"/>
    <mergeCell ref="H6:Q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14991-D85C-4059-9119-9D4694B0A9BB}">
  <sheetPr>
    <tabColor rgb="FFCCFF33"/>
  </sheetPr>
  <dimension ref="C1:R31"/>
  <sheetViews>
    <sheetView topLeftCell="D19" workbookViewId="0">
      <selection activeCell="K36" sqref="K36"/>
    </sheetView>
  </sheetViews>
  <sheetFormatPr defaultRowHeight="14.4" x14ac:dyDescent="0.3"/>
  <cols>
    <col min="3" max="3" width="17" customWidth="1"/>
    <col min="4" max="4" width="13.21875" customWidth="1"/>
    <col min="5" max="5" width="18.6640625" customWidth="1"/>
    <col min="6" max="6" width="15.33203125" customWidth="1"/>
    <col min="7" max="7" width="11.6640625" customWidth="1"/>
    <col min="8" max="8" width="13.21875" customWidth="1"/>
    <col min="9" max="9" width="12.6640625" customWidth="1"/>
    <col min="10" max="10" width="11.44140625" customWidth="1"/>
    <col min="11" max="11" width="11.5546875" bestFit="1" customWidth="1"/>
    <col min="12" max="12" width="23.33203125" bestFit="1" customWidth="1"/>
    <col min="13" max="13" width="12.77734375" bestFit="1" customWidth="1"/>
    <col min="14" max="18" width="10.6640625" bestFit="1" customWidth="1"/>
  </cols>
  <sheetData>
    <row r="1" spans="4:18" x14ac:dyDescent="0.3">
      <c r="K1" t="s">
        <v>124</v>
      </c>
      <c r="L1" t="s">
        <v>125</v>
      </c>
      <c r="M1" t="s">
        <v>126</v>
      </c>
      <c r="N1" t="s">
        <v>127</v>
      </c>
      <c r="O1" t="s">
        <v>128</v>
      </c>
      <c r="P1" t="s">
        <v>129</v>
      </c>
      <c r="Q1" t="s">
        <v>130</v>
      </c>
      <c r="R1" t="s">
        <v>131</v>
      </c>
    </row>
    <row r="2" spans="4:18" x14ac:dyDescent="0.3">
      <c r="K2" t="s">
        <v>132</v>
      </c>
      <c r="L2" t="s">
        <v>122</v>
      </c>
      <c r="M2" t="s">
        <v>132</v>
      </c>
      <c r="N2" t="s">
        <v>132</v>
      </c>
      <c r="O2" t="s">
        <v>132</v>
      </c>
      <c r="P2" t="s">
        <v>132</v>
      </c>
      <c r="Q2" t="s">
        <v>132</v>
      </c>
      <c r="R2" t="s">
        <v>132</v>
      </c>
    </row>
    <row r="3" spans="4:18" x14ac:dyDescent="0.3">
      <c r="K3" t="s">
        <v>132</v>
      </c>
      <c r="L3" t="s">
        <v>132</v>
      </c>
      <c r="M3" t="s">
        <v>132</v>
      </c>
      <c r="N3" t="s">
        <v>132</v>
      </c>
      <c r="O3" t="s">
        <v>132</v>
      </c>
      <c r="P3" t="s">
        <v>132</v>
      </c>
      <c r="Q3" t="s">
        <v>132</v>
      </c>
      <c r="R3" t="s">
        <v>132</v>
      </c>
    </row>
    <row r="4" spans="4:18" x14ac:dyDescent="0.3">
      <c r="K4" t="s">
        <v>132</v>
      </c>
      <c r="L4" t="s">
        <v>132</v>
      </c>
      <c r="M4" t="s">
        <v>132</v>
      </c>
      <c r="N4" t="s">
        <v>132</v>
      </c>
      <c r="O4" t="s">
        <v>132</v>
      </c>
      <c r="P4" t="s">
        <v>132</v>
      </c>
      <c r="Q4" t="s">
        <v>132</v>
      </c>
      <c r="R4" t="s">
        <v>132</v>
      </c>
    </row>
    <row r="5" spans="4:18" x14ac:dyDescent="0.3">
      <c r="K5" t="s">
        <v>109</v>
      </c>
      <c r="L5" t="s">
        <v>110</v>
      </c>
      <c r="M5" t="s">
        <v>111</v>
      </c>
      <c r="N5" t="s">
        <v>112</v>
      </c>
      <c r="O5" t="s">
        <v>113</v>
      </c>
      <c r="P5" t="s">
        <v>132</v>
      </c>
      <c r="Q5" t="s">
        <v>132</v>
      </c>
      <c r="R5" t="s">
        <v>132</v>
      </c>
    </row>
    <row r="6" spans="4:18" x14ac:dyDescent="0.3">
      <c r="K6" t="s">
        <v>133</v>
      </c>
      <c r="L6" t="s">
        <v>134</v>
      </c>
      <c r="M6" t="s">
        <v>134</v>
      </c>
      <c r="N6" t="s">
        <v>135</v>
      </c>
      <c r="O6" t="s">
        <v>136</v>
      </c>
      <c r="P6" t="s">
        <v>132</v>
      </c>
      <c r="Q6" t="s">
        <v>132</v>
      </c>
      <c r="R6" t="s">
        <v>132</v>
      </c>
    </row>
    <row r="7" spans="4:18" x14ac:dyDescent="0.3">
      <c r="K7" t="s">
        <v>137</v>
      </c>
      <c r="L7" t="s">
        <v>138</v>
      </c>
      <c r="M7" t="s">
        <v>139</v>
      </c>
      <c r="N7" t="s">
        <v>138</v>
      </c>
      <c r="O7" t="s">
        <v>140</v>
      </c>
      <c r="P7" t="s">
        <v>132</v>
      </c>
      <c r="Q7" t="s">
        <v>132</v>
      </c>
      <c r="R7" t="s">
        <v>132</v>
      </c>
    </row>
    <row r="8" spans="4:18" x14ac:dyDescent="0.3">
      <c r="K8" t="s">
        <v>141</v>
      </c>
      <c r="L8" t="s">
        <v>142</v>
      </c>
      <c r="M8" t="s">
        <v>143</v>
      </c>
      <c r="N8" t="s">
        <v>144</v>
      </c>
      <c r="O8" t="s">
        <v>145</v>
      </c>
      <c r="P8" t="s">
        <v>132</v>
      </c>
      <c r="Q8" t="s">
        <v>132</v>
      </c>
      <c r="R8" t="s">
        <v>132</v>
      </c>
    </row>
    <row r="9" spans="4:18" x14ac:dyDescent="0.3">
      <c r="K9" t="s">
        <v>146</v>
      </c>
      <c r="L9" t="s">
        <v>147</v>
      </c>
      <c r="M9" t="s">
        <v>148</v>
      </c>
      <c r="N9" t="s">
        <v>149</v>
      </c>
      <c r="O9" t="s">
        <v>150</v>
      </c>
      <c r="P9" t="s">
        <v>132</v>
      </c>
      <c r="Q9" t="s">
        <v>132</v>
      </c>
      <c r="R9" t="s">
        <v>132</v>
      </c>
    </row>
    <row r="10" spans="4:18" x14ac:dyDescent="0.3">
      <c r="K10" t="s">
        <v>151</v>
      </c>
      <c r="L10" t="s">
        <v>152</v>
      </c>
      <c r="M10" t="s">
        <v>152</v>
      </c>
      <c r="N10" t="s">
        <v>153</v>
      </c>
      <c r="O10" t="s">
        <v>154</v>
      </c>
      <c r="P10" t="s">
        <v>132</v>
      </c>
      <c r="Q10" t="s">
        <v>132</v>
      </c>
      <c r="R10" t="s">
        <v>132</v>
      </c>
    </row>
    <row r="11" spans="4:18" x14ac:dyDescent="0.3">
      <c r="K11" t="s">
        <v>155</v>
      </c>
      <c r="L11" t="s">
        <v>156</v>
      </c>
      <c r="M11" t="s">
        <v>157</v>
      </c>
      <c r="N11" t="s">
        <v>158</v>
      </c>
      <c r="O11" t="s">
        <v>159</v>
      </c>
      <c r="P11" t="s">
        <v>132</v>
      </c>
      <c r="Q11" t="s">
        <v>132</v>
      </c>
      <c r="R11" t="s">
        <v>132</v>
      </c>
    </row>
    <row r="12" spans="4:18" x14ac:dyDescent="0.3">
      <c r="K12" t="s">
        <v>160</v>
      </c>
      <c r="L12" t="s">
        <v>161</v>
      </c>
      <c r="M12" t="s">
        <v>162</v>
      </c>
      <c r="N12" t="s">
        <v>163</v>
      </c>
      <c r="O12" t="s">
        <v>164</v>
      </c>
      <c r="P12" t="s">
        <v>132</v>
      </c>
      <c r="Q12" t="s">
        <v>132</v>
      </c>
      <c r="R12" t="s">
        <v>132</v>
      </c>
    </row>
    <row r="13" spans="4:18" x14ac:dyDescent="0.3">
      <c r="K13" t="s">
        <v>165</v>
      </c>
      <c r="L13" t="s">
        <v>166</v>
      </c>
      <c r="M13" t="s">
        <v>167</v>
      </c>
      <c r="N13" t="s">
        <v>168</v>
      </c>
      <c r="O13" t="s">
        <v>169</v>
      </c>
      <c r="P13" t="s">
        <v>132</v>
      </c>
      <c r="Q13" t="s">
        <v>132</v>
      </c>
      <c r="R13" t="s">
        <v>132</v>
      </c>
    </row>
    <row r="14" spans="4:18" x14ac:dyDescent="0.3">
      <c r="K14" t="s">
        <v>170</v>
      </c>
      <c r="L14" t="s">
        <v>171</v>
      </c>
      <c r="M14" t="s">
        <v>172</v>
      </c>
      <c r="N14" t="s">
        <v>173</v>
      </c>
      <c r="O14" t="s">
        <v>174</v>
      </c>
      <c r="P14" t="s">
        <v>132</v>
      </c>
      <c r="Q14" t="s">
        <v>132</v>
      </c>
      <c r="R14" t="s">
        <v>132</v>
      </c>
    </row>
    <row r="15" spans="4:18" x14ac:dyDescent="0.3">
      <c r="D15" s="141" t="s">
        <v>123</v>
      </c>
      <c r="E15" s="142"/>
      <c r="F15" s="142"/>
      <c r="G15" s="142"/>
      <c r="K15" t="s">
        <v>132</v>
      </c>
      <c r="L15" t="s">
        <v>132</v>
      </c>
      <c r="M15" t="s">
        <v>132</v>
      </c>
      <c r="N15" t="s">
        <v>132</v>
      </c>
      <c r="O15" t="s">
        <v>132</v>
      </c>
      <c r="P15" t="s">
        <v>132</v>
      </c>
      <c r="Q15" t="s">
        <v>132</v>
      </c>
      <c r="R15" t="s">
        <v>132</v>
      </c>
    </row>
    <row r="16" spans="4:18" x14ac:dyDescent="0.3">
      <c r="D16" s="142"/>
      <c r="E16" s="142"/>
      <c r="F16" s="142"/>
      <c r="G16" s="142"/>
      <c r="K16" t="s">
        <v>132</v>
      </c>
      <c r="L16" t="s">
        <v>132</v>
      </c>
      <c r="M16" t="s">
        <v>132</v>
      </c>
      <c r="N16" t="s">
        <v>132</v>
      </c>
      <c r="O16" t="s">
        <v>132</v>
      </c>
      <c r="P16" t="s">
        <v>132</v>
      </c>
      <c r="Q16" t="s">
        <v>132</v>
      </c>
      <c r="R16" t="s">
        <v>132</v>
      </c>
    </row>
    <row r="17" spans="3:18" ht="18" x14ac:dyDescent="0.35">
      <c r="C17" s="24"/>
      <c r="D17" s="24"/>
      <c r="E17" s="24"/>
      <c r="F17" s="24"/>
      <c r="G17" s="24"/>
      <c r="H17" s="24"/>
      <c r="I17" s="24"/>
      <c r="J17" s="24"/>
    </row>
    <row r="18" spans="3:18" ht="18" x14ac:dyDescent="0.35">
      <c r="C18" s="59" t="s">
        <v>109</v>
      </c>
      <c r="D18" s="59" t="s">
        <v>110</v>
      </c>
      <c r="E18" s="59" t="s">
        <v>111</v>
      </c>
      <c r="F18" s="60" t="s">
        <v>112</v>
      </c>
      <c r="G18" s="59" t="s">
        <v>113</v>
      </c>
      <c r="H18" s="24"/>
      <c r="I18" s="24"/>
      <c r="J18" s="24"/>
      <c r="K18" s="143" t="s">
        <v>175</v>
      </c>
      <c r="L18" s="144"/>
      <c r="M18" s="144"/>
      <c r="N18" s="144"/>
      <c r="O18" s="144"/>
      <c r="P18" s="144"/>
      <c r="Q18" s="144"/>
      <c r="R18" s="144"/>
    </row>
    <row r="19" spans="3:18" ht="18" x14ac:dyDescent="0.35">
      <c r="C19" s="23">
        <v>135.43243530000001</v>
      </c>
      <c r="D19" s="23">
        <f>ROUND(C19,1)</f>
        <v>135.4</v>
      </c>
      <c r="E19" s="23">
        <f>ROUNDDOWN(C19,1)</f>
        <v>135.4</v>
      </c>
      <c r="F19" s="61">
        <f>ROUNDUP(C19,0)</f>
        <v>136</v>
      </c>
      <c r="G19" s="23">
        <f>MROUND(C19,5)</f>
        <v>135</v>
      </c>
      <c r="H19" s="24"/>
      <c r="I19" s="24"/>
      <c r="J19" s="24"/>
      <c r="K19" s="144"/>
      <c r="L19" s="144"/>
      <c r="M19" s="144"/>
      <c r="N19" s="144"/>
      <c r="O19" s="144"/>
      <c r="P19" s="144"/>
      <c r="Q19" s="144"/>
      <c r="R19" s="144"/>
    </row>
    <row r="20" spans="3:18" ht="18" x14ac:dyDescent="0.35">
      <c r="C20" s="23">
        <v>78.745400000000004</v>
      </c>
      <c r="D20" s="23">
        <f>ROUND(C20,0)</f>
        <v>79</v>
      </c>
      <c r="E20" s="23">
        <f t="shared" ref="E20:E27" si="0">ROUNDDOWN(C20,1)</f>
        <v>78.7</v>
      </c>
      <c r="F20" s="61">
        <f t="shared" ref="F20:F27" si="1">ROUNDUP(C20,0)</f>
        <v>79</v>
      </c>
      <c r="G20" s="23">
        <f t="shared" ref="G20:G27" si="2">MROUND(C20,5)</f>
        <v>80</v>
      </c>
      <c r="H20" s="24"/>
      <c r="I20" s="24"/>
      <c r="J20" s="24"/>
      <c r="K20" s="144"/>
      <c r="L20" s="144"/>
      <c r="M20" s="144"/>
      <c r="N20" s="144"/>
      <c r="O20" s="144"/>
      <c r="P20" s="144"/>
      <c r="Q20" s="144"/>
      <c r="R20" s="144"/>
    </row>
    <row r="21" spans="3:18" ht="18" x14ac:dyDescent="0.35">
      <c r="C21" s="23">
        <v>911.35456450000004</v>
      </c>
      <c r="D21" s="23">
        <f t="shared" ref="D21:D23" si="3">ROUND(C21,1)</f>
        <v>911.4</v>
      </c>
      <c r="E21" s="23">
        <f t="shared" si="0"/>
        <v>911.3</v>
      </c>
      <c r="F21" s="61">
        <f t="shared" si="1"/>
        <v>912</v>
      </c>
      <c r="G21" s="23">
        <f t="shared" si="2"/>
        <v>910</v>
      </c>
      <c r="H21" s="24"/>
      <c r="I21" s="24"/>
      <c r="J21" s="24"/>
      <c r="K21" s="144"/>
      <c r="L21" s="144"/>
      <c r="M21" s="144"/>
      <c r="N21" s="144"/>
      <c r="O21" s="144"/>
      <c r="P21" s="144"/>
      <c r="Q21" s="144"/>
      <c r="R21" s="144"/>
    </row>
    <row r="22" spans="3:18" ht="18" x14ac:dyDescent="0.35">
      <c r="C22" s="23">
        <v>201.354365</v>
      </c>
      <c r="D22" s="23">
        <f t="shared" si="3"/>
        <v>201.4</v>
      </c>
      <c r="E22" s="23">
        <f t="shared" si="0"/>
        <v>201.3</v>
      </c>
      <c r="F22" s="61">
        <f t="shared" si="1"/>
        <v>202</v>
      </c>
      <c r="G22" s="23">
        <f t="shared" si="2"/>
        <v>200</v>
      </c>
      <c r="H22" s="24"/>
      <c r="I22" s="24"/>
      <c r="J22" s="24"/>
      <c r="K22" s="144"/>
      <c r="L22" s="144"/>
      <c r="M22" s="144"/>
      <c r="N22" s="144"/>
      <c r="O22" s="144"/>
      <c r="P22" s="144"/>
      <c r="Q22" s="144"/>
      <c r="R22" s="144"/>
    </row>
    <row r="23" spans="3:18" ht="18" x14ac:dyDescent="0.35">
      <c r="C23" s="23">
        <v>180.92134999999999</v>
      </c>
      <c r="D23" s="23">
        <f t="shared" si="3"/>
        <v>180.9</v>
      </c>
      <c r="E23" s="23">
        <f t="shared" si="0"/>
        <v>180.9</v>
      </c>
      <c r="F23" s="61">
        <f t="shared" si="1"/>
        <v>181</v>
      </c>
      <c r="G23" s="23">
        <f t="shared" si="2"/>
        <v>180</v>
      </c>
      <c r="H23" s="24"/>
      <c r="I23" s="24"/>
      <c r="J23" s="24"/>
    </row>
    <row r="24" spans="3:18" ht="18" x14ac:dyDescent="0.35">
      <c r="C24" s="23">
        <v>638.25435000000004</v>
      </c>
      <c r="D24" s="23">
        <f>ROUND(C24,2)</f>
        <v>638.25</v>
      </c>
      <c r="E24" s="23">
        <f t="shared" si="0"/>
        <v>638.20000000000005</v>
      </c>
      <c r="F24" s="61">
        <f t="shared" si="1"/>
        <v>639</v>
      </c>
      <c r="G24" s="23">
        <f t="shared" si="2"/>
        <v>640</v>
      </c>
      <c r="H24" s="24"/>
      <c r="I24" s="24"/>
      <c r="J24" s="24"/>
    </row>
    <row r="25" spans="3:18" ht="18" x14ac:dyDescent="0.35">
      <c r="C25" s="23">
        <v>975.54565600000001</v>
      </c>
      <c r="D25" s="23">
        <f t="shared" ref="D25:D27" si="4">ROUND(C25,2)</f>
        <v>975.55</v>
      </c>
      <c r="E25" s="23">
        <f t="shared" si="0"/>
        <v>975.5</v>
      </c>
      <c r="F25" s="61">
        <f t="shared" si="1"/>
        <v>976</v>
      </c>
      <c r="G25" s="23">
        <f t="shared" si="2"/>
        <v>975</v>
      </c>
      <c r="H25" s="24"/>
      <c r="I25" s="24"/>
      <c r="J25" s="24"/>
    </row>
    <row r="26" spans="3:18" ht="18" x14ac:dyDescent="0.35">
      <c r="C26" s="23">
        <v>378.32425419999998</v>
      </c>
      <c r="D26" s="23">
        <f t="shared" si="4"/>
        <v>378.32</v>
      </c>
      <c r="E26" s="23">
        <f t="shared" si="0"/>
        <v>378.3</v>
      </c>
      <c r="F26" s="61">
        <f t="shared" si="1"/>
        <v>379</v>
      </c>
      <c r="G26" s="23">
        <f t="shared" si="2"/>
        <v>380</v>
      </c>
      <c r="H26" s="24"/>
      <c r="I26" s="24"/>
      <c r="J26" s="64" t="s">
        <v>176</v>
      </c>
      <c r="K26" s="65">
        <v>1</v>
      </c>
      <c r="L26" s="145" t="s">
        <v>180</v>
      </c>
      <c r="M26" s="142"/>
      <c r="N26" s="142"/>
    </row>
    <row r="27" spans="3:18" ht="18" x14ac:dyDescent="0.35">
      <c r="C27" s="23">
        <v>5435.3253400000003</v>
      </c>
      <c r="D27" s="23">
        <f t="shared" si="4"/>
        <v>5435.33</v>
      </c>
      <c r="E27" s="23">
        <f t="shared" si="0"/>
        <v>5435.3</v>
      </c>
      <c r="F27" s="61">
        <f t="shared" si="1"/>
        <v>5436</v>
      </c>
      <c r="G27" s="23">
        <f t="shared" si="2"/>
        <v>5435</v>
      </c>
      <c r="H27" s="24"/>
      <c r="I27" s="24"/>
      <c r="J27" s="64" t="s">
        <v>27</v>
      </c>
      <c r="K27" s="65">
        <v>2</v>
      </c>
      <c r="L27" s="142"/>
      <c r="M27" s="142"/>
      <c r="N27" s="142"/>
    </row>
    <row r="28" spans="3:18" ht="18" x14ac:dyDescent="0.35">
      <c r="C28" s="23"/>
      <c r="D28" s="23"/>
      <c r="E28" s="23"/>
      <c r="F28" s="61"/>
      <c r="G28" s="62"/>
      <c r="H28" s="24"/>
      <c r="I28" s="24"/>
      <c r="J28" s="64" t="s">
        <v>177</v>
      </c>
      <c r="K28" s="65">
        <v>12</v>
      </c>
      <c r="L28" s="142"/>
      <c r="M28" s="142"/>
      <c r="N28" s="142"/>
    </row>
    <row r="29" spans="3:18" ht="18" x14ac:dyDescent="0.35">
      <c r="C29" s="24"/>
      <c r="D29" s="24"/>
      <c r="E29" s="24"/>
      <c r="F29" s="24"/>
      <c r="G29" s="63"/>
      <c r="H29" s="24"/>
      <c r="I29" s="24"/>
      <c r="J29" s="64" t="s">
        <v>178</v>
      </c>
      <c r="K29" s="65">
        <v>5</v>
      </c>
      <c r="L29" s="142"/>
      <c r="M29" s="142"/>
      <c r="N29" s="142"/>
    </row>
    <row r="30" spans="3:18" ht="18" x14ac:dyDescent="0.35">
      <c r="J30" s="64" t="s">
        <v>179</v>
      </c>
      <c r="K30" s="65">
        <v>6</v>
      </c>
      <c r="L30" s="65"/>
      <c r="M30" s="65"/>
      <c r="N30" s="65"/>
    </row>
    <row r="31" spans="3:18" x14ac:dyDescent="0.3">
      <c r="J31" s="65"/>
      <c r="K31" s="65"/>
      <c r="L31" s="65"/>
      <c r="M31" s="65"/>
      <c r="N31" s="65"/>
    </row>
  </sheetData>
  <mergeCells count="3">
    <mergeCell ref="D15:G16"/>
    <mergeCell ref="K18:R22"/>
    <mergeCell ref="L26:N29"/>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EDDE3-CD61-4A6A-9749-EFD55F9FA25F}">
  <sheetPr>
    <tabColor rgb="FFFF6699"/>
  </sheetPr>
  <dimension ref="B4:K14"/>
  <sheetViews>
    <sheetView workbookViewId="0">
      <selection activeCell="G7" sqref="G7"/>
    </sheetView>
  </sheetViews>
  <sheetFormatPr defaultRowHeight="14.4" x14ac:dyDescent="0.3"/>
  <cols>
    <col min="2" max="2" width="12.109375" customWidth="1"/>
    <col min="3" max="3" width="12" customWidth="1"/>
    <col min="4" max="4" width="10.33203125" bestFit="1" customWidth="1"/>
    <col min="5" max="5" width="20.21875" customWidth="1"/>
    <col min="6" max="6" width="19.5546875" customWidth="1"/>
    <col min="7" max="7" width="10.6640625" bestFit="1" customWidth="1"/>
  </cols>
  <sheetData>
    <row r="4" spans="2:11" x14ac:dyDescent="0.3">
      <c r="D4" s="132" t="s">
        <v>181</v>
      </c>
      <c r="E4" s="132"/>
      <c r="F4" s="132"/>
    </row>
    <row r="6" spans="2:11" x14ac:dyDescent="0.3">
      <c r="G6" cm="1">
        <f t="array" ref="G6:K14">'[1]8th class'!$C$19:$G$27</f>
        <v>135.43243530000001</v>
      </c>
      <c r="H6">
        <v>135.4</v>
      </c>
      <c r="I6">
        <v>135.4</v>
      </c>
      <c r="J6">
        <v>136</v>
      </c>
      <c r="K6">
        <v>135</v>
      </c>
    </row>
    <row r="7" spans="2:11" x14ac:dyDescent="0.3">
      <c r="B7" s="1" t="s">
        <v>87</v>
      </c>
      <c r="C7" s="1" t="s">
        <v>89</v>
      </c>
      <c r="D7" s="1" t="s">
        <v>266</v>
      </c>
      <c r="E7" s="1" t="s">
        <v>267</v>
      </c>
      <c r="G7">
        <v>78.745400000000004</v>
      </c>
      <c r="H7">
        <v>79</v>
      </c>
      <c r="I7">
        <v>78.7</v>
      </c>
      <c r="J7">
        <v>79</v>
      </c>
      <c r="K7">
        <v>80</v>
      </c>
    </row>
    <row r="8" spans="2:11" x14ac:dyDescent="0.3">
      <c r="B8" s="43">
        <f>DATE(2024,1,1)</f>
        <v>45292</v>
      </c>
      <c r="C8" s="43">
        <f>DATE(2024,12,31)</f>
        <v>45657</v>
      </c>
      <c r="D8" s="43">
        <v>45304</v>
      </c>
      <c r="E8" s="1">
        <f>NETWORKDAYS(B8,C8,D8:D12)</f>
        <v>259</v>
      </c>
      <c r="G8">
        <v>911.35456450000004</v>
      </c>
      <c r="H8">
        <v>911.4</v>
      </c>
      <c r="I8">
        <v>911.3</v>
      </c>
      <c r="J8">
        <v>912</v>
      </c>
      <c r="K8">
        <v>910</v>
      </c>
    </row>
    <row r="9" spans="2:11" x14ac:dyDescent="0.3">
      <c r="B9" s="1"/>
      <c r="C9" s="1"/>
      <c r="D9" s="43">
        <v>45317</v>
      </c>
      <c r="E9" s="1"/>
      <c r="G9">
        <v>201.354365</v>
      </c>
      <c r="H9">
        <v>201.4</v>
      </c>
      <c r="I9">
        <v>201.3</v>
      </c>
      <c r="J9">
        <v>202</v>
      </c>
      <c r="K9">
        <v>200</v>
      </c>
    </row>
    <row r="10" spans="2:11" x14ac:dyDescent="0.3">
      <c r="B10" s="1"/>
      <c r="C10" s="1"/>
      <c r="D10" s="43">
        <v>45651</v>
      </c>
      <c r="E10" s="1"/>
      <c r="G10">
        <v>180.92134999999999</v>
      </c>
      <c r="H10">
        <v>180.9</v>
      </c>
      <c r="I10">
        <v>180.9</v>
      </c>
      <c r="J10">
        <v>181</v>
      </c>
      <c r="K10">
        <v>180</v>
      </c>
    </row>
    <row r="11" spans="2:11" x14ac:dyDescent="0.3">
      <c r="B11" s="1"/>
      <c r="C11" s="1"/>
      <c r="D11" s="43">
        <v>45346</v>
      </c>
      <c r="E11" s="1"/>
      <c r="G11">
        <v>638.25435000000004</v>
      </c>
      <c r="H11">
        <v>638.25</v>
      </c>
      <c r="I11">
        <v>638.20000000000005</v>
      </c>
      <c r="J11">
        <v>639</v>
      </c>
      <c r="K11">
        <v>640</v>
      </c>
    </row>
    <row r="12" spans="2:11" x14ac:dyDescent="0.3">
      <c r="B12" s="1"/>
      <c r="C12" s="1"/>
      <c r="D12" s="43">
        <v>45376</v>
      </c>
      <c r="E12" s="1"/>
      <c r="G12">
        <v>975.54565600000001</v>
      </c>
      <c r="H12">
        <v>975.55</v>
      </c>
      <c r="I12">
        <v>975.5</v>
      </c>
      <c r="J12">
        <v>976</v>
      </c>
      <c r="K12">
        <v>975</v>
      </c>
    </row>
    <row r="13" spans="2:11" x14ac:dyDescent="0.3">
      <c r="B13" s="1"/>
      <c r="C13" s="1"/>
      <c r="D13" s="1"/>
      <c r="E13" s="1"/>
      <c r="G13">
        <v>378.32425419999998</v>
      </c>
      <c r="H13">
        <v>378.32</v>
      </c>
      <c r="I13">
        <v>378.3</v>
      </c>
      <c r="J13">
        <v>379</v>
      </c>
      <c r="K13">
        <v>380</v>
      </c>
    </row>
    <row r="14" spans="2:11" x14ac:dyDescent="0.3">
      <c r="G14">
        <v>5435.3253400000003</v>
      </c>
      <c r="H14">
        <v>5435.33</v>
      </c>
      <c r="I14">
        <v>5435.3</v>
      </c>
      <c r="J14">
        <v>5436</v>
      </c>
      <c r="K14">
        <v>5435</v>
      </c>
    </row>
  </sheetData>
  <mergeCells count="1">
    <mergeCell ref="D4: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D0DF-9E23-4E01-82B4-9C2B7D7CAC5E}">
  <sheetPr>
    <tabColor theme="2" tint="-0.499984740745262"/>
  </sheetPr>
  <dimension ref="B2:K29"/>
  <sheetViews>
    <sheetView topLeftCell="A14" workbookViewId="0">
      <selection activeCell="B24" sqref="B24:H29"/>
    </sheetView>
  </sheetViews>
  <sheetFormatPr defaultRowHeight="14.4" x14ac:dyDescent="0.3"/>
  <cols>
    <col min="2" max="8" width="35.21875" bestFit="1" customWidth="1"/>
    <col min="9" max="9" width="28.77734375" bestFit="1" customWidth="1"/>
    <col min="10" max="10" width="53.21875" customWidth="1"/>
    <col min="11" max="11" width="28.44140625" bestFit="1" customWidth="1"/>
  </cols>
  <sheetData>
    <row r="2" spans="2:11" x14ac:dyDescent="0.3">
      <c r="D2" s="146" t="s">
        <v>231</v>
      </c>
      <c r="E2" s="146"/>
      <c r="F2" s="146"/>
    </row>
    <row r="5" spans="2:11" x14ac:dyDescent="0.3">
      <c r="C5" t="s">
        <v>182</v>
      </c>
      <c r="D5" t="s">
        <v>183</v>
      </c>
      <c r="E5" t="s">
        <v>184</v>
      </c>
      <c r="F5" t="s">
        <v>185</v>
      </c>
      <c r="G5" t="s">
        <v>186</v>
      </c>
      <c r="H5" t="s">
        <v>187</v>
      </c>
      <c r="I5" t="s">
        <v>188</v>
      </c>
      <c r="J5" t="s">
        <v>189</v>
      </c>
      <c r="K5" t="s">
        <v>190</v>
      </c>
    </row>
    <row r="6" spans="2:11" x14ac:dyDescent="0.3">
      <c r="C6" t="s">
        <v>132</v>
      </c>
      <c r="D6" t="s">
        <v>191</v>
      </c>
      <c r="E6" t="s">
        <v>191</v>
      </c>
      <c r="F6" t="s">
        <v>191</v>
      </c>
      <c r="G6" t="s">
        <v>191</v>
      </c>
      <c r="H6" t="s">
        <v>192</v>
      </c>
      <c r="I6" t="s">
        <v>192</v>
      </c>
      <c r="J6" t="s">
        <v>192</v>
      </c>
      <c r="K6" t="s">
        <v>192</v>
      </c>
    </row>
    <row r="7" spans="2:11" x14ac:dyDescent="0.3">
      <c r="C7" t="s">
        <v>182</v>
      </c>
      <c r="D7" t="s">
        <v>193</v>
      </c>
      <c r="E7" t="s">
        <v>194</v>
      </c>
      <c r="F7" t="s">
        <v>195</v>
      </c>
      <c r="G7" t="s">
        <v>196</v>
      </c>
      <c r="H7" t="s">
        <v>193</v>
      </c>
      <c r="I7" t="s">
        <v>197</v>
      </c>
      <c r="J7" t="s">
        <v>195</v>
      </c>
      <c r="K7" t="s">
        <v>196</v>
      </c>
    </row>
    <row r="8" spans="2:11" x14ac:dyDescent="0.3">
      <c r="C8" t="s">
        <v>198</v>
      </c>
      <c r="D8" t="s">
        <v>199</v>
      </c>
      <c r="E8" t="s">
        <v>200</v>
      </c>
      <c r="F8" t="s">
        <v>201</v>
      </c>
      <c r="G8" t="s">
        <v>202</v>
      </c>
      <c r="H8" t="s">
        <v>199</v>
      </c>
      <c r="I8" t="s">
        <v>203</v>
      </c>
      <c r="J8" t="s">
        <v>204</v>
      </c>
      <c r="K8" t="s">
        <v>205</v>
      </c>
    </row>
    <row r="9" spans="2:11" x14ac:dyDescent="0.3">
      <c r="C9" t="s">
        <v>206</v>
      </c>
      <c r="D9" t="s">
        <v>207</v>
      </c>
      <c r="E9" t="s">
        <v>208</v>
      </c>
      <c r="F9" t="s">
        <v>209</v>
      </c>
      <c r="G9" t="s">
        <v>210</v>
      </c>
      <c r="H9" t="s">
        <v>207</v>
      </c>
      <c r="I9" t="s">
        <v>211</v>
      </c>
      <c r="J9" t="s">
        <v>212</v>
      </c>
      <c r="K9" t="s">
        <v>213</v>
      </c>
    </row>
    <row r="10" spans="2:11" x14ac:dyDescent="0.3">
      <c r="C10" t="s">
        <v>214</v>
      </c>
      <c r="D10" t="s">
        <v>215</v>
      </c>
      <c r="E10" t="s">
        <v>216</v>
      </c>
      <c r="F10" t="s">
        <v>217</v>
      </c>
      <c r="G10" t="s">
        <v>218</v>
      </c>
      <c r="H10" t="s">
        <v>215</v>
      </c>
      <c r="I10" t="s">
        <v>219</v>
      </c>
      <c r="J10" t="s">
        <v>220</v>
      </c>
      <c r="K10" t="s">
        <v>221</v>
      </c>
    </row>
    <row r="11" spans="2:11" x14ac:dyDescent="0.3">
      <c r="C11" t="s">
        <v>222</v>
      </c>
      <c r="D11" t="s">
        <v>223</v>
      </c>
      <c r="E11" t="s">
        <v>224</v>
      </c>
      <c r="F11" t="s">
        <v>225</v>
      </c>
      <c r="G11" t="s">
        <v>226</v>
      </c>
      <c r="H11" t="s">
        <v>223</v>
      </c>
      <c r="I11" t="s">
        <v>227</v>
      </c>
      <c r="J11" t="s">
        <v>228</v>
      </c>
      <c r="K11" t="s">
        <v>229</v>
      </c>
    </row>
    <row r="12" spans="2:11" x14ac:dyDescent="0.3">
      <c r="C12" t="s">
        <v>230</v>
      </c>
      <c r="D12" t="s">
        <v>230</v>
      </c>
      <c r="E12" t="s">
        <v>230</v>
      </c>
      <c r="F12" t="s">
        <v>230</v>
      </c>
      <c r="G12" t="s">
        <v>230</v>
      </c>
      <c r="H12" t="s">
        <v>230</v>
      </c>
      <c r="I12" t="s">
        <v>230</v>
      </c>
      <c r="J12" t="s">
        <v>230</v>
      </c>
      <c r="K12" t="s">
        <v>230</v>
      </c>
    </row>
    <row r="14" spans="2:11" x14ac:dyDescent="0.3">
      <c r="B14" s="147" t="s">
        <v>232</v>
      </c>
      <c r="C14" s="146"/>
      <c r="D14" s="146"/>
      <c r="E14" s="146"/>
      <c r="F14" s="146" t="s">
        <v>233</v>
      </c>
    </row>
    <row r="15" spans="2:11" x14ac:dyDescent="0.3">
      <c r="B15" s="146"/>
      <c r="C15" s="146"/>
      <c r="D15" s="146"/>
      <c r="E15" s="146"/>
      <c r="F15" s="146"/>
    </row>
    <row r="16" spans="2:11" x14ac:dyDescent="0.3">
      <c r="B16" s="146"/>
      <c r="C16" s="146"/>
      <c r="D16" s="146"/>
      <c r="E16" s="146"/>
      <c r="F16" s="146"/>
      <c r="G16" s="66" t="s">
        <v>234</v>
      </c>
    </row>
    <row r="17" spans="2:8" x14ac:dyDescent="0.3">
      <c r="B17" s="146"/>
      <c r="C17" s="146"/>
      <c r="D17" s="146"/>
      <c r="E17" s="146"/>
      <c r="F17" s="146"/>
    </row>
    <row r="18" spans="2:8" x14ac:dyDescent="0.3">
      <c r="B18" s="146"/>
      <c r="C18" s="146"/>
      <c r="D18" s="146"/>
      <c r="E18" s="146"/>
      <c r="F18" s="146"/>
    </row>
    <row r="19" spans="2:8" x14ac:dyDescent="0.3">
      <c r="B19" s="146"/>
      <c r="C19" s="146"/>
      <c r="D19" s="146"/>
      <c r="E19" s="146"/>
      <c r="F19" s="146"/>
    </row>
    <row r="20" spans="2:8" x14ac:dyDescent="0.3">
      <c r="B20" s="146"/>
      <c r="C20" s="146"/>
      <c r="D20" s="146"/>
      <c r="E20" s="146"/>
      <c r="F20" s="146"/>
    </row>
    <row r="21" spans="2:8" x14ac:dyDescent="0.3">
      <c r="B21" s="146"/>
      <c r="C21" s="146"/>
      <c r="D21" s="146"/>
      <c r="E21" s="146"/>
      <c r="F21" s="146"/>
    </row>
    <row r="24" spans="2:8" x14ac:dyDescent="0.3">
      <c r="B24" t="s">
        <v>235</v>
      </c>
      <c r="C24" t="s">
        <v>236</v>
      </c>
      <c r="D24" t="s">
        <v>237</v>
      </c>
      <c r="E24" t="s">
        <v>238</v>
      </c>
      <c r="F24" t="s">
        <v>239</v>
      </c>
      <c r="G24" t="s">
        <v>240</v>
      </c>
      <c r="H24" t="s">
        <v>130</v>
      </c>
    </row>
    <row r="25" spans="2:8" x14ac:dyDescent="0.3">
      <c r="B25" t="s">
        <v>241</v>
      </c>
      <c r="C25" t="s">
        <v>242</v>
      </c>
      <c r="D25" t="s">
        <v>243</v>
      </c>
      <c r="E25" t="s">
        <v>244</v>
      </c>
      <c r="F25" t="s">
        <v>245</v>
      </c>
      <c r="G25" t="s">
        <v>246</v>
      </c>
    </row>
    <row r="26" spans="2:8" x14ac:dyDescent="0.3">
      <c r="B26" t="s">
        <v>247</v>
      </c>
      <c r="C26" t="s">
        <v>248</v>
      </c>
      <c r="D26" t="s">
        <v>249</v>
      </c>
      <c r="E26" t="s">
        <v>250</v>
      </c>
      <c r="F26" t="s">
        <v>251</v>
      </c>
      <c r="G26" t="s">
        <v>252</v>
      </c>
    </row>
    <row r="27" spans="2:8" x14ac:dyDescent="0.3">
      <c r="B27" t="s">
        <v>253</v>
      </c>
      <c r="C27" t="s">
        <v>254</v>
      </c>
      <c r="D27" t="s">
        <v>255</v>
      </c>
      <c r="E27" t="s">
        <v>256</v>
      </c>
      <c r="F27" t="s">
        <v>257</v>
      </c>
      <c r="G27" t="s">
        <v>258</v>
      </c>
    </row>
    <row r="28" spans="2:8" x14ac:dyDescent="0.3">
      <c r="B28" t="s">
        <v>259</v>
      </c>
      <c r="C28" t="s">
        <v>260</v>
      </c>
      <c r="D28" t="s">
        <v>261</v>
      </c>
      <c r="E28" t="s">
        <v>262</v>
      </c>
      <c r="F28" t="s">
        <v>263</v>
      </c>
      <c r="G28" t="s">
        <v>264</v>
      </c>
    </row>
    <row r="29" spans="2:8" x14ac:dyDescent="0.3">
      <c r="B29" t="s">
        <v>265</v>
      </c>
      <c r="C29" t="s">
        <v>265</v>
      </c>
      <c r="D29" t="s">
        <v>265</v>
      </c>
      <c r="E29" t="s">
        <v>265</v>
      </c>
      <c r="F29" t="s">
        <v>265</v>
      </c>
      <c r="G29" t="s">
        <v>265</v>
      </c>
      <c r="H29" t="s">
        <v>265</v>
      </c>
    </row>
  </sheetData>
  <mergeCells count="3">
    <mergeCell ref="D2:F2"/>
    <mergeCell ref="B14:E21"/>
    <mergeCell ref="F14:F21"/>
  </mergeCells>
  <dataValidations disablePrompts="1" count="2">
    <dataValidation type="whole" allowBlank="1" showInputMessage="1" showErrorMessage="1" sqref="G15" xr:uid="{04E15B45-BFD4-4FF0-8EA3-3692CFD8075A}">
      <formula1>500</formula1>
      <formula2>550</formula2>
    </dataValidation>
    <dataValidation type="whole" allowBlank="1" showInputMessage="1" showErrorMessage="1" promptTitle="WRONG" sqref="F4" xr:uid="{05E4B5A0-20D4-41E1-9CF4-DBD2A5152797}">
      <formula1>550</formula1>
      <formula2>600</formula2>
    </dataValidation>
  </dataValidations>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5B60C-4CCF-46EA-A7D8-EC3ADE0EA92C}">
  <sheetPr>
    <tabColor theme="3" tint="0.749992370372631"/>
  </sheetPr>
  <dimension ref="C2:E36"/>
  <sheetViews>
    <sheetView workbookViewId="0">
      <selection activeCell="C20" sqref="C20:E20"/>
    </sheetView>
  </sheetViews>
  <sheetFormatPr defaultRowHeight="14.4" outlineLevelRow="2" x14ac:dyDescent="0.3"/>
  <cols>
    <col min="3" max="3" width="12.88671875" customWidth="1"/>
  </cols>
  <sheetData>
    <row r="2" spans="3:5" x14ac:dyDescent="0.3">
      <c r="C2" s="40" t="s">
        <v>268</v>
      </c>
      <c r="D2" s="40" t="s">
        <v>269</v>
      </c>
      <c r="E2" s="40" t="s">
        <v>277</v>
      </c>
    </row>
    <row r="3" spans="3:5" outlineLevel="2" x14ac:dyDescent="0.3">
      <c r="C3" s="1" t="s">
        <v>270</v>
      </c>
      <c r="D3" s="1">
        <v>25</v>
      </c>
      <c r="E3" s="1">
        <v>12</v>
      </c>
    </row>
    <row r="4" spans="3:5" outlineLevel="2" x14ac:dyDescent="0.3">
      <c r="C4" s="1" t="s">
        <v>270</v>
      </c>
      <c r="D4" s="1">
        <v>654</v>
      </c>
      <c r="E4" s="1">
        <v>12</v>
      </c>
    </row>
    <row r="5" spans="3:5" outlineLevel="2" x14ac:dyDescent="0.3">
      <c r="C5" s="1" t="s">
        <v>270</v>
      </c>
      <c r="D5" s="1">
        <v>854</v>
      </c>
      <c r="E5" s="1">
        <v>14</v>
      </c>
    </row>
    <row r="6" spans="3:5" outlineLevel="1" x14ac:dyDescent="0.3">
      <c r="C6" s="40" t="s">
        <v>273</v>
      </c>
      <c r="D6" s="1">
        <f>SUBTOTAL(9,D3:D5)</f>
        <v>1533</v>
      </c>
      <c r="E6" s="1">
        <f>SUBTOTAL(9,E3:E5)</f>
        <v>38</v>
      </c>
    </row>
    <row r="7" spans="3:5" outlineLevel="2" x14ac:dyDescent="0.3">
      <c r="C7" s="1" t="s">
        <v>271</v>
      </c>
      <c r="D7" s="1">
        <v>12</v>
      </c>
      <c r="E7" s="1">
        <v>23</v>
      </c>
    </row>
    <row r="8" spans="3:5" outlineLevel="2" x14ac:dyDescent="0.3">
      <c r="C8" s="1" t="s">
        <v>271</v>
      </c>
      <c r="D8" s="1">
        <v>45</v>
      </c>
      <c r="E8" s="1">
        <v>23</v>
      </c>
    </row>
    <row r="9" spans="3:5" outlineLevel="2" x14ac:dyDescent="0.3">
      <c r="C9" s="1" t="s">
        <v>271</v>
      </c>
      <c r="D9" s="1">
        <v>85</v>
      </c>
      <c r="E9" s="1">
        <v>14</v>
      </c>
    </row>
    <row r="10" spans="3:5" outlineLevel="2" x14ac:dyDescent="0.3">
      <c r="C10" s="1" t="s">
        <v>271</v>
      </c>
      <c r="D10" s="1">
        <v>96</v>
      </c>
      <c r="E10" s="1">
        <v>56</v>
      </c>
    </row>
    <row r="11" spans="3:5" outlineLevel="2" x14ac:dyDescent="0.3">
      <c r="C11" s="1" t="s">
        <v>271</v>
      </c>
      <c r="D11" s="1">
        <v>785</v>
      </c>
      <c r="E11" s="1">
        <v>85</v>
      </c>
    </row>
    <row r="12" spans="3:5" outlineLevel="2" x14ac:dyDescent="0.3">
      <c r="C12" s="1" t="s">
        <v>271</v>
      </c>
      <c r="D12" s="1">
        <v>125</v>
      </c>
      <c r="E12" s="1">
        <v>12</v>
      </c>
    </row>
    <row r="13" spans="3:5" outlineLevel="1" x14ac:dyDescent="0.3">
      <c r="C13" s="40" t="s">
        <v>274</v>
      </c>
      <c r="D13" s="1">
        <f>SUBTOTAL(9,D7:D12)</f>
        <v>1148</v>
      </c>
      <c r="E13" s="1">
        <f>SUBTOTAL(9,E7:E12)</f>
        <v>213</v>
      </c>
    </row>
    <row r="14" spans="3:5" outlineLevel="2" x14ac:dyDescent="0.3">
      <c r="C14" s="1" t="s">
        <v>272</v>
      </c>
      <c r="D14" s="1">
        <v>23</v>
      </c>
      <c r="E14" s="1">
        <v>25</v>
      </c>
    </row>
    <row r="15" spans="3:5" outlineLevel="2" x14ac:dyDescent="0.3">
      <c r="C15" s="1" t="s">
        <v>272</v>
      </c>
      <c r="D15" s="1">
        <v>63</v>
      </c>
      <c r="E15" s="1">
        <v>56</v>
      </c>
    </row>
    <row r="16" spans="3:5" outlineLevel="2" x14ac:dyDescent="0.3">
      <c r="C16" s="1" t="s">
        <v>272</v>
      </c>
      <c r="D16" s="1">
        <v>89</v>
      </c>
      <c r="E16" s="1">
        <v>45</v>
      </c>
    </row>
    <row r="17" spans="3:5" outlineLevel="2" x14ac:dyDescent="0.3">
      <c r="C17" s="1" t="s">
        <v>272</v>
      </c>
      <c r="D17" s="1">
        <v>98</v>
      </c>
      <c r="E17" s="1">
        <v>12</v>
      </c>
    </row>
    <row r="18" spans="3:5" outlineLevel="2" x14ac:dyDescent="0.3">
      <c r="C18" s="1" t="s">
        <v>272</v>
      </c>
      <c r="D18" s="1">
        <v>78</v>
      </c>
      <c r="E18" s="1">
        <v>13</v>
      </c>
    </row>
    <row r="19" spans="3:5" outlineLevel="1" x14ac:dyDescent="0.3">
      <c r="C19" s="40" t="s">
        <v>275</v>
      </c>
      <c r="D19" s="1">
        <f>SUBTOTAL(9,D14:D18)</f>
        <v>351</v>
      </c>
      <c r="E19" s="1">
        <f>SUBTOTAL(9,E14:E18)</f>
        <v>151</v>
      </c>
    </row>
    <row r="20" spans="3:5" x14ac:dyDescent="0.3">
      <c r="C20" s="40" t="s">
        <v>276</v>
      </c>
      <c r="D20" s="1">
        <f>SUBTOTAL(9,D3:D18)</f>
        <v>3032</v>
      </c>
      <c r="E20" s="1">
        <f>SUBTOTAL(9,E3:E18)</f>
        <v>402</v>
      </c>
    </row>
    <row r="23" spans="3:5" x14ac:dyDescent="0.3">
      <c r="C23" s="49"/>
    </row>
    <row r="24" spans="3:5" x14ac:dyDescent="0.3">
      <c r="C24" s="49"/>
    </row>
    <row r="25" spans="3:5" outlineLevel="1" x14ac:dyDescent="0.3">
      <c r="C25" s="49"/>
    </row>
    <row r="26" spans="3:5" outlineLevel="2" x14ac:dyDescent="0.3"/>
    <row r="27" spans="3:5" outlineLevel="1" x14ac:dyDescent="0.3">
      <c r="C27" s="49"/>
    </row>
    <row r="33" spans="3:3" outlineLevel="1" x14ac:dyDescent="0.3">
      <c r="C33" s="49"/>
    </row>
    <row r="34" spans="3:3" outlineLevel="2" x14ac:dyDescent="0.3"/>
    <row r="35" spans="3:3" outlineLevel="1" x14ac:dyDescent="0.3">
      <c r="C35" s="49"/>
    </row>
    <row r="36" spans="3:3" x14ac:dyDescent="0.3">
      <c r="C36" s="4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1009-3BAB-459A-AEA8-C5F7D900AD20}">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BA749-782D-4257-A005-A63859F2406D}">
  <sheetPr>
    <tabColor rgb="FFFF5050"/>
  </sheetPr>
  <dimension ref="H1:N30"/>
  <sheetViews>
    <sheetView topLeftCell="H11" workbookViewId="0">
      <selection activeCell="K21" sqref="K21"/>
    </sheetView>
  </sheetViews>
  <sheetFormatPr defaultRowHeight="14.4" x14ac:dyDescent="0.3"/>
  <cols>
    <col min="8" max="8" width="18.44140625" customWidth="1"/>
    <col min="9" max="9" width="18.6640625" customWidth="1"/>
    <col min="10" max="10" width="13.77734375" customWidth="1"/>
    <col min="11" max="11" width="14" customWidth="1"/>
    <col min="12" max="12" width="16.109375" customWidth="1"/>
    <col min="13" max="13" width="15.21875" customWidth="1"/>
  </cols>
  <sheetData>
    <row r="1" spans="8:14" x14ac:dyDescent="0.3">
      <c r="H1" s="148" t="s">
        <v>284</v>
      </c>
      <c r="I1" s="148"/>
      <c r="J1" s="148"/>
      <c r="K1" s="148"/>
      <c r="L1" s="148"/>
      <c r="M1" s="49"/>
      <c r="N1" s="49"/>
    </row>
    <row r="2" spans="8:14" x14ac:dyDescent="0.3">
      <c r="H2" s="69" t="s">
        <v>15</v>
      </c>
      <c r="I2" s="69" t="s">
        <v>279</v>
      </c>
      <c r="J2" s="69" t="s">
        <v>280</v>
      </c>
      <c r="K2" s="69" t="s">
        <v>281</v>
      </c>
      <c r="L2" s="69" t="s">
        <v>282</v>
      </c>
    </row>
    <row r="3" spans="8:14" x14ac:dyDescent="0.3">
      <c r="H3" s="1" t="s">
        <v>283</v>
      </c>
      <c r="I3" s="1">
        <f>LEN(H3)</f>
        <v>10</v>
      </c>
      <c r="J3" s="1" t="str">
        <f>MID(H3,4,3)</f>
        <v>503</v>
      </c>
      <c r="K3" s="1" t="str">
        <f>LEFT(H3,2)</f>
        <v>DE</v>
      </c>
      <c r="L3" s="1" t="str">
        <f>RIGHT(H3,4)</f>
        <v>-MGN</v>
      </c>
    </row>
    <row r="5" spans="8:14" x14ac:dyDescent="0.3">
      <c r="H5" s="69" t="s">
        <v>15</v>
      </c>
      <c r="I5" s="69" t="s">
        <v>285</v>
      </c>
      <c r="J5" s="69" t="s">
        <v>286</v>
      </c>
      <c r="K5" s="69" t="s">
        <v>287</v>
      </c>
      <c r="L5" s="69" t="s">
        <v>288</v>
      </c>
      <c r="M5" s="69" t="s">
        <v>292</v>
      </c>
    </row>
    <row r="6" spans="8:14" x14ac:dyDescent="0.3">
      <c r="H6" s="1" t="s">
        <v>289</v>
      </c>
      <c r="I6" s="1" t="str">
        <f>PROPER(H6)</f>
        <v>Bhumi Goyal</v>
      </c>
      <c r="J6" s="1" t="str">
        <f>LOWER(H6)</f>
        <v>bhumi goyal</v>
      </c>
      <c r="K6" s="1" t="str">
        <f>UPPER(H6)</f>
        <v>BHUMI GOYAL</v>
      </c>
      <c r="L6" s="1" t="str">
        <f>TRIM(H6)</f>
        <v>Bhumi Goyal</v>
      </c>
      <c r="M6" s="1" t="str">
        <f>PROPER(TRIM(H6))</f>
        <v>Bhumi Goyal</v>
      </c>
    </row>
    <row r="7" spans="8:14" x14ac:dyDescent="0.3">
      <c r="H7" s="1" t="s">
        <v>290</v>
      </c>
      <c r="I7" s="1" t="str">
        <f t="shared" ref="I7:I8" si="0">PROPER(H7)</f>
        <v>Monika</v>
      </c>
      <c r="J7" s="1" t="str">
        <f t="shared" ref="J7:J8" si="1">LOWER(H7)</f>
        <v>monika</v>
      </c>
      <c r="K7" s="1" t="str">
        <f t="shared" ref="K7:K8" si="2">UPPER(H7)</f>
        <v>MONIKA</v>
      </c>
      <c r="L7" s="1" t="str">
        <f t="shared" ref="L7:L8" si="3">TRIM(H7)</f>
        <v>Monika</v>
      </c>
      <c r="M7" s="1" t="str">
        <f t="shared" ref="M7:M8" si="4">PROPER(TRIM(H7))</f>
        <v>Monika</v>
      </c>
    </row>
    <row r="8" spans="8:14" x14ac:dyDescent="0.3">
      <c r="H8" s="1" t="s">
        <v>291</v>
      </c>
      <c r="I8" s="1" t="str">
        <f t="shared" si="0"/>
        <v>Aditya    Kumar</v>
      </c>
      <c r="J8" s="1" t="str">
        <f t="shared" si="1"/>
        <v>aditya    kumar</v>
      </c>
      <c r="K8" s="1" t="str">
        <f t="shared" si="2"/>
        <v>ADITYA    KUMAR</v>
      </c>
      <c r="L8" s="1" t="str">
        <f t="shared" si="3"/>
        <v>Aditya Kumar</v>
      </c>
      <c r="M8" s="1" t="str">
        <f t="shared" si="4"/>
        <v>Aditya Kumar</v>
      </c>
    </row>
    <row r="10" spans="8:14" x14ac:dyDescent="0.3">
      <c r="H10" s="69" t="s">
        <v>293</v>
      </c>
      <c r="I10" s="1">
        <v>2019</v>
      </c>
      <c r="J10" s="1" t="s">
        <v>270</v>
      </c>
      <c r="K10" s="1" t="s">
        <v>297</v>
      </c>
    </row>
    <row r="12" spans="8:14" x14ac:dyDescent="0.3">
      <c r="H12" s="1" t="s">
        <v>294</v>
      </c>
      <c r="I12" s="1"/>
    </row>
    <row r="13" spans="8:14" x14ac:dyDescent="0.3">
      <c r="H13" s="69" t="s">
        <v>295</v>
      </c>
      <c r="I13" s="1" t="str">
        <f>_xlfn.CONCAT(H12,I10)</f>
        <v>SALES RECORD2019</v>
      </c>
    </row>
    <row r="14" spans="8:14" x14ac:dyDescent="0.3">
      <c r="H14" s="69" t="s">
        <v>296</v>
      </c>
      <c r="I14" s="1" t="str">
        <f>_xlfn.CONCAT(H12,"-",I10)</f>
        <v>SALES RECORD-2019</v>
      </c>
    </row>
    <row r="16" spans="8:14" x14ac:dyDescent="0.3">
      <c r="H16" s="69" t="s">
        <v>15</v>
      </c>
      <c r="I16" s="69" t="s">
        <v>298</v>
      </c>
      <c r="J16" s="49"/>
      <c r="K16" s="69" t="s">
        <v>15</v>
      </c>
      <c r="L16" s="69" t="s">
        <v>307</v>
      </c>
      <c r="M16" s="69" t="s">
        <v>316</v>
      </c>
      <c r="N16" s="69" t="s">
        <v>41</v>
      </c>
    </row>
    <row r="17" spans="8:14" x14ac:dyDescent="0.3">
      <c r="H17" s="70" t="s">
        <v>299</v>
      </c>
      <c r="I17" s="1">
        <f>SEARCH("@",H17)</f>
        <v>5</v>
      </c>
      <c r="K17" s="1" t="s">
        <v>308</v>
      </c>
      <c r="L17" s="1" t="str">
        <f>REPT(K17,5)</f>
        <v>HAHAHAHAHA</v>
      </c>
      <c r="M17" s="1" t="str">
        <f>REPT(CHAR(36),N17/36)</f>
        <v>$$$$</v>
      </c>
      <c r="N17" s="1">
        <v>150</v>
      </c>
    </row>
    <row r="18" spans="8:14" x14ac:dyDescent="0.3">
      <c r="H18" s="1" t="s">
        <v>300</v>
      </c>
      <c r="I18" s="1">
        <f>SEARCH("o",H18)</f>
        <v>8</v>
      </c>
      <c r="K18" s="1" t="s">
        <v>309</v>
      </c>
      <c r="L18" s="1" t="str">
        <f>REPT(K18,3)</f>
        <v>YAHYAHYAH</v>
      </c>
      <c r="M18" s="1" t="str">
        <f>REPT(CHAR(36),N18/36)</f>
        <v>$$$$$$$$$$</v>
      </c>
      <c r="N18" s="1">
        <v>375</v>
      </c>
    </row>
    <row r="19" spans="8:14" x14ac:dyDescent="0.3">
      <c r="H19" s="1" t="s">
        <v>302</v>
      </c>
      <c r="I19" s="1">
        <f>SEARCH("E*h",H19)</f>
        <v>1</v>
      </c>
    </row>
    <row r="20" spans="8:14" x14ac:dyDescent="0.3">
      <c r="H20" s="49"/>
    </row>
    <row r="21" spans="8:14" x14ac:dyDescent="0.3">
      <c r="H21" s="69" t="s">
        <v>15</v>
      </c>
      <c r="I21" s="69" t="s">
        <v>301</v>
      </c>
    </row>
    <row r="22" spans="8:14" x14ac:dyDescent="0.3">
      <c r="H22" s="71" t="s">
        <v>299</v>
      </c>
      <c r="I22" s="1" t="str">
        <f>REPLACE(H22,1,4,"BHUMI")</f>
        <v>BHUMI@123</v>
      </c>
    </row>
    <row r="23" spans="8:14" x14ac:dyDescent="0.3">
      <c r="H23" s="1" t="s">
        <v>300</v>
      </c>
      <c r="I23" s="1" t="str">
        <f>REPLACE(H23,1,5,"VANSH")</f>
        <v>VANSH goyal</v>
      </c>
    </row>
    <row r="24" spans="8:14" x14ac:dyDescent="0.3">
      <c r="H24" s="1" t="s">
        <v>302</v>
      </c>
      <c r="I24" s="1" t="str">
        <f>REPLACE(H24,1,5,"ELEEZ")</f>
        <v>ELEEZbeth watson</v>
      </c>
    </row>
    <row r="26" spans="8:14" x14ac:dyDescent="0.3">
      <c r="H26" s="69" t="s">
        <v>15</v>
      </c>
      <c r="I26" s="69" t="s">
        <v>305</v>
      </c>
    </row>
    <row r="27" spans="8:14" x14ac:dyDescent="0.3">
      <c r="H27" s="1" t="s">
        <v>304</v>
      </c>
      <c r="I27" s="1" t="str">
        <f>SUBSTITUTE(H27,"L","T")</f>
        <v>TIME</v>
      </c>
    </row>
    <row r="28" spans="8:14" x14ac:dyDescent="0.3">
      <c r="H28" s="1" t="s">
        <v>303</v>
      </c>
      <c r="I28" s="1" t="str">
        <f>SUBSTITUTE(H28,"T","B")</f>
        <v>BUBBLE</v>
      </c>
    </row>
    <row r="29" spans="8:14" x14ac:dyDescent="0.3">
      <c r="H29" s="1" t="s">
        <v>303</v>
      </c>
      <c r="I29" s="1" t="str">
        <f>SUBSTITUTE(H29,"T","B",1)</f>
        <v>BUTTLE</v>
      </c>
    </row>
    <row r="30" spans="8:14" x14ac:dyDescent="0.3">
      <c r="H30" s="1" t="s">
        <v>306</v>
      </c>
      <c r="I30" s="1" t="str">
        <f>SUBSTITUTE(H30,"THE","A")</f>
        <v>A SQUIRREL</v>
      </c>
    </row>
  </sheetData>
  <mergeCells count="1">
    <mergeCell ref="H1:L1"/>
  </mergeCells>
  <dataValidations count="2">
    <dataValidation type="list" allowBlank="1" showInputMessage="1" showErrorMessage="1" sqref="J10" xr:uid="{7E224758-9347-41F8-8BBB-40F167ECCA33}">
      <formula1>"A,B,C"</formula1>
    </dataValidation>
    <dataValidation type="list" allowBlank="1" showInputMessage="1" showErrorMessage="1" sqref="K10" xr:uid="{3337D42D-061C-424C-80D5-956294616DE5}">
      <formula1>"a,b,c"</formula1>
    </dataValidation>
  </dataValidations>
  <hyperlinks>
    <hyperlink ref="H17" r:id="rId1" xr:uid="{934CA7F8-EB4F-488C-ABF0-EE8C443862B4}"/>
    <hyperlink ref="H22" r:id="rId2" xr:uid="{1E8D75BD-D626-4EF8-86D5-A51E769A96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4262-D1B5-400D-B6FA-A89CBE30E5BE}">
  <sheetPr>
    <tabColor rgb="FFFF9999"/>
  </sheetPr>
  <dimension ref="A1:C13"/>
  <sheetViews>
    <sheetView workbookViewId="0">
      <selection activeCell="C13" sqref="C13"/>
    </sheetView>
  </sheetViews>
  <sheetFormatPr defaultRowHeight="14.4" x14ac:dyDescent="0.3"/>
  <cols>
    <col min="2" max="2" width="59.44140625" customWidth="1"/>
    <col min="3" max="3" width="14.5546875" customWidth="1"/>
  </cols>
  <sheetData>
    <row r="1" spans="1:3" x14ac:dyDescent="0.3">
      <c r="A1" s="149" t="s">
        <v>310</v>
      </c>
      <c r="B1" s="150"/>
    </row>
    <row r="3" spans="1:3" x14ac:dyDescent="0.3">
      <c r="A3" t="s">
        <v>311</v>
      </c>
      <c r="B3" t="s">
        <v>312</v>
      </c>
      <c r="C3" t="s">
        <v>324</v>
      </c>
    </row>
    <row r="4" spans="1:3" x14ac:dyDescent="0.3">
      <c r="A4">
        <v>1</v>
      </c>
      <c r="B4" t="s">
        <v>313</v>
      </c>
      <c r="C4" t="s">
        <v>325</v>
      </c>
    </row>
    <row r="5" spans="1:3" x14ac:dyDescent="0.3">
      <c r="A5">
        <v>2</v>
      </c>
      <c r="B5" t="s">
        <v>314</v>
      </c>
      <c r="C5" t="s">
        <v>326</v>
      </c>
    </row>
    <row r="6" spans="1:3" x14ac:dyDescent="0.3">
      <c r="A6">
        <v>3</v>
      </c>
      <c r="B6" t="s">
        <v>315</v>
      </c>
      <c r="C6" t="s">
        <v>327</v>
      </c>
    </row>
    <row r="7" spans="1:3" x14ac:dyDescent="0.3">
      <c r="A7">
        <v>4</v>
      </c>
      <c r="B7" t="s">
        <v>317</v>
      </c>
      <c r="C7" t="s">
        <v>328</v>
      </c>
    </row>
    <row r="8" spans="1:3" x14ac:dyDescent="0.3">
      <c r="A8">
        <v>5</v>
      </c>
      <c r="B8" t="s">
        <v>318</v>
      </c>
      <c r="C8" t="s">
        <v>325</v>
      </c>
    </row>
    <row r="9" spans="1:3" x14ac:dyDescent="0.3">
      <c r="A9">
        <v>6</v>
      </c>
      <c r="B9" t="s">
        <v>319</v>
      </c>
      <c r="C9" t="s">
        <v>328</v>
      </c>
    </row>
    <row r="10" spans="1:3" x14ac:dyDescent="0.3">
      <c r="A10">
        <v>7</v>
      </c>
      <c r="B10" t="s">
        <v>320</v>
      </c>
      <c r="C10" t="s">
        <v>329</v>
      </c>
    </row>
    <row r="11" spans="1:3" x14ac:dyDescent="0.3">
      <c r="A11">
        <v>8</v>
      </c>
      <c r="B11" t="s">
        <v>321</v>
      </c>
      <c r="C11" t="s">
        <v>330</v>
      </c>
    </row>
    <row r="12" spans="1:3" x14ac:dyDescent="0.3">
      <c r="A12">
        <v>9</v>
      </c>
      <c r="B12" t="s">
        <v>322</v>
      </c>
      <c r="C12" t="s">
        <v>331</v>
      </c>
    </row>
    <row r="13" spans="1:3" x14ac:dyDescent="0.3">
      <c r="A13">
        <v>10</v>
      </c>
      <c r="B13" t="s">
        <v>323</v>
      </c>
      <c r="C13" t="s">
        <v>332</v>
      </c>
    </row>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7F28-8E44-474C-ABD1-DDE6D7A0CFCB}">
  <sheetPr>
    <tabColor rgb="FFFFCCFF"/>
  </sheetPr>
  <dimension ref="B2:K21"/>
  <sheetViews>
    <sheetView zoomScale="115" zoomScaleNormal="115" workbookViewId="0">
      <selection activeCell="K16" sqref="K16"/>
    </sheetView>
  </sheetViews>
  <sheetFormatPr defaultRowHeight="14.4" x14ac:dyDescent="0.3"/>
  <cols>
    <col min="2" max="2" width="12" customWidth="1"/>
    <col min="3" max="3" width="13.109375" customWidth="1"/>
    <col min="4" max="4" width="10.77734375" customWidth="1"/>
    <col min="5" max="5" width="20" customWidth="1"/>
    <col min="6" max="6" width="10.88671875" customWidth="1"/>
    <col min="7" max="7" width="13.77734375" customWidth="1"/>
  </cols>
  <sheetData>
    <row r="2" spans="2:11" x14ac:dyDescent="0.3">
      <c r="B2" s="1" t="s">
        <v>333</v>
      </c>
      <c r="C2" s="1" t="s">
        <v>89</v>
      </c>
      <c r="D2" s="1" t="s">
        <v>266</v>
      </c>
      <c r="E2" s="1" t="s">
        <v>334</v>
      </c>
      <c r="F2" s="1" t="s">
        <v>336</v>
      </c>
      <c r="G2" s="1" t="s">
        <v>294</v>
      </c>
      <c r="H2" s="1" t="s">
        <v>41</v>
      </c>
      <c r="K2" s="1" t="s">
        <v>352</v>
      </c>
    </row>
    <row r="3" spans="2:11" x14ac:dyDescent="0.3">
      <c r="B3" s="43">
        <f>DATE(2024,4,1)</f>
        <v>45383</v>
      </c>
      <c r="C3" s="43">
        <f>DATE(2025,3,31)</f>
        <v>45747</v>
      </c>
      <c r="D3" s="43">
        <v>45683</v>
      </c>
      <c r="E3" s="1" t="s">
        <v>335</v>
      </c>
      <c r="F3" s="1" t="s">
        <v>337</v>
      </c>
      <c r="G3" s="1" t="s">
        <v>342</v>
      </c>
      <c r="H3" s="1">
        <v>500</v>
      </c>
      <c r="K3" s="1" t="s">
        <v>336</v>
      </c>
    </row>
    <row r="4" spans="2:11" x14ac:dyDescent="0.3">
      <c r="B4" s="43">
        <f>DATE(2024,4,2)</f>
        <v>45384</v>
      </c>
      <c r="C4" s="43">
        <f>DATE(2025,3,31)</f>
        <v>45747</v>
      </c>
      <c r="D4" s="43">
        <v>45724</v>
      </c>
      <c r="E4" s="1" t="s">
        <v>335</v>
      </c>
      <c r="F4" s="1" t="s">
        <v>337</v>
      </c>
      <c r="G4" s="1" t="s">
        <v>343</v>
      </c>
      <c r="H4" s="1">
        <v>450</v>
      </c>
      <c r="K4" s="1" t="s">
        <v>340</v>
      </c>
    </row>
    <row r="5" spans="2:11" x14ac:dyDescent="0.3">
      <c r="B5" s="43">
        <f>DATE(2024,4,3)</f>
        <v>45385</v>
      </c>
      <c r="C5" s="43">
        <f t="shared" ref="C5:C12" si="0">DATE(2025,3,31)</f>
        <v>45747</v>
      </c>
      <c r="D5" s="43">
        <v>45651</v>
      </c>
      <c r="E5" s="1" t="s">
        <v>335</v>
      </c>
      <c r="F5" s="1" t="s">
        <v>338</v>
      </c>
      <c r="G5" s="1" t="s">
        <v>344</v>
      </c>
      <c r="H5" s="1">
        <v>200</v>
      </c>
    </row>
    <row r="6" spans="2:11" x14ac:dyDescent="0.3">
      <c r="B6" s="43">
        <f>DATE(2024,4,4)</f>
        <v>45386</v>
      </c>
      <c r="C6" s="43">
        <f t="shared" si="0"/>
        <v>45747</v>
      </c>
      <c r="D6" s="43">
        <v>45519</v>
      </c>
      <c r="E6" s="1" t="s">
        <v>335</v>
      </c>
      <c r="F6" s="1" t="s">
        <v>339</v>
      </c>
      <c r="G6" s="1" t="s">
        <v>345</v>
      </c>
      <c r="H6" s="1">
        <v>250</v>
      </c>
    </row>
    <row r="7" spans="2:11" x14ac:dyDescent="0.3">
      <c r="B7" s="43">
        <f>DATE(2024,4,5)</f>
        <v>45387</v>
      </c>
      <c r="C7" s="43">
        <f t="shared" si="0"/>
        <v>45747</v>
      </c>
      <c r="D7" s="1"/>
      <c r="E7" s="1" t="s">
        <v>335</v>
      </c>
      <c r="F7" s="1" t="s">
        <v>340</v>
      </c>
      <c r="G7" s="1" t="s">
        <v>346</v>
      </c>
      <c r="H7" s="1">
        <v>450</v>
      </c>
    </row>
    <row r="8" spans="2:11" x14ac:dyDescent="0.3">
      <c r="B8" s="43">
        <f>DATE(2024,4,6)</f>
        <v>45388</v>
      </c>
      <c r="C8" s="43">
        <f t="shared" si="0"/>
        <v>45747</v>
      </c>
      <c r="D8" s="1"/>
      <c r="E8" s="1" t="s">
        <v>335</v>
      </c>
      <c r="F8" s="1" t="s">
        <v>339</v>
      </c>
      <c r="G8" s="1" t="s">
        <v>347</v>
      </c>
      <c r="H8" s="1">
        <v>650</v>
      </c>
    </row>
    <row r="9" spans="2:11" x14ac:dyDescent="0.3">
      <c r="B9" s="43">
        <f>DATE(2024,4,7)</f>
        <v>45389</v>
      </c>
      <c r="C9" s="43">
        <f t="shared" si="0"/>
        <v>45747</v>
      </c>
      <c r="D9" s="1"/>
      <c r="E9" s="1" t="s">
        <v>335</v>
      </c>
      <c r="F9" s="1" t="s">
        <v>340</v>
      </c>
      <c r="G9" s="1" t="s">
        <v>348</v>
      </c>
      <c r="H9" s="1">
        <v>120</v>
      </c>
    </row>
    <row r="10" spans="2:11" x14ac:dyDescent="0.3">
      <c r="B10" s="43">
        <f>DATE(2024,4,8)</f>
        <v>45390</v>
      </c>
      <c r="C10" s="43">
        <f t="shared" si="0"/>
        <v>45747</v>
      </c>
      <c r="D10" s="1"/>
      <c r="E10" s="1" t="s">
        <v>335</v>
      </c>
      <c r="F10" s="1" t="s">
        <v>341</v>
      </c>
      <c r="G10" s="1" t="s">
        <v>349</v>
      </c>
      <c r="H10" s="1">
        <v>550</v>
      </c>
    </row>
    <row r="11" spans="2:11" x14ac:dyDescent="0.3">
      <c r="B11" s="43">
        <f>DATE(2024,4,9)</f>
        <v>45391</v>
      </c>
      <c r="C11" s="43">
        <f t="shared" si="0"/>
        <v>45747</v>
      </c>
      <c r="D11" s="1"/>
      <c r="E11" s="1" t="s">
        <v>335</v>
      </c>
      <c r="F11" s="1" t="s">
        <v>341</v>
      </c>
      <c r="G11" s="1" t="s">
        <v>350</v>
      </c>
      <c r="H11" s="1">
        <v>350</v>
      </c>
    </row>
    <row r="12" spans="2:11" x14ac:dyDescent="0.3">
      <c r="B12" s="43">
        <f>DATE(2024,4,10)</f>
        <v>45392</v>
      </c>
      <c r="C12" s="43">
        <f t="shared" si="0"/>
        <v>45747</v>
      </c>
      <c r="D12" s="1"/>
      <c r="E12" s="1" t="s">
        <v>335</v>
      </c>
      <c r="F12" s="1" t="s">
        <v>339</v>
      </c>
      <c r="G12" s="1" t="s">
        <v>351</v>
      </c>
      <c r="H12" s="1">
        <v>300</v>
      </c>
    </row>
    <row r="15" spans="2:11" x14ac:dyDescent="0.3">
      <c r="B15" s="1" t="s">
        <v>333</v>
      </c>
      <c r="C15" s="1" t="s">
        <v>89</v>
      </c>
      <c r="D15" s="1" t="s">
        <v>266</v>
      </c>
      <c r="E15" s="1" t="s">
        <v>334</v>
      </c>
      <c r="F15" s="1" t="s">
        <v>336</v>
      </c>
      <c r="G15" s="1" t="s">
        <v>294</v>
      </c>
      <c r="H15" s="1" t="s">
        <v>41</v>
      </c>
    </row>
    <row r="16" spans="2:11" x14ac:dyDescent="0.3">
      <c r="B16" s="43">
        <v>45387</v>
      </c>
      <c r="C16" s="43">
        <v>45747</v>
      </c>
      <c r="D16" s="1"/>
      <c r="E16" s="1" t="s">
        <v>335</v>
      </c>
      <c r="F16" s="1" t="s">
        <v>340</v>
      </c>
      <c r="G16" s="1" t="s">
        <v>346</v>
      </c>
      <c r="H16" s="1">
        <v>450</v>
      </c>
    </row>
    <row r="17" spans="2:8" x14ac:dyDescent="0.3">
      <c r="B17" s="43">
        <v>45389</v>
      </c>
      <c r="C17" s="43">
        <v>45747</v>
      </c>
      <c r="D17" s="1"/>
      <c r="E17" s="1" t="s">
        <v>335</v>
      </c>
      <c r="F17" s="1" t="s">
        <v>340</v>
      </c>
      <c r="G17" s="1" t="s">
        <v>348</v>
      </c>
      <c r="H17" s="1">
        <v>120</v>
      </c>
    </row>
    <row r="19" spans="2:8" x14ac:dyDescent="0.3">
      <c r="B19" s="1" t="s">
        <v>333</v>
      </c>
      <c r="C19" s="1" t="s">
        <v>89</v>
      </c>
      <c r="D19" s="1" t="s">
        <v>266</v>
      </c>
      <c r="E19" s="1" t="s">
        <v>334</v>
      </c>
      <c r="F19" s="1" t="s">
        <v>336</v>
      </c>
      <c r="G19" s="1" t="s">
        <v>294</v>
      </c>
      <c r="H19" s="1" t="s">
        <v>41</v>
      </c>
    </row>
    <row r="20" spans="2:8" x14ac:dyDescent="0.3">
      <c r="B20" s="43">
        <v>45387</v>
      </c>
      <c r="C20" s="43">
        <v>45747</v>
      </c>
      <c r="D20" s="1"/>
      <c r="E20" s="1" t="s">
        <v>335</v>
      </c>
      <c r="F20" s="1" t="s">
        <v>340</v>
      </c>
      <c r="G20" s="1" t="s">
        <v>346</v>
      </c>
      <c r="H20" s="1">
        <v>450</v>
      </c>
    </row>
    <row r="21" spans="2:8" x14ac:dyDescent="0.3">
      <c r="B21" s="43">
        <v>45389</v>
      </c>
      <c r="C21" s="43">
        <v>45747</v>
      </c>
      <c r="D21" s="1"/>
      <c r="E21" s="1" t="s">
        <v>335</v>
      </c>
      <c r="F21" s="1" t="s">
        <v>340</v>
      </c>
      <c r="G21" s="1" t="s">
        <v>348</v>
      </c>
      <c r="H21" s="1">
        <v>120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EE2B-AA35-4D48-966C-45988474B40B}">
  <sheetPr>
    <tabColor rgb="FFFFCCFF"/>
  </sheetPr>
  <dimension ref="B2:H7"/>
  <sheetViews>
    <sheetView zoomScale="130" zoomScaleNormal="130" workbookViewId="0">
      <selection activeCell="G4" sqref="G4"/>
    </sheetView>
  </sheetViews>
  <sheetFormatPr defaultRowHeight="14.4" x14ac:dyDescent="0.3"/>
  <cols>
    <col min="2" max="2" width="11.5546875" customWidth="1"/>
    <col min="3" max="3" width="11.6640625" customWidth="1"/>
    <col min="4" max="4" width="11.77734375" customWidth="1"/>
    <col min="5" max="5" width="22.109375" customWidth="1"/>
    <col min="7" max="7" width="15" customWidth="1"/>
  </cols>
  <sheetData>
    <row r="2" spans="2:8" x14ac:dyDescent="0.3">
      <c r="B2" s="1" t="s">
        <v>333</v>
      </c>
      <c r="C2" s="1" t="s">
        <v>89</v>
      </c>
      <c r="D2" s="1" t="s">
        <v>266</v>
      </c>
      <c r="E2" s="1" t="s">
        <v>334</v>
      </c>
      <c r="F2" s="1" t="s">
        <v>336</v>
      </c>
      <c r="G2" s="1" t="s">
        <v>294</v>
      </c>
      <c r="H2" s="1" t="s">
        <v>41</v>
      </c>
    </row>
    <row r="3" spans="2:8" x14ac:dyDescent="0.3">
      <c r="B3" s="43">
        <v>45387</v>
      </c>
      <c r="C3" s="43">
        <v>45747</v>
      </c>
      <c r="D3" s="1"/>
      <c r="E3" s="1" t="s">
        <v>335</v>
      </c>
      <c r="F3" s="1" t="s">
        <v>340</v>
      </c>
      <c r="G3" s="1" t="s">
        <v>346</v>
      </c>
      <c r="H3" s="1">
        <v>450</v>
      </c>
    </row>
    <row r="4" spans="2:8" x14ac:dyDescent="0.3">
      <c r="B4" s="43">
        <v>45389</v>
      </c>
      <c r="C4" s="43">
        <v>45747</v>
      </c>
      <c r="D4" s="1"/>
      <c r="E4" s="1" t="s">
        <v>335</v>
      </c>
      <c r="F4" s="1" t="s">
        <v>340</v>
      </c>
      <c r="G4" s="1" t="s">
        <v>348</v>
      </c>
      <c r="H4" s="1">
        <v>120</v>
      </c>
    </row>
    <row r="7" spans="2:8" ht="43.2" x14ac:dyDescent="0.3">
      <c r="B7" t="s">
        <v>353</v>
      </c>
      <c r="C7" t="s">
        <v>354</v>
      </c>
      <c r="D7" t="s">
        <v>355</v>
      </c>
      <c r="E7" t="s">
        <v>356</v>
      </c>
      <c r="F7" t="s">
        <v>357</v>
      </c>
      <c r="G7" t="s">
        <v>358</v>
      </c>
      <c r="H7" s="72"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B3ECB-B3A5-4932-B13C-E01338D71DBE}">
  <sheetPr>
    <tabColor rgb="FFFF99CC"/>
  </sheetPr>
  <dimension ref="A4:N22"/>
  <sheetViews>
    <sheetView topLeftCell="E1" workbookViewId="0">
      <selection activeCell="K22" sqref="K22"/>
    </sheetView>
  </sheetViews>
  <sheetFormatPr defaultRowHeight="14.4" x14ac:dyDescent="0.3"/>
  <cols>
    <col min="3" max="3" width="10.33203125" customWidth="1"/>
    <col min="9" max="9" width="10.88671875" customWidth="1"/>
    <col min="10" max="10" width="14.44140625" customWidth="1"/>
    <col min="11" max="11" width="23.21875" customWidth="1"/>
    <col min="12" max="12" width="17.109375" customWidth="1"/>
    <col min="13" max="13" width="13.88671875" customWidth="1"/>
    <col min="14" max="14" width="14.33203125" customWidth="1"/>
  </cols>
  <sheetData>
    <row r="4" spans="1:14" ht="57.6" customHeight="1" x14ac:dyDescent="0.3">
      <c r="A4" s="1" t="s">
        <v>0</v>
      </c>
      <c r="B4" s="1" t="s">
        <v>268</v>
      </c>
      <c r="C4" s="1" t="s">
        <v>360</v>
      </c>
      <c r="D4" s="1" t="s">
        <v>41</v>
      </c>
      <c r="H4" s="1" t="s">
        <v>85</v>
      </c>
      <c r="I4" s="1" t="s">
        <v>360</v>
      </c>
      <c r="J4" s="1" t="s">
        <v>374</v>
      </c>
      <c r="K4" s="73" t="s">
        <v>375</v>
      </c>
      <c r="L4" s="73" t="s">
        <v>381</v>
      </c>
      <c r="M4" s="73" t="s">
        <v>382</v>
      </c>
      <c r="N4" s="73" t="s">
        <v>383</v>
      </c>
    </row>
    <row r="5" spans="1:14" x14ac:dyDescent="0.3">
      <c r="A5" s="1">
        <v>1</v>
      </c>
      <c r="B5" s="1" t="s">
        <v>361</v>
      </c>
      <c r="C5" s="1" t="s">
        <v>354</v>
      </c>
      <c r="D5" s="1">
        <v>20</v>
      </c>
      <c r="H5" s="1">
        <v>101</v>
      </c>
      <c r="I5" s="1" t="s">
        <v>372</v>
      </c>
      <c r="J5" s="1">
        <v>52</v>
      </c>
      <c r="K5" s="1">
        <f>SUMIF(H5:H19,"&gt;108",J5:J19)</f>
        <v>404</v>
      </c>
      <c r="L5" s="1">
        <f>SUMIF(I5:I19,"M",J5:J19)</f>
        <v>572</v>
      </c>
      <c r="M5" s="1">
        <f>SUMIF(H5:H19,"&gt;50",J5:J19)</f>
        <v>924</v>
      </c>
      <c r="N5" s="1">
        <f>SUMIFS(J5:J19,H5:H19,"&gt;108",I5:I19,"M")</f>
        <v>196</v>
      </c>
    </row>
    <row r="6" spans="1:14" x14ac:dyDescent="0.3">
      <c r="A6" s="1">
        <v>2</v>
      </c>
      <c r="B6" s="1" t="s">
        <v>362</v>
      </c>
      <c r="C6" s="1" t="s">
        <v>297</v>
      </c>
      <c r="D6" s="1">
        <v>10</v>
      </c>
      <c r="H6" s="1">
        <v>102</v>
      </c>
      <c r="I6" s="1" t="s">
        <v>373</v>
      </c>
      <c r="J6" s="1">
        <v>14</v>
      </c>
      <c r="K6" s="1"/>
      <c r="L6" s="1"/>
      <c r="M6" s="1"/>
      <c r="N6" s="1"/>
    </row>
    <row r="7" spans="1:14" x14ac:dyDescent="0.3">
      <c r="A7" s="1">
        <v>3</v>
      </c>
      <c r="B7" s="1" t="s">
        <v>363</v>
      </c>
      <c r="C7" s="1" t="s">
        <v>366</v>
      </c>
      <c r="D7" s="1">
        <v>250</v>
      </c>
      <c r="H7" s="1">
        <v>103</v>
      </c>
      <c r="I7" s="1" t="s">
        <v>372</v>
      </c>
      <c r="J7" s="1">
        <v>65</v>
      </c>
      <c r="K7" s="1"/>
      <c r="L7" s="1"/>
      <c r="M7" s="1"/>
      <c r="N7" s="1"/>
    </row>
    <row r="8" spans="1:14" x14ac:dyDescent="0.3">
      <c r="A8" s="1">
        <v>4</v>
      </c>
      <c r="B8" s="1" t="s">
        <v>364</v>
      </c>
      <c r="C8" s="1" t="s">
        <v>367</v>
      </c>
      <c r="D8" s="1">
        <v>10000</v>
      </c>
      <c r="H8" s="1">
        <v>104</v>
      </c>
      <c r="I8" s="1" t="s">
        <v>373</v>
      </c>
      <c r="J8" s="1">
        <v>85</v>
      </c>
      <c r="K8" s="1"/>
      <c r="L8" s="1"/>
      <c r="M8" s="1"/>
      <c r="N8" s="1"/>
    </row>
    <row r="9" spans="1:14" x14ac:dyDescent="0.3">
      <c r="A9" s="1">
        <v>5</v>
      </c>
      <c r="B9" s="1" t="s">
        <v>365</v>
      </c>
      <c r="C9" s="1" t="s">
        <v>368</v>
      </c>
      <c r="D9" s="1">
        <v>25</v>
      </c>
      <c r="H9" s="1">
        <v>105</v>
      </c>
      <c r="I9" s="1" t="s">
        <v>373</v>
      </c>
      <c r="J9" s="1">
        <v>45</v>
      </c>
      <c r="K9" s="1"/>
      <c r="L9" s="1"/>
      <c r="M9" s="1"/>
      <c r="N9" s="1"/>
    </row>
    <row r="10" spans="1:14" x14ac:dyDescent="0.3">
      <c r="A10" s="1">
        <v>6</v>
      </c>
      <c r="B10" s="1" t="s">
        <v>361</v>
      </c>
      <c r="C10" s="1" t="s">
        <v>354</v>
      </c>
      <c r="D10" s="1">
        <v>50</v>
      </c>
      <c r="H10" s="1">
        <v>106</v>
      </c>
      <c r="I10" s="1" t="s">
        <v>372</v>
      </c>
      <c r="J10" s="1">
        <v>96</v>
      </c>
      <c r="K10" s="1"/>
      <c r="L10" s="1"/>
      <c r="M10" s="1"/>
      <c r="N10" s="1"/>
    </row>
    <row r="11" spans="1:14" x14ac:dyDescent="0.3">
      <c r="A11" s="1">
        <v>7</v>
      </c>
      <c r="B11" s="1" t="s">
        <v>362</v>
      </c>
      <c r="C11" s="1" t="s">
        <v>297</v>
      </c>
      <c r="D11" s="1">
        <v>15</v>
      </c>
      <c r="H11" s="1">
        <v>107</v>
      </c>
      <c r="I11" s="1" t="s">
        <v>372</v>
      </c>
      <c r="J11" s="1">
        <v>74</v>
      </c>
      <c r="K11" s="1"/>
      <c r="L11" s="1"/>
      <c r="M11" s="1"/>
      <c r="N11" s="1"/>
    </row>
    <row r="12" spans="1:14" x14ac:dyDescent="0.3">
      <c r="A12" s="1">
        <v>8</v>
      </c>
      <c r="B12" s="1" t="s">
        <v>363</v>
      </c>
      <c r="C12" s="1" t="s">
        <v>366</v>
      </c>
      <c r="D12" s="1">
        <v>350</v>
      </c>
      <c r="H12" s="1">
        <v>108</v>
      </c>
      <c r="I12" s="1" t="s">
        <v>372</v>
      </c>
      <c r="J12" s="1">
        <v>89</v>
      </c>
      <c r="K12" s="1"/>
      <c r="L12" s="1"/>
      <c r="M12" s="1"/>
      <c r="N12" s="1"/>
    </row>
    <row r="13" spans="1:14" x14ac:dyDescent="0.3">
      <c r="A13" s="1">
        <v>9</v>
      </c>
      <c r="B13" s="1" t="s">
        <v>364</v>
      </c>
      <c r="C13" s="1" t="s">
        <v>367</v>
      </c>
      <c r="D13" s="1">
        <v>20000</v>
      </c>
      <c r="H13" s="1">
        <v>109</v>
      </c>
      <c r="I13" s="1" t="s">
        <v>372</v>
      </c>
      <c r="J13" s="1">
        <v>56</v>
      </c>
      <c r="K13" s="1"/>
      <c r="L13" s="1"/>
      <c r="M13" s="1"/>
      <c r="N13" s="1"/>
    </row>
    <row r="14" spans="1:14" x14ac:dyDescent="0.3">
      <c r="A14" s="1">
        <v>10</v>
      </c>
      <c r="B14" s="1" t="s">
        <v>365</v>
      </c>
      <c r="C14" s="1" t="s">
        <v>368</v>
      </c>
      <c r="D14" s="1">
        <v>40</v>
      </c>
      <c r="H14" s="1">
        <v>110</v>
      </c>
      <c r="I14" s="1" t="s">
        <v>373</v>
      </c>
      <c r="J14" s="1">
        <v>25</v>
      </c>
      <c r="K14" s="1"/>
      <c r="L14" s="1"/>
      <c r="M14" s="1"/>
      <c r="N14" s="1"/>
    </row>
    <row r="15" spans="1:14" x14ac:dyDescent="0.3">
      <c r="A15" s="1"/>
      <c r="B15" s="1"/>
      <c r="C15" s="1" t="s">
        <v>48</v>
      </c>
      <c r="D15" s="1">
        <f>SUM(D5:D14)</f>
        <v>30760</v>
      </c>
      <c r="H15" s="1">
        <v>111</v>
      </c>
      <c r="I15" s="1" t="s">
        <v>373</v>
      </c>
      <c r="J15" s="1">
        <v>45</v>
      </c>
      <c r="K15" s="1"/>
      <c r="L15" s="1"/>
      <c r="M15" s="1"/>
      <c r="N15" s="1"/>
    </row>
    <row r="16" spans="1:14" x14ac:dyDescent="0.3">
      <c r="A16" s="1"/>
      <c r="B16" s="1"/>
      <c r="C16" s="1" t="s">
        <v>370</v>
      </c>
      <c r="D16" s="1">
        <f>SUMIF(B5:B14,B5,D5:D14)</f>
        <v>70</v>
      </c>
      <c r="H16" s="1">
        <v>112</v>
      </c>
      <c r="I16" s="1" t="s">
        <v>373</v>
      </c>
      <c r="J16" s="1">
        <v>89</v>
      </c>
      <c r="K16" s="1"/>
      <c r="L16" s="1"/>
      <c r="M16" s="1"/>
      <c r="N16" s="1"/>
    </row>
    <row r="17" spans="1:14" x14ac:dyDescent="0.3">
      <c r="A17" s="1"/>
      <c r="B17" s="1"/>
      <c r="C17" s="1" t="s">
        <v>369</v>
      </c>
      <c r="D17" s="1">
        <f>COUNT(D5:D14)</f>
        <v>10</v>
      </c>
      <c r="H17" s="1">
        <v>113</v>
      </c>
      <c r="I17" s="1" t="s">
        <v>373</v>
      </c>
      <c r="J17" s="1">
        <v>49</v>
      </c>
      <c r="K17" s="1"/>
      <c r="L17" s="1"/>
      <c r="M17" s="1"/>
      <c r="N17" s="1"/>
    </row>
    <row r="18" spans="1:14" x14ac:dyDescent="0.3">
      <c r="A18" s="1"/>
      <c r="B18" s="1"/>
      <c r="C18" s="1" t="s">
        <v>371</v>
      </c>
      <c r="D18" s="1">
        <f>COUNTIF(B5:B14,B5)</f>
        <v>2</v>
      </c>
      <c r="H18" s="1">
        <v>114</v>
      </c>
      <c r="I18" s="1" t="s">
        <v>372</v>
      </c>
      <c r="J18" s="1">
        <v>50</v>
      </c>
      <c r="K18" s="1"/>
      <c r="L18" s="1"/>
      <c r="M18" s="1"/>
      <c r="N18" s="1"/>
    </row>
    <row r="19" spans="1:14" x14ac:dyDescent="0.3">
      <c r="H19" s="1">
        <v>115</v>
      </c>
      <c r="I19" s="1" t="s">
        <v>372</v>
      </c>
      <c r="J19" s="1">
        <v>90</v>
      </c>
      <c r="K19" s="1"/>
      <c r="L19" s="1"/>
      <c r="M19" s="1"/>
      <c r="N19" s="1"/>
    </row>
    <row r="20" spans="1:14" x14ac:dyDescent="0.3">
      <c r="H20" s="1"/>
      <c r="I20" s="1"/>
      <c r="J20" s="1" t="s">
        <v>376</v>
      </c>
      <c r="K20" s="1">
        <f>AVERAGE(J5:J19)</f>
        <v>61.6</v>
      </c>
      <c r="L20" s="1" t="s">
        <v>10</v>
      </c>
      <c r="M20" s="1"/>
      <c r="N20" s="1"/>
    </row>
    <row r="21" spans="1:14" x14ac:dyDescent="0.3">
      <c r="H21" s="1"/>
      <c r="I21" s="1"/>
      <c r="J21" s="1" t="s">
        <v>377</v>
      </c>
      <c r="K21" s="1">
        <f>MEDIAN(J5:J19)</f>
        <v>56</v>
      </c>
      <c r="L21" s="1" t="s">
        <v>379</v>
      </c>
      <c r="M21" s="1"/>
      <c r="N21" s="1"/>
    </row>
    <row r="22" spans="1:14" ht="28.8" x14ac:dyDescent="0.3">
      <c r="H22" s="1"/>
      <c r="I22" s="1"/>
      <c r="J22" s="1" t="s">
        <v>378</v>
      </c>
      <c r="K22" s="1">
        <f>MODE(J5:J19)</f>
        <v>45</v>
      </c>
      <c r="L22" s="73" t="s">
        <v>380</v>
      </c>
      <c r="M22" s="1"/>
      <c r="N22" s="1"/>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8548C-B9B9-43FA-820D-64C42F893266}">
  <sheetPr>
    <tabColor rgb="FFFFCCCC"/>
  </sheetPr>
  <dimension ref="A1:K10"/>
  <sheetViews>
    <sheetView topLeftCell="A13" workbookViewId="0"/>
  </sheetViews>
  <sheetFormatPr defaultRowHeight="14.4" x14ac:dyDescent="0.3"/>
  <cols>
    <col min="1" max="1" width="12.44140625" bestFit="1" customWidth="1"/>
    <col min="2" max="4" width="11.77734375" bestFit="1" customWidth="1"/>
    <col min="5" max="10" width="12.6640625" bestFit="1" customWidth="1"/>
    <col min="11" max="11" width="12.77734375" bestFit="1" customWidth="1"/>
  </cols>
  <sheetData>
    <row r="1" spans="1:11" x14ac:dyDescent="0.3">
      <c r="A1" s="75" t="s">
        <v>398</v>
      </c>
      <c r="B1" t="s">
        <v>399</v>
      </c>
      <c r="C1" t="s">
        <v>400</v>
      </c>
      <c r="D1" t="s">
        <v>401</v>
      </c>
      <c r="E1" t="s">
        <v>402</v>
      </c>
      <c r="F1" t="s">
        <v>403</v>
      </c>
      <c r="G1" t="s">
        <v>404</v>
      </c>
      <c r="H1" t="s">
        <v>405</v>
      </c>
      <c r="I1" t="s">
        <v>406</v>
      </c>
      <c r="J1" t="s">
        <v>407</v>
      </c>
      <c r="K1" t="s">
        <v>408</v>
      </c>
    </row>
    <row r="2" spans="1:11" x14ac:dyDescent="0.3">
      <c r="A2" s="76" t="s">
        <v>389</v>
      </c>
      <c r="B2">
        <v>100</v>
      </c>
      <c r="C2">
        <v>20</v>
      </c>
      <c r="D2">
        <v>116</v>
      </c>
      <c r="E2">
        <v>94.6666666666667</v>
      </c>
      <c r="F2">
        <v>102.666666666667</v>
      </c>
      <c r="G2">
        <v>110.666666666667</v>
      </c>
      <c r="H2">
        <v>118.666666666667</v>
      </c>
      <c r="I2">
        <v>126.666666666667</v>
      </c>
      <c r="J2">
        <v>134.666666666667</v>
      </c>
      <c r="K2">
        <v>142.666666666667</v>
      </c>
    </row>
    <row r="3" spans="1:11" x14ac:dyDescent="0.3">
      <c r="A3" s="76" t="s">
        <v>390</v>
      </c>
      <c r="B3">
        <v>600</v>
      </c>
      <c r="C3">
        <v>40</v>
      </c>
      <c r="D3">
        <v>214</v>
      </c>
      <c r="E3">
        <v>-101.333333333333</v>
      </c>
      <c r="F3">
        <v>-294.33333333333297</v>
      </c>
      <c r="G3">
        <v>-487.33333333333297</v>
      </c>
      <c r="H3">
        <v>-680.33333333333303</v>
      </c>
      <c r="I3">
        <v>-873.33333333333303</v>
      </c>
      <c r="J3">
        <v>-1066.3333333333301</v>
      </c>
      <c r="K3">
        <v>-1259.3333333333301</v>
      </c>
    </row>
    <row r="4" spans="1:11" x14ac:dyDescent="0.3">
      <c r="A4" s="76" t="s">
        <v>391</v>
      </c>
      <c r="B4">
        <v>300</v>
      </c>
      <c r="C4">
        <v>60</v>
      </c>
      <c r="D4">
        <v>302</v>
      </c>
      <c r="E4">
        <v>222.666666666667</v>
      </c>
      <c r="F4">
        <v>223.666666666667</v>
      </c>
      <c r="G4">
        <v>224.666666666667</v>
      </c>
      <c r="H4">
        <v>225.666666666667</v>
      </c>
      <c r="I4">
        <v>226.666666666667</v>
      </c>
      <c r="J4">
        <v>227.666666666667</v>
      </c>
      <c r="K4">
        <v>228.666666666667</v>
      </c>
    </row>
    <row r="5" spans="1:11" x14ac:dyDescent="0.3">
      <c r="A5" s="76" t="s">
        <v>392</v>
      </c>
      <c r="B5">
        <v>200</v>
      </c>
      <c r="C5">
        <v>80</v>
      </c>
      <c r="D5">
        <v>475</v>
      </c>
      <c r="E5">
        <v>526.66666666666697</v>
      </c>
      <c r="F5">
        <v>664.16666666666697</v>
      </c>
      <c r="G5">
        <v>801.66666666666697</v>
      </c>
      <c r="H5">
        <v>939.16666666666697</v>
      </c>
      <c r="I5">
        <v>1076.6666666666699</v>
      </c>
      <c r="J5">
        <v>1214.1666666666699</v>
      </c>
      <c r="K5">
        <v>1351.6666666666699</v>
      </c>
    </row>
    <row r="6" spans="1:11" x14ac:dyDescent="0.3">
      <c r="A6" s="76" t="s">
        <v>393</v>
      </c>
      <c r="B6">
        <v>500</v>
      </c>
      <c r="C6">
        <v>100</v>
      </c>
      <c r="D6">
        <v>324</v>
      </c>
      <c r="E6">
        <v>132</v>
      </c>
      <c r="F6">
        <v>44</v>
      </c>
      <c r="G6">
        <v>-44</v>
      </c>
      <c r="H6">
        <v>-132</v>
      </c>
      <c r="I6">
        <v>-220</v>
      </c>
      <c r="J6">
        <v>-308</v>
      </c>
      <c r="K6">
        <v>-396</v>
      </c>
    </row>
    <row r="7" spans="1:11" x14ac:dyDescent="0.3">
      <c r="A7" s="76" t="s">
        <v>394</v>
      </c>
      <c r="B7">
        <v>600</v>
      </c>
      <c r="C7">
        <v>120</v>
      </c>
      <c r="D7">
        <v>381</v>
      </c>
      <c r="E7">
        <v>148</v>
      </c>
      <c r="F7">
        <v>38.5</v>
      </c>
      <c r="G7">
        <v>-71</v>
      </c>
      <c r="H7">
        <v>-180.5</v>
      </c>
      <c r="I7">
        <v>-290</v>
      </c>
      <c r="J7">
        <v>-399.5</v>
      </c>
      <c r="K7">
        <v>-509</v>
      </c>
    </row>
    <row r="8" spans="1:11" x14ac:dyDescent="0.3">
      <c r="A8" s="76" t="s">
        <v>395</v>
      </c>
      <c r="B8">
        <v>500</v>
      </c>
      <c r="C8">
        <v>140</v>
      </c>
      <c r="D8">
        <v>247</v>
      </c>
      <c r="E8">
        <v>42.6666666666667</v>
      </c>
      <c r="F8">
        <v>-83.8333333333333</v>
      </c>
      <c r="G8">
        <v>-210.333333333333</v>
      </c>
      <c r="H8">
        <v>-336.83333333333297</v>
      </c>
      <c r="I8">
        <v>-463.33333333333297</v>
      </c>
      <c r="J8">
        <v>-589.83333333333303</v>
      </c>
      <c r="K8">
        <v>-716.33333333333303</v>
      </c>
    </row>
    <row r="9" spans="1:11" x14ac:dyDescent="0.3">
      <c r="A9" s="76" t="s">
        <v>396</v>
      </c>
      <c r="B9">
        <v>800</v>
      </c>
      <c r="C9">
        <v>160</v>
      </c>
      <c r="D9">
        <v>229</v>
      </c>
      <c r="E9">
        <v>-174.666666666667</v>
      </c>
      <c r="F9">
        <v>-460.16666666666703</v>
      </c>
      <c r="G9">
        <v>-745.66666666666697</v>
      </c>
      <c r="H9">
        <v>-1031.1666666666699</v>
      </c>
      <c r="I9">
        <v>-1316.6666666666699</v>
      </c>
      <c r="J9">
        <v>-1602.1666666666699</v>
      </c>
      <c r="K9">
        <v>-1887.6666666666699</v>
      </c>
    </row>
    <row r="10" spans="1:11" x14ac:dyDescent="0.3">
      <c r="A10" s="76" t="s">
        <v>276</v>
      </c>
      <c r="B10">
        <v>3600</v>
      </c>
      <c r="C10">
        <v>720</v>
      </c>
      <c r="D10">
        <v>2288</v>
      </c>
      <c r="E10">
        <v>890.66666666666742</v>
      </c>
      <c r="F10">
        <v>234.66666666666771</v>
      </c>
      <c r="G10">
        <v>-421.33333333333201</v>
      </c>
      <c r="H10">
        <v>-1077.3333333333351</v>
      </c>
      <c r="I10">
        <v>-1733.3333333333321</v>
      </c>
      <c r="J10">
        <v>-2389.3333333333294</v>
      </c>
      <c r="K10">
        <v>-3045.3333333333294</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272C-89CB-451E-A99A-A998DD398974}">
  <sheetPr>
    <tabColor rgb="FFFF9999"/>
  </sheetPr>
  <dimension ref="A1:N24"/>
  <sheetViews>
    <sheetView topLeftCell="A8" workbookViewId="0">
      <selection activeCell="G28" sqref="G28"/>
    </sheetView>
  </sheetViews>
  <sheetFormatPr defaultRowHeight="14.4" x14ac:dyDescent="0.3"/>
  <cols>
    <col min="1" max="1" width="11.109375" customWidth="1"/>
    <col min="3" max="3" width="11.77734375" customWidth="1"/>
    <col min="4" max="4" width="10.21875" customWidth="1"/>
    <col min="5" max="5" width="10.33203125" customWidth="1"/>
    <col min="6" max="6" width="11" customWidth="1"/>
    <col min="7" max="7" width="17.109375" customWidth="1"/>
    <col min="8" max="8" width="11.77734375" customWidth="1"/>
    <col min="9" max="9" width="13.44140625" customWidth="1"/>
    <col min="10" max="10" width="10.109375" bestFit="1" customWidth="1"/>
    <col min="12" max="12" width="13" customWidth="1"/>
    <col min="13" max="13" width="12.33203125" customWidth="1"/>
  </cols>
  <sheetData>
    <row r="1" spans="1:13" ht="27.6" customHeight="1" thickBot="1" x14ac:dyDescent="0.35">
      <c r="A1" s="151" t="s">
        <v>384</v>
      </c>
      <c r="B1" s="152"/>
      <c r="C1" s="152"/>
      <c r="D1" s="152"/>
      <c r="E1" s="153"/>
    </row>
    <row r="2" spans="1:13" x14ac:dyDescent="0.3">
      <c r="A2" s="88" t="s">
        <v>385</v>
      </c>
      <c r="B2" s="88" t="s">
        <v>386</v>
      </c>
      <c r="C2" s="88" t="s">
        <v>387</v>
      </c>
      <c r="D2" s="88" t="s">
        <v>388</v>
      </c>
      <c r="E2" s="124" t="s">
        <v>397</v>
      </c>
      <c r="F2" s="49"/>
      <c r="G2" s="49"/>
      <c r="H2" s="49"/>
      <c r="I2" s="49"/>
      <c r="J2" s="49"/>
    </row>
    <row r="3" spans="1:13" x14ac:dyDescent="0.3">
      <c r="A3" s="1" t="s">
        <v>389</v>
      </c>
      <c r="B3" s="1">
        <v>100</v>
      </c>
      <c r="C3" s="1">
        <v>20</v>
      </c>
      <c r="D3" s="1">
        <v>116</v>
      </c>
      <c r="E3" s="1">
        <v>94.6666666666667</v>
      </c>
    </row>
    <row r="4" spans="1:13" x14ac:dyDescent="0.3">
      <c r="A4" s="1" t="s">
        <v>390</v>
      </c>
      <c r="B4" s="1">
        <v>600</v>
      </c>
      <c r="C4" s="1">
        <v>40</v>
      </c>
      <c r="D4" s="1">
        <v>214</v>
      </c>
      <c r="E4" s="1">
        <v>-101.333333333333</v>
      </c>
    </row>
    <row r="5" spans="1:13" x14ac:dyDescent="0.3">
      <c r="A5" s="1" t="s">
        <v>391</v>
      </c>
      <c r="B5" s="1">
        <v>300</v>
      </c>
      <c r="C5" s="1">
        <v>60</v>
      </c>
      <c r="D5" s="1">
        <v>302</v>
      </c>
      <c r="E5" s="1">
        <v>222.666666666667</v>
      </c>
    </row>
    <row r="6" spans="1:13" x14ac:dyDescent="0.3">
      <c r="A6" s="1" t="s">
        <v>392</v>
      </c>
      <c r="B6" s="1">
        <v>200</v>
      </c>
      <c r="C6" s="1">
        <v>80</v>
      </c>
      <c r="D6" s="1">
        <v>475</v>
      </c>
      <c r="E6" s="1">
        <v>526.66666666666697</v>
      </c>
    </row>
    <row r="7" spans="1:13" x14ac:dyDescent="0.3">
      <c r="A7" s="1" t="s">
        <v>393</v>
      </c>
      <c r="B7" s="1">
        <v>500</v>
      </c>
      <c r="C7" s="1">
        <v>100</v>
      </c>
      <c r="D7" s="1">
        <v>324</v>
      </c>
      <c r="E7" s="1">
        <v>132</v>
      </c>
    </row>
    <row r="8" spans="1:13" x14ac:dyDescent="0.3">
      <c r="A8" s="1" t="s">
        <v>394</v>
      </c>
      <c r="B8" s="1">
        <v>600</v>
      </c>
      <c r="C8" s="1">
        <v>120</v>
      </c>
      <c r="D8" s="1">
        <v>381</v>
      </c>
      <c r="E8" s="1">
        <v>148</v>
      </c>
    </row>
    <row r="9" spans="1:13" x14ac:dyDescent="0.3">
      <c r="A9" s="1" t="s">
        <v>395</v>
      </c>
      <c r="B9" s="1">
        <v>500</v>
      </c>
      <c r="C9" s="1">
        <v>140</v>
      </c>
      <c r="D9" s="1">
        <v>247</v>
      </c>
      <c r="E9" s="1">
        <v>42.6666666666667</v>
      </c>
    </row>
    <row r="10" spans="1:13" x14ac:dyDescent="0.3">
      <c r="A10" s="1" t="s">
        <v>396</v>
      </c>
      <c r="B10" s="1">
        <v>800</v>
      </c>
      <c r="C10" s="1">
        <v>160</v>
      </c>
      <c r="D10" s="1">
        <v>229</v>
      </c>
      <c r="E10" s="1">
        <v>-174.666666666667</v>
      </c>
    </row>
    <row r="12" spans="1:13" x14ac:dyDescent="0.3">
      <c r="C12" s="154" t="s">
        <v>419</v>
      </c>
      <c r="D12" s="154"/>
    </row>
    <row r="13" spans="1:13" ht="15" thickBot="1" x14ac:dyDescent="0.35"/>
    <row r="14" spans="1:13" x14ac:dyDescent="0.3">
      <c r="C14" s="77" t="s">
        <v>84</v>
      </c>
      <c r="D14" s="77" t="s">
        <v>409</v>
      </c>
      <c r="E14" s="84" t="s">
        <v>410</v>
      </c>
      <c r="F14" s="85" t="s">
        <v>415</v>
      </c>
      <c r="G14" s="78" t="s">
        <v>411</v>
      </c>
      <c r="H14" s="77" t="s">
        <v>412</v>
      </c>
      <c r="I14" s="77" t="s">
        <v>413</v>
      </c>
      <c r="J14" s="77" t="s">
        <v>414</v>
      </c>
      <c r="K14" s="84" t="s">
        <v>418</v>
      </c>
      <c r="L14" s="86" t="s">
        <v>417</v>
      </c>
      <c r="M14" s="87" t="s">
        <v>416</v>
      </c>
    </row>
    <row r="15" spans="1:13" x14ac:dyDescent="0.3">
      <c r="C15" s="1">
        <v>2001</v>
      </c>
      <c r="D15" s="1">
        <v>500</v>
      </c>
      <c r="E15" s="5">
        <v>3</v>
      </c>
      <c r="F15" s="80">
        <f>D15*E15</f>
        <v>1500</v>
      </c>
      <c r="G15" s="79"/>
      <c r="H15" s="1">
        <v>100</v>
      </c>
      <c r="I15" s="1">
        <v>200</v>
      </c>
      <c r="J15" s="1">
        <v>700</v>
      </c>
      <c r="K15" s="5">
        <v>30</v>
      </c>
      <c r="L15" s="2">
        <f>SUM(H15:K15)</f>
        <v>1030</v>
      </c>
      <c r="M15" s="82">
        <f>F15-L15</f>
        <v>470</v>
      </c>
    </row>
    <row r="16" spans="1:13" x14ac:dyDescent="0.3">
      <c r="C16" s="1">
        <v>2002</v>
      </c>
      <c r="D16" s="1">
        <v>1700</v>
      </c>
      <c r="E16" s="5">
        <v>2</v>
      </c>
      <c r="F16" s="80">
        <f t="shared" ref="F16:F17" si="0">D16*E16</f>
        <v>3400</v>
      </c>
      <c r="G16" s="79"/>
      <c r="H16" s="1">
        <v>500</v>
      </c>
      <c r="I16" s="1">
        <v>1500</v>
      </c>
      <c r="J16" s="1">
        <v>200</v>
      </c>
      <c r="K16" s="5">
        <v>40</v>
      </c>
      <c r="L16" s="2">
        <f t="shared" ref="L16:L17" si="1">SUM(H16:K16)</f>
        <v>2240</v>
      </c>
      <c r="M16" s="82">
        <f t="shared" ref="M16:M17" si="2">F16-L16</f>
        <v>1160</v>
      </c>
    </row>
    <row r="17" spans="3:14" ht="15" thickBot="1" x14ac:dyDescent="0.35">
      <c r="C17" s="1">
        <v>2003</v>
      </c>
      <c r="D17" s="1">
        <v>1500</v>
      </c>
      <c r="E17" s="5">
        <v>4</v>
      </c>
      <c r="F17" s="81">
        <f t="shared" si="0"/>
        <v>6000</v>
      </c>
      <c r="G17" s="79"/>
      <c r="H17" s="1">
        <v>3000</v>
      </c>
      <c r="I17" s="1">
        <v>4000</v>
      </c>
      <c r="J17" s="1">
        <v>700</v>
      </c>
      <c r="K17" s="5">
        <v>50</v>
      </c>
      <c r="L17" s="3">
        <f t="shared" si="1"/>
        <v>7750</v>
      </c>
      <c r="M17" s="83">
        <f t="shared" si="2"/>
        <v>-1750</v>
      </c>
    </row>
    <row r="19" spans="3:14" x14ac:dyDescent="0.3">
      <c r="C19" s="154" t="s">
        <v>420</v>
      </c>
      <c r="D19" s="154"/>
    </row>
    <row r="21" spans="3:14" x14ac:dyDescent="0.3">
      <c r="C21" t="s">
        <v>421</v>
      </c>
      <c r="D21" t="s">
        <v>422</v>
      </c>
      <c r="E21" t="s">
        <v>423</v>
      </c>
      <c r="F21" t="s">
        <v>424</v>
      </c>
      <c r="G21" t="s">
        <v>425</v>
      </c>
      <c r="H21" t="s">
        <v>423</v>
      </c>
      <c r="I21" t="s">
        <v>426</v>
      </c>
      <c r="J21" t="s">
        <v>420</v>
      </c>
      <c r="L21" s="74"/>
      <c r="M21" s="36"/>
      <c r="N21" s="36"/>
    </row>
    <row r="22" spans="3:14" x14ac:dyDescent="0.3">
      <c r="C22" s="89">
        <v>100000</v>
      </c>
      <c r="D22" s="89">
        <v>5000</v>
      </c>
      <c r="E22" s="91">
        <v>7.0000000000000007E-2</v>
      </c>
      <c r="F22">
        <v>1</v>
      </c>
      <c r="G22" s="89">
        <f>C22-D22</f>
        <v>95000</v>
      </c>
      <c r="H22" s="92">
        <f>0.07/12</f>
        <v>5.8333333333333336E-3</v>
      </c>
      <c r="I22">
        <f>F22*12</f>
        <v>12</v>
      </c>
      <c r="J22" s="93">
        <f>PMT(H22,I22,G22)</f>
        <v>-8220.0408793231163</v>
      </c>
      <c r="L22" s="36"/>
      <c r="M22" s="36"/>
      <c r="N22" s="36"/>
    </row>
    <row r="23" spans="3:14" ht="43.2" x14ac:dyDescent="0.3">
      <c r="E23" s="36" t="s">
        <v>427</v>
      </c>
      <c r="F23" s="36" t="s">
        <v>428</v>
      </c>
      <c r="L23" s="36"/>
      <c r="M23" s="36"/>
      <c r="N23" s="36"/>
    </row>
    <row r="24" spans="3:14" x14ac:dyDescent="0.3">
      <c r="C24">
        <v>77555</v>
      </c>
      <c r="E24" s="90">
        <v>0.15</v>
      </c>
      <c r="F24">
        <v>1</v>
      </c>
      <c r="H24">
        <f>0.15/12</f>
        <v>1.2499999999999999E-2</v>
      </c>
      <c r="I24">
        <v>12</v>
      </c>
      <c r="J24" s="93">
        <f>PMT(H24,I24,C24)</f>
        <v>-6999.9834139286459</v>
      </c>
      <c r="L24" s="36"/>
      <c r="M24" s="36"/>
      <c r="N24" s="36"/>
    </row>
  </sheetData>
  <mergeCells count="3">
    <mergeCell ref="A1:E1"/>
    <mergeCell ref="C12:D12"/>
    <mergeCell ref="C19:D19"/>
  </mergeCells>
  <phoneticPr fontId="18"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A59AA-CCD1-490A-B027-646983F073D5}">
  <sheetPr>
    <tabColor rgb="FFCCFFFF"/>
  </sheetPr>
  <dimension ref="B2:Q28"/>
  <sheetViews>
    <sheetView topLeftCell="A11" zoomScale="113" zoomScaleNormal="145" workbookViewId="0">
      <selection activeCell="M25" sqref="M25"/>
    </sheetView>
  </sheetViews>
  <sheetFormatPr defaultRowHeight="14.4" x14ac:dyDescent="0.3"/>
  <cols>
    <col min="2" max="2" width="19" customWidth="1"/>
    <col min="3" max="3" width="12" bestFit="1" customWidth="1"/>
    <col min="4" max="4" width="10.5546875" customWidth="1"/>
    <col min="5" max="5" width="10.44140625" bestFit="1" customWidth="1"/>
    <col min="7" max="7" width="20.77734375" customWidth="1"/>
    <col min="8" max="8" width="13.109375" customWidth="1"/>
    <col min="11" max="11" width="17.77734375" customWidth="1"/>
    <col min="12" max="12" width="13.77734375" bestFit="1" customWidth="1"/>
    <col min="15" max="15" width="10.5546875" customWidth="1"/>
  </cols>
  <sheetData>
    <row r="2" spans="2:17" x14ac:dyDescent="0.3">
      <c r="B2" s="94" t="s">
        <v>429</v>
      </c>
      <c r="C2" s="95">
        <v>0.05</v>
      </c>
      <c r="D2" s="100"/>
      <c r="E2" s="101"/>
      <c r="G2" s="97" t="s">
        <v>429</v>
      </c>
      <c r="H2" s="98">
        <v>0.01</v>
      </c>
      <c r="K2" s="112" t="s">
        <v>449</v>
      </c>
      <c r="L2" s="115">
        <v>212000</v>
      </c>
      <c r="O2" s="111"/>
      <c r="P2" s="111">
        <v>2023</v>
      </c>
      <c r="Q2" s="111">
        <v>2024</v>
      </c>
    </row>
    <row r="3" spans="2:17" x14ac:dyDescent="0.3">
      <c r="B3" s="94" t="s">
        <v>430</v>
      </c>
      <c r="C3" s="94">
        <v>10</v>
      </c>
      <c r="D3" s="100"/>
      <c r="E3" s="100"/>
      <c r="G3" s="97" t="s">
        <v>430</v>
      </c>
      <c r="H3" s="97">
        <v>5</v>
      </c>
      <c r="K3" s="114" t="s">
        <v>450</v>
      </c>
      <c r="L3" s="116">
        <v>132540</v>
      </c>
      <c r="O3" s="76" t="s">
        <v>464</v>
      </c>
      <c r="P3" s="76"/>
    </row>
    <row r="4" spans="2:17" x14ac:dyDescent="0.3">
      <c r="B4" s="94" t="s">
        <v>431</v>
      </c>
      <c r="C4" s="94">
        <v>120</v>
      </c>
      <c r="D4" s="100"/>
      <c r="E4" s="100"/>
      <c r="G4" s="97" t="s">
        <v>431</v>
      </c>
      <c r="H4" s="97">
        <f>H3*12</f>
        <v>60</v>
      </c>
      <c r="K4" s="123" t="s">
        <v>461</v>
      </c>
      <c r="L4" s="117">
        <f>SUM(L2,L3)</f>
        <v>344540</v>
      </c>
      <c r="O4" t="s">
        <v>465</v>
      </c>
      <c r="P4">
        <v>20000</v>
      </c>
      <c r="Q4">
        <v>12570</v>
      </c>
    </row>
    <row r="5" spans="2:17" x14ac:dyDescent="0.3">
      <c r="B5" s="94"/>
      <c r="C5" s="94"/>
      <c r="D5" s="100"/>
      <c r="E5" s="100"/>
      <c r="G5" s="97"/>
      <c r="H5" s="97"/>
      <c r="K5" s="112"/>
      <c r="L5" s="116"/>
      <c r="O5" t="s">
        <v>438</v>
      </c>
      <c r="P5">
        <v>5</v>
      </c>
      <c r="Q5">
        <v>15</v>
      </c>
    </row>
    <row r="6" spans="2:17" x14ac:dyDescent="0.3">
      <c r="B6" s="94" t="s">
        <v>432</v>
      </c>
      <c r="C6" s="94">
        <v>20000</v>
      </c>
      <c r="D6" s="100"/>
      <c r="E6" s="100"/>
      <c r="G6" s="97" t="s">
        <v>432</v>
      </c>
      <c r="H6" s="97">
        <v>25000</v>
      </c>
      <c r="K6" s="114" t="s">
        <v>451</v>
      </c>
      <c r="L6" s="116">
        <v>100000</v>
      </c>
      <c r="O6" t="s">
        <v>451</v>
      </c>
    </row>
    <row r="7" spans="2:17" x14ac:dyDescent="0.3">
      <c r="B7" s="94"/>
      <c r="C7" s="94"/>
      <c r="D7" s="100"/>
      <c r="E7" s="100"/>
      <c r="G7" s="97"/>
      <c r="H7" s="97"/>
      <c r="K7" s="113"/>
      <c r="L7" s="118"/>
      <c r="O7" t="s">
        <v>438</v>
      </c>
      <c r="P7">
        <v>2</v>
      </c>
      <c r="Q7">
        <v>8</v>
      </c>
    </row>
    <row r="8" spans="2:17" x14ac:dyDescent="0.3">
      <c r="B8" s="94"/>
      <c r="C8" s="94"/>
      <c r="D8" s="100"/>
      <c r="E8" s="100"/>
      <c r="G8" s="97"/>
      <c r="H8" s="97"/>
      <c r="K8" s="112" t="s">
        <v>452</v>
      </c>
      <c r="L8" s="116">
        <v>500</v>
      </c>
      <c r="O8" t="s">
        <v>453</v>
      </c>
      <c r="P8">
        <v>20000</v>
      </c>
      <c r="Q8">
        <v>95850</v>
      </c>
    </row>
    <row r="9" spans="2:17" x14ac:dyDescent="0.3">
      <c r="B9" s="94" t="s">
        <v>433</v>
      </c>
      <c r="C9" s="96">
        <f>PMT(C2,C4,-C6)</f>
        <v>1002.8742901687688</v>
      </c>
      <c r="D9" s="100"/>
      <c r="E9" s="102"/>
      <c r="G9" s="97" t="s">
        <v>433</v>
      </c>
      <c r="H9" s="99">
        <f>PMT(H2,H4,-H6)</f>
        <v>556.11119212254437</v>
      </c>
      <c r="K9" s="114" t="s">
        <v>440</v>
      </c>
      <c r="L9" s="116">
        <v>1500</v>
      </c>
      <c r="O9" t="s">
        <v>440</v>
      </c>
      <c r="P9">
        <v>85000</v>
      </c>
      <c r="Q9">
        <v>75000</v>
      </c>
    </row>
    <row r="10" spans="2:17" x14ac:dyDescent="0.3">
      <c r="B10" s="94" t="s">
        <v>434</v>
      </c>
      <c r="C10" s="96">
        <f>C4*C9</f>
        <v>120344.91482025225</v>
      </c>
      <c r="D10" s="100"/>
      <c r="E10" s="102"/>
      <c r="G10" s="97" t="s">
        <v>434</v>
      </c>
      <c r="H10" s="99">
        <f>H4*H9</f>
        <v>33366.671527352664</v>
      </c>
      <c r="K10" s="114" t="s">
        <v>453</v>
      </c>
      <c r="L10" s="116">
        <v>10000</v>
      </c>
      <c r="O10" t="s">
        <v>466</v>
      </c>
      <c r="P10">
        <v>75000</v>
      </c>
      <c r="Q10">
        <v>75430</v>
      </c>
    </row>
    <row r="11" spans="2:17" x14ac:dyDescent="0.3">
      <c r="B11" s="94"/>
      <c r="C11" s="94"/>
      <c r="D11" s="100"/>
      <c r="E11" s="100"/>
      <c r="G11" s="97"/>
      <c r="H11" s="97"/>
      <c r="K11" s="114" t="s">
        <v>454</v>
      </c>
      <c r="L11" s="116">
        <v>752</v>
      </c>
    </row>
    <row r="12" spans="2:17" x14ac:dyDescent="0.3">
      <c r="B12" s="94" t="s">
        <v>435</v>
      </c>
      <c r="C12" s="96">
        <f>C10-C6</f>
        <v>100344.91482025225</v>
      </c>
      <c r="D12" s="100"/>
      <c r="E12" s="102"/>
      <c r="G12" s="97" t="s">
        <v>435</v>
      </c>
      <c r="H12" s="99">
        <f>H10-H6</f>
        <v>8366.6715273526643</v>
      </c>
      <c r="K12" s="123" t="s">
        <v>460</v>
      </c>
      <c r="L12" s="119">
        <f>SUM(L8,L9,L10,L11)</f>
        <v>12752</v>
      </c>
      <c r="O12" t="s">
        <v>436</v>
      </c>
      <c r="P12">
        <f>P4*P5</f>
        <v>100000</v>
      </c>
      <c r="Q12">
        <f>Q4*Q5</f>
        <v>188550</v>
      </c>
    </row>
    <row r="13" spans="2:17" x14ac:dyDescent="0.3">
      <c r="B13" s="106"/>
      <c r="C13" s="107"/>
      <c r="D13" s="100"/>
      <c r="E13" s="102"/>
      <c r="G13" s="108"/>
      <c r="H13" s="109"/>
      <c r="K13" s="114"/>
      <c r="L13" s="115"/>
      <c r="O13" t="s">
        <v>460</v>
      </c>
      <c r="P13">
        <f>SUM(P8:P10)</f>
        <v>180000</v>
      </c>
      <c r="Q13">
        <f>SUM(Q8:Q10)</f>
        <v>246280</v>
      </c>
    </row>
    <row r="14" spans="2:17" x14ac:dyDescent="0.3">
      <c r="K14" s="122" t="s">
        <v>455</v>
      </c>
      <c r="L14" s="119">
        <f>L4-L6</f>
        <v>244540</v>
      </c>
      <c r="O14" t="s">
        <v>451</v>
      </c>
      <c r="P14">
        <f>P4*P7</f>
        <v>40000</v>
      </c>
      <c r="Q14">
        <f>Q4*Q7</f>
        <v>100560</v>
      </c>
    </row>
    <row r="15" spans="2:17" ht="15" thickBot="1" x14ac:dyDescent="0.35">
      <c r="B15" s="155" t="s">
        <v>444</v>
      </c>
      <c r="C15" s="155"/>
      <c r="K15" s="122" t="s">
        <v>456</v>
      </c>
      <c r="L15" s="119">
        <f>L4-L12</f>
        <v>331788</v>
      </c>
      <c r="O15" t="s">
        <v>467</v>
      </c>
      <c r="P15">
        <f>P12-P14</f>
        <v>60000</v>
      </c>
      <c r="Q15">
        <f>Q12-Q14</f>
        <v>87990</v>
      </c>
    </row>
    <row r="16" spans="2:17" ht="15" thickBot="1" x14ac:dyDescent="0.35">
      <c r="B16" s="103" t="s">
        <v>436</v>
      </c>
      <c r="C16" s="104">
        <f>C17*C18</f>
        <v>250000</v>
      </c>
      <c r="D16" t="s">
        <v>447</v>
      </c>
      <c r="K16" s="122" t="s">
        <v>462</v>
      </c>
      <c r="L16" s="120">
        <f>L14/L4*100</f>
        <v>70.975793812039242</v>
      </c>
      <c r="O16" t="s">
        <v>468</v>
      </c>
      <c r="P16">
        <f>P12-P13</f>
        <v>-80000</v>
      </c>
      <c r="Q16">
        <f>Q12-Q13</f>
        <v>-57730</v>
      </c>
    </row>
    <row r="17" spans="2:13" x14ac:dyDescent="0.3">
      <c r="B17" t="s">
        <v>437</v>
      </c>
      <c r="C17">
        <v>1000</v>
      </c>
      <c r="K17" s="123" t="s">
        <v>463</v>
      </c>
      <c r="L17" s="121">
        <f>L15/L4*100</f>
        <v>96.298833226911242</v>
      </c>
    </row>
    <row r="18" spans="2:13" ht="15" thickBot="1" x14ac:dyDescent="0.35">
      <c r="B18" t="s">
        <v>438</v>
      </c>
      <c r="C18">
        <v>250</v>
      </c>
    </row>
    <row r="19" spans="2:13" ht="15" thickBot="1" x14ac:dyDescent="0.35">
      <c r="B19" s="103" t="s">
        <v>439</v>
      </c>
      <c r="C19" s="104">
        <f>C17*C20</f>
        <v>150000</v>
      </c>
      <c r="D19" t="s">
        <v>446</v>
      </c>
    </row>
    <row r="20" spans="2:13" x14ac:dyDescent="0.3">
      <c r="B20" t="s">
        <v>442</v>
      </c>
      <c r="C20">
        <v>150</v>
      </c>
      <c r="K20" s="49" t="s">
        <v>470</v>
      </c>
      <c r="L20" s="89">
        <v>500000</v>
      </c>
    </row>
    <row r="21" spans="2:13" x14ac:dyDescent="0.3">
      <c r="B21" t="s">
        <v>440</v>
      </c>
      <c r="C21">
        <v>10000</v>
      </c>
      <c r="K21" s="49" t="s">
        <v>487</v>
      </c>
      <c r="L21" s="90">
        <v>0.25</v>
      </c>
      <c r="M21">
        <f>L21/12</f>
        <v>2.0833333333333332E-2</v>
      </c>
    </row>
    <row r="22" spans="2:13" ht="15" thickBot="1" x14ac:dyDescent="0.35">
      <c r="B22" t="s">
        <v>441</v>
      </c>
      <c r="C22">
        <v>15000</v>
      </c>
      <c r="K22" s="49" t="s">
        <v>472</v>
      </c>
      <c r="L22">
        <v>5</v>
      </c>
      <c r="M22">
        <f>5*12</f>
        <v>60</v>
      </c>
    </row>
    <row r="23" spans="2:13" ht="18" customHeight="1" thickBot="1" x14ac:dyDescent="0.35">
      <c r="B23" s="103" t="s">
        <v>443</v>
      </c>
      <c r="C23" s="105">
        <f>C21+C22</f>
        <v>25000</v>
      </c>
      <c r="E23" s="156" t="s">
        <v>445</v>
      </c>
      <c r="F23" s="157"/>
      <c r="G23" s="158"/>
      <c r="H23" s="105">
        <f>C16-C19</f>
        <v>100000</v>
      </c>
      <c r="K23" s="49" t="s">
        <v>488</v>
      </c>
      <c r="L23" s="93">
        <f>FV(M21,M22,-L24)</f>
        <v>1722901.9538523431</v>
      </c>
    </row>
    <row r="24" spans="2:13" ht="15" thickBot="1" x14ac:dyDescent="0.35">
      <c r="C24" t="s">
        <v>448</v>
      </c>
      <c r="E24" s="159" t="s">
        <v>469</v>
      </c>
      <c r="F24" s="160"/>
      <c r="G24" s="161"/>
      <c r="H24" s="104">
        <f>C16-C23</f>
        <v>225000</v>
      </c>
      <c r="K24" s="49" t="s">
        <v>489</v>
      </c>
      <c r="L24" s="93">
        <f>PMT(M21,M22,-L20)</f>
        <v>14675.661688243137</v>
      </c>
    </row>
    <row r="25" spans="2:13" ht="15" thickBot="1" x14ac:dyDescent="0.35">
      <c r="G25" s="13" t="s">
        <v>457</v>
      </c>
      <c r="H25" s="105" t="s">
        <v>459</v>
      </c>
      <c r="I25" s="105"/>
      <c r="L25" s="93">
        <f>L23</f>
        <v>1722901.9538523431</v>
      </c>
    </row>
    <row r="26" spans="2:13" ht="15" thickBot="1" x14ac:dyDescent="0.35">
      <c r="G26" s="110" t="s">
        <v>458</v>
      </c>
      <c r="H26" s="105"/>
      <c r="K26" s="90">
        <v>0.35</v>
      </c>
      <c r="L26" s="126">
        <f t="dataTable" ref="L26:L28" dt2D="0" dtr="0" r1="L21"/>
        <v>2806161.7282430716</v>
      </c>
    </row>
    <row r="27" spans="2:13" x14ac:dyDescent="0.3">
      <c r="K27" s="90">
        <v>0.4</v>
      </c>
      <c r="L27" s="126">
        <v>3575990.4574862206</v>
      </c>
    </row>
    <row r="28" spans="2:13" x14ac:dyDescent="0.3">
      <c r="K28" s="90">
        <v>0.45</v>
      </c>
      <c r="L28" s="126">
        <v>4552566.8047101488</v>
      </c>
    </row>
  </sheetData>
  <mergeCells count="3">
    <mergeCell ref="B15:C15"/>
    <mergeCell ref="E23:G23"/>
    <mergeCell ref="E24:G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956FF-918A-4D27-B460-161C4DBA4327}">
  <sheetPr>
    <tabColor rgb="FF33CCFF"/>
  </sheetPr>
  <dimension ref="C4:T22"/>
  <sheetViews>
    <sheetView topLeftCell="B73" workbookViewId="0">
      <selection activeCell="D7" sqref="D7"/>
    </sheetView>
  </sheetViews>
  <sheetFormatPr defaultRowHeight="14.4" x14ac:dyDescent="0.3"/>
  <cols>
    <col min="4" max="4" width="12" bestFit="1" customWidth="1"/>
    <col min="6" max="6" width="15.33203125" customWidth="1"/>
    <col min="9" max="9" width="12" customWidth="1"/>
    <col min="10" max="10" width="13.109375" customWidth="1"/>
    <col min="11" max="20" width="12" bestFit="1" customWidth="1"/>
  </cols>
  <sheetData>
    <row r="4" spans="3:20" x14ac:dyDescent="0.3">
      <c r="C4" t="s">
        <v>470</v>
      </c>
      <c r="D4" s="89">
        <v>100000</v>
      </c>
    </row>
    <row r="5" spans="3:20" x14ac:dyDescent="0.3">
      <c r="C5" t="s">
        <v>471</v>
      </c>
      <c r="D5" s="90">
        <v>0.1</v>
      </c>
      <c r="E5">
        <f>D5/12</f>
        <v>8.3333333333333332E-3</v>
      </c>
    </row>
    <row r="6" spans="3:20" x14ac:dyDescent="0.3">
      <c r="C6" t="s">
        <v>472</v>
      </c>
      <c r="D6">
        <v>2</v>
      </c>
      <c r="E6">
        <f>D6*12</f>
        <v>24</v>
      </c>
    </row>
    <row r="7" spans="3:20" x14ac:dyDescent="0.3">
      <c r="C7" t="s">
        <v>473</v>
      </c>
      <c r="D7" s="93">
        <f>PMT(E5,E6,-D4)</f>
        <v>4614.4926337516508</v>
      </c>
    </row>
    <row r="8" spans="3:20" x14ac:dyDescent="0.3">
      <c r="C8" t="s">
        <v>474</v>
      </c>
      <c r="D8" s="93">
        <f>FV(E5,E6,-D7)</f>
        <v>122039.09613755542</v>
      </c>
    </row>
    <row r="9" spans="3:20" x14ac:dyDescent="0.3">
      <c r="I9" s="93">
        <f>F10</f>
        <v>122039.09613755542</v>
      </c>
      <c r="J9">
        <v>3</v>
      </c>
      <c r="K9">
        <v>4</v>
      </c>
      <c r="L9">
        <v>5</v>
      </c>
      <c r="M9">
        <v>6</v>
      </c>
      <c r="N9">
        <v>7</v>
      </c>
      <c r="O9">
        <v>8</v>
      </c>
      <c r="P9">
        <v>9</v>
      </c>
      <c r="Q9">
        <v>10</v>
      </c>
      <c r="R9">
        <v>11</v>
      </c>
      <c r="S9">
        <v>12</v>
      </c>
      <c r="T9">
        <v>13</v>
      </c>
    </row>
    <row r="10" spans="3:20" x14ac:dyDescent="0.3">
      <c r="F10" s="93">
        <f>D8</f>
        <v>122039.09613755542</v>
      </c>
      <c r="I10" s="125">
        <v>0.1</v>
      </c>
      <c r="J10" s="126">
        <f t="dataTable" ref="J10:T20" dt2D="1" dtr="1" r1="D5" r2="D6"/>
        <v>130704.94407390917</v>
      </c>
      <c r="K10" s="126">
        <v>141229.84547317494</v>
      </c>
      <c r="L10" s="126">
        <v>151887.2120026206</v>
      </c>
      <c r="M10" s="126">
        <v>162670.76567965481</v>
      </c>
      <c r="N10" s="126">
        <v>173574.86089755112</v>
      </c>
      <c r="O10" s="126">
        <v>184594.39054138161</v>
      </c>
      <c r="P10" s="126">
        <v>195724.71007602531</v>
      </c>
      <c r="Q10" s="126">
        <v>206961.5754672029</v>
      </c>
      <c r="R10" s="126">
        <v>218301.091896014</v>
      </c>
      <c r="S10" s="126">
        <v>229739.67099940701</v>
      </c>
      <c r="T10" s="126">
        <v>241273.99492068635</v>
      </c>
    </row>
    <row r="11" spans="3:20" x14ac:dyDescent="0.3">
      <c r="E11" s="125">
        <v>0.157</v>
      </c>
      <c r="F11" s="126">
        <f t="dataTable" ref="F11:F22" dt2D="0" dtr="0" r1="D5" ca="1"/>
        <v>136610.50463068404</v>
      </c>
      <c r="I11" s="90">
        <v>0.16</v>
      </c>
      <c r="J11" s="126">
        <v>153485.45464300099</v>
      </c>
      <c r="K11" s="126">
        <v>173733.02209259183</v>
      </c>
      <c r="L11" s="126">
        <v>195179.38113785107</v>
      </c>
      <c r="M11" s="126">
        <v>217818.72791492447</v>
      </c>
      <c r="N11" s="126">
        <v>241645.61653379371</v>
      </c>
      <c r="O11" s="126">
        <v>266654.91882383998</v>
      </c>
      <c r="P11" s="126">
        <v>292841.7904426048</v>
      </c>
      <c r="Q11" s="126">
        <v>320201.64207962115</v>
      </c>
      <c r="R11" s="126">
        <v>348730.11478736281</v>
      </c>
      <c r="S11" s="126">
        <v>378423.05869023822</v>
      </c>
      <c r="T11" s="126">
        <v>409276.51448469592</v>
      </c>
    </row>
    <row r="12" spans="3:20" x14ac:dyDescent="0.3">
      <c r="E12" s="90">
        <v>0.16</v>
      </c>
      <c r="F12" s="126">
        <v>137421.88244505139</v>
      </c>
      <c r="I12" s="125">
        <v>0.16300000000000001</v>
      </c>
      <c r="J12" s="126">
        <v>154723.39469518146</v>
      </c>
      <c r="K12" s="126">
        <v>175541.64701876364</v>
      </c>
      <c r="L12" s="126">
        <v>197642.15152058713</v>
      </c>
      <c r="M12" s="126">
        <v>221021.49018530184</v>
      </c>
      <c r="N12" s="126">
        <v>245676.44899636399</v>
      </c>
      <c r="O12" s="126">
        <v>271603.99537126394</v>
      </c>
      <c r="P12" s="126">
        <v>298801.25912527042</v>
      </c>
      <c r="Q12" s="126">
        <v>327265.51626606821</v>
      </c>
      <c r="R12" s="126">
        <v>356994.17508577392</v>
      </c>
      <c r="S12" s="126">
        <v>387984.76413669391</v>
      </c>
      <c r="T12" s="126">
        <v>420234.92176616308</v>
      </c>
    </row>
    <row r="13" spans="3:20" x14ac:dyDescent="0.3">
      <c r="E13" s="125">
        <v>0.16300000000000001</v>
      </c>
      <c r="F13" s="126">
        <v>138237.87738139505</v>
      </c>
      <c r="I13" s="90">
        <v>0.16600000000000001</v>
      </c>
      <c r="J13" s="126">
        <v>155971.3193779992</v>
      </c>
      <c r="K13" s="126">
        <v>177369.10039841058</v>
      </c>
      <c r="L13" s="126">
        <v>200135.99710154708</v>
      </c>
      <c r="M13" s="126">
        <v>224271.34522065279</v>
      </c>
      <c r="N13" s="126">
        <v>249774.51880664361</v>
      </c>
      <c r="O13" s="126">
        <v>276644.92606028897</v>
      </c>
      <c r="P13" s="126">
        <v>304882.00580902305</v>
      </c>
      <c r="Q13" s="126">
        <v>334485.22450195329</v>
      </c>
      <c r="R13" s="126">
        <v>365454.07362619461</v>
      </c>
      <c r="S13" s="126">
        <v>397788.06746928574</v>
      </c>
      <c r="T13" s="126">
        <v>431486.74116852292</v>
      </c>
    </row>
    <row r="14" spans="3:20" x14ac:dyDescent="0.3">
      <c r="E14" s="90">
        <v>0.16600000000000001</v>
      </c>
      <c r="F14" s="126">
        <v>139058.51456477778</v>
      </c>
      <c r="I14" s="125">
        <v>0.16900000000000001</v>
      </c>
      <c r="J14" s="126">
        <v>157229.30922269533</v>
      </c>
      <c r="K14" s="126">
        <v>179215.57824268733</v>
      </c>
      <c r="L14" s="126">
        <v>202661.30998709679</v>
      </c>
      <c r="M14" s="126">
        <v>227568.98546341487</v>
      </c>
      <c r="N14" s="126">
        <v>253940.94753467262</v>
      </c>
      <c r="O14" s="126">
        <v>281779.41569043638</v>
      </c>
      <c r="P14" s="126">
        <v>311086.49855843902</v>
      </c>
      <c r="Q14" s="126">
        <v>341864.20459637692</v>
      </c>
      <c r="R14" s="126">
        <v>374114.45130131533</v>
      </c>
      <c r="S14" s="126">
        <v>407839.07319927623</v>
      </c>
      <c r="T14" s="126">
        <v>443039.82882182021</v>
      </c>
    </row>
    <row r="15" spans="3:20" x14ac:dyDescent="0.3">
      <c r="E15" s="125">
        <v>0.16900000000000001</v>
      </c>
      <c r="F15" s="126">
        <v>139883.81925072594</v>
      </c>
      <c r="I15" s="90">
        <v>0.17199999999999999</v>
      </c>
      <c r="J15" s="126">
        <v>158497.44541003747</v>
      </c>
      <c r="K15" s="126">
        <v>181081.27860329737</v>
      </c>
      <c r="L15" s="126">
        <v>205218.4872311941</v>
      </c>
      <c r="M15" s="126">
        <v>230915.11353755801</v>
      </c>
      <c r="N15" s="126">
        <v>258176.87545913164</v>
      </c>
      <c r="O15" s="126">
        <v>287009.20070205908</v>
      </c>
      <c r="P15" s="126">
        <v>317417.25566437363</v>
      </c>
      <c r="Q15" s="126">
        <v>349405.97019893472</v>
      </c>
      <c r="R15" s="126">
        <v>382980.05898175959</v>
      </c>
      <c r="S15" s="126">
        <v>418144.04008206609</v>
      </c>
      <c r="T15" s="126">
        <v>454902.25120453077</v>
      </c>
    </row>
    <row r="16" spans="3:20" x14ac:dyDescent="0.3">
      <c r="E16" s="90">
        <v>0.17199999999999999</v>
      </c>
      <c r="F16" s="126">
        <v>140713.81682589604</v>
      </c>
      <c r="I16" s="125">
        <v>0.17499999999999999</v>
      </c>
      <c r="J16" s="126">
        <v>159775.80977555824</v>
      </c>
      <c r="K16" s="126">
        <v>182966.40159373518</v>
      </c>
      <c r="L16" s="126">
        <v>207807.93089781751</v>
      </c>
      <c r="M16" s="126">
        <v>234310.44239829233</v>
      </c>
      <c r="N16" s="126">
        <v>262483.46187941579</v>
      </c>
      <c r="O16" s="126">
        <v>292336.04976359027</v>
      </c>
      <c r="P16" s="126">
        <v>323876.84666608967</v>
      </c>
      <c r="Q16" s="126">
        <v>357114.11247281166</v>
      </c>
      <c r="R16" s="126">
        <v>392055.76012229366</v>
      </c>
      <c r="S16" s="126">
        <v>428709.38501451717</v>
      </c>
      <c r="T16" s="126">
        <v>467082.2907756553</v>
      </c>
    </row>
    <row r="17" spans="5:20" x14ac:dyDescent="0.3">
      <c r="E17" s="125">
        <v>0.17499999999999999</v>
      </c>
      <c r="F17" s="126">
        <v>141548.53280871268</v>
      </c>
      <c r="I17" s="90">
        <v>0.17799999999999999</v>
      </c>
      <c r="J17" s="126">
        <v>161064.48481483673</v>
      </c>
      <c r="K17" s="126">
        <v>184871.14941075075</v>
      </c>
      <c r="L17" s="126">
        <v>210430.04812418247</v>
      </c>
      <c r="M17" s="126">
        <v>237755.69548397651</v>
      </c>
      <c r="N17" s="126">
        <v>266861.88543291489</v>
      </c>
      <c r="O17" s="126">
        <v>297761.76436969271</v>
      </c>
      <c r="P17" s="126">
        <v>330467.8933941875</v>
      </c>
      <c r="Q17" s="126">
        <v>364992.30180478707</v>
      </c>
      <c r="R17" s="126">
        <v>401346.53342980001</v>
      </c>
      <c r="S17" s="126">
        <v>439541.68703075184</v>
      </c>
      <c r="T17" s="126">
        <v>479588.45175761363</v>
      </c>
    </row>
    <row r="18" spans="5:20" x14ac:dyDescent="0.3">
      <c r="E18" s="90">
        <v>0.17799999999999999</v>
      </c>
      <c r="F18" s="126">
        <v>142387.9928500129</v>
      </c>
      <c r="I18" s="125">
        <v>0.18099999999999999</v>
      </c>
      <c r="J18" s="126">
        <v>162363.55368882132</v>
      </c>
      <c r="K18" s="126">
        <v>186795.72635603696</v>
      </c>
      <c r="L18" s="126">
        <v>213085.25118475538</v>
      </c>
      <c r="M18" s="126">
        <v>241251.60687025919</v>
      </c>
      <c r="N18" s="126">
        <v>271313.34441758582</v>
      </c>
      <c r="O18" s="126">
        <v>303288.17945050797</v>
      </c>
      <c r="P18" s="126">
        <v>337193.07103475754</v>
      </c>
      <c r="Q18" s="126">
        <v>373044.28955296235</v>
      </c>
      <c r="R18" s="126">
        <v>410857.47559447197</v>
      </c>
      <c r="S18" s="126">
        <v>450647.6913989117</v>
      </c>
      <c r="T18" s="126">
        <v>492429.46607397427</v>
      </c>
    </row>
    <row r="19" spans="5:20" x14ac:dyDescent="0.3">
      <c r="E19" s="125">
        <v>0.18099999999999999</v>
      </c>
      <c r="F19" s="126">
        <v>143232.22273372568</v>
      </c>
      <c r="I19" s="90">
        <v>0.184</v>
      </c>
      <c r="J19" s="126">
        <v>163673.10022919724</v>
      </c>
      <c r="K19" s="126">
        <v>188740.33885814293</v>
      </c>
      <c r="L19" s="126">
        <v>215773.95755607574</v>
      </c>
      <c r="M19" s="126">
        <v>244798.92142648867</v>
      </c>
      <c r="N19" s="126">
        <v>275839.05711990577</v>
      </c>
      <c r="O19" s="126">
        <v>308917.16399221466</v>
      </c>
      <c r="P19" s="126">
        <v>344055.10921519058</v>
      </c>
      <c r="Q19" s="126">
        <v>381273.90983304649</v>
      </c>
      <c r="R19" s="126">
        <v>420593.80408573517</v>
      </c>
      <c r="S19" s="126">
        <v>462034.31382143369</v>
      </c>
      <c r="T19" s="126">
        <v>505614.29944617103</v>
      </c>
    </row>
    <row r="20" spans="5:20" x14ac:dyDescent="0.3">
      <c r="E20" s="90">
        <v>0.184</v>
      </c>
      <c r="F20" s="126">
        <v>144081.24837749801</v>
      </c>
      <c r="I20" s="125">
        <v>0.187</v>
      </c>
      <c r="J20" s="126">
        <v>164993.20894379533</v>
      </c>
      <c r="K20" s="126">
        <v>190705.19549461472</v>
      </c>
      <c r="L20" s="126">
        <v>218496.58998239497</v>
      </c>
      <c r="M20" s="126">
        <v>248398.39497441999</v>
      </c>
      <c r="N20" s="126">
        <v>280440.26214829576</v>
      </c>
      <c r="O20" s="126">
        <v>314650.62166910304</v>
      </c>
      <c r="P20" s="126">
        <v>351056.79311208252</v>
      </c>
      <c r="Q20" s="126">
        <v>389685.08134404605</v>
      </c>
      <c r="R20" s="126">
        <v>430560.86001442076</v>
      </c>
      <c r="S20" s="126">
        <v>473708.64474145288</v>
      </c>
      <c r="T20" s="126">
        <v>519152.15765345376</v>
      </c>
    </row>
    <row r="21" spans="5:20" x14ac:dyDescent="0.3">
      <c r="E21" s="125">
        <v>0.187</v>
      </c>
      <c r="F21" s="126">
        <v>144935.09583337369</v>
      </c>
      <c r="I21" s="90"/>
    </row>
    <row r="22" spans="5:20" x14ac:dyDescent="0.3">
      <c r="E22" s="90">
        <v>0.19</v>
      </c>
      <c r="F22" s="126">
        <v>145793.79128845819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7900-C12A-4EB3-9191-FDA4778394C2}">
  <sheetPr>
    <tabColor rgb="FF99FFCC"/>
  </sheetPr>
  <dimension ref="A1:J26"/>
  <sheetViews>
    <sheetView tabSelected="1" topLeftCell="A3" workbookViewId="0">
      <selection activeCell="F23" sqref="F23"/>
    </sheetView>
  </sheetViews>
  <sheetFormatPr defaultRowHeight="14.4" x14ac:dyDescent="0.3"/>
  <cols>
    <col min="4" max="4" width="15.77734375" customWidth="1"/>
    <col min="5" max="5" width="12.6640625" customWidth="1"/>
  </cols>
  <sheetData>
    <row r="1" spans="1:10" x14ac:dyDescent="0.3">
      <c r="A1" t="s">
        <v>482</v>
      </c>
      <c r="B1" t="s">
        <v>475</v>
      </c>
      <c r="E1" t="s">
        <v>438</v>
      </c>
      <c r="F1">
        <v>45</v>
      </c>
      <c r="H1">
        <v>32</v>
      </c>
    </row>
    <row r="2" spans="1:10" x14ac:dyDescent="0.3">
      <c r="A2" t="s">
        <v>476</v>
      </c>
      <c r="B2">
        <v>58</v>
      </c>
      <c r="E2" t="s">
        <v>465</v>
      </c>
      <c r="F2">
        <v>150</v>
      </c>
      <c r="H2">
        <v>135.9375</v>
      </c>
    </row>
    <row r="3" spans="1:10" x14ac:dyDescent="0.3">
      <c r="A3" t="s">
        <v>477</v>
      </c>
      <c r="B3">
        <v>65</v>
      </c>
      <c r="E3" t="s">
        <v>483</v>
      </c>
      <c r="F3">
        <f>F1*F2</f>
        <v>6750</v>
      </c>
      <c r="H3">
        <f>H1*H2</f>
        <v>4350</v>
      </c>
    </row>
    <row r="4" spans="1:10" x14ac:dyDescent="0.3">
      <c r="A4" t="s">
        <v>478</v>
      </c>
      <c r="B4">
        <v>45</v>
      </c>
      <c r="E4" t="s">
        <v>484</v>
      </c>
      <c r="F4">
        <v>120</v>
      </c>
      <c r="H4">
        <v>120</v>
      </c>
    </row>
    <row r="5" spans="1:10" x14ac:dyDescent="0.3">
      <c r="A5" t="s">
        <v>479</v>
      </c>
      <c r="B5">
        <v>45</v>
      </c>
      <c r="E5" t="s">
        <v>485</v>
      </c>
      <c r="F5">
        <v>230</v>
      </c>
      <c r="H5">
        <v>230</v>
      </c>
    </row>
    <row r="6" spans="1:10" x14ac:dyDescent="0.3">
      <c r="A6" t="s">
        <v>480</v>
      </c>
      <c r="B6">
        <v>87.000000000000028</v>
      </c>
      <c r="E6" t="s">
        <v>434</v>
      </c>
      <c r="F6">
        <f>F4+F5</f>
        <v>350</v>
      </c>
      <c r="H6">
        <f>H4+H5</f>
        <v>350</v>
      </c>
    </row>
    <row r="7" spans="1:10" x14ac:dyDescent="0.3">
      <c r="A7" t="s">
        <v>222</v>
      </c>
      <c r="B7">
        <f>SUM(B2:B6)</f>
        <v>300</v>
      </c>
      <c r="E7" t="s">
        <v>486</v>
      </c>
      <c r="F7">
        <f>F3-F6</f>
        <v>6400</v>
      </c>
      <c r="H7">
        <f>H3-H6</f>
        <v>4000</v>
      </c>
    </row>
    <row r="8" spans="1:10" x14ac:dyDescent="0.3">
      <c r="A8" t="s">
        <v>481</v>
      </c>
      <c r="B8">
        <f>_xlfn.PERCENTILE.INC(B2:B6,0.1)</f>
        <v>45</v>
      </c>
    </row>
    <row r="14" spans="1:10" x14ac:dyDescent="0.3">
      <c r="C14" s="162" t="s">
        <v>490</v>
      </c>
      <c r="D14" s="162"/>
      <c r="E14" s="162"/>
      <c r="F14" s="162"/>
      <c r="G14" s="162"/>
      <c r="H14" s="162"/>
      <c r="I14" s="162"/>
      <c r="J14" s="162"/>
    </row>
    <row r="15" spans="1:10" x14ac:dyDescent="0.3">
      <c r="C15" s="162"/>
      <c r="D15" s="162"/>
      <c r="E15" s="162"/>
      <c r="F15" s="162"/>
      <c r="G15" s="162"/>
      <c r="H15" s="162"/>
      <c r="I15" s="162"/>
      <c r="J15" s="162"/>
    </row>
    <row r="16" spans="1:10" x14ac:dyDescent="0.3">
      <c r="C16" s="162"/>
      <c r="D16" s="162"/>
      <c r="E16" s="162"/>
      <c r="F16" s="162"/>
      <c r="G16" s="162"/>
      <c r="H16" s="162"/>
      <c r="I16" s="162"/>
      <c r="J16" s="162"/>
    </row>
    <row r="17" spans="3:10" x14ac:dyDescent="0.3">
      <c r="C17" s="162"/>
      <c r="D17" s="162"/>
      <c r="E17" s="162"/>
      <c r="F17" s="162"/>
      <c r="G17" s="162"/>
      <c r="H17" s="162"/>
      <c r="I17" s="162"/>
      <c r="J17" s="162"/>
    </row>
    <row r="19" spans="3:10" x14ac:dyDescent="0.3">
      <c r="D19" t="s">
        <v>491</v>
      </c>
      <c r="E19" s="163">
        <v>33802.816901408456</v>
      </c>
    </row>
    <row r="20" spans="3:10" x14ac:dyDescent="0.3">
      <c r="D20" t="s">
        <v>438</v>
      </c>
      <c r="E20">
        <v>4</v>
      </c>
    </row>
    <row r="21" spans="3:10" x14ac:dyDescent="0.3">
      <c r="D21" t="s">
        <v>492</v>
      </c>
      <c r="E21">
        <v>0.45</v>
      </c>
    </row>
    <row r="22" spans="3:10" x14ac:dyDescent="0.3">
      <c r="D22" t="s">
        <v>493</v>
      </c>
      <c r="E22">
        <v>45000</v>
      </c>
    </row>
    <row r="23" spans="3:10" x14ac:dyDescent="0.3">
      <c r="D23" t="s">
        <v>436</v>
      </c>
      <c r="E23" s="163">
        <f>E19*E20</f>
        <v>135211.26760563382</v>
      </c>
    </row>
    <row r="24" spans="3:10" x14ac:dyDescent="0.3">
      <c r="D24" t="s">
        <v>439</v>
      </c>
      <c r="E24" s="163">
        <f>E19*E21</f>
        <v>15211.267605633806</v>
      </c>
    </row>
    <row r="25" spans="3:10" x14ac:dyDescent="0.3">
      <c r="D25" t="s">
        <v>494</v>
      </c>
      <c r="E25">
        <f>E23-E24</f>
        <v>120000.00000000001</v>
      </c>
    </row>
    <row r="26" spans="3:10" x14ac:dyDescent="0.3">
      <c r="D26" t="s">
        <v>495</v>
      </c>
      <c r="E26">
        <f>E25-E22</f>
        <v>75000.000000000015</v>
      </c>
    </row>
  </sheetData>
  <scenarios current="1" show="1">
    <scenario name="Price" locked="1" count="1" user="DELL" comment="Created by DELL on 17-04-2024">
      <inputCells r="F1" val="45"/>
    </scenario>
    <scenario name="Quantity" locked="1" count="1" user="DELL" comment="Created by DELL on 17-04-2024">
      <inputCells r="F2" val="150"/>
    </scenario>
  </scenarios>
  <mergeCells count="1">
    <mergeCell ref="C14:J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3DC07-B790-43C9-8389-0ABA3A2442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3</vt:i4>
      </vt:variant>
    </vt:vector>
  </HeadingPairs>
  <TitlesOfParts>
    <vt:vector size="26" baseType="lpstr">
      <vt:lpstr>1st class</vt:lpstr>
      <vt:lpstr>2nd class</vt:lpstr>
      <vt:lpstr>3rd class</vt:lpstr>
      <vt:lpstr>4th class</vt:lpstr>
      <vt:lpstr>5th class</vt:lpstr>
      <vt:lpstr>CALL STATISTICS</vt:lpstr>
      <vt:lpstr>6th class</vt:lpstr>
      <vt:lpstr>7th class</vt:lpstr>
      <vt:lpstr>textfile</vt:lpstr>
      <vt:lpstr>Balance Sheet</vt:lpstr>
      <vt:lpstr>web import</vt:lpstr>
      <vt:lpstr>subtotal</vt:lpstr>
      <vt:lpstr>Sheet1</vt:lpstr>
      <vt:lpstr>Text functions</vt:lpstr>
      <vt:lpstr>Film series</vt:lpstr>
      <vt:lpstr>ADV FILTER</vt:lpstr>
      <vt:lpstr>CNTD....</vt:lpstr>
      <vt:lpstr> SUM AND PIE</vt:lpstr>
      <vt:lpstr>Pivot table</vt:lpstr>
      <vt:lpstr>Bar chart</vt:lpstr>
      <vt:lpstr>EMI</vt:lpstr>
      <vt:lpstr>FUTURE SALES</vt:lpstr>
      <vt:lpstr>%</vt:lpstr>
      <vt:lpstr>'ADV FILTER'!Criteria</vt:lpstr>
      <vt:lpstr>'ADV FILTER'!Extract</vt:lpstr>
      <vt:lpstr>CNTD....!Extract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Bhumi Goyal</dc:creator>
  <cp:lastModifiedBy>Bhumi Goyal</cp:lastModifiedBy>
  <cp:lastPrinted>2024-04-01T07:36:38Z</cp:lastPrinted>
  <dcterms:created xsi:type="dcterms:W3CDTF">2024-01-22T07:41:26Z</dcterms:created>
  <dcterms:modified xsi:type="dcterms:W3CDTF">2024-04-23T08:21:31Z</dcterms:modified>
</cp:coreProperties>
</file>