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0280" yWindow="0" windowWidth="132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H13" i="1"/>
  <c r="H14" i="1"/>
  <c r="H15" i="1"/>
  <c r="H16" i="1"/>
  <c r="G13" i="1"/>
  <c r="G14" i="1"/>
  <c r="G15" i="1"/>
  <c r="G16" i="1"/>
  <c r="F13" i="1"/>
  <c r="F14" i="1"/>
  <c r="F15" i="1"/>
  <c r="F16" i="1"/>
  <c r="D8" i="1" l="1"/>
  <c r="E8" i="1"/>
  <c r="R2" i="1" l="1"/>
  <c r="P2" i="1" l="1"/>
  <c r="Q2" i="1"/>
  <c r="A9" i="1"/>
  <c r="A7" i="1"/>
  <c r="B9" i="1"/>
  <c r="B7" i="1"/>
  <c r="C8" i="1"/>
  <c r="B8" i="1"/>
  <c r="F8" i="1"/>
  <c r="H8" i="1" s="1"/>
  <c r="B5" i="1"/>
  <c r="B10" i="1"/>
  <c r="B6" i="1"/>
  <c r="A10" i="1"/>
  <c r="A6" i="1"/>
  <c r="H2" i="1"/>
  <c r="A5" i="1" s="1"/>
  <c r="J14" i="1" l="1"/>
  <c r="J13" i="1"/>
  <c r="J16" i="1"/>
  <c r="J15" i="1"/>
  <c r="I13" i="1"/>
  <c r="I16" i="1"/>
  <c r="I15" i="1"/>
  <c r="I14" i="1"/>
  <c r="D6" i="1"/>
  <c r="E6" i="1"/>
  <c r="D10" i="1"/>
  <c r="E10" i="1"/>
  <c r="D5" i="1"/>
  <c r="E5" i="1"/>
  <c r="D9" i="1"/>
  <c r="E9" i="1"/>
  <c r="E7" i="1"/>
  <c r="D7" i="1"/>
  <c r="G8" i="1"/>
  <c r="K8" i="1" s="1"/>
  <c r="L8" i="1" s="1"/>
  <c r="I8" i="1"/>
  <c r="J8" i="1"/>
  <c r="C6" i="1"/>
  <c r="G6" i="1" s="1"/>
  <c r="F6" i="1"/>
  <c r="H6" i="1" s="1"/>
  <c r="L13" i="1" l="1"/>
  <c r="L16" i="1"/>
  <c r="L14" i="1"/>
  <c r="L15" i="1"/>
  <c r="K6" i="1"/>
  <c r="L6" i="1" s="1"/>
  <c r="J6" i="1"/>
  <c r="I6" i="1"/>
  <c r="C7" i="1"/>
  <c r="I7" i="1" s="1"/>
  <c r="F7" i="1"/>
  <c r="F5" i="1"/>
  <c r="F9" i="1"/>
  <c r="F10" i="1"/>
  <c r="C5" i="1"/>
  <c r="I5" i="1" s="1"/>
  <c r="C9" i="1"/>
  <c r="I9" i="1" s="1"/>
  <c r="C10" i="1"/>
  <c r="I10" i="1" s="1"/>
  <c r="H7" i="1" l="1"/>
  <c r="J7" i="1"/>
  <c r="H10" i="1"/>
  <c r="J10" i="1"/>
  <c r="H9" i="1"/>
  <c r="J9" i="1"/>
  <c r="H5" i="1"/>
  <c r="J5" i="1"/>
  <c r="G9" i="1"/>
  <c r="K9" i="1" s="1"/>
  <c r="L9" i="1" s="1"/>
  <c r="G5" i="1"/>
  <c r="K5" i="1" s="1"/>
  <c r="L5" i="1" s="1"/>
  <c r="G10" i="1"/>
  <c r="K10" i="1" s="1"/>
  <c r="L10" i="1" s="1"/>
  <c r="G7" i="1"/>
  <c r="K7" i="1" s="1"/>
  <c r="L7" i="1" s="1"/>
</calcChain>
</file>

<file path=xl/sharedStrings.xml><?xml version="1.0" encoding="utf-8"?>
<sst xmlns="http://schemas.openxmlformats.org/spreadsheetml/2006/main" count="41" uniqueCount="39">
  <si>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</si>
  <si>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</si>
  <si>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</si>
  <si>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</si>
  <si>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</si>
  <si>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</si>
  <si>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</si>
  <si>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</si>
  <si>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</si>
  <si>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</si>
  <si>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</si>
  <si>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</si>
  <si>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</si>
  <si>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</si>
  <si>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</si>
  <si>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</si>
  <si>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</si>
  <si>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</si>
  <si>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</si>
  <si>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</si>
  <si>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</si>
  <si>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</si>
  <si>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</si>
  <si>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</si>
  <si>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extra range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</si>
  <si>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</si>
  <si>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</si>
  <si>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</si>
  <si>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</si>
  <si>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</si>
  <si>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</si>
  <si>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</si>
  <si>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</si>
  <si>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</si>
  <si>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&lt;gears shiftTimeMs="-1" clutchRatio="1" defaultGear="1" reverseReset="false" automatic="true"&gt;</t>
  </si>
  <si>
    <t xml:space="preserve">      &lt;/gears&gt;</t>
  </si>
  <si>
    <t xml:space="preserve">      &lt;reverse ratio="1" shiftTimeMs="0" /&gt;</t>
  </si>
  <si>
    <t>idleSpeed4</t>
  </si>
  <si>
    <t>idleSpeed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</si>
</sst>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2.0202020202020207E-2</c:v>
                </c:pt>
                <c:pt idx="1">
                  <c:v>0.66666700000000001</c:v>
                </c:pt>
                <c:pt idx="2">
                  <c:v>0.90000009999999997</c:v>
                </c:pt>
                <c:pt idx="3">
                  <c:v>1</c:v>
                </c:pt>
                <c:pt idx="4">
                  <c:v>1.0999999</c:v>
                </c:pt>
                <c:pt idx="5">
                  <c:v>1.3333330000000001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0.11111111111111113</c:v>
                </c:pt>
                <c:pt idx="1">
                  <c:v>3.6666685000000001</c:v>
                </c:pt>
                <c:pt idx="2">
                  <c:v>4.9500005499999995</c:v>
                </c:pt>
                <c:pt idx="3">
                  <c:v>5.5</c:v>
                </c:pt>
                <c:pt idx="4">
                  <c:v>6.0499994500000005</c:v>
                </c:pt>
                <c:pt idx="5">
                  <c:v>7.3333315000000008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2.0202020202020207E-2</c:v>
                </c:pt>
                <c:pt idx="1">
                  <c:v>0.66666700000000001</c:v>
                </c:pt>
                <c:pt idx="2">
                  <c:v>0.90000009999999997</c:v>
                </c:pt>
                <c:pt idx="3">
                  <c:v>1</c:v>
                </c:pt>
                <c:pt idx="4">
                  <c:v>1.0999999</c:v>
                </c:pt>
                <c:pt idx="5">
                  <c:v>1.3333330000000001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0.86868686868686895</c:v>
                </c:pt>
                <c:pt idx="1">
                  <c:v>28.666681000000001</c:v>
                </c:pt>
                <c:pt idx="2">
                  <c:v>38.700004299999996</c:v>
                </c:pt>
                <c:pt idx="3">
                  <c:v>43</c:v>
                </c:pt>
                <c:pt idx="4">
                  <c:v>47.299995700000004</c:v>
                </c:pt>
                <c:pt idx="5">
                  <c:v>57.333319000000003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2.0202020202020207E-2</c:v>
                </c:pt>
                <c:pt idx="1">
                  <c:v>0.66666700000000001</c:v>
                </c:pt>
                <c:pt idx="2">
                  <c:v>0.90000009999999997</c:v>
                </c:pt>
                <c:pt idx="3">
                  <c:v>1</c:v>
                </c:pt>
                <c:pt idx="4">
                  <c:v>1.0999999</c:v>
                </c:pt>
                <c:pt idx="5">
                  <c:v>1.3333330000000001</c:v>
                </c:pt>
              </c:numCache>
            </c:numRef>
          </c:xVal>
          <c:yVal>
            <c:numRef>
              <c:f>Sheet1!$G$5:$G$10</c:f>
              <c:numCache>
                <c:formatCode>0.0</c:formatCode>
                <c:ptCount val="6"/>
                <c:pt idx="0" formatCode="0.0000">
                  <c:v>5.000000000000001E-2</c:v>
                </c:pt>
                <c:pt idx="1">
                  <c:v>1.650000825</c:v>
                </c:pt>
                <c:pt idx="2">
                  <c:v>2.2275002474999996</c:v>
                </c:pt>
                <c:pt idx="3">
                  <c:v>2.4750000000000001</c:v>
                </c:pt>
                <c:pt idx="4">
                  <c:v>2.7224997525000005</c:v>
                </c:pt>
                <c:pt idx="5">
                  <c:v>3.2999991750000004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2.0202020202020207E-2</c:v>
                </c:pt>
                <c:pt idx="1">
                  <c:v>0.66666700000000001</c:v>
                </c:pt>
                <c:pt idx="2">
                  <c:v>0.90000009999999997</c:v>
                </c:pt>
                <c:pt idx="3">
                  <c:v>1</c:v>
                </c:pt>
                <c:pt idx="4">
                  <c:v>1.0999999</c:v>
                </c:pt>
                <c:pt idx="5">
                  <c:v>1.3333330000000001</c:v>
                </c:pt>
              </c:numCache>
            </c:numRef>
          </c:xVal>
          <c:yVal>
            <c:numRef>
              <c:f>Sheet1!$H$5:$H$10</c:f>
              <c:numCache>
                <c:formatCode>0.0</c:formatCode>
                <c:ptCount val="6"/>
                <c:pt idx="0" formatCode="0.00000">
                  <c:v>0.39090909090909104</c:v>
                </c:pt>
                <c:pt idx="1">
                  <c:v>12.900006450000001</c:v>
                </c:pt>
                <c:pt idx="2">
                  <c:v>17.415001934999996</c:v>
                </c:pt>
                <c:pt idx="3">
                  <c:v>19.350000000000001</c:v>
                </c:pt>
                <c:pt idx="4">
                  <c:v>21.284998065000003</c:v>
                </c:pt>
                <c:pt idx="5">
                  <c:v>25.799993550000003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84928"/>
        <c:axId val="420090808"/>
      </c:scatterChar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2.0202020202020207E-2</c:v>
                </c:pt>
                <c:pt idx="1">
                  <c:v>0.66666700000000001</c:v>
                </c:pt>
                <c:pt idx="2">
                  <c:v>0.90000009999999997</c:v>
                </c:pt>
                <c:pt idx="3">
                  <c:v>1</c:v>
                </c:pt>
                <c:pt idx="4">
                  <c:v>1.0999999</c:v>
                </c:pt>
                <c:pt idx="5">
                  <c:v>1.3333330000000001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0.6</c:v>
                </c:pt>
                <c:pt idx="1">
                  <c:v>0.88</c:v>
                </c:pt>
                <c:pt idx="2">
                  <c:v>0.96</c:v>
                </c:pt>
                <c:pt idx="3">
                  <c:v>0.98</c:v>
                </c:pt>
                <c:pt idx="4">
                  <c:v>0.96</c:v>
                </c:pt>
                <c:pt idx="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91984"/>
        <c:axId val="420089632"/>
      </c:scatterChart>
      <c:valAx>
        <c:axId val="4200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0808"/>
        <c:crosses val="autoZero"/>
        <c:crossBetween val="midCat"/>
      </c:valAx>
      <c:valAx>
        <c:axId val="4200908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4928"/>
        <c:crosses val="autoZero"/>
        <c:crossBetween val="midCat"/>
      </c:valAx>
      <c:valAx>
        <c:axId val="42008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1984"/>
        <c:crosses val="max"/>
        <c:crossBetween val="midCat"/>
      </c:valAx>
      <c:valAx>
        <c:axId val="4200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0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47625</xdr:rowOff>
    </xdr:from>
    <xdr:to>
      <xdr:col>14</xdr:col>
      <xdr:colOff>600075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K10" totalsRowShown="0">
  <autoFilter ref="A4:K10"/>
  <tableColumns count="11">
    <tableColumn id="1" name="ratio"/>
    <tableColumn id="2" name="factor"/>
    <tableColumn id="3" name="speed1" dataDxfId="14">
      <calculatedColumnFormula>Table1[[#This Row],[ratio]]*Table2[s1]</calculatedColumnFormula>
    </tableColumn>
    <tableColumn id="11" name="speed3" dataDxfId="13">
      <calculatedColumnFormula>Table1[[#This Row],[ratio]]*Table2[s2]</calculatedColumnFormula>
    </tableColumn>
    <tableColumn id="10" name="speed2" dataDxfId="12">
      <calculatedColumnFormula>Table1[[#This Row],[ratio]]*Table2[s3]</calculatedColumnFormula>
    </tableColumn>
    <tableColumn id="4" name="speed4" dataDxfId="11">
      <calculatedColumnFormula>Table1[[#This Row],[ratio]]*Table2[s4]</calculatedColumnFormula>
    </tableColumn>
    <tableColumn id="7" name="idleSpeed1" dataDxfId="10">
      <calculatedColumnFormula>Table1[[#This Row],[speed1]]*Table2[idle]/Table2[rated]</calculatedColumnFormula>
    </tableColumn>
    <tableColumn id="6" name="idleSpeed4" dataDxfId="9">
      <calculatedColumnFormula>Table1[[#This Row],[speed4]]*Table2[idle]/Table2[rated]</calculatedColumnFormula>
    </tableColumn>
    <tableColumn id="9" name="ratio1" dataDxfId="8">
      <calculatedColumnFormula>Table2[rated]/(Table1[[#This Row],[speed1]]/3.6 * 60 / (1*2*PI()))</calculatedColumnFormula>
    </tableColumn>
    <tableColumn id="8" name="ratio2" dataDxfId="7">
      <calculatedColumnFormula>Table2[rated]/(Table1[[#This Row],[speed4]]/3.6 * 60 / (1*2*PI()))</calculatedColumnFormula>
    </tableColumn>
    <tableColumn id="5" name="xml" dataDxfId="6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2" totalsRowShown="0">
  <autoFilter ref="A1:R2"/>
  <tableColumns count="18">
    <tableColumn id="5" name="minSpeed"/>
    <tableColumn id="1" name="s1"/>
    <tableColumn id="11" name="s2"/>
    <tableColumn id="14" name="s3"/>
    <tableColumn id="2" name="s4"/>
    <tableColumn id="3" name="idle"/>
    <tableColumn id="4" name="rated"/>
    <tableColumn id="6" name="minRatio">
      <calculatedColumnFormula>Table2[minSpeed]/Table2[s1]/Table2[idle]*Table2[rated]</calculatedColumnFormula>
    </tableColumn>
    <tableColumn id="18" name="extra range"/>
    <tableColumn id="7" name="range"/>
    <tableColumn id="8" name="minEff"/>
    <tableColumn id="9" name="maxEff"/>
    <tableColumn id="10" name="zeroEff"/>
    <tableColumn id="12" name="constF1"/>
    <tableColumn id="13" name="constF2"/>
    <tableColumn id="15" name="rpm40">
      <calculatedColumnFormula>40/(Table2[s4]*(1+Table2[range]))*Table2[rated]</calculatedColumnFormula>
    </tableColumn>
    <tableColumn id="16" name="rpm50">
      <calculatedColumnFormula>50/(Table2[s4]*(1+Table2[range]))*Table2[rated]</calculatedColumnFormula>
    </tableColumn>
    <tableColumn id="17" name="rpm60">
      <calculatedColumnFormula>60/(Table2[s4]*(1+Table2[range]))*Table2[rated]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2:K16" totalsRowShown="0">
  <autoFilter ref="E12:K16"/>
  <tableColumns count="7">
    <tableColumn id="1" name="gear"/>
    <tableColumn id="2" name="speed" dataDxfId="5">
      <calculatedColumnFormula>INDEX(Table2[],1,Table3[[#This Row],[gear]]+1)</calculatedColumnFormula>
    </tableColumn>
    <tableColumn id="9" name="minSpeed" dataDxfId="2">
      <calculatedColumnFormula>$A$5*Table3[[#This Row],[speed]]*Table2[idle]/Table2[rated]</calculatedColumnFormula>
    </tableColumn>
    <tableColumn id="6" name="idleSpeed" dataDxfId="1">
      <calculatedColumnFormula>$A$6*Table3[[#This Row],[speed]]*Table2[idle]/Table2[rated]</calculatedColumnFormula>
    </tableColumn>
    <tableColumn id="5" name="fromSpeed" dataDxfId="4">
      <calculatedColumnFormula>$A$6*Table3[[#This Row],[speed]]</calculatedColumnFormula>
    </tableColumn>
    <tableColumn id="4" name="toSpeed" dataDxfId="3">
      <calculatedColumnFormula>$A$10*Table3[[#This Row],[speed]]</calculatedColumnFormula>
    </tableColumn>
    <tableColumn id="3" name="xml" dataDxfId="0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L4" sqref="L4:L18"/>
    </sheetView>
  </sheetViews>
  <sheetFormatPr defaultRowHeight="15" x14ac:dyDescent="0.25"/>
  <cols>
    <col min="3" max="4" width="9.5703125" customWidth="1"/>
    <col min="5" max="6" width="13.28515625" bestFit="1" customWidth="1"/>
    <col min="7" max="7" width="9.5703125" customWidth="1"/>
    <col min="8" max="8" width="9.5703125" bestFit="1" customWidth="1"/>
    <col min="9" max="9" width="13.140625" customWidth="1"/>
    <col min="10" max="10" width="9.5703125" customWidth="1"/>
    <col min="14" max="14" width="12.28515625" bestFit="1" customWidth="1"/>
  </cols>
  <sheetData>
    <row r="1" spans="1:18" x14ac:dyDescent="0.25">
      <c r="A1" t="s">
        <v>10</v>
      </c>
      <c r="B1" t="s">
        <v>18</v>
      </c>
      <c r="C1" t="s">
        <v>19</v>
      </c>
      <c r="D1" t="s">
        <v>20</v>
      </c>
      <c r="E1" t="s">
        <v>21</v>
      </c>
      <c r="F1" t="s">
        <v>5</v>
      </c>
      <c r="G1" t="s">
        <v>6</v>
      </c>
      <c r="H1" t="s">
        <v>11</v>
      </c>
      <c r="I1" t="s">
        <v>24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22</v>
      </c>
      <c r="Q1" t="s">
        <v>23</v>
      </c>
      <c r="R1" t="s">
        <v>25</v>
      </c>
    </row>
    <row r="2" spans="1:18" x14ac:dyDescent="0.25">
      <c r="A2">
        <v>0.05</v>
      </c>
      <c r="B2">
        <v>5.5</v>
      </c>
      <c r="C2">
        <v>11</v>
      </c>
      <c r="D2">
        <v>22</v>
      </c>
      <c r="E2">
        <v>43</v>
      </c>
      <c r="F2">
        <v>900</v>
      </c>
      <c r="G2">
        <v>2000</v>
      </c>
      <c r="H2">
        <f>Table2[minSpeed]/Table2[s1]/Table2[idle]*Table2[rated]</f>
        <v>2.0202020202020207E-2</v>
      </c>
      <c r="I2">
        <v>0</v>
      </c>
      <c r="J2">
        <v>0.33333299999999999</v>
      </c>
      <c r="K2">
        <v>0.88</v>
      </c>
      <c r="L2">
        <v>0.98</v>
      </c>
      <c r="M2">
        <v>0.6</v>
      </c>
      <c r="N2">
        <v>0.3</v>
      </c>
      <c r="O2">
        <v>0.8</v>
      </c>
      <c r="P2">
        <f>40/(Table2[s4]*(1+Table2[range]))*Table2[rated]</f>
        <v>1395.3491860465988</v>
      </c>
      <c r="Q2">
        <f>50/(Table2[s4]*(1+Table2[range]))*Table2[rated]</f>
        <v>1744.1864825582484</v>
      </c>
      <c r="R2">
        <f>60/(Table2[s4]*(1+Table2[range]))*Table2[rated]</f>
        <v>2093.023779069898</v>
      </c>
    </row>
    <row r="4" spans="1:18" x14ac:dyDescent="0.25">
      <c r="A4" t="s">
        <v>0</v>
      </c>
      <c r="B4" t="s">
        <v>1</v>
      </c>
      <c r="C4" t="s">
        <v>2</v>
      </c>
      <c r="D4" t="s">
        <v>27</v>
      </c>
      <c r="E4" t="s">
        <v>3</v>
      </c>
      <c r="F4" t="s">
        <v>26</v>
      </c>
      <c r="G4" t="s">
        <v>9</v>
      </c>
      <c r="H4" t="s">
        <v>37</v>
      </c>
      <c r="I4" t="s">
        <v>7</v>
      </c>
      <c r="J4" t="s">
        <v>8</v>
      </c>
      <c r="K4" t="s">
        <v>4</v>
      </c>
      <c r="L4" t="s">
        <v>32</v>
      </c>
    </row>
    <row r="5" spans="1:18" x14ac:dyDescent="0.25">
      <c r="A5">
        <f>Table2[minRatio]</f>
        <v>2.0202020202020207E-2</v>
      </c>
      <c r="B5">
        <f>Table2[zeroEff]</f>
        <v>0.6</v>
      </c>
      <c r="C5">
        <f>Table1[[#This Row],[ratio]]*Table2[s1]</f>
        <v>0.11111111111111113</v>
      </c>
      <c r="D5">
        <f>Table1[[#This Row],[ratio]]*Table2[s2]</f>
        <v>0.22222222222222227</v>
      </c>
      <c r="E5">
        <f>Table1[[#This Row],[ratio]]*Table2[s3]</f>
        <v>0.44444444444444453</v>
      </c>
      <c r="F5">
        <f>Table1[[#This Row],[ratio]]*Table2[s4]</f>
        <v>0.86868686868686895</v>
      </c>
      <c r="G5" s="3">
        <f>Table1[[#This Row],[speed1]]*Table2[idle]/Table2[rated]</f>
        <v>5.000000000000001E-2</v>
      </c>
      <c r="H5" s="4">
        <f>Table1[[#This Row],[speed4]]*Table2[idle]/Table2[rated]</f>
        <v>0.39090909090909104</v>
      </c>
      <c r="I5" s="1">
        <f>Table2[rated]/(Table1[[#This Row],[speed1]]/3.6 * 60 / (1*2*PI()))</f>
        <v>6785.8401317539528</v>
      </c>
      <c r="J5" s="1">
        <f>Table2[rated]/(Table1[[#This Row],[speed4]]/3.6 * 60 / (1*2*PI()))</f>
        <v>867.95629592201703</v>
      </c>
      <c r="K5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ratio="0.020202" factor="0.6"/&gt; &lt;!-- 0.05 .. 0.9 --&gt;</v>
      </c>
      <c r="L5" t="str">
        <f>Table1[[#This Row],[xml]]</f>
        <v xml:space="preserve">        &lt;efficiency ratio="0.020202" factor="0.6"/&gt; &lt;!-- 0.05 .. 0.9 --&gt;</v>
      </c>
    </row>
    <row r="6" spans="1:18" x14ac:dyDescent="0.25">
      <c r="A6">
        <f>1-Table2[range]</f>
        <v>0.66666700000000001</v>
      </c>
      <c r="B6">
        <f>Table2[minEff]</f>
        <v>0.88</v>
      </c>
      <c r="C6">
        <f>Table1[[#This Row],[ratio]]*Table2[s1]</f>
        <v>3.6666685000000001</v>
      </c>
      <c r="D6">
        <f>Table1[[#This Row],[ratio]]*Table2[s2]</f>
        <v>7.3333370000000002</v>
      </c>
      <c r="E6">
        <f>Table1[[#This Row],[ratio]]*Table2[s3]</f>
        <v>14.666674</v>
      </c>
      <c r="F6">
        <f>Table1[[#This Row],[ratio]]*Table2[s4]</f>
        <v>28.666681000000001</v>
      </c>
      <c r="G6" s="2">
        <f>Table1[[#This Row],[speed1]]*Table2[idle]/Table2[rated]</f>
        <v>1.650000825</v>
      </c>
      <c r="H6" s="2">
        <f>Table1[[#This Row],[speed4]]*Table2[idle]/Table2[rated]</f>
        <v>12.900006450000001</v>
      </c>
      <c r="I6" s="1">
        <f>Table2[rated]/(Table1[[#This Row],[speed1]]/3.6 * 60 / (1*2*PI()))</f>
        <v>205.63141632835104</v>
      </c>
      <c r="J6" s="1">
        <f>Table2[rated]/(Table1[[#This Row],[speed4]]/3.6 * 60 / (1*2*PI()))</f>
        <v>26.301692786184436</v>
      </c>
      <c r="K6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ratio="0.666667" factor="0.88"/&gt; &lt;!-- 1.65 .. 28.7 --&gt;</v>
      </c>
      <c r="L6" t="str">
        <f>Table1[[#This Row],[xml]]</f>
        <v xml:space="preserve">        &lt;efficiency ratio="0.666667" factor="0.88"/&gt; &lt;!-- 1.65 .. 28.7 --&gt;</v>
      </c>
    </row>
    <row r="7" spans="1:18" x14ac:dyDescent="0.25">
      <c r="A7">
        <f>1-Table2[constF1]*Table2[range]</f>
        <v>0.90000009999999997</v>
      </c>
      <c r="B7">
        <f>Table2[minEff]+Table2[constF2]*(Table2[maxEff]-Table2[minEff])</f>
        <v>0.96</v>
      </c>
      <c r="C7">
        <f>Table1[[#This Row],[ratio]]*Table2[s1]</f>
        <v>4.9500005499999995</v>
      </c>
      <c r="D7">
        <f>Table1[[#This Row],[ratio]]*Table2[s2]</f>
        <v>9.900001099999999</v>
      </c>
      <c r="E7">
        <f>Table1[[#This Row],[ratio]]*Table2[s3]</f>
        <v>19.800002199999998</v>
      </c>
      <c r="F7">
        <f>Table1[[#This Row],[ratio]]*Table2[s4]</f>
        <v>38.700004299999996</v>
      </c>
      <c r="G7" s="2">
        <f>Table1[[#This Row],[speed1]]*Table2[idle]/Table2[rated]</f>
        <v>2.2275002474999996</v>
      </c>
      <c r="H7" s="2">
        <f>Table1[[#This Row],[speed4]]*Table2[idle]/Table2[rated]</f>
        <v>17.415001934999996</v>
      </c>
      <c r="I7" s="1">
        <f>Table2[rated]/(Table1[[#This Row],[speed1]]/3.6 * 60 / (1*2*PI()))</f>
        <v>152.31962688601124</v>
      </c>
      <c r="J7" s="1">
        <f>Table2[rated]/(Table1[[#This Row],[speed4]]/3.6 * 60 / (1*2*PI()))</f>
        <v>19.482742973792135</v>
      </c>
      <c r="K7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ratio="0.9" factor="0.96"/&gt; &lt;!-- 2.23 .. 38.7 --&gt;</v>
      </c>
      <c r="L7" t="str">
        <f>Table1[[#This Row],[xml]]</f>
        <v xml:space="preserve">        &lt;efficiency ratio="0.9" factor="0.96"/&gt; &lt;!-- 2.23 .. 38.7 --&gt;</v>
      </c>
    </row>
    <row r="8" spans="1:18" x14ac:dyDescent="0.25">
      <c r="A8">
        <v>1</v>
      </c>
      <c r="B8">
        <f>Table2[maxEff]</f>
        <v>0.98</v>
      </c>
      <c r="C8" s="5">
        <f>Table1[[#This Row],[ratio]]*Table2[s1]</f>
        <v>5.5</v>
      </c>
      <c r="D8" s="5">
        <f>Table1[[#This Row],[ratio]]*Table2[s2]</f>
        <v>11</v>
      </c>
      <c r="E8">
        <f>Table1[[#This Row],[ratio]]*Table2[s3]</f>
        <v>22</v>
      </c>
      <c r="F8" s="5">
        <f>Table1[[#This Row],[ratio]]*Table2[s4]</f>
        <v>43</v>
      </c>
      <c r="G8" s="2">
        <f>Table1[[#This Row],[speed1]]*Table2[idle]/Table2[rated]</f>
        <v>2.4750000000000001</v>
      </c>
      <c r="H8" s="2">
        <f>Table1[[#This Row],[speed4]]*Table2[idle]/Table2[rated]</f>
        <v>19.350000000000001</v>
      </c>
      <c r="I8" s="1">
        <f>Table2[rated]/(Table1[[#This Row],[speed1]]/3.6 * 60 / (1*2*PI()))</f>
        <v>137.0876794293728</v>
      </c>
      <c r="J8" s="1">
        <f>Table2[rated]/(Table1[[#This Row],[speed4]]/3.6 * 60 / (1*2*PI()))</f>
        <v>17.53447062468722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&lt;!-- 2.48 .. 43 --&gt;</v>
      </c>
      <c r="L8" t="str">
        <f>Table1[[#This Row],[xml]]</f>
        <v xml:space="preserve">        &lt;efficiency ratio="1" factor="0.98"/&gt; &lt;!-- 2.48 .. 43 --&gt;</v>
      </c>
    </row>
    <row r="9" spans="1:18" x14ac:dyDescent="0.25">
      <c r="A9">
        <f>1+Table2[constF1]*Table2[range]</f>
        <v>1.0999999</v>
      </c>
      <c r="B9">
        <f>Table2[minEff]+Table2[constF2]*(Table2[maxEff]-Table2[minEff])</f>
        <v>0.96</v>
      </c>
      <c r="C9">
        <f>Table1[[#This Row],[ratio]]*Table2[s1]</f>
        <v>6.0499994500000005</v>
      </c>
      <c r="D9">
        <f>Table1[[#This Row],[ratio]]*Table2[s2]</f>
        <v>12.099998900000001</v>
      </c>
      <c r="E9">
        <f>Table1[[#This Row],[ratio]]*Table2[s3]</f>
        <v>24.199997800000002</v>
      </c>
      <c r="F9">
        <f>Table1[[#This Row],[ratio]]*Table2[s4]</f>
        <v>47.299995700000004</v>
      </c>
      <c r="G9" s="2">
        <f>Table1[[#This Row],[speed1]]*Table2[idle]/Table2[rated]</f>
        <v>2.7224997525000005</v>
      </c>
      <c r="H9" s="2">
        <f>Table1[[#This Row],[speed4]]*Table2[idle]/Table2[rated]</f>
        <v>21.284998065000003</v>
      </c>
      <c r="I9" s="1">
        <f>Table2[rated]/(Table1[[#This Row],[speed1]]/3.6 * 60 / (1*2*PI()))</f>
        <v>124.62517444717294</v>
      </c>
      <c r="J9" s="1">
        <f>Table2[rated]/(Table1[[#This Row],[speed4]]/3.6 * 60 / (1*2*PI()))</f>
        <v>15.940429289754677</v>
      </c>
      <c r="K9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ratio="1.1" factor="0.96"/&gt; &lt;!-- 2.72 .. 47.3 --&gt;</v>
      </c>
      <c r="L9" t="str">
        <f>Table1[[#This Row],[xml]]</f>
        <v xml:space="preserve">        &lt;efficiency ratio="1.1" factor="0.96"/&gt; &lt;!-- 2.72 .. 47.3 --&gt;</v>
      </c>
    </row>
    <row r="10" spans="1:18" x14ac:dyDescent="0.25">
      <c r="A10">
        <f>1+Table2[range]</f>
        <v>1.3333330000000001</v>
      </c>
      <c r="B10">
        <f>Table2[minEff]</f>
        <v>0.88</v>
      </c>
      <c r="C10">
        <f>Table1[[#This Row],[ratio]]*Table2[s1]</f>
        <v>7.3333315000000008</v>
      </c>
      <c r="D10">
        <f>Table1[[#This Row],[ratio]]*Table2[s2]</f>
        <v>14.666663000000002</v>
      </c>
      <c r="E10">
        <f>Table1[[#This Row],[ratio]]*Table2[s3]</f>
        <v>29.333326000000003</v>
      </c>
      <c r="F10">
        <f>Table1[[#This Row],[ratio]]*Table2[s4]</f>
        <v>57.333319000000003</v>
      </c>
      <c r="G10" s="2">
        <f>Table1[[#This Row],[speed1]]*Table2[idle]/Table2[rated]</f>
        <v>3.2999991750000004</v>
      </c>
      <c r="H10" s="2">
        <f>Table1[[#This Row],[speed4]]*Table2[idle]/Table2[rated]</f>
        <v>25.799993550000003</v>
      </c>
      <c r="I10" s="1">
        <f>Table2[rated]/(Table1[[#This Row],[speed1]]/3.6 * 60 / (1*2*PI()))</f>
        <v>102.8157852759759</v>
      </c>
      <c r="J10" s="1">
        <f>Table2[rated]/(Table1[[#This Row],[speed4]]/3.6 * 60 / (1*2*PI()))</f>
        <v>13.150856256229476</v>
      </c>
      <c r="K10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ratio="1.333333" factor="0.88"/&gt; &lt;!-- 3.3 .. 57.3 --&gt;</v>
      </c>
      <c r="L10" t="str">
        <f>Table1[[#This Row],[xml]]</f>
        <v xml:space="preserve">        &lt;efficiency ratio="1.333333" factor="0.88"/&gt; &lt;!-- 3.3 .. 57.3 --&gt;</v>
      </c>
    </row>
    <row r="11" spans="1:18" x14ac:dyDescent="0.25">
      <c r="L11" t="s">
        <v>33</v>
      </c>
    </row>
    <row r="12" spans="1:18" x14ac:dyDescent="0.25">
      <c r="E12" t="s">
        <v>28</v>
      </c>
      <c r="F12" t="s">
        <v>29</v>
      </c>
      <c r="G12" t="s">
        <v>10</v>
      </c>
      <c r="H12" t="s">
        <v>38</v>
      </c>
      <c r="I12" t="s">
        <v>30</v>
      </c>
      <c r="J12" t="s">
        <v>31</v>
      </c>
      <c r="K12" t="s">
        <v>4</v>
      </c>
      <c r="L12" t="s">
        <v>34</v>
      </c>
    </row>
    <row r="13" spans="1:18" x14ac:dyDescent="0.25">
      <c r="E13">
        <v>1</v>
      </c>
      <c r="F13">
        <f>INDEX(Table2[],1,Table3[[#This Row],[gear]]+1)</f>
        <v>5.5</v>
      </c>
      <c r="G13">
        <f>$A$5*Table3[[#This Row],[speed]]*Table2[idle]/Table2[rated]</f>
        <v>5.000000000000001E-2</v>
      </c>
      <c r="H13">
        <f>$A$6*Table3[[#This Row],[speed]]*Table2[idle]/Table2[rated]</f>
        <v>1.650000825</v>
      </c>
      <c r="I13">
        <f>$A$6*Table3[[#This Row],[speed]]</f>
        <v>3.6666685000000001</v>
      </c>
      <c r="J13">
        <f>$A$10*Table3[[#This Row],[speed]]</f>
        <v>7.3333315000000008</v>
      </c>
      <c r="K13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speed="5.5" name=""/&gt; &lt;!-- 0.05 1.65 4 7--&gt;</v>
      </c>
      <c r="L13" s="5" t="str">
        <f>Table3[[#This Row],[xml]]</f>
        <v xml:space="preserve">        &lt;gear speed="5.5" name=""/&gt; &lt;!-- 0.05 1.65 4 7--&gt;</v>
      </c>
    </row>
    <row r="14" spans="1:18" x14ac:dyDescent="0.25">
      <c r="E14">
        <v>2</v>
      </c>
      <c r="F14">
        <f>INDEX(Table2[],1,Table3[[#This Row],[gear]]+1)</f>
        <v>11</v>
      </c>
      <c r="G14">
        <f>$A$5*Table3[[#This Row],[speed]]*Table2[idle]/Table2[rated]</f>
        <v>0.10000000000000002</v>
      </c>
      <c r="H14">
        <f>$A$6*Table3[[#This Row],[speed]]*Table2[idle]/Table2[rated]</f>
        <v>3.30000165</v>
      </c>
      <c r="I14">
        <f>$A$6*Table3[[#This Row],[speed]]</f>
        <v>7.3333370000000002</v>
      </c>
      <c r="J14">
        <f>$A$10*Table3[[#This Row],[speed]]</f>
        <v>14.666663000000002</v>
      </c>
      <c r="K14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speed="11" name=""/&gt; &lt;!-- 0.1 3.3 7 15--&gt;</v>
      </c>
      <c r="L14" s="5" t="str">
        <f>Table3[[#This Row],[xml]]</f>
        <v xml:space="preserve">        &lt;gear speed="11" name=""/&gt; &lt;!-- 0.1 3.3 7 15--&gt;</v>
      </c>
    </row>
    <row r="15" spans="1:18" x14ac:dyDescent="0.25">
      <c r="E15">
        <v>3</v>
      </c>
      <c r="F15">
        <f>INDEX(Table2[],1,Table3[[#This Row],[gear]]+1)</f>
        <v>22</v>
      </c>
      <c r="G15">
        <f>$A$5*Table3[[#This Row],[speed]]*Table2[idle]/Table2[rated]</f>
        <v>0.20000000000000004</v>
      </c>
      <c r="H15">
        <f>$A$6*Table3[[#This Row],[speed]]*Table2[idle]/Table2[rated]</f>
        <v>6.6000033</v>
      </c>
      <c r="I15">
        <f>$A$6*Table3[[#This Row],[speed]]</f>
        <v>14.666674</v>
      </c>
      <c r="J15">
        <f>$A$10*Table3[[#This Row],[speed]]</f>
        <v>29.333326000000003</v>
      </c>
      <c r="K15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speed="22" name=""/&gt; &lt;!-- 0.2 6.6 15 29--&gt;</v>
      </c>
      <c r="L15" s="5" t="str">
        <f>Table3[[#This Row],[xml]]</f>
        <v xml:space="preserve">        &lt;gear speed="22" name=""/&gt; &lt;!-- 0.2 6.6 15 29--&gt;</v>
      </c>
    </row>
    <row r="16" spans="1:18" x14ac:dyDescent="0.25">
      <c r="E16">
        <v>4</v>
      </c>
      <c r="F16">
        <f>INDEX(Table2[],1,Table3[[#This Row],[gear]]+1)</f>
        <v>43</v>
      </c>
      <c r="G16">
        <f>$A$5*Table3[[#This Row],[speed]]*Table2[idle]/Table2[rated]</f>
        <v>0.39090909090909104</v>
      </c>
      <c r="H16">
        <f>$A$6*Table3[[#This Row],[speed]]*Table2[idle]/Table2[rated]</f>
        <v>12.900006450000001</v>
      </c>
      <c r="I16">
        <f>$A$6*Table3[[#This Row],[speed]]</f>
        <v>28.666681000000001</v>
      </c>
      <c r="J16">
        <f>$A$10*Table3[[#This Row],[speed]]</f>
        <v>57.333319000000003</v>
      </c>
      <c r="K16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speed="43" name=""/&gt; &lt;!-- 0.39 12.9 29 57--&gt;</v>
      </c>
      <c r="L16" s="5" t="str">
        <f>Table3[[#This Row],[xml]]</f>
        <v xml:space="preserve">        &lt;gear speed="43" name=""/&gt; &lt;!-- 0.39 12.9 29 57--&gt;</v>
      </c>
    </row>
    <row r="17" spans="12:12" x14ac:dyDescent="0.25">
      <c r="L17" t="s">
        <v>35</v>
      </c>
    </row>
    <row r="18" spans="12:12" x14ac:dyDescent="0.25">
      <c r="L18" t="s">
        <v>36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2015-10-20T10:08:16Z</dcterms:modified>
</cp:coreProperties>
</file>