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4365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F2" i="3"/>
  <c r="C2" i="3"/>
  <c r="K58" i="3" l="1"/>
  <c r="K59" i="3"/>
  <c r="K60" i="3"/>
  <c r="K61" i="3"/>
  <c r="K62" i="3"/>
  <c r="K55" i="3"/>
  <c r="K56" i="3"/>
  <c r="K57" i="3"/>
  <c r="K38" i="3" l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J4" i="3" l="1"/>
  <c r="V4" i="3" l="1"/>
  <c r="K7" i="3" s="1"/>
  <c r="O4" i="3"/>
  <c r="H4" i="3" s="1"/>
  <c r="P4" i="3"/>
  <c r="L7" i="3" l="1"/>
  <c r="V59" i="3"/>
  <c r="V58" i="3"/>
  <c r="D58" i="3" s="1"/>
  <c r="G58" i="3" s="1"/>
  <c r="I58" i="3" s="1"/>
  <c r="V57" i="3"/>
  <c r="D57" i="3" s="1"/>
  <c r="G57" i="3" s="1"/>
  <c r="I57" i="3" s="1"/>
  <c r="V60" i="3"/>
  <c r="D60" i="3" s="1"/>
  <c r="G60" i="3" s="1"/>
  <c r="I60" i="3" s="1"/>
  <c r="V55" i="3"/>
  <c r="V62" i="3"/>
  <c r="D62" i="3" s="1"/>
  <c r="G62" i="3" s="1"/>
  <c r="I62" i="3" s="1"/>
  <c r="V61" i="3"/>
  <c r="D61" i="3" s="1"/>
  <c r="G61" i="3" s="1"/>
  <c r="I61" i="3" s="1"/>
  <c r="V56" i="3"/>
  <c r="D56" i="3" s="1"/>
  <c r="G56" i="3" s="1"/>
  <c r="I56" i="3" s="1"/>
  <c r="D59" i="3"/>
  <c r="G59" i="3" s="1"/>
  <c r="I59" i="3" s="1"/>
  <c r="D55" i="3"/>
  <c r="G55" i="3" s="1"/>
  <c r="I55" i="3" s="1"/>
  <c r="V44" i="3"/>
  <c r="V48" i="3"/>
  <c r="V52" i="3"/>
  <c r="D52" i="3" s="1"/>
  <c r="G52" i="3" s="1"/>
  <c r="I52" i="3" s="1"/>
  <c r="V51" i="3"/>
  <c r="V45" i="3"/>
  <c r="V49" i="3"/>
  <c r="V53" i="3"/>
  <c r="D53" i="3" s="1"/>
  <c r="G53" i="3" s="1"/>
  <c r="I53" i="3" s="1"/>
  <c r="V43" i="3"/>
  <c r="V46" i="3"/>
  <c r="V50" i="3"/>
  <c r="V54" i="3"/>
  <c r="D54" i="3" s="1"/>
  <c r="G54" i="3" s="1"/>
  <c r="I54" i="3" s="1"/>
  <c r="V47" i="3"/>
  <c r="R4" i="3"/>
  <c r="V9" i="3"/>
  <c r="V13" i="3"/>
  <c r="V17" i="3"/>
  <c r="V21" i="3"/>
  <c r="V25" i="3"/>
  <c r="V29" i="3"/>
  <c r="V33" i="3"/>
  <c r="V37" i="3"/>
  <c r="V41" i="3"/>
  <c r="V14" i="3"/>
  <c r="V22" i="3"/>
  <c r="V30" i="3"/>
  <c r="V38" i="3"/>
  <c r="V7" i="3"/>
  <c r="V11" i="3"/>
  <c r="V15" i="3"/>
  <c r="V19" i="3"/>
  <c r="V23" i="3"/>
  <c r="V27" i="3"/>
  <c r="V31" i="3"/>
  <c r="V35" i="3"/>
  <c r="V39" i="3"/>
  <c r="V8" i="3"/>
  <c r="V12" i="3"/>
  <c r="V16" i="3"/>
  <c r="V20" i="3"/>
  <c r="V24" i="3"/>
  <c r="V28" i="3"/>
  <c r="V32" i="3"/>
  <c r="V36" i="3"/>
  <c r="V40" i="3"/>
  <c r="V10" i="3"/>
  <c r="V18" i="3"/>
  <c r="V26" i="3"/>
  <c r="V34" i="3"/>
  <c r="V42" i="3"/>
  <c r="Q4" i="3"/>
  <c r="S4" i="3"/>
  <c r="U60" i="3" l="1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D51" i="3" s="1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D45" i="3" s="1"/>
  <c r="G45" i="3" s="1"/>
  <c r="I45" i="3" s="1"/>
  <c r="T49" i="3"/>
  <c r="D49" i="3" s="1"/>
  <c r="G49" i="3" s="1"/>
  <c r="I49" i="3" s="1"/>
  <c r="T53" i="3"/>
  <c r="T43" i="3"/>
  <c r="D43" i="3" s="1"/>
  <c r="G43" i="3" s="1"/>
  <c r="I43" i="3" s="1"/>
  <c r="T52" i="3"/>
  <c r="T46" i="3"/>
  <c r="D46" i="3" s="1"/>
  <c r="G46" i="3" s="1"/>
  <c r="I46" i="3" s="1"/>
  <c r="T50" i="3"/>
  <c r="T54" i="3"/>
  <c r="T44" i="3"/>
  <c r="T47" i="3"/>
  <c r="T51" i="3"/>
  <c r="T48" i="3"/>
  <c r="D48" i="3" s="1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D35" i="3" s="1"/>
  <c r="G35" i="3" s="1"/>
  <c r="I35" i="3" s="1"/>
  <c r="T39" i="3"/>
  <c r="T8" i="3"/>
  <c r="T12" i="3"/>
  <c r="T16" i="3"/>
  <c r="T20" i="3"/>
  <c r="T24" i="3"/>
  <c r="T28" i="3"/>
  <c r="T32" i="3"/>
  <c r="T36" i="3"/>
  <c r="D36" i="3" s="1"/>
  <c r="G36" i="3" s="1"/>
  <c r="I36" i="3" s="1"/>
  <c r="T40" i="3"/>
  <c r="D40" i="3" s="1"/>
  <c r="G40" i="3" s="1"/>
  <c r="I40" i="3" s="1"/>
  <c r="T9" i="3"/>
  <c r="T13" i="3"/>
  <c r="T17" i="3"/>
  <c r="T21" i="3"/>
  <c r="T25" i="3"/>
  <c r="T29" i="3"/>
  <c r="T33" i="3"/>
  <c r="T37" i="3"/>
  <c r="T41" i="3"/>
  <c r="D41" i="3" s="1"/>
  <c r="G41" i="3" s="1"/>
  <c r="I41" i="3" s="1"/>
  <c r="T10" i="3"/>
  <c r="T26" i="3"/>
  <c r="T42" i="3"/>
  <c r="D42" i="3" s="1"/>
  <c r="G42" i="3" s="1"/>
  <c r="I42" i="3" s="1"/>
  <c r="T38" i="3"/>
  <c r="T14" i="3"/>
  <c r="T30" i="3"/>
  <c r="T18" i="3"/>
  <c r="T34" i="3"/>
  <c r="D34" i="3" s="1"/>
  <c r="G34" i="3" s="1"/>
  <c r="I34" i="3" s="1"/>
  <c r="T22" i="3"/>
  <c r="D47" i="3" l="1"/>
  <c r="G47" i="3" s="1"/>
  <c r="I47" i="3" s="1"/>
  <c r="D39" i="3"/>
  <c r="G39" i="3" s="1"/>
  <c r="I39" i="3" s="1"/>
  <c r="D50" i="3"/>
  <c r="G50" i="3" s="1"/>
  <c r="I50" i="3" s="1"/>
  <c r="D44" i="3"/>
  <c r="G44" i="3" s="1"/>
  <c r="I44" i="3" s="1"/>
  <c r="D4" i="3"/>
  <c r="E4" i="3"/>
  <c r="I4" i="3" s="1"/>
  <c r="A4" i="3"/>
  <c r="F4" i="3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Q62" i="3"/>
  <c r="Q55" i="3"/>
  <c r="B55" i="3" s="1"/>
  <c r="F55" i="3" s="1"/>
  <c r="H55" i="3" s="1"/>
  <c r="Q56" i="3"/>
  <c r="B56" i="3" s="1"/>
  <c r="F56" i="3" s="1"/>
  <c r="H56" i="3" s="1"/>
  <c r="Q59" i="3"/>
  <c r="Q60" i="3"/>
  <c r="B60" i="3" s="1"/>
  <c r="F60" i="3" s="1"/>
  <c r="H60" i="3" s="1"/>
  <c r="Q57" i="3"/>
  <c r="Q61" i="3"/>
  <c r="B61" i="3" s="1"/>
  <c r="F61" i="3" s="1"/>
  <c r="H61" i="3" s="1"/>
  <c r="B59" i="3"/>
  <c r="F59" i="3" s="1"/>
  <c r="H59" i="3" s="1"/>
  <c r="B62" i="3"/>
  <c r="F62" i="3" s="1"/>
  <c r="H62" i="3" s="1"/>
  <c r="B57" i="3"/>
  <c r="F57" i="3" s="1"/>
  <c r="H57" i="3" s="1"/>
  <c r="B58" i="3"/>
  <c r="F58" i="3" s="1"/>
  <c r="H58" i="3" s="1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Q49" i="3"/>
  <c r="Q53" i="3"/>
  <c r="B53" i="3" s="1"/>
  <c r="F53" i="3" s="1"/>
  <c r="Q43" i="3"/>
  <c r="Q52" i="3"/>
  <c r="Q46" i="3"/>
  <c r="Q50" i="3"/>
  <c r="Q54" i="3"/>
  <c r="B54" i="3" s="1"/>
  <c r="F54" i="3" s="1"/>
  <c r="H54" i="3" s="1"/>
  <c r="Q48" i="3"/>
  <c r="Q47" i="3"/>
  <c r="Q51" i="3"/>
  <c r="Q44" i="3"/>
  <c r="B52" i="3"/>
  <c r="F52" i="3" s="1"/>
  <c r="P45" i="3"/>
  <c r="P49" i="3"/>
  <c r="P53" i="3"/>
  <c r="P46" i="3"/>
  <c r="P50" i="3"/>
  <c r="P54" i="3"/>
  <c r="P44" i="3"/>
  <c r="P52" i="3"/>
  <c r="P47" i="3"/>
  <c r="P51" i="3"/>
  <c r="B51" i="3" s="1"/>
  <c r="F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Q31" i="3"/>
  <c r="Q35" i="3"/>
  <c r="Q39" i="3"/>
  <c r="Q8" i="3"/>
  <c r="Q12" i="3"/>
  <c r="Q16" i="3"/>
  <c r="Q20" i="3"/>
  <c r="Q24" i="3"/>
  <c r="Q28" i="3"/>
  <c r="Q32" i="3"/>
  <c r="Q36" i="3"/>
  <c r="Q40" i="3"/>
  <c r="Q9" i="3"/>
  <c r="Q13" i="3"/>
  <c r="Q17" i="3"/>
  <c r="Q21" i="3"/>
  <c r="Q25" i="3"/>
  <c r="Q29" i="3"/>
  <c r="Q33" i="3"/>
  <c r="Q37" i="3"/>
  <c r="Q41" i="3"/>
  <c r="Q14" i="3"/>
  <c r="Q30" i="3"/>
  <c r="Q10" i="3"/>
  <c r="Q18" i="3"/>
  <c r="Q34" i="3"/>
  <c r="Q42" i="3"/>
  <c r="Q22" i="3"/>
  <c r="Q38" i="3"/>
  <c r="Q26" i="3"/>
  <c r="S7" i="3"/>
  <c r="S11" i="3"/>
  <c r="S15" i="3"/>
  <c r="D15" i="3" s="1"/>
  <c r="G15" i="3" s="1"/>
  <c r="S19" i="3"/>
  <c r="D19" i="3" s="1"/>
  <c r="G19" i="3" s="1"/>
  <c r="S23" i="3"/>
  <c r="D23" i="3" s="1"/>
  <c r="G23" i="3" s="1"/>
  <c r="I23" i="3" s="1"/>
  <c r="S27" i="3"/>
  <c r="D27" i="3" s="1"/>
  <c r="G27" i="3" s="1"/>
  <c r="I27" i="3" s="1"/>
  <c r="S31" i="3"/>
  <c r="D31" i="3" s="1"/>
  <c r="G31" i="3" s="1"/>
  <c r="I31" i="3" s="1"/>
  <c r="S35" i="3"/>
  <c r="S39" i="3"/>
  <c r="N7" i="3"/>
  <c r="N11" i="3"/>
  <c r="N15" i="3"/>
  <c r="N19" i="3"/>
  <c r="N23" i="3"/>
  <c r="N27" i="3"/>
  <c r="N31" i="3"/>
  <c r="N35" i="3"/>
  <c r="N39" i="3"/>
  <c r="S8" i="3"/>
  <c r="S12" i="3"/>
  <c r="D12" i="3" s="1"/>
  <c r="S16" i="3"/>
  <c r="D16" i="3" s="1"/>
  <c r="G16" i="3" s="1"/>
  <c r="S20" i="3"/>
  <c r="D20" i="3" s="1"/>
  <c r="G20" i="3" s="1"/>
  <c r="I20" i="3" s="1"/>
  <c r="S24" i="3"/>
  <c r="D24" i="3" s="1"/>
  <c r="G24" i="3" s="1"/>
  <c r="I24" i="3" s="1"/>
  <c r="S28" i="3"/>
  <c r="D28" i="3" s="1"/>
  <c r="G28" i="3" s="1"/>
  <c r="I28" i="3" s="1"/>
  <c r="S32" i="3"/>
  <c r="D32" i="3" s="1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D13" i="3" s="1"/>
  <c r="G13" i="3" s="1"/>
  <c r="S17" i="3"/>
  <c r="D17" i="3" s="1"/>
  <c r="G17" i="3" s="1"/>
  <c r="S21" i="3"/>
  <c r="D21" i="3" s="1"/>
  <c r="G21" i="3" s="1"/>
  <c r="I21" i="3" s="1"/>
  <c r="S25" i="3"/>
  <c r="D25" i="3" s="1"/>
  <c r="G25" i="3" s="1"/>
  <c r="I25" i="3" s="1"/>
  <c r="S29" i="3"/>
  <c r="D29" i="3" s="1"/>
  <c r="G29" i="3" s="1"/>
  <c r="I29" i="3" s="1"/>
  <c r="S33" i="3"/>
  <c r="D33" i="3" s="1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D22" i="3" s="1"/>
  <c r="G22" i="3" s="1"/>
  <c r="I22" i="3" s="1"/>
  <c r="S38" i="3"/>
  <c r="N18" i="3"/>
  <c r="N34" i="3"/>
  <c r="S10" i="3"/>
  <c r="S26" i="3"/>
  <c r="D26" i="3" s="1"/>
  <c r="G26" i="3" s="1"/>
  <c r="I26" i="3" s="1"/>
  <c r="S42" i="3"/>
  <c r="N22" i="3"/>
  <c r="N38" i="3"/>
  <c r="S18" i="3"/>
  <c r="D18" i="3" s="1"/>
  <c r="G18" i="3" s="1"/>
  <c r="N14" i="3"/>
  <c r="S14" i="3"/>
  <c r="S30" i="3"/>
  <c r="D30" i="3" s="1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M61" i="3" l="1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H53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B44" i="3" s="1"/>
  <c r="F44" i="3" s="1"/>
  <c r="O48" i="3"/>
  <c r="B48" i="3" s="1"/>
  <c r="F48" i="3" s="1"/>
  <c r="O52" i="3"/>
  <c r="O51" i="3"/>
  <c r="O45" i="3"/>
  <c r="B45" i="3" s="1"/>
  <c r="F45" i="3" s="1"/>
  <c r="O49" i="3"/>
  <c r="B49" i="3" s="1"/>
  <c r="F49" i="3" s="1"/>
  <c r="O53" i="3"/>
  <c r="O43" i="3"/>
  <c r="B43" i="3" s="1"/>
  <c r="F43" i="3" s="1"/>
  <c r="O46" i="3"/>
  <c r="B46" i="3" s="1"/>
  <c r="F46" i="3" s="1"/>
  <c r="O50" i="3"/>
  <c r="B50" i="3" s="1"/>
  <c r="F50" i="3" s="1"/>
  <c r="O54" i="3"/>
  <c r="O47" i="3"/>
  <c r="B47" i="3" s="1"/>
  <c r="F47" i="3" s="1"/>
  <c r="M10" i="3"/>
  <c r="B10" i="3" s="1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B11" i="3" s="1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D7" i="3" s="1"/>
  <c r="G7" i="3" s="1"/>
  <c r="I7" i="3" s="1"/>
  <c r="R11" i="3"/>
  <c r="D11" i="3" s="1"/>
  <c r="G11" i="3" s="1"/>
  <c r="R15" i="3"/>
  <c r="R19" i="3"/>
  <c r="R23" i="3"/>
  <c r="R27" i="3"/>
  <c r="R31" i="3"/>
  <c r="R35" i="3"/>
  <c r="R39" i="3"/>
  <c r="R8" i="3"/>
  <c r="R12" i="3"/>
  <c r="R16" i="3"/>
  <c r="R20" i="3"/>
  <c r="R24" i="3"/>
  <c r="R28" i="3"/>
  <c r="R32" i="3"/>
  <c r="R36" i="3"/>
  <c r="R40" i="3"/>
  <c r="R9" i="3"/>
  <c r="D9" i="3" s="1"/>
  <c r="G9" i="3" s="1"/>
  <c r="R13" i="3"/>
  <c r="R17" i="3"/>
  <c r="R21" i="3"/>
  <c r="R25" i="3"/>
  <c r="R29" i="3"/>
  <c r="R33" i="3"/>
  <c r="R37" i="3"/>
  <c r="D37" i="3" s="1"/>
  <c r="G37" i="3" s="1"/>
  <c r="I37" i="3" s="1"/>
  <c r="R41" i="3"/>
  <c r="R18" i="3"/>
  <c r="R34" i="3"/>
  <c r="R22" i="3"/>
  <c r="R38" i="3"/>
  <c r="D38" i="3" s="1"/>
  <c r="G38" i="3" s="1"/>
  <c r="I38" i="3" s="1"/>
  <c r="R30" i="3"/>
  <c r="R10" i="3"/>
  <c r="R26" i="3"/>
  <c r="R42" i="3"/>
  <c r="R14" i="3"/>
  <c r="D14" i="3" s="1"/>
  <c r="G14" i="3" s="1"/>
  <c r="I14" i="3" s="1"/>
  <c r="O7" i="3"/>
  <c r="O11" i="3"/>
  <c r="O15" i="3"/>
  <c r="B15" i="3" s="1"/>
  <c r="F15" i="3" s="1"/>
  <c r="K15" i="3" s="1"/>
  <c r="O19" i="3"/>
  <c r="O23" i="3"/>
  <c r="B23" i="3" s="1"/>
  <c r="F23" i="3" s="1"/>
  <c r="K23" i="3" s="1"/>
  <c r="O27" i="3"/>
  <c r="B27" i="3" s="1"/>
  <c r="F27" i="3" s="1"/>
  <c r="K27" i="3" s="1"/>
  <c r="O31" i="3"/>
  <c r="B31" i="3" s="1"/>
  <c r="F31" i="3" s="1"/>
  <c r="K31" i="3" s="1"/>
  <c r="O35" i="3"/>
  <c r="B35" i="3" s="1"/>
  <c r="F35" i="3" s="1"/>
  <c r="K35" i="3" s="1"/>
  <c r="O39" i="3"/>
  <c r="B39" i="3" s="1"/>
  <c r="F39" i="3" s="1"/>
  <c r="O8" i="3"/>
  <c r="O12" i="3"/>
  <c r="O16" i="3"/>
  <c r="B16" i="3" s="1"/>
  <c r="F16" i="3" s="1"/>
  <c r="K16" i="3" s="1"/>
  <c r="O20" i="3"/>
  <c r="O24" i="3"/>
  <c r="B24" i="3" s="1"/>
  <c r="F24" i="3" s="1"/>
  <c r="K24" i="3" s="1"/>
  <c r="O28" i="3"/>
  <c r="B28" i="3" s="1"/>
  <c r="F28" i="3" s="1"/>
  <c r="K28" i="3" s="1"/>
  <c r="O32" i="3"/>
  <c r="B32" i="3" s="1"/>
  <c r="F32" i="3" s="1"/>
  <c r="K32" i="3" s="1"/>
  <c r="O36" i="3"/>
  <c r="B36" i="3" s="1"/>
  <c r="F36" i="3" s="1"/>
  <c r="K36" i="3" s="1"/>
  <c r="O40" i="3"/>
  <c r="B40" i="3" s="1"/>
  <c r="F40" i="3" s="1"/>
  <c r="O9" i="3"/>
  <c r="O13" i="3"/>
  <c r="O17" i="3"/>
  <c r="B17" i="3" s="1"/>
  <c r="F17" i="3" s="1"/>
  <c r="K17" i="3" s="1"/>
  <c r="O21" i="3"/>
  <c r="O25" i="3"/>
  <c r="B25" i="3" s="1"/>
  <c r="F25" i="3" s="1"/>
  <c r="K25" i="3" s="1"/>
  <c r="O29" i="3"/>
  <c r="B29" i="3" s="1"/>
  <c r="F29" i="3" s="1"/>
  <c r="K29" i="3" s="1"/>
  <c r="O33" i="3"/>
  <c r="B33" i="3" s="1"/>
  <c r="F33" i="3" s="1"/>
  <c r="K33" i="3" s="1"/>
  <c r="O37" i="3"/>
  <c r="B37" i="3" s="1"/>
  <c r="F37" i="3" s="1"/>
  <c r="K37" i="3" s="1"/>
  <c r="O41" i="3"/>
  <c r="B41" i="3" s="1"/>
  <c r="F41" i="3" s="1"/>
  <c r="O22" i="3"/>
  <c r="B22" i="3" s="1"/>
  <c r="F22" i="3" s="1"/>
  <c r="K22" i="3" s="1"/>
  <c r="O38" i="3"/>
  <c r="B38" i="3" s="1"/>
  <c r="F38" i="3" s="1"/>
  <c r="O34" i="3"/>
  <c r="B34" i="3" s="1"/>
  <c r="F34" i="3" s="1"/>
  <c r="K34" i="3" s="1"/>
  <c r="O10" i="3"/>
  <c r="O26" i="3"/>
  <c r="B26" i="3" s="1"/>
  <c r="F26" i="3" s="1"/>
  <c r="K26" i="3" s="1"/>
  <c r="O42" i="3"/>
  <c r="B42" i="3" s="1"/>
  <c r="F42" i="3" s="1"/>
  <c r="O14" i="3"/>
  <c r="B14" i="3" s="1"/>
  <c r="F14" i="3" s="1"/>
  <c r="K14" i="3" s="1"/>
  <c r="O30" i="3"/>
  <c r="B30" i="3" s="1"/>
  <c r="F30" i="3" s="1"/>
  <c r="K30" i="3" s="1"/>
  <c r="O18" i="3"/>
  <c r="B18" i="3" s="1"/>
  <c r="F18" i="3" s="1"/>
  <c r="K18" i="3" s="1"/>
  <c r="I18" i="3"/>
  <c r="I15" i="3"/>
  <c r="I13" i="3"/>
  <c r="I16" i="3"/>
  <c r="I19" i="3"/>
  <c r="I17" i="3"/>
  <c r="G12" i="3"/>
  <c r="F12" i="3"/>
  <c r="F13" i="3"/>
  <c r="K13" i="3" s="1"/>
  <c r="D22" i="1"/>
  <c r="K12" i="3" l="1"/>
  <c r="K11" i="3"/>
  <c r="H50" i="3"/>
  <c r="H49" i="3"/>
  <c r="H48" i="3"/>
  <c r="H46" i="3"/>
  <c r="H45" i="3"/>
  <c r="H44" i="3"/>
  <c r="H47" i="3"/>
  <c r="H43" i="3"/>
  <c r="D10" i="3"/>
  <c r="G10" i="3" s="1"/>
  <c r="K10" i="3" s="1"/>
  <c r="D8" i="3"/>
  <c r="G8" i="3" s="1"/>
  <c r="I8" i="3" s="1"/>
  <c r="B19" i="3"/>
  <c r="F19" i="3" s="1"/>
  <c r="K19" i="3" s="1"/>
  <c r="B21" i="3"/>
  <c r="F21" i="3" s="1"/>
  <c r="K21" i="3" s="1"/>
  <c r="B20" i="3"/>
  <c r="F20" i="3" s="1"/>
  <c r="K20" i="3" s="1"/>
  <c r="I12" i="3"/>
  <c r="I11" i="3"/>
  <c r="I9" i="3"/>
  <c r="H39" i="3"/>
  <c r="H34" i="3"/>
  <c r="H14" i="3"/>
  <c r="H33" i="3"/>
  <c r="H15" i="3"/>
  <c r="H26" i="3"/>
  <c r="H41" i="3"/>
  <c r="H11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K9" i="3" s="1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K8" i="3" l="1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<sst xmlns="http://schemas.openxmlformats.org/spreadsheetml/2006/main" count="88" uniqueCount="72">
  <si>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</si>
  <si>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</si>
  <si>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</si>
  <si>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</si>
  <si>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</si>
  <si>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</si>
  <si>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</si>
  <si>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</si>
  <si>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</si>
  <si>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</si>
  <si>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</si>
  <si>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</si>
  <si>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</si>
  <si>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</si>
  <si>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</si>
  <si>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</si>
  <si>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</si>
  <si>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</si>
  <si>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</si>
  <si>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</si>
  <si>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</si>
  <si>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</si>
  <si>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</si>
  <si>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</si>
  <si>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</si>
  <si>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</si>
  <si>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</si>
  <si>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</si>
  <si>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</si>
  <si>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</si>
  <si>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</si>
  <si>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</si>
  <si>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</si>
  <si>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</si>
  <si>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</si>
  <si>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</si>
  <si>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</si>
  <si>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</si>
  <si>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</si>
  <si>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</si>
  <si>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</si>
  <si>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</si>
  <si>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</si>
  <si>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</si>
  <si>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</si>
  <si>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</si>
  <si>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</si>
  <si>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</si>
  <si>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</si>
  <si>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</si>
  <si>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</si>
  <si>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</si>
  <si>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</si>
  <si>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</si>
  <si>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</si>
  <si>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</si>
  <si>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</si>
  <si>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</si>
  <si>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</si>
  <si>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</si>
  <si>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</si>
  <si>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</si>
  <si>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</si>
  <si>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</si>
  <si>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</si>
  <si>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</si>
  <si>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</si>
  <si>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</si>
  <si>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</si>
  <si>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g/kWh</t>
  </si>
  <si>
    <t>max kW</t>
  </si>
  <si>
    <t>rated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</si>
</sst>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9" fontId="4" fillId="2" borderId="10" xfId="1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3" xfId="0" applyBorder="1"/>
    <xf numFmtId="0" fontId="0" fillId="0" borderId="7" xfId="0" applyBorder="1"/>
    <xf numFmtId="9" fontId="0" fillId="0" borderId="8" xfId="1" applyFont="1" applyBorder="1"/>
    <xf numFmtId="0" fontId="0" fillId="0" borderId="9" xfId="0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4" fillId="2" borderId="12" xfId="1" applyNumberFormat="1" applyFont="1" applyFill="1" applyBorder="1"/>
    <xf numFmtId="1" fontId="7" fillId="0" borderId="0" xfId="0" applyNumberFormat="1" applyFont="1"/>
    <xf numFmtId="165" fontId="4" fillId="2" borderId="11" xfId="1" applyNumberFormat="1" applyFont="1" applyFill="1" applyBorder="1"/>
  </cellXfs>
  <cellStyles count="2">
    <cellStyle name="Normal" xfId="0" builtinId="0"/>
    <cellStyle name="Percent" xfId="1" builtinId="5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620.18399960807358</c:v>
                </c:pt>
                <c:pt idx="2">
                  <c:v>820.93178522437768</c:v>
                </c:pt>
                <c:pt idx="3">
                  <c:v>853.09999999999991</c:v>
                </c:pt>
                <c:pt idx="4">
                  <c:v>865.01224489795914</c:v>
                </c:pt>
                <c:pt idx="5">
                  <c:v>875.09183673469386</c:v>
                </c:pt>
                <c:pt idx="6">
                  <c:v>883.33877551020407</c:v>
                </c:pt>
                <c:pt idx="7">
                  <c:v>889.75306122448978</c:v>
                </c:pt>
                <c:pt idx="8">
                  <c:v>894.33469387755099</c:v>
                </c:pt>
                <c:pt idx="9">
                  <c:v>897.08367346938769</c:v>
                </c:pt>
                <c:pt idx="10">
                  <c:v>898</c:v>
                </c:pt>
                <c:pt idx="11">
                  <c:v>894.84960784313728</c:v>
                </c:pt>
                <c:pt idx="12">
                  <c:v>885.39843137254911</c:v>
                </c:pt>
                <c:pt idx="13">
                  <c:v>878.31004901960785</c:v>
                </c:pt>
                <c:pt idx="14">
                  <c:v>869.64647058823527</c:v>
                </c:pt>
                <c:pt idx="15">
                  <c:v>859.4076960784314</c:v>
                </c:pt>
                <c:pt idx="16">
                  <c:v>847.59372549019611</c:v>
                </c:pt>
                <c:pt idx="17">
                  <c:v>834.2045588235294</c:v>
                </c:pt>
                <c:pt idx="18">
                  <c:v>819.24019607843138</c:v>
                </c:pt>
                <c:pt idx="19">
                  <c:v>765.76881884260797</c:v>
                </c:pt>
                <c:pt idx="20">
                  <c:v>645.51117889336808</c:v>
                </c:pt>
                <c:pt idx="21">
                  <c:v>473.11955201942459</c:v>
                </c:pt>
                <c:pt idx="22">
                  <c:v>254.7929539777063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620.18399960807358</c:v>
                </c:pt>
                <c:pt idx="2">
                  <c:v>820.93178522437768</c:v>
                </c:pt>
                <c:pt idx="3">
                  <c:v>853.09999999999991</c:v>
                </c:pt>
                <c:pt idx="4">
                  <c:v>865.01224489795914</c:v>
                </c:pt>
                <c:pt idx="5">
                  <c:v>875.09183673469386</c:v>
                </c:pt>
                <c:pt idx="6">
                  <c:v>883.33877551020407</c:v>
                </c:pt>
                <c:pt idx="7">
                  <c:v>889.75306122448978</c:v>
                </c:pt>
                <c:pt idx="8">
                  <c:v>894.33469387755099</c:v>
                </c:pt>
                <c:pt idx="9">
                  <c:v>897.08367346938769</c:v>
                </c:pt>
                <c:pt idx="10">
                  <c:v>898</c:v>
                </c:pt>
                <c:pt idx="11">
                  <c:v>894.84960784313728</c:v>
                </c:pt>
                <c:pt idx="12">
                  <c:v>885.39843137254911</c:v>
                </c:pt>
                <c:pt idx="13">
                  <c:v>878.31004901960785</c:v>
                </c:pt>
                <c:pt idx="14">
                  <c:v>869.64647058823527</c:v>
                </c:pt>
                <c:pt idx="15">
                  <c:v>859.4076960784314</c:v>
                </c:pt>
                <c:pt idx="16">
                  <c:v>847.59372549019611</c:v>
                </c:pt>
                <c:pt idx="17">
                  <c:v>834.2045588235294</c:v>
                </c:pt>
                <c:pt idx="18">
                  <c:v>819.24019607843138</c:v>
                </c:pt>
                <c:pt idx="19">
                  <c:v>765.76881884260797</c:v>
                </c:pt>
                <c:pt idx="20">
                  <c:v>645.51117889336808</c:v>
                </c:pt>
                <c:pt idx="21">
                  <c:v>473.11955201942459</c:v>
                </c:pt>
                <c:pt idx="22">
                  <c:v>254.7929539777063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44616"/>
        <c:axId val="374845792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30.911788880988805</c:v>
                </c:pt>
                <c:pt idx="2">
                  <c:v>81.835294192000802</c:v>
                </c:pt>
                <c:pt idx="3">
                  <c:v>109.33972774869109</c:v>
                </c:pt>
                <c:pt idx="4">
                  <c:v>123.18498984934287</c:v>
                </c:pt>
                <c:pt idx="5">
                  <c:v>137.08244897959185</c:v>
                </c:pt>
                <c:pt idx="6">
                  <c:v>150.95380959504223</c:v>
                </c:pt>
                <c:pt idx="7">
                  <c:v>164.72077615129822</c:v>
                </c:pt>
                <c:pt idx="8">
                  <c:v>178.3050531039641</c:v>
                </c:pt>
                <c:pt idx="9">
                  <c:v>191.6283449086441</c:v>
                </c:pt>
                <c:pt idx="10">
                  <c:v>204.6123560209424</c:v>
                </c:pt>
                <c:pt idx="11">
                  <c:v>216.63793647469461</c:v>
                </c:pt>
                <c:pt idx="12">
                  <c:v>226.95867643979062</c:v>
                </c:pt>
                <c:pt idx="13">
                  <c:v>231.39561082024434</c:v>
                </c:pt>
                <c:pt idx="14">
                  <c:v>235.30539057591622</c:v>
                </c:pt>
                <c:pt idx="15">
                  <c:v>238.65436753926701</c:v>
                </c:pt>
                <c:pt idx="16">
                  <c:v>241.40889354275745</c:v>
                </c:pt>
                <c:pt idx="17">
                  <c:v>243.53532041884819</c:v>
                </c:pt>
                <c:pt idx="18">
                  <c:v>245</c:v>
                </c:pt>
                <c:pt idx="19">
                  <c:v>234.46157343411369</c:v>
                </c:pt>
                <c:pt idx="20" formatCode="0">
                  <c:v>202.23763845538821</c:v>
                </c:pt>
                <c:pt idx="21" formatCode="0">
                  <c:v>151.5964219036062</c:v>
                </c:pt>
                <c:pt idx="22" formatCode="0">
                  <c:v>83.45469738662463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30.911788880988805</c:v>
                </c:pt>
                <c:pt idx="2">
                  <c:v>81.835294192000802</c:v>
                </c:pt>
                <c:pt idx="3">
                  <c:v>109.33972774869109</c:v>
                </c:pt>
                <c:pt idx="4">
                  <c:v>123.18498984934287</c:v>
                </c:pt>
                <c:pt idx="5">
                  <c:v>137.08244897959185</c:v>
                </c:pt>
                <c:pt idx="6">
                  <c:v>150.95380959504223</c:v>
                </c:pt>
                <c:pt idx="7">
                  <c:v>164.72077615129822</c:v>
                </c:pt>
                <c:pt idx="8">
                  <c:v>178.3050531039641</c:v>
                </c:pt>
                <c:pt idx="9">
                  <c:v>191.6283449086441</c:v>
                </c:pt>
                <c:pt idx="10">
                  <c:v>204.6123560209424</c:v>
                </c:pt>
                <c:pt idx="11">
                  <c:v>216.63793647469461</c:v>
                </c:pt>
                <c:pt idx="12">
                  <c:v>226.95867643979062</c:v>
                </c:pt>
                <c:pt idx="13">
                  <c:v>231.39561082024434</c:v>
                </c:pt>
                <c:pt idx="14">
                  <c:v>235.30539057591622</c:v>
                </c:pt>
                <c:pt idx="15">
                  <c:v>238.65436753926701</c:v>
                </c:pt>
                <c:pt idx="16">
                  <c:v>241.40889354275745</c:v>
                </c:pt>
                <c:pt idx="17">
                  <c:v>243.53532041884819</c:v>
                </c:pt>
                <c:pt idx="18">
                  <c:v>245</c:v>
                </c:pt>
                <c:pt idx="19">
                  <c:v>234.46157343411369</c:v>
                </c:pt>
                <c:pt idx="20" formatCode="0">
                  <c:v>202.23763845538821</c:v>
                </c:pt>
                <c:pt idx="21" formatCode="0">
                  <c:v>151.5964219036062</c:v>
                </c:pt>
                <c:pt idx="22" formatCode="0">
                  <c:v>83.45469738662463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46576"/>
        <c:axId val="374846184"/>
      </c:scatterChart>
      <c:valAx>
        <c:axId val="374844616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5792"/>
        <c:crosses val="autoZero"/>
        <c:crossBetween val="midCat"/>
        <c:majorUnit val="250"/>
      </c:valAx>
      <c:valAx>
        <c:axId val="3748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4616"/>
        <c:crosses val="autoZero"/>
        <c:crossBetween val="midCat"/>
      </c:valAx>
      <c:valAx>
        <c:axId val="37484618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6576"/>
        <c:crosses val="max"/>
        <c:crossBetween val="midCat"/>
      </c:valAx>
      <c:valAx>
        <c:axId val="37484657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7484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287.14583333333314</c:v>
                </c:pt>
                <c:pt idx="1">
                  <c:v>252.97627314814807</c:v>
                </c:pt>
                <c:pt idx="2">
                  <c:v>228.73148148148144</c:v>
                </c:pt>
                <c:pt idx="3">
                  <c:v>219.33333333333331</c:v>
                </c:pt>
                <c:pt idx="4">
                  <c:v>215.84953703703704</c:v>
                </c:pt>
                <c:pt idx="5">
                  <c:v>213.17592592592592</c:v>
                </c:pt>
                <c:pt idx="6">
                  <c:v>211.3125</c:v>
                </c:pt>
                <c:pt idx="7">
                  <c:v>210.25925925925927</c:v>
                </c:pt>
                <c:pt idx="8">
                  <c:v>210.01800411522635</c:v>
                </c:pt>
                <c:pt idx="9">
                  <c:v>210.64814814814815</c:v>
                </c:pt>
                <c:pt idx="10">
                  <c:v>212.17849794238683</c:v>
                </c:pt>
                <c:pt idx="11">
                  <c:v>214.60905349794237</c:v>
                </c:pt>
                <c:pt idx="12">
                  <c:v>217.93981481481481</c:v>
                </c:pt>
                <c:pt idx="13">
                  <c:v>219.94277263374485</c:v>
                </c:pt>
                <c:pt idx="14">
                  <c:v>222.17078189300412</c:v>
                </c:pt>
                <c:pt idx="15">
                  <c:v>224.62384259259258</c:v>
                </c:pt>
                <c:pt idx="16">
                  <c:v>227.30195473251027</c:v>
                </c:pt>
                <c:pt idx="17">
                  <c:v>230.20511831275718</c:v>
                </c:pt>
                <c:pt idx="18">
                  <c:v>233.33333333333331</c:v>
                </c:pt>
                <c:pt idx="19">
                  <c:v>237.54936076923158</c:v>
                </c:pt>
                <c:pt idx="20">
                  <c:v>257.18278605007094</c:v>
                </c:pt>
                <c:pt idx="21">
                  <c:v>299.05469685905462</c:v>
                </c:pt>
                <c:pt idx="22">
                  <c:v>368.24621128207804</c:v>
                </c:pt>
                <c:pt idx="23">
                  <c:v>466.66666666666663</c:v>
                </c:pt>
                <c:pt idx="24">
                  <c:v>466.66666666666663</c:v>
                </c:pt>
                <c:pt idx="25">
                  <c:v>466.66666666666663</c:v>
                </c:pt>
                <c:pt idx="26">
                  <c:v>466.66666666666663</c:v>
                </c:pt>
                <c:pt idx="27">
                  <c:v>466.66666666666663</c:v>
                </c:pt>
                <c:pt idx="28">
                  <c:v>466.66666666666663</c:v>
                </c:pt>
                <c:pt idx="29">
                  <c:v>466.66666666666663</c:v>
                </c:pt>
                <c:pt idx="30">
                  <c:v>466.66666666666663</c:v>
                </c:pt>
                <c:pt idx="31">
                  <c:v>466.66666666666663</c:v>
                </c:pt>
                <c:pt idx="32">
                  <c:v>466.66666666666663</c:v>
                </c:pt>
                <c:pt idx="33">
                  <c:v>466.66666666666663</c:v>
                </c:pt>
                <c:pt idx="34">
                  <c:v>466.66666666666663</c:v>
                </c:pt>
                <c:pt idx="35">
                  <c:v>466.66666666666663</c:v>
                </c:pt>
                <c:pt idx="36">
                  <c:v>466.66666666666663</c:v>
                </c:pt>
                <c:pt idx="37">
                  <c:v>466.66666666666663</c:v>
                </c:pt>
                <c:pt idx="38">
                  <c:v>466.66666666666663</c:v>
                </c:pt>
                <c:pt idx="39">
                  <c:v>466.66666666666663</c:v>
                </c:pt>
                <c:pt idx="40">
                  <c:v>466.66666666666663</c:v>
                </c:pt>
                <c:pt idx="41">
                  <c:v>466.66666666666663</c:v>
                </c:pt>
                <c:pt idx="42">
                  <c:v>466.66666666666663</c:v>
                </c:pt>
                <c:pt idx="43">
                  <c:v>466.66666666666663</c:v>
                </c:pt>
                <c:pt idx="44">
                  <c:v>466.66666666666663</c:v>
                </c:pt>
                <c:pt idx="45">
                  <c:v>466.66666666666663</c:v>
                </c:pt>
                <c:pt idx="46">
                  <c:v>466.66666666666663</c:v>
                </c:pt>
                <c:pt idx="47">
                  <c:v>466.66666666666663</c:v>
                </c:pt>
                <c:pt idx="48">
                  <c:v>466.66666666666663</c:v>
                </c:pt>
                <c:pt idx="49">
                  <c:v>466.66666666666663</c:v>
                </c:pt>
                <c:pt idx="50">
                  <c:v>466.66666666666663</c:v>
                </c:pt>
                <c:pt idx="51">
                  <c:v>466.66666666666663</c:v>
                </c:pt>
                <c:pt idx="52">
                  <c:v>466.66666666666663</c:v>
                </c:pt>
                <c:pt idx="53">
                  <c:v>466.66666666666663</c:v>
                </c:pt>
                <c:pt idx="54">
                  <c:v>466.66666666666663</c:v>
                </c:pt>
                <c:pt idx="55">
                  <c:v>466.66666666666663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47360"/>
        <c:axId val="374846968"/>
      </c:scatterChart>
      <c:valAx>
        <c:axId val="374847360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6968"/>
        <c:crosses val="autoZero"/>
        <c:crossBetween val="midCat"/>
        <c:majorUnit val="250"/>
      </c:valAx>
      <c:valAx>
        <c:axId val="374846968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7360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48536"/>
        <c:axId val="374849712"/>
      </c:scatterChart>
      <c:valAx>
        <c:axId val="374848536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9712"/>
        <c:crosses val="autoZero"/>
        <c:crossBetween val="midCat"/>
      </c:valAx>
      <c:valAx>
        <c:axId val="3748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50496"/>
        <c:axId val="375198632"/>
      </c:scatterChart>
      <c:valAx>
        <c:axId val="374850496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98632"/>
        <c:crosses val="autoZero"/>
        <c:crossBetween val="midCat"/>
      </c:valAx>
      <c:valAx>
        <c:axId val="3751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65</xdr:col>
      <xdr:colOff>276226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62" totalsRowShown="0" headerRowDxfId="75" dataDxfId="74">
  <tableColumns count="22">
    <tableColumn id="1" name="rpm" dataDxfId="73"/>
    <tableColumn id="7" name="rawData" dataDxfId="72">
      <calculatedColumnFormula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71"/>
    <tableColumn id="12" name="rawDataEco" dataDxfId="70">
      <calculatedColumnFormula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69"/>
    <tableColumn id="4" name="motor" dataDxfId="68">
      <calculatedColumnFormula>Table36[Factor]*IF(Table15[[#This Row],[manualData]]&gt;0,Table15[[#This Row],[manualData]],Table15[[#This Row],[rawData]])</calculatedColumnFormula>
    </tableColumn>
    <tableColumn id="14" name="motorEco" dataDxfId="67">
      <calculatedColumnFormula>Table36[Factor]*IF(Table15[[#This Row],[manDataEco]]&gt;0,Table15[[#This Row],[manDataEco]],Table15[[#This Row],[rawDataEco]])</calculatedColumnFormula>
    </tableColumn>
    <tableColumn id="3" name="ps" dataDxfId="66">
      <calculatedColumnFormula>1.36*Table15[[#This Row],[rpm]]*Table15[[#This Row],[motor]]/9550</calculatedColumnFormula>
    </tableColumn>
    <tableColumn id="13" name="psEco" dataDxfId="65">
      <calculatedColumnFormula>1.36*Table15[[#This Row],[rpm]]*Table15[[#This Row],[motorEco]]/9550</calculatedColumnFormula>
    </tableColumn>
    <tableColumn id="10" name="fuelUsageRatio" dataDxfId="6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6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2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1">
      <calculatedColumnFormula>(1-(1-Table15[[#This Row],[rpm]]/Table36[idleRpm])^2)*Table7[idleT]</calculatedColumnFormula>
    </tableColumn>
    <tableColumn id="18" name="t2" dataDxfId="60">
      <calculatedColumnFormula>MAX(0,(1-Table7[f1]*(Table36[maxTRpm1]-Table15[[#This Row],[rpm]])^2)*Table36[maxT])</calculatedColumnFormula>
    </tableColumn>
    <tableColumn id="19" name="t3" dataDxfId="5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8">
      <calculatedColumnFormula>MAX(0,(Table36[maxPS]-Table7[f4]*(Table15[[#This Row],[rpm]]-Table36[maxPRpm])^2)/1.36*9550/MAX(1,Table15[[#This Row],[rpm]]))</calculatedColumnFormula>
    </tableColumn>
    <tableColumn id="17" name="t5" dataDxfId="5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6">
      <calculatedColumnFormula>(1-(1-Table15[[#This Row],[rpm]]/Table36[idleRpm])^2)*Table7[idleTEco]</calculatedColumnFormula>
    </tableColumn>
    <tableColumn id="22" name="t2E" dataDxfId="55">
      <calculatedColumnFormula>MAX(0,(1-Table7[f1]*(Table36[maxTRpm1]-Table15[[#This Row],[rpm]])^2)*Table36[maxTEco])</calculatedColumnFormula>
    </tableColumn>
    <tableColumn id="23" name="t3E" dataDxfId="5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3">
      <calculatedColumnFormula>MAX(0,(Table36[maxPSEco]-Table7[f4Eco]*(Table15[[#This Row],[rpm]]-Table36[maxPRpm])^2)/1.36*9550/MAX(1,Table15[[#This Row],[rpm]]))</calculatedColumnFormula>
    </tableColumn>
    <tableColumn id="25" name="t5E" dataDxfId="52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1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50"/>
    <tableColumn id="14" name="maxPS" dataDxfId="49"/>
    <tableColumn id="19" name="maxPSEco" dataDxfId="48">
      <calculatedColumnFormula>Table36[maxPS]*Table36[maxPsEcoRate]</calculatedColumnFormula>
    </tableColumn>
    <tableColumn id="2" name="ratedRpm"/>
    <tableColumn id="3" name="PS"/>
    <tableColumn id="20" name="PSEco" dataDxfId="47">
      <calculatedColumnFormula>Table36[PS]*Table36[PSEcoRate]</calculatedColumnFormula>
    </tableColumn>
    <tableColumn id="12" name="maxTRpm1" dataDxfId="46"/>
    <tableColumn id="4" name="maxTRpm" dataDxfId="45"/>
    <tableColumn id="5" name="maxT" dataDxfId="44"/>
    <tableColumn id="21" name="maxTEco" dataDxfId="43">
      <calculatedColumnFormula>Table36[maxT]*Table36[NmEcoRate]</calculatedColumnFormula>
    </tableColumn>
    <tableColumn id="6" name="idleRpm"/>
    <tableColumn id="7" name="idleRatio" dataCellStyle="Percent"/>
    <tableColumn id="11" name="fadeOut" dataDxfId="42"/>
    <tableColumn id="15" name="linearDown" dataDxfId="41"/>
    <tableColumn id="25" name="fadeOutExp" dataDxfId="40"/>
    <tableColumn id="22" name="Efficiency" dataDxfId="39"/>
    <tableColumn id="16" name="Factor" dataDxfId="38"/>
    <tableColumn id="13" name="fuelMinRate" dataDxfId="37"/>
    <tableColumn id="18" name="fuelRatedRate" dataDxfId="36">
      <calculatedColumnFormula>Table36[fuelMinRate]/0.9</calculatedColumnFormula>
    </tableColumn>
    <tableColumn id="9" name="fuelMinRpm" dataDxfId="35">
      <calculatedColumnFormula>ROUND(MIN(0.6*Table36[idleRpm]+0.4*Table36[ratedRpm],0.5*Table36[maxTRpm1]+0.5*Table36[maxTRpm]),-1)</calculatedColumnFormula>
    </tableColumn>
    <tableColumn id="17" name="fuelIdleRate" dataDxfId="34">
      <calculatedColumnFormula>0.94*Table36[fuelRatedRate]</calculatedColumnFormula>
    </tableColumn>
    <tableColumn id="1" name="normRpm" dataDxfId="33">
      <calculatedColumnFormula>ROUND(Table36[ratedRpm]+0.49*Table36[fadeOut],-2)</calculatedColumnFormula>
    </tableColumn>
    <tableColumn id="8" name="PSEcoRate" dataDxfId="32"/>
    <tableColumn id="23" name="NmEcoRate"/>
    <tableColumn id="24" name="maxPsEcoRate" dataDxfId="31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V4" totalsRowShown="0" headerRowDxfId="30" dataDxfId="29">
  <tableColumns count="22">
    <tableColumn id="1" name="f1" dataDxfId="28">
      <calculatedColumnFormula>(1-Table36[idleRatio])/((Table36[maxTRpm1]-Table36[idleRpm])^2)</calculatedColumnFormula>
    </tableColumn>
    <tableColumn id="2" name="f2" dataDxfId="27">
      <calculatedColumnFormula>(Table36[maxT]-Table7[Nm])/Table36[maxT]/(Table36[maxPRpm]-Table36[maxTRpm])</calculatedColumnFormula>
    </tableColumn>
    <tableColumn id="5" name="f3" dataDxfId="26">
      <calculatedColumnFormula>(Table36[maxT]-Table7[Nm])/Table36[maxT]/(Table36[maxPRpm]-Table36[maxTRpm])^2</calculatedColumnFormula>
    </tableColumn>
    <tableColumn id="6" name="f4" dataDxfId="25">
      <calculatedColumnFormula>(Table36[maxPS]-Table36[PS])/MAX(1,Table36[ratedRpm]-Table36[maxPRpm])^2</calculatedColumnFormula>
    </tableColumn>
    <tableColumn id="3" name="Nm" dataDxfId="24">
      <calculatedColumnFormula>Table36[maxPS]/1.36*9550/Table36[maxPRpm]</calculatedColumnFormula>
    </tableColumn>
    <tableColumn id="4" name="Nm2" dataDxfId="23">
      <calculatedColumnFormula>Table36[PS]/1.36*9550/Table36[ratedRpm]</calculatedColumnFormula>
    </tableColumn>
    <tableColumn id="7" name="Anfahrmoment" dataDxfId="22" dataCellStyle="Percent">
      <calculatedColumnFormula>Table7[Nm1000]/Table7[Nm2Eco]</calculatedColumnFormula>
    </tableColumn>
    <tableColumn id="17" name="AnstiegE" dataDxfId="21" dataCellStyle="Percent">
      <calculatedColumnFormula>Table36[maxTEco]/Table7[NmEco]-1</calculatedColumnFormula>
    </tableColumn>
    <tableColumn id="14" name="Anstieg" dataDxfId="20" dataCellStyle="Percent">
      <calculatedColumnFormula>Table36[maxT]/Table7[Nm]-1</calculatedColumnFormula>
    </tableColumn>
    <tableColumn id="15" name="Abfall" dataDxfId="19" dataCellStyle="Percent">
      <calculatedColumnFormula>1-Table36[maxTRpm]/Table36[ratedRpm]</calculatedColumnFormula>
    </tableColumn>
    <tableColumn id="20" name="max kW" dataDxfId="18" dataCellStyle="Percent">
      <calculatedColumnFormula>Table36[maxPS]/1.36</calculatedColumnFormula>
    </tableColumn>
    <tableColumn id="18" name="rated kW" dataDxfId="17" dataCellStyle="Percent">
      <calculatedColumnFormula>Table36[PS]/1.36</calculatedColumnFormula>
    </tableColumn>
    <tableColumn id="23" name="g/kWh" dataDxfId="16" dataCellStyle="Percent">
      <calculatedColumnFormula>Table36[fuelRatedRate]*1.1</calculatedColumnFormula>
    </tableColumn>
    <tableColumn id="16" name="Nm1000" dataDxfId="15" dataCellStyle="Percent">
      <calculatedColumnFormula>(1-Table7[f1]*(Table36[maxTRpm1]-1000)^2)*Table36[maxTEco]</calculatedColumnFormula>
    </tableColumn>
    <tableColumn id="8" name="NmEco" dataDxfId="14">
      <calculatedColumnFormula>Table36[maxPSEco]/1.36*9550/Table36[maxPRpm]</calculatedColumnFormula>
    </tableColumn>
    <tableColumn id="9" name="Nm2Eco" dataDxfId="13">
      <calculatedColumnFormula>Table36[PSEco]/1.36*9550/Table36[ratedRpm]</calculatedColumnFormula>
    </tableColumn>
    <tableColumn id="12" name="f2Eco" dataDxfId="12">
      <calculatedColumnFormula>(Table36[maxTEco]-Table7[NmEco])/Table36[maxTEco]/(Table36[maxPRpm]-Table36[maxTRpm])</calculatedColumnFormula>
    </tableColumn>
    <tableColumn id="10" name="f3Eco" dataDxfId="11">
      <calculatedColumnFormula>(Table36[maxTEco]-Table7[NmEco])/Table36[maxTEco]/(Table36[maxPRpm]-Table36[maxTRpm])^2</calculatedColumnFormula>
    </tableColumn>
    <tableColumn id="11" name="f4Eco" dataDxfId="10">
      <calculatedColumnFormula>(Table36[maxPSEco]-Table36[PSEco])/MAX(1,Table36[ratedRpm]-Table36[maxPRpm])^2</calculatedColumnFormula>
    </tableColumn>
    <tableColumn id="13" name="idleT" dataDxfId="9">
      <calculatedColumnFormula>(1-Table7[f1]*(Table36[maxTRpm1]-Table36[idleRpm])^2)*Table36[maxT]</calculatedColumnFormula>
    </tableColumn>
    <tableColumn id="19" name="idleTEco" dataDxfId="8">
      <calculatedColumnFormula>(1-Table7[f1]*(Table36[maxTRpm1]-Table36[idleRpm])^2)*Table36[maxTEco]</calculatedColumnFormula>
    </tableColumn>
    <tableColumn id="21" name="xmlComment" dataDxfId="7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Table1[[#This Row],[kw_pto]]*1.36/0.94</calculatedColumnFormula>
    </tableColumn>
    <tableColumn id="4" name="motor"/>
    <tableColumn id="5" name="xml" dataDxfId="4">
      <calculatedColumnFormula>CONCATENATE("&lt;torque rpm=""",Table1[[#This Row],[rpm]],""" motorTorque=""",ROUND(Table1[[#This Row],[motor]],0),"""/&gt;")</calculatedColumnFormula>
    </tableColumn>
    <tableColumn id="8" name="xml2" dataDxfId="3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2">
      <calculatedColumnFormula>A2*C2/9550</calculatedColumnFormula>
    </tableColumn>
    <tableColumn id="3" name="ps" dataDxfId="1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0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workbookViewId="0">
      <selection activeCell="K7" sqref="K7:K31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2">
        <v>2100</v>
      </c>
      <c r="B2" s="13">
        <v>245</v>
      </c>
      <c r="C2" s="17">
        <f>Table36[maxPS]*Table36[maxPsEcoRate]</f>
        <v>245</v>
      </c>
      <c r="D2" s="7">
        <v>2100</v>
      </c>
      <c r="E2" s="8">
        <v>245</v>
      </c>
      <c r="F2" s="18">
        <f>Table36[PS]*Table36[PSEcoRate]</f>
        <v>245</v>
      </c>
      <c r="G2" s="12">
        <v>1600</v>
      </c>
      <c r="H2" s="13">
        <v>1600</v>
      </c>
      <c r="I2" s="13">
        <v>898</v>
      </c>
      <c r="J2" s="17">
        <f>Table36[maxT]*Table36[NmEcoRate]</f>
        <v>898</v>
      </c>
      <c r="K2" s="28">
        <v>900</v>
      </c>
      <c r="L2" s="29">
        <v>0.95</v>
      </c>
      <c r="M2" s="30">
        <v>249</v>
      </c>
      <c r="N2" s="12">
        <v>0</v>
      </c>
      <c r="O2" s="13">
        <v>1.7</v>
      </c>
      <c r="P2" s="13">
        <v>0.94</v>
      </c>
      <c r="Q2" s="14">
        <v>1</v>
      </c>
      <c r="R2" s="27">
        <v>210</v>
      </c>
      <c r="S2" s="15">
        <f>Table36[fuelMinRate]/0.9</f>
        <v>233.33333333333331</v>
      </c>
      <c r="T2" s="16">
        <f>ROUND(MIN(0.6*Table36[idleRpm]+0.4*Table36[ratedRpm],0.5*Table36[maxTRpm1]+0.5*Table36[maxTRpm]),-1)</f>
        <v>1380</v>
      </c>
      <c r="U2" s="18">
        <f>0.94*Table36[fuelRatedRate]</f>
        <v>219.33333333333331</v>
      </c>
      <c r="V2" s="15">
        <f>ROUND(Table36[ratedRpm]+0.49*Table36[fadeOut],-2)</f>
        <v>2200</v>
      </c>
      <c r="W2" s="7">
        <v>1</v>
      </c>
      <c r="X2" s="9">
        <v>1</v>
      </c>
      <c r="Y2" s="25">
        <f>Table36[PSEcoRate]* (Table36[maxPRpm]-Table36[maxTRpm])/(Table36[ratedRpm]-Table36[maxTRpm]) + Table36[NmEcoRate]* (1- (Table36[maxPRpm]-Table36[maxTRpm])/(Table36[ratedRpm]-Table36[maxTRpm]))</f>
        <v>1</v>
      </c>
    </row>
    <row r="3" spans="1:25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70</v>
      </c>
      <c r="L3" s="23" t="s">
        <v>71</v>
      </c>
      <c r="M3" s="24" t="s">
        <v>69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</row>
    <row r="4" spans="1:25" ht="15.75" thickBot="1" x14ac:dyDescent="0.3">
      <c r="A4" s="11">
        <f>(1-Table36[idleRatio])/((Table36[maxTRpm1]-Table36[idleRpm])^2)</f>
        <v>1.020408163265307E-7</v>
      </c>
      <c r="B4" s="11">
        <f>(Table36[maxT]-Table7[Nm])/Table36[maxT]/(Table36[maxPRpm]-Table36[maxTRpm])</f>
        <v>1.754115900257653E-4</v>
      </c>
      <c r="C4" s="11">
        <f>(Table36[maxT]-Table7[Nm])/Table36[maxT]/(Table36[maxPRpm]-Table36[maxTRpm])^2</f>
        <v>3.5082318005153058E-7</v>
      </c>
      <c r="D4" s="11">
        <f>(Table36[maxPS]-Table36[PS])/MAX(1,Table36[ratedRpm]-Table36[maxPRpm])^2</f>
        <v>0</v>
      </c>
      <c r="E4" s="11">
        <f>Table36[maxPS]/1.36*9550/Table36[maxPRpm]</f>
        <v>819.24019607843138</v>
      </c>
      <c r="F4" s="11">
        <f>Table36[PS]/1.36*9550/Table36[ratedRpm]</f>
        <v>819.24019607843138</v>
      </c>
      <c r="G4" s="21">
        <f>Table7[Nm1000]/Table7[Nm2Eco]</f>
        <v>1.0558713415657961</v>
      </c>
      <c r="H4" s="35">
        <f>Table36[maxTEco]/Table7[NmEco]-1</f>
        <v>9.6137621540762996E-2</v>
      </c>
      <c r="I4" s="35">
        <f>Table36[maxT]/Table7[Nm]-1</f>
        <v>9.6137621540762996E-2</v>
      </c>
      <c r="J4" s="35">
        <f>1-Table36[maxTRpm]/Table36[ratedRpm]</f>
        <v>0.23809523809523814</v>
      </c>
      <c r="K4" s="31">
        <f>Table36[maxPS]/1.36</f>
        <v>180.14705882352939</v>
      </c>
      <c r="L4" s="32">
        <f>Table36[PS]/1.36</f>
        <v>180.14705882352939</v>
      </c>
      <c r="M4" s="33">
        <f>Table36[fuelRatedRate]*1.1</f>
        <v>256.66666666666669</v>
      </c>
      <c r="N4" s="11">
        <f>(1-Table7[f1]*(Table36[maxTRpm1]-1000)^2)*Table36[maxTEco]</f>
        <v>865.01224489795914</v>
      </c>
      <c r="O4" s="11">
        <f>Table36[maxPSEco]/1.36*9550/Table36[maxPRpm]</f>
        <v>819.24019607843138</v>
      </c>
      <c r="P4" s="11">
        <f>Table36[PSEco]/1.36*9550/Table36[ratedRpm]</f>
        <v>819.24019607843138</v>
      </c>
      <c r="Q4" s="11">
        <f>(Table36[maxTEco]-Table7[NmEco])/Table36[maxTEco]/(Table36[maxPRpm]-Table36[maxTRpm])</f>
        <v>1.754115900257653E-4</v>
      </c>
      <c r="R4" s="11">
        <f>(Table36[maxTEco]-Table7[NmEco])/Table36[maxTEco]/(Table36[maxPRpm]-Table36[maxTRpm])^2</f>
        <v>3.5082318005153058E-7</v>
      </c>
      <c r="S4" s="11">
        <f>(Table36[maxPSEco]-Table36[PSEco])/MAX(1,Table36[ratedRpm]-Table36[maxPRpm])^2</f>
        <v>0</v>
      </c>
      <c r="T4" s="11">
        <f>(1-Table7[f1]*(Table36[maxTRpm1]-Table36[idleRpm])^2)*Table36[maxT]</f>
        <v>853.09999999999991</v>
      </c>
      <c r="U4" s="11">
        <f>(1-Table7[f1]*(Table36[maxTRpm1]-Table36[idleRpm])^2)*Table36[maxTEco]</f>
        <v>853.09999999999991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&lt;!-- 2100: 245(245) | 2100: 245(245) | 1600..1600: 898(898) | 95 | 0 | 249 | 1.7 | 2200 | 1380: 210 --&gt;</v>
      </c>
    </row>
    <row r="6" spans="1:25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6">
        <f>1.36*Table15[[#This Row],[rpm]]*Table15[[#This Row],[motor]]/9550</f>
        <v>0</v>
      </c>
      <c r="I7" s="26">
        <f>1.36*Table15[[#This Row],[rpm]]*Table15[[#This Row],[motorEco]]/9550</f>
        <v>0</v>
      </c>
      <c r="J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287.14583333333314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&lt;!-- 2100: 245(245) | 2100: 245(245) | 1600..1600: 898(898) | 95 | 0 | 249 | 1.7 | 2200 | 1380: 210 --&gt;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&lt;!-- 2100: 245(245) | 2100: 245(245) | 1600..1600: 898(898) | 95 | 0 | 249 | 1.7 | 2200 | 1380: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663.42040816326505</v>
      </c>
      <c r="O7" s="3">
        <f>MAX(0,(Table36[linearDown]*(1-Table7[f2]*(Table15[[#This Row],[rpm]]-Table36[maxTRpm]))+(1-Table36[linearDown])*(1-Table7[f3]*(Table15[[#This Row],[rpm]]-Table36[maxTRpm])^2))*Table36[maxT])</f>
        <v>91.499607843137426</v>
      </c>
      <c r="P7" s="3">
        <f>MAX(0,(Table36[maxPS]-Table7[f4]*(Table15[[#This Row],[rpm]]-Table36[maxPRpm])^2)/1.36*9550/MAX(1,Table15[[#This Row],[rpm]]))</f>
        <v>1720404.4117647058</v>
      </c>
      <c r="Q7" s="3">
        <f>MAX(0,Table7[Nm2]*MIN(Table36[ratedRpm]/MAX(1,Table15[[#This Row],[rpm]]),1-(MAX(0,Table15[[#This Row],[rpm]]-Table36[ratedRpm])/Table36[fadeOut])^Table36[fadeOutExp]))</f>
        <v>819.24019607843138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663.42040816326505</v>
      </c>
      <c r="T7" s="3">
        <f>MAX(0,(Table36[linearDown]*(1-Table7[f2Eco]*(Table15[[#This Row],[rpm]]-Table36[maxTRpm]))+(1-Table36[linearDown])*(1-Table7[f3Eco]*(Table15[[#This Row],[rpm]]-Table36[maxTRpm])^2))*Table36[maxTEco])</f>
        <v>91.499607843137426</v>
      </c>
      <c r="U7" s="3">
        <f>MAX(0,(Table36[maxPSEco]-Table7[f4Eco]*(Table15[[#This Row],[rpm]]-Table36[maxPRpm])^2)/1.36*9550/MAX(1,Table15[[#This Row],[rpm]]))</f>
        <v>1720404.4117647058</v>
      </c>
      <c r="V7" s="3">
        <f>MAX(0,Table7[Nm2Eco]*MIN(Table36[ratedRpm]/MAX(1,Table15[[#This Row],[rpm]]),1-(MAX(0,Table15[[#This Row],[rpm]]-Table36[ratedRpm])/Table36[fadeOut])^Table36[fadeOutExp]))</f>
        <v>819.24019607843138</v>
      </c>
    </row>
    <row r="8" spans="1:25" x14ac:dyDescent="0.25">
      <c r="A8" s="3">
        <v>350</v>
      </c>
      <c r="B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620.18399960807358</v>
      </c>
      <c r="C8" s="20"/>
      <c r="D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620.18399960807358</v>
      </c>
      <c r="E8" s="20"/>
      <c r="F8" s="3">
        <f>Table36[Factor]*IF(Table15[[#This Row],[manualData]]&gt;0,Table15[[#This Row],[manualData]],Table15[[#This Row],[rawData]])</f>
        <v>620.18399960807358</v>
      </c>
      <c r="G8" s="3">
        <f>Table36[Factor]*IF(Table15[[#This Row],[manDataEco]]&gt;0,Table15[[#This Row],[manDataEco]],Table15[[#This Row],[rawDataEco]])</f>
        <v>620.18399960807358</v>
      </c>
      <c r="H8" s="26">
        <f>1.36*Table15[[#This Row],[rpm]]*Table15[[#This Row],[motor]]/9550</f>
        <v>30.911788880988805</v>
      </c>
      <c r="I8" s="26">
        <f>1.36*Table15[[#This Row],[rpm]]*Table15[[#This Row],[motorEco]]/9550</f>
        <v>30.911788880988805</v>
      </c>
      <c r="J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252.97627314814807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motorTorque="620" fuelUsageRatio="253"/&gt;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torque="0.691"/&gt;</v>
      </c>
      <c r="M8" s="3">
        <f>(1-(1-Table15[[#This Row],[rpm]]/Table36[idleRpm])^2)*Table7[idleT]</f>
        <v>534.50401234567892</v>
      </c>
      <c r="N8" s="3">
        <f>MAX(0,(1-Table7[f1]*(Table36[maxTRpm1]-Table15[[#This Row],[rpm]])^2)*Table36[maxT])</f>
        <v>754.82397959183663</v>
      </c>
      <c r="O8" s="3">
        <f>MAX(0,(Table36[linearDown]*(1-Table7[f2]*(Table15[[#This Row],[rpm]]-Table36[maxTRpm]))+(1-Table36[linearDown])*(1-Table7[f3]*(Table15[[#This Row],[rpm]]-Table36[maxTRpm])^2))*Table36[maxT])</f>
        <v>405.75122549019619</v>
      </c>
      <c r="P8" s="3">
        <f>MAX(0,(Table36[maxPS]-Table7[f4]*(Table15[[#This Row],[rpm]]-Table36[maxPRpm])^2)/1.36*9550/MAX(1,Table15[[#This Row],[rpm]]))</f>
        <v>4915.4411764705883</v>
      </c>
      <c r="Q8" s="3">
        <f>MAX(0,Table7[Nm2]*MIN(Table36[ratedRpm]/MAX(1,Table15[[#This Row],[rpm]]),1-(MAX(0,Table15[[#This Row],[rpm]]-Table36[ratedRpm])/Table36[fadeOut])^Table36[fadeOutExp]))</f>
        <v>819.24019607843138</v>
      </c>
      <c r="R8" s="3">
        <f>(1-(1-Table15[[#This Row],[rpm]]/Table36[idleRpm])^2)*Table7[idleTEco]</f>
        <v>534.50401234567892</v>
      </c>
      <c r="S8" s="3">
        <f>MAX(0,(1-Table7[f1]*(Table36[maxTRpm1]-Table15[[#This Row],[rpm]])^2)*Table36[maxTEco])</f>
        <v>754.82397959183663</v>
      </c>
      <c r="T8" s="3">
        <f>MAX(0,(Table36[linearDown]*(1-Table7[f2Eco]*(Table15[[#This Row],[rpm]]-Table36[maxTRpm]))+(1-Table36[linearDown])*(1-Table7[f3Eco]*(Table15[[#This Row],[rpm]]-Table36[maxTRpm])^2))*Table36[maxTEco])</f>
        <v>405.75122549019619</v>
      </c>
      <c r="U8" s="3">
        <f>MAX(0,(Table36[maxPSEco]-Table7[f4Eco]*(Table15[[#This Row],[rpm]]-Table36[maxPRpm])^2)/1.36*9550/MAX(1,Table15[[#This Row],[rpm]]))</f>
        <v>4915.4411764705883</v>
      </c>
      <c r="V8" s="3">
        <f>MAX(0,Table7[Nm2Eco]*MIN(Table36[ratedRpm]/MAX(1,Table15[[#This Row],[rpm]]),1-(MAX(0,Table15[[#This Row],[rpm]]-Table36[ratedRpm])/Table36[fadeOut])^Table36[fadeOutExp]))</f>
        <v>819.24019607843138</v>
      </c>
    </row>
    <row r="9" spans="1:25" x14ac:dyDescent="0.25">
      <c r="A9" s="3">
        <v>700</v>
      </c>
      <c r="B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820.93178522437768</v>
      </c>
      <c r="C9" s="20"/>
      <c r="D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820.93178522437768</v>
      </c>
      <c r="E9" s="20"/>
      <c r="F9" s="3">
        <f>Table36[Factor]*IF(Table15[[#This Row],[manualData]]&gt;0,Table15[[#This Row],[manualData]],Table15[[#This Row],[rawData]])</f>
        <v>820.93178522437768</v>
      </c>
      <c r="G9" s="3">
        <f>Table36[Factor]*IF(Table15[[#This Row],[manDataEco]]&gt;0,Table15[[#This Row],[manDataEco]],Table15[[#This Row],[rawDataEco]])</f>
        <v>820.93178522437768</v>
      </c>
      <c r="H9" s="26">
        <f>1.36*Table15[[#This Row],[rpm]]*Table15[[#This Row],[motor]]/9550</f>
        <v>81.835294192000802</v>
      </c>
      <c r="I9" s="26">
        <f>1.36*Table15[[#This Row],[rpm]]*Table15[[#This Row],[motorEco]]/9550</f>
        <v>81.835294192000802</v>
      </c>
      <c r="J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228.73148148148144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motorTorque="821" fuelUsageRatio="228.7"/&gt;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torque="0.914"/&gt;</v>
      </c>
      <c r="M9" s="3">
        <f>(1-(1-Table15[[#This Row],[rpm]]/Table36[idleRpm])^2)*Table7[idleT]</f>
        <v>810.97160493827153</v>
      </c>
      <c r="N9" s="3">
        <f>MAX(0,(1-Table7[f1]*(Table36[maxTRpm1]-Table15[[#This Row],[rpm]])^2)*Table36[maxT])</f>
        <v>823.77755102040805</v>
      </c>
      <c r="O9" s="3">
        <f>MAX(0,(Table36[linearDown]*(1-Table7[f2]*(Table15[[#This Row],[rpm]]-Table36[maxTRpm]))+(1-Table36[linearDown])*(1-Table7[f3]*(Table15[[#This Row],[rpm]]-Table36[maxTRpm])^2))*Table36[maxT])</f>
        <v>642.8182352941177</v>
      </c>
      <c r="P9" s="3">
        <f>MAX(0,(Table36[maxPS]-Table7[f4]*(Table15[[#This Row],[rpm]]-Table36[maxPRpm])^2)/1.36*9550/MAX(1,Table15[[#This Row],[rpm]]))</f>
        <v>2457.7205882352941</v>
      </c>
      <c r="Q9" s="3">
        <f>MAX(0,Table7[Nm2]*MIN(Table36[ratedRpm]/MAX(1,Table15[[#This Row],[rpm]]),1-(MAX(0,Table15[[#This Row],[rpm]]-Table36[ratedRpm])/Table36[fadeOut])^Table36[fadeOutExp]))</f>
        <v>819.24019607843138</v>
      </c>
      <c r="R9" s="3">
        <f>(1-(1-Table15[[#This Row],[rpm]]/Table36[idleRpm])^2)*Table7[idleTEco]</f>
        <v>810.97160493827153</v>
      </c>
      <c r="S9" s="3">
        <f>MAX(0,(1-Table7[f1]*(Table36[maxTRpm1]-Table15[[#This Row],[rpm]])^2)*Table36[maxTEco])</f>
        <v>823.77755102040805</v>
      </c>
      <c r="T9" s="3">
        <f>MAX(0,(Table36[linearDown]*(1-Table7[f2Eco]*(Table15[[#This Row],[rpm]]-Table36[maxTRpm]))+(1-Table36[linearDown])*(1-Table7[f3Eco]*(Table15[[#This Row],[rpm]]-Table36[maxTRpm])^2))*Table36[maxTEco])</f>
        <v>642.8182352941177</v>
      </c>
      <c r="U9" s="3">
        <f>MAX(0,(Table36[maxPSEco]-Table7[f4Eco]*(Table15[[#This Row],[rpm]]-Table36[maxPRpm])^2)/1.36*9550/MAX(1,Table15[[#This Row],[rpm]]))</f>
        <v>2457.7205882352941</v>
      </c>
      <c r="V9" s="3">
        <f>MAX(0,Table7[Nm2Eco]*MIN(Table36[ratedRpm]/MAX(1,Table15[[#This Row],[rpm]]),1-(MAX(0,Table15[[#This Row],[rpm]]-Table36[ratedRpm])/Table36[fadeOut])^Table36[fadeOutExp]))</f>
        <v>819.24019607843138</v>
      </c>
    </row>
    <row r="10" spans="1:25" x14ac:dyDescent="0.25">
      <c r="A10" s="3">
        <v>900</v>
      </c>
      <c r="B1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853.09999999999991</v>
      </c>
      <c r="C10" s="20"/>
      <c r="D1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853.09999999999991</v>
      </c>
      <c r="E10" s="20"/>
      <c r="F10" s="3">
        <f>Table36[Factor]*IF(Table15[[#This Row],[manualData]]&gt;0,Table15[[#This Row],[manualData]],Table15[[#This Row],[rawData]])</f>
        <v>853.09999999999991</v>
      </c>
      <c r="G10" s="3">
        <f>Table36[Factor]*IF(Table15[[#This Row],[manDataEco]]&gt;0,Table15[[#This Row],[manDataEco]],Table15[[#This Row],[rawDataEco]])</f>
        <v>853.09999999999991</v>
      </c>
      <c r="H10" s="26">
        <f>1.36*Table15[[#This Row],[rpm]]*Table15[[#This Row],[motor]]/9550</f>
        <v>109.33972774869109</v>
      </c>
      <c r="I10" s="26">
        <f>1.36*Table15[[#This Row],[rpm]]*Table15[[#This Row],[motorEco]]/9550</f>
        <v>109.33972774869109</v>
      </c>
      <c r="J1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219.33333333333331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motorTorque="853" fuelUsageRatio="219.3"/&gt;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torque="0.95"/&gt;</v>
      </c>
      <c r="M10" s="3">
        <f>(1-(1-Table15[[#This Row],[rpm]]/Table36[idleRpm])^2)*Table7[idleT]</f>
        <v>853.09999999999991</v>
      </c>
      <c r="N10" s="3">
        <f>MAX(0,(1-Table7[f1]*(Table36[maxTRpm1]-Table15[[#This Row],[rpm]])^2)*Table36[maxT])</f>
        <v>853.09999999999991</v>
      </c>
      <c r="O10" s="3">
        <f>MAX(0,(Table36[linearDown]*(1-Table7[f2]*(Table15[[#This Row],[rpm]]-Table36[maxTRpm]))+(1-Table36[linearDown])*(1-Table7[f3]*(Table15[[#This Row],[rpm]]-Table36[maxTRpm])^2))*Table36[maxT])</f>
        <v>743.63078431372548</v>
      </c>
      <c r="P10" s="3">
        <f>MAX(0,(Table36[maxPS]-Table7[f4]*(Table15[[#This Row],[rpm]]-Table36[maxPRpm])^2)/1.36*9550/MAX(1,Table15[[#This Row],[rpm]]))</f>
        <v>1911.5604575163397</v>
      </c>
      <c r="Q10" s="3">
        <f>MAX(0,Table7[Nm2]*MIN(Table36[ratedRpm]/MAX(1,Table15[[#This Row],[rpm]]),1-(MAX(0,Table15[[#This Row],[rpm]]-Table36[ratedRpm])/Table36[fadeOut])^Table36[fadeOutExp]))</f>
        <v>819.24019607843138</v>
      </c>
      <c r="R10" s="3">
        <f>(1-(1-Table15[[#This Row],[rpm]]/Table36[idleRpm])^2)*Table7[idleTEco]</f>
        <v>853.09999999999991</v>
      </c>
      <c r="S10" s="3">
        <f>MAX(0,(1-Table7[f1]*(Table36[maxTRpm1]-Table15[[#This Row],[rpm]])^2)*Table36[maxTEco])</f>
        <v>853.09999999999991</v>
      </c>
      <c r="T10" s="3">
        <f>MAX(0,(Table36[linearDown]*(1-Table7[f2Eco]*(Table15[[#This Row],[rpm]]-Table36[maxTRpm]))+(1-Table36[linearDown])*(1-Table7[f3Eco]*(Table15[[#This Row],[rpm]]-Table36[maxTRpm])^2))*Table36[maxTEco])</f>
        <v>743.63078431372548</v>
      </c>
      <c r="U10" s="3">
        <f>MAX(0,(Table36[maxPSEco]-Table7[f4Eco]*(Table15[[#This Row],[rpm]]-Table36[maxPRpm])^2)/1.36*9550/MAX(1,Table15[[#This Row],[rpm]]))</f>
        <v>1911.5604575163397</v>
      </c>
      <c r="V10" s="3">
        <f>MAX(0,Table7[Nm2Eco]*MIN(Table36[ratedRpm]/MAX(1,Table15[[#This Row],[rpm]]),1-(MAX(0,Table15[[#This Row],[rpm]]-Table36[ratedRpm])/Table36[fadeOut])^Table36[fadeOutExp]))</f>
        <v>819.24019607843138</v>
      </c>
    </row>
    <row r="11" spans="1:25" x14ac:dyDescent="0.25">
      <c r="A11" s="3">
        <v>1000</v>
      </c>
      <c r="B1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865.01224489795914</v>
      </c>
      <c r="C11" s="20"/>
      <c r="D1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865.01224489795914</v>
      </c>
      <c r="E11" s="20"/>
      <c r="F11" s="3">
        <f>Table36[Factor]*IF(Table15[[#This Row],[manualData]]&gt;0,Table15[[#This Row],[manualData]],Table15[[#This Row],[rawData]])</f>
        <v>865.01224489795914</v>
      </c>
      <c r="G11" s="3">
        <f>Table36[Factor]*IF(Table15[[#This Row],[manDataEco]]&gt;0,Table15[[#This Row],[manDataEco]],Table15[[#This Row],[rawDataEco]])</f>
        <v>865.01224489795914</v>
      </c>
      <c r="H11" s="26">
        <f>1.36*Table15[[#This Row],[rpm]]*Table15[[#This Row],[motor]]/9550</f>
        <v>123.18498984934287</v>
      </c>
      <c r="I11" s="26">
        <f>1.36*Table15[[#This Row],[rpm]]*Table15[[#This Row],[motorEco]]/9550</f>
        <v>123.18498984934287</v>
      </c>
      <c r="J1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215.84953703703704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motorTorque="865" fuelUsageRatio="215.8"/&gt;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torque="0.963"/&gt;</v>
      </c>
      <c r="M11" s="3">
        <f>(1-(1-Table15[[#This Row],[rpm]]/Table36[idleRpm])^2)*Table7[idleT]</f>
        <v>842.56790123456778</v>
      </c>
      <c r="N11" s="3">
        <f>MAX(0,(1-Table7[f1]*(Table36[maxTRpm1]-Table15[[#This Row],[rpm]])^2)*Table36[maxT])</f>
        <v>865.01224489795914</v>
      </c>
      <c r="O11" s="3">
        <f>MAX(0,(Table36[linearDown]*(1-Table7[f2]*(Table15[[#This Row],[rpm]]-Table36[maxTRpm]))+(1-Table36[linearDown])*(1-Table7[f3]*(Table15[[#This Row],[rpm]]-Table36[maxTRpm])^2))*Table36[maxT])</f>
        <v>784.58588235294121</v>
      </c>
      <c r="P11" s="3">
        <f>MAX(0,(Table36[maxPS]-Table7[f4]*(Table15[[#This Row],[rpm]]-Table36[maxPRpm])^2)/1.36*9550/MAX(1,Table15[[#This Row],[rpm]]))</f>
        <v>1720.4044117647059</v>
      </c>
      <c r="Q11" s="3">
        <f>MAX(0,Table7[Nm2]*MIN(Table36[ratedRpm]/MAX(1,Table15[[#This Row],[rpm]]),1-(MAX(0,Table15[[#This Row],[rpm]]-Table36[ratedRpm])/Table36[fadeOut])^Table36[fadeOutExp]))</f>
        <v>819.24019607843138</v>
      </c>
      <c r="R11" s="3">
        <f>(1-(1-Table15[[#This Row],[rpm]]/Table36[idleRpm])^2)*Table7[idleTEco]</f>
        <v>842.56790123456778</v>
      </c>
      <c r="S11" s="3">
        <f>MAX(0,(1-Table7[f1]*(Table36[maxTRpm1]-Table15[[#This Row],[rpm]])^2)*Table36[maxTEco])</f>
        <v>865.01224489795914</v>
      </c>
      <c r="T11" s="3">
        <f>MAX(0,(Table36[linearDown]*(1-Table7[f2Eco]*(Table15[[#This Row],[rpm]]-Table36[maxTRpm]))+(1-Table36[linearDown])*(1-Table7[f3Eco]*(Table15[[#This Row],[rpm]]-Table36[maxTRpm])^2))*Table36[maxTEco])</f>
        <v>784.58588235294121</v>
      </c>
      <c r="U11" s="3">
        <f>MAX(0,(Table36[maxPSEco]-Table7[f4Eco]*(Table15[[#This Row],[rpm]]-Table36[maxPRpm])^2)/1.36*9550/MAX(1,Table15[[#This Row],[rpm]]))</f>
        <v>1720.4044117647059</v>
      </c>
      <c r="V11" s="3">
        <f>MAX(0,Table7[Nm2Eco]*MIN(Table36[ratedRpm]/MAX(1,Table15[[#This Row],[rpm]]),1-(MAX(0,Table15[[#This Row],[rpm]]-Table36[ratedRpm])/Table36[fadeOut])^Table36[fadeOutExp]))</f>
        <v>819.24019607843138</v>
      </c>
    </row>
    <row r="12" spans="1:25" x14ac:dyDescent="0.25">
      <c r="A12" s="3">
        <v>1100</v>
      </c>
      <c r="B1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875.09183673469386</v>
      </c>
      <c r="C12" s="20"/>
      <c r="D1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875.09183673469386</v>
      </c>
      <c r="E12" s="20"/>
      <c r="F12" s="3">
        <f>Table36[Factor]*IF(Table15[[#This Row],[manualData]]&gt;0,Table15[[#This Row],[manualData]],Table15[[#This Row],[rawData]])</f>
        <v>875.09183673469386</v>
      </c>
      <c r="G12" s="3">
        <f>Table36[Factor]*IF(Table15[[#This Row],[manDataEco]]&gt;0,Table15[[#This Row],[manDataEco]],Table15[[#This Row],[rawDataEco]])</f>
        <v>875.09183673469386</v>
      </c>
      <c r="H12" s="26">
        <f>1.36*Table15[[#This Row],[rpm]]*Table15[[#This Row],[motor]]/9550</f>
        <v>137.08244897959185</v>
      </c>
      <c r="I12" s="26">
        <f>1.36*Table15[[#This Row],[rpm]]*Table15[[#This Row],[motorEco]]/9550</f>
        <v>137.08244897959185</v>
      </c>
      <c r="J1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213.17592592592592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motorTorque="875" fuelUsageRatio="213.2"/&gt;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torque="0.974"/&gt;</v>
      </c>
      <c r="M12" s="3">
        <f>(1-(1-Table15[[#This Row],[rpm]]/Table36[idleRpm])^2)*Table7[idleT]</f>
        <v>810.97160493827153</v>
      </c>
      <c r="N12" s="3">
        <f>MAX(0,(1-Table7[f1]*(Table36[maxTRpm1]-Table15[[#This Row],[rpm]])^2)*Table36[maxT])</f>
        <v>875.09183673469386</v>
      </c>
      <c r="O12" s="3">
        <f>MAX(0,(Table36[linearDown]*(1-Table7[f2]*(Table15[[#This Row],[rpm]]-Table36[maxTRpm]))+(1-Table36[linearDown])*(1-Table7[f3]*(Table15[[#This Row],[rpm]]-Table36[maxTRpm])^2))*Table36[maxT])</f>
        <v>819.24019607843138</v>
      </c>
      <c r="P12" s="3">
        <f>MAX(0,(Table36[maxPS]-Table7[f4]*(Table15[[#This Row],[rpm]]-Table36[maxPRpm])^2)/1.36*9550/MAX(1,Table15[[#This Row],[rpm]]))</f>
        <v>1564.0040106951872</v>
      </c>
      <c r="Q12" s="3">
        <f>MAX(0,Table7[Nm2]*MIN(Table36[ratedRpm]/MAX(1,Table15[[#This Row],[rpm]]),1-(MAX(0,Table15[[#This Row],[rpm]]-Table36[ratedRpm])/Table36[fadeOut])^Table36[fadeOutExp]))</f>
        <v>819.24019607843138</v>
      </c>
      <c r="R12" s="3">
        <f>(1-(1-Table15[[#This Row],[rpm]]/Table36[idleRpm])^2)*Table7[idleTEco]</f>
        <v>810.97160493827153</v>
      </c>
      <c r="S12" s="3">
        <f>MAX(0,(1-Table7[f1]*(Table36[maxTRpm1]-Table15[[#This Row],[rpm]])^2)*Table36[maxTEco])</f>
        <v>875.09183673469386</v>
      </c>
      <c r="T12" s="3">
        <f>MAX(0,(Table36[linearDown]*(1-Table7[f2Eco]*(Table15[[#This Row],[rpm]]-Table36[maxTRpm]))+(1-Table36[linearDown])*(1-Table7[f3Eco]*(Table15[[#This Row],[rpm]]-Table36[maxTRpm])^2))*Table36[maxTEco])</f>
        <v>819.24019607843138</v>
      </c>
      <c r="U12" s="3">
        <f>MAX(0,(Table36[maxPSEco]-Table7[f4Eco]*(Table15[[#This Row],[rpm]]-Table36[maxPRpm])^2)/1.36*9550/MAX(1,Table15[[#This Row],[rpm]]))</f>
        <v>1564.0040106951872</v>
      </c>
      <c r="V12" s="3">
        <f>MAX(0,Table7[Nm2Eco]*MIN(Table36[ratedRpm]/MAX(1,Table15[[#This Row],[rpm]]),1-(MAX(0,Table15[[#This Row],[rpm]]-Table36[ratedRpm])/Table36[fadeOut])^Table36[fadeOutExp]))</f>
        <v>819.24019607843138</v>
      </c>
    </row>
    <row r="13" spans="1:25" x14ac:dyDescent="0.25">
      <c r="A13" s="3">
        <v>1200</v>
      </c>
      <c r="B1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883.33877551020407</v>
      </c>
      <c r="C13" s="20"/>
      <c r="D1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883.33877551020407</v>
      </c>
      <c r="E13" s="20"/>
      <c r="F13" s="3">
        <f>Table36[Factor]*IF(Table15[[#This Row],[manualData]]&gt;0,Table15[[#This Row],[manualData]],Table15[[#This Row],[rawData]])</f>
        <v>883.33877551020407</v>
      </c>
      <c r="G13" s="3">
        <f>Table36[Factor]*IF(Table15[[#This Row],[manDataEco]]&gt;0,Table15[[#This Row],[manDataEco]],Table15[[#This Row],[rawDataEco]])</f>
        <v>883.33877551020407</v>
      </c>
      <c r="H13" s="26">
        <f>1.36*Table15[[#This Row],[rpm]]*Table15[[#This Row],[motor]]/9550</f>
        <v>150.95380959504223</v>
      </c>
      <c r="I13" s="26">
        <f>1.36*Table15[[#This Row],[rpm]]*Table15[[#This Row],[motorEco]]/9550</f>
        <v>150.95380959504223</v>
      </c>
      <c r="J1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211.3125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motorTorque="883" fuelUsageRatio="211.3"/&gt;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torque="0.984"/&gt;</v>
      </c>
      <c r="M13" s="3">
        <f>(1-(1-Table15[[#This Row],[rpm]]/Table36[idleRpm])^2)*Table7[idleT]</f>
        <v>758.31111111111113</v>
      </c>
      <c r="N13" s="3">
        <f>MAX(0,(1-Table7[f1]*(Table36[maxTRpm1]-Table15[[#This Row],[rpm]])^2)*Table36[maxT])</f>
        <v>883.33877551020407</v>
      </c>
      <c r="O13" s="3">
        <f>MAX(0,(Table36[linearDown]*(1-Table7[f2]*(Table15[[#This Row],[rpm]]-Table36[maxTRpm]))+(1-Table36[linearDown])*(1-Table7[f3]*(Table15[[#This Row],[rpm]]-Table36[maxTRpm])^2))*Table36[maxT])</f>
        <v>847.59372549019611</v>
      </c>
      <c r="P13" s="3">
        <f>MAX(0,(Table36[maxPS]-Table7[f4]*(Table15[[#This Row],[rpm]]-Table36[maxPRpm])^2)/1.36*9550/MAX(1,Table15[[#This Row],[rpm]]))</f>
        <v>1433.6703431372548</v>
      </c>
      <c r="Q13" s="3">
        <f>MAX(0,Table7[Nm2]*MIN(Table36[ratedRpm]/MAX(1,Table15[[#This Row],[rpm]]),1-(MAX(0,Table15[[#This Row],[rpm]]-Table36[ratedRpm])/Table36[fadeOut])^Table36[fadeOutExp]))</f>
        <v>819.24019607843138</v>
      </c>
      <c r="R13" s="3">
        <f>(1-(1-Table15[[#This Row],[rpm]]/Table36[idleRpm])^2)*Table7[idleTEco]</f>
        <v>758.31111111111113</v>
      </c>
      <c r="S13" s="3">
        <f>MAX(0,(1-Table7[f1]*(Table36[maxTRpm1]-Table15[[#This Row],[rpm]])^2)*Table36[maxTEco])</f>
        <v>883.33877551020407</v>
      </c>
      <c r="T13" s="3">
        <f>MAX(0,(Table36[linearDown]*(1-Table7[f2Eco]*(Table15[[#This Row],[rpm]]-Table36[maxTRpm]))+(1-Table36[linearDown])*(1-Table7[f3Eco]*(Table15[[#This Row],[rpm]]-Table36[maxTRpm])^2))*Table36[maxTEco])</f>
        <v>847.59372549019611</v>
      </c>
      <c r="U13" s="3">
        <f>MAX(0,(Table36[maxPSEco]-Table7[f4Eco]*(Table15[[#This Row],[rpm]]-Table36[maxPRpm])^2)/1.36*9550/MAX(1,Table15[[#This Row],[rpm]]))</f>
        <v>1433.6703431372548</v>
      </c>
      <c r="V13" s="3">
        <f>MAX(0,Table7[Nm2Eco]*MIN(Table36[ratedRpm]/MAX(1,Table15[[#This Row],[rpm]]),1-(MAX(0,Table15[[#This Row],[rpm]]-Table36[ratedRpm])/Table36[fadeOut])^Table36[fadeOutExp]))</f>
        <v>819.24019607843138</v>
      </c>
    </row>
    <row r="14" spans="1:25" x14ac:dyDescent="0.25">
      <c r="A14" s="3">
        <v>1300</v>
      </c>
      <c r="B1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889.75306122448978</v>
      </c>
      <c r="C14" s="20"/>
      <c r="D1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889.75306122448978</v>
      </c>
      <c r="E14" s="20"/>
      <c r="F14" s="3">
        <f>Table36[Factor]*IF(Table15[[#This Row],[manualData]]&gt;0,Table15[[#This Row],[manualData]],Table15[[#This Row],[rawData]])</f>
        <v>889.75306122448978</v>
      </c>
      <c r="G14" s="3">
        <f>Table36[Factor]*IF(Table15[[#This Row],[manDataEco]]&gt;0,Table15[[#This Row],[manDataEco]],Table15[[#This Row],[rawDataEco]])</f>
        <v>889.75306122448978</v>
      </c>
      <c r="H14" s="26">
        <f>1.36*Table15[[#This Row],[rpm]]*Table15[[#This Row],[motor]]/9550</f>
        <v>164.72077615129822</v>
      </c>
      <c r="I14" s="26">
        <f>1.36*Table15[[#This Row],[rpm]]*Table15[[#This Row],[motorEco]]/9550</f>
        <v>164.72077615129822</v>
      </c>
      <c r="J1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210.25925925925927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motorTorque="890" fuelUsageRatio="210.3"/&gt;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torque="0.991"/&gt;</v>
      </c>
      <c r="M14" s="3">
        <f>(1-(1-Table15[[#This Row],[rpm]]/Table36[idleRpm])^2)*Table7[idleT]</f>
        <v>684.58641975308637</v>
      </c>
      <c r="N14" s="3">
        <f>MAX(0,(1-Table7[f1]*(Table36[maxTRpm1]-Table15[[#This Row],[rpm]])^2)*Table36[maxT])</f>
        <v>889.75306122448978</v>
      </c>
      <c r="O14" s="3">
        <f>MAX(0,(Table36[linearDown]*(1-Table7[f2]*(Table15[[#This Row],[rpm]]-Table36[maxTRpm]))+(1-Table36[linearDown])*(1-Table7[f3]*(Table15[[#This Row],[rpm]]-Table36[maxTRpm])^2))*Table36[maxT])</f>
        <v>869.64647058823527</v>
      </c>
      <c r="P14" s="3">
        <f>MAX(0,(Table36[maxPS]-Table7[f4]*(Table15[[#This Row],[rpm]]-Table36[maxPRpm])^2)/1.36*9550/MAX(1,Table15[[#This Row],[rpm]]))</f>
        <v>1323.3880090497737</v>
      </c>
      <c r="Q14" s="3">
        <f>MAX(0,Table7[Nm2]*MIN(Table36[ratedRpm]/MAX(1,Table15[[#This Row],[rpm]]),1-(MAX(0,Table15[[#This Row],[rpm]]-Table36[ratedRpm])/Table36[fadeOut])^Table36[fadeOutExp]))</f>
        <v>819.24019607843138</v>
      </c>
      <c r="R14" s="3">
        <f>(1-(1-Table15[[#This Row],[rpm]]/Table36[idleRpm])^2)*Table7[idleTEco]</f>
        <v>684.58641975308637</v>
      </c>
      <c r="S14" s="3">
        <f>MAX(0,(1-Table7[f1]*(Table36[maxTRpm1]-Table15[[#This Row],[rpm]])^2)*Table36[maxTEco])</f>
        <v>889.75306122448978</v>
      </c>
      <c r="T14" s="3">
        <f>MAX(0,(Table36[linearDown]*(1-Table7[f2Eco]*(Table15[[#This Row],[rpm]]-Table36[maxTRpm]))+(1-Table36[linearDown])*(1-Table7[f3Eco]*(Table15[[#This Row],[rpm]]-Table36[maxTRpm])^2))*Table36[maxTEco])</f>
        <v>869.64647058823527</v>
      </c>
      <c r="U14" s="3">
        <f>MAX(0,(Table36[maxPSEco]-Table7[f4Eco]*(Table15[[#This Row],[rpm]]-Table36[maxPRpm])^2)/1.36*9550/MAX(1,Table15[[#This Row],[rpm]]))</f>
        <v>1323.3880090497737</v>
      </c>
      <c r="V14" s="3">
        <f>MAX(0,Table7[Nm2Eco]*MIN(Table36[ratedRpm]/MAX(1,Table15[[#This Row],[rpm]]),1-(MAX(0,Table15[[#This Row],[rpm]]-Table36[ratedRpm])/Table36[fadeOut])^Table36[fadeOutExp]))</f>
        <v>819.24019607843138</v>
      </c>
    </row>
    <row r="15" spans="1:25" x14ac:dyDescent="0.25">
      <c r="A15" s="3">
        <v>1400</v>
      </c>
      <c r="B1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894.33469387755099</v>
      </c>
      <c r="C15" s="20"/>
      <c r="D1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894.33469387755099</v>
      </c>
      <c r="E15" s="20"/>
      <c r="F15" s="3">
        <f>Table36[Factor]*IF(Table15[[#This Row],[manualData]]&gt;0,Table15[[#This Row],[manualData]],Table15[[#This Row],[rawData]])</f>
        <v>894.33469387755099</v>
      </c>
      <c r="G15" s="3">
        <f>Table36[Factor]*IF(Table15[[#This Row],[manDataEco]]&gt;0,Table15[[#This Row],[manDataEco]],Table15[[#This Row],[rawDataEco]])</f>
        <v>894.33469387755099</v>
      </c>
      <c r="H15" s="26">
        <f>1.36*Table15[[#This Row],[rpm]]*Table15[[#This Row],[motor]]/9550</f>
        <v>178.3050531039641</v>
      </c>
      <c r="I15" s="26">
        <f>1.36*Table15[[#This Row],[rpm]]*Table15[[#This Row],[motorEco]]/9550</f>
        <v>178.3050531039641</v>
      </c>
      <c r="J1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210.01800411522635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motorTorque="894" fuelUsageRatio="210"/&gt;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torque="0.996"/&gt;</v>
      </c>
      <c r="M15" s="3">
        <f>(1-(1-Table15[[#This Row],[rpm]]/Table36[idleRpm])^2)*Table7[idleT]</f>
        <v>589.79753086419748</v>
      </c>
      <c r="N15" s="3">
        <f>MAX(0,(1-Table7[f1]*(Table36[maxTRpm1]-Table15[[#This Row],[rpm]])^2)*Table36[maxT])</f>
        <v>894.33469387755099</v>
      </c>
      <c r="O15" s="3">
        <f>MAX(0,(Table36[linearDown]*(1-Table7[f2]*(Table15[[#This Row],[rpm]]-Table36[maxTRpm]))+(1-Table36[linearDown])*(1-Table7[f3]*(Table15[[#This Row],[rpm]]-Table36[maxTRpm])^2))*Table36[maxT])</f>
        <v>885.39843137254911</v>
      </c>
      <c r="P15" s="3">
        <f>MAX(0,(Table36[maxPS]-Table7[f4]*(Table15[[#This Row],[rpm]]-Table36[maxPRpm])^2)/1.36*9550/MAX(1,Table15[[#This Row],[rpm]]))</f>
        <v>1228.8602941176471</v>
      </c>
      <c r="Q15" s="3">
        <f>MAX(0,Table7[Nm2]*MIN(Table36[ratedRpm]/MAX(1,Table15[[#This Row],[rpm]]),1-(MAX(0,Table15[[#This Row],[rpm]]-Table36[ratedRpm])/Table36[fadeOut])^Table36[fadeOutExp]))</f>
        <v>819.24019607843138</v>
      </c>
      <c r="R15" s="3">
        <f>(1-(1-Table15[[#This Row],[rpm]]/Table36[idleRpm])^2)*Table7[idleTEco]</f>
        <v>589.79753086419748</v>
      </c>
      <c r="S15" s="3">
        <f>MAX(0,(1-Table7[f1]*(Table36[maxTRpm1]-Table15[[#This Row],[rpm]])^2)*Table36[maxTEco])</f>
        <v>894.33469387755099</v>
      </c>
      <c r="T15" s="3">
        <f>MAX(0,(Table36[linearDown]*(1-Table7[f2Eco]*(Table15[[#This Row],[rpm]]-Table36[maxTRpm]))+(1-Table36[linearDown])*(1-Table7[f3Eco]*(Table15[[#This Row],[rpm]]-Table36[maxTRpm])^2))*Table36[maxTEco])</f>
        <v>885.39843137254911</v>
      </c>
      <c r="U15" s="3">
        <f>MAX(0,(Table36[maxPSEco]-Table7[f4Eco]*(Table15[[#This Row],[rpm]]-Table36[maxPRpm])^2)/1.36*9550/MAX(1,Table15[[#This Row],[rpm]]))</f>
        <v>1228.8602941176471</v>
      </c>
      <c r="V15" s="3">
        <f>MAX(0,Table7[Nm2Eco]*MIN(Table36[ratedRpm]/MAX(1,Table15[[#This Row],[rpm]]),1-(MAX(0,Table15[[#This Row],[rpm]]-Table36[ratedRpm])/Table36[fadeOut])^Table36[fadeOutExp]))</f>
        <v>819.24019607843138</v>
      </c>
    </row>
    <row r="16" spans="1:25" x14ac:dyDescent="0.25">
      <c r="A16" s="3">
        <v>1500</v>
      </c>
      <c r="B1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897.08367346938769</v>
      </c>
      <c r="C16" s="20"/>
      <c r="D1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897.08367346938769</v>
      </c>
      <c r="E16" s="20"/>
      <c r="F16" s="3">
        <f>Table36[Factor]*IF(Table15[[#This Row],[manualData]]&gt;0,Table15[[#This Row],[manualData]],Table15[[#This Row],[rawData]])</f>
        <v>897.08367346938769</v>
      </c>
      <c r="G16" s="3">
        <f>Table36[Factor]*IF(Table15[[#This Row],[manDataEco]]&gt;0,Table15[[#This Row],[manDataEco]],Table15[[#This Row],[rawDataEco]])</f>
        <v>897.08367346938769</v>
      </c>
      <c r="H16" s="26">
        <f>1.36*Table15[[#This Row],[rpm]]*Table15[[#This Row],[motor]]/9550</f>
        <v>191.6283449086441</v>
      </c>
      <c r="I16" s="26">
        <f>1.36*Table15[[#This Row],[rpm]]*Table15[[#This Row],[motorEco]]/9550</f>
        <v>191.6283449086441</v>
      </c>
      <c r="J1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210.64814814814815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motorTorque="897" fuelUsageRatio="210.6"/&gt;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torque="0.999"/&gt;</v>
      </c>
      <c r="M16" s="3">
        <f>(1-(1-Table15[[#This Row],[rpm]]/Table36[idleRpm])^2)*Table7[idleT]</f>
        <v>473.94444444444434</v>
      </c>
      <c r="N16" s="3">
        <f>MAX(0,(1-Table7[f1]*(Table36[maxTRpm1]-Table15[[#This Row],[rpm]])^2)*Table36[maxT])</f>
        <v>897.08367346938769</v>
      </c>
      <c r="O16" s="3">
        <f>MAX(0,(Table36[linearDown]*(1-Table7[f2]*(Table15[[#This Row],[rpm]]-Table36[maxTRpm]))+(1-Table36[linearDown])*(1-Table7[f3]*(Table15[[#This Row],[rpm]]-Table36[maxTRpm])^2))*Table36[maxT])</f>
        <v>894.84960784313728</v>
      </c>
      <c r="P16" s="3">
        <f>MAX(0,(Table36[maxPS]-Table7[f4]*(Table15[[#This Row],[rpm]]-Table36[maxPRpm])^2)/1.36*9550/MAX(1,Table15[[#This Row],[rpm]]))</f>
        <v>1146.9362745098038</v>
      </c>
      <c r="Q16" s="3">
        <f>MAX(0,Table7[Nm2]*MIN(Table36[ratedRpm]/MAX(1,Table15[[#This Row],[rpm]]),1-(MAX(0,Table15[[#This Row],[rpm]]-Table36[ratedRpm])/Table36[fadeOut])^Table36[fadeOutExp]))</f>
        <v>819.24019607843138</v>
      </c>
      <c r="R16" s="3">
        <f>(1-(1-Table15[[#This Row],[rpm]]/Table36[idleRpm])^2)*Table7[idleTEco]</f>
        <v>473.94444444444434</v>
      </c>
      <c r="S16" s="3">
        <f>MAX(0,(1-Table7[f1]*(Table36[maxTRpm1]-Table15[[#This Row],[rpm]])^2)*Table36[maxTEco])</f>
        <v>897.08367346938769</v>
      </c>
      <c r="T16" s="3">
        <f>MAX(0,(Table36[linearDown]*(1-Table7[f2Eco]*(Table15[[#This Row],[rpm]]-Table36[maxTRpm]))+(1-Table36[linearDown])*(1-Table7[f3Eco]*(Table15[[#This Row],[rpm]]-Table36[maxTRpm])^2))*Table36[maxTEco])</f>
        <v>894.84960784313728</v>
      </c>
      <c r="U16" s="3">
        <f>MAX(0,(Table36[maxPSEco]-Table7[f4Eco]*(Table15[[#This Row],[rpm]]-Table36[maxPRpm])^2)/1.36*9550/MAX(1,Table15[[#This Row],[rpm]]))</f>
        <v>1146.9362745098038</v>
      </c>
      <c r="V16" s="3">
        <f>MAX(0,Table7[Nm2Eco]*MIN(Table36[ratedRpm]/MAX(1,Table15[[#This Row],[rpm]]),1-(MAX(0,Table15[[#This Row],[rpm]]-Table36[ratedRpm])/Table36[fadeOut])^Table36[fadeOutExp]))</f>
        <v>819.24019607843138</v>
      </c>
    </row>
    <row r="17" spans="1:22" x14ac:dyDescent="0.25">
      <c r="A17" s="3">
        <v>1600</v>
      </c>
      <c r="B1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898</v>
      </c>
      <c r="C17" s="20"/>
      <c r="D1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898</v>
      </c>
      <c r="E17" s="20"/>
      <c r="F17" s="3">
        <f>Table36[Factor]*IF(Table15[[#This Row],[manualData]]&gt;0,Table15[[#This Row],[manualData]],Table15[[#This Row],[rawData]])</f>
        <v>898</v>
      </c>
      <c r="G17" s="3">
        <f>Table36[Factor]*IF(Table15[[#This Row],[manDataEco]]&gt;0,Table15[[#This Row],[manDataEco]],Table15[[#This Row],[rawDataEco]])</f>
        <v>898</v>
      </c>
      <c r="H17" s="26">
        <f>1.36*Table15[[#This Row],[rpm]]*Table15[[#This Row],[motor]]/9550</f>
        <v>204.6123560209424</v>
      </c>
      <c r="I17" s="26">
        <f>1.36*Table15[[#This Row],[rpm]]*Table15[[#This Row],[motorEco]]/9550</f>
        <v>204.6123560209424</v>
      </c>
      <c r="J1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212.17849794238683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motorTorque="898" fuelUsageRatio="212.2"/&gt;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torque="1"/&gt;</v>
      </c>
      <c r="M17" s="3">
        <f>(1-(1-Table15[[#This Row],[rpm]]/Table36[idleRpm])^2)*Table7[idleT]</f>
        <v>337.0271604938273</v>
      </c>
      <c r="N17" s="3">
        <f>MAX(0,(1-Table7[f1]*(Table36[maxTRpm1]-Table15[[#This Row],[rpm]])^2)*Table36[maxT])</f>
        <v>898</v>
      </c>
      <c r="O17" s="3">
        <f>MAX(0,(Table36[linearDown]*(1-Table7[f2]*(Table15[[#This Row],[rpm]]-Table36[maxTRpm]))+(1-Table36[linearDown])*(1-Table7[f3]*(Table15[[#This Row],[rpm]]-Table36[maxTRpm])^2))*Table36[maxT])</f>
        <v>898</v>
      </c>
      <c r="P17" s="3">
        <f>MAX(0,(Table36[maxPS]-Table7[f4]*(Table15[[#This Row],[rpm]]-Table36[maxPRpm])^2)/1.36*9550/MAX(1,Table15[[#This Row],[rpm]]))</f>
        <v>1075.2527573529412</v>
      </c>
      <c r="Q17" s="3">
        <f>MAX(0,Table7[Nm2]*MIN(Table36[ratedRpm]/MAX(1,Table15[[#This Row],[rpm]]),1-(MAX(0,Table15[[#This Row],[rpm]]-Table36[ratedRpm])/Table36[fadeOut])^Table36[fadeOutExp]))</f>
        <v>819.24019607843138</v>
      </c>
      <c r="R17" s="3">
        <f>(1-(1-Table15[[#This Row],[rpm]]/Table36[idleRpm])^2)*Table7[idleTEco]</f>
        <v>337.0271604938273</v>
      </c>
      <c r="S17" s="3">
        <f>MAX(0,(1-Table7[f1]*(Table36[maxTRpm1]-Table15[[#This Row],[rpm]])^2)*Table36[maxTEco])</f>
        <v>898</v>
      </c>
      <c r="T17" s="3">
        <f>MAX(0,(Table36[linearDown]*(1-Table7[f2Eco]*(Table15[[#This Row],[rpm]]-Table36[maxTRpm]))+(1-Table36[linearDown])*(1-Table7[f3Eco]*(Table15[[#This Row],[rpm]]-Table36[maxTRpm])^2))*Table36[maxTEco])</f>
        <v>898</v>
      </c>
      <c r="U17" s="3">
        <f>MAX(0,(Table36[maxPSEco]-Table7[f4Eco]*(Table15[[#This Row],[rpm]]-Table36[maxPRpm])^2)/1.36*9550/MAX(1,Table15[[#This Row],[rpm]]))</f>
        <v>1075.2527573529412</v>
      </c>
      <c r="V17" s="3">
        <f>MAX(0,Table7[Nm2Eco]*MIN(Table36[ratedRpm]/MAX(1,Table15[[#This Row],[rpm]]),1-(MAX(0,Table15[[#This Row],[rpm]]-Table36[ratedRpm])/Table36[fadeOut])^Table36[fadeOutExp]))</f>
        <v>819.24019607843138</v>
      </c>
    </row>
    <row r="18" spans="1:22" x14ac:dyDescent="0.25">
      <c r="A18" s="3">
        <v>1700</v>
      </c>
      <c r="B1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894.84960784313728</v>
      </c>
      <c r="C18" s="20"/>
      <c r="D1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894.84960784313728</v>
      </c>
      <c r="E18" s="20"/>
      <c r="F18" s="3">
        <f>Table36[Factor]*IF(Table15[[#This Row],[manualData]]&gt;0,Table15[[#This Row],[manualData]],Table15[[#This Row],[rawData]])</f>
        <v>894.84960784313728</v>
      </c>
      <c r="G18" s="3">
        <f>Table36[Factor]*IF(Table15[[#This Row],[manDataEco]]&gt;0,Table15[[#This Row],[manDataEco]],Table15[[#This Row],[rawDataEco]])</f>
        <v>894.84960784313728</v>
      </c>
      <c r="H18" s="26">
        <f>1.36*Table15[[#This Row],[rpm]]*Table15[[#This Row],[motor]]/9550</f>
        <v>216.63793647469461</v>
      </c>
      <c r="I18" s="26">
        <f>1.36*Table15[[#This Row],[rpm]]*Table15[[#This Row],[motorEco]]/9550</f>
        <v>216.63793647469461</v>
      </c>
      <c r="J1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214.60905349794237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motorTorque="895" fuelUsageRatio="214.6"/&gt;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torque="0.996"/&gt;</v>
      </c>
      <c r="M18" s="3">
        <f>(1-(1-Table15[[#This Row],[rpm]]/Table36[idleRpm])^2)*Table7[idleT]</f>
        <v>179.04567901234569</v>
      </c>
      <c r="N18" s="3">
        <f>MAX(0,(1-Table7[f1]*(Table36[maxTRpm1]-Table15[[#This Row],[rpm]])^2)*Table36[maxT])</f>
        <v>897.08367346938769</v>
      </c>
      <c r="O18" s="3">
        <f>MAX(0,(Table36[linearDown]*(1-Table7[f2]*(Table15[[#This Row],[rpm]]-Table36[maxTRpm]))+(1-Table36[linearDown])*(1-Table7[f3]*(Table15[[#This Row],[rpm]]-Table36[maxTRpm])^2))*Table36[maxT])</f>
        <v>894.84960784313728</v>
      </c>
      <c r="P18" s="3">
        <f>MAX(0,(Table36[maxPS]-Table7[f4]*(Table15[[#This Row],[rpm]]-Table36[maxPRpm])^2)/1.36*9550/MAX(1,Table15[[#This Row],[rpm]]))</f>
        <v>1012.0025951557093</v>
      </c>
      <c r="Q18" s="3">
        <f>MAX(0,Table7[Nm2]*MIN(Table36[ratedRpm]/MAX(1,Table15[[#This Row],[rpm]]),1-(MAX(0,Table15[[#This Row],[rpm]]-Table36[ratedRpm])/Table36[fadeOut])^Table36[fadeOutExp]))</f>
        <v>819.24019607843138</v>
      </c>
      <c r="R18" s="3">
        <f>(1-(1-Table15[[#This Row],[rpm]]/Table36[idleRpm])^2)*Table7[idleTEco]</f>
        <v>179.04567901234569</v>
      </c>
      <c r="S18" s="3">
        <f>MAX(0,(1-Table7[f1]*(Table36[maxTRpm1]-Table15[[#This Row],[rpm]])^2)*Table36[maxTEco])</f>
        <v>897.08367346938769</v>
      </c>
      <c r="T18" s="3">
        <f>MAX(0,(Table36[linearDown]*(1-Table7[f2Eco]*(Table15[[#This Row],[rpm]]-Table36[maxTRpm]))+(1-Table36[linearDown])*(1-Table7[f3Eco]*(Table15[[#This Row],[rpm]]-Table36[maxTRpm])^2))*Table36[maxTEco])</f>
        <v>894.84960784313728</v>
      </c>
      <c r="U18" s="3">
        <f>MAX(0,(Table36[maxPSEco]-Table7[f4Eco]*(Table15[[#This Row],[rpm]]-Table36[maxPRpm])^2)/1.36*9550/MAX(1,Table15[[#This Row],[rpm]]))</f>
        <v>1012.0025951557093</v>
      </c>
      <c r="V18" s="3">
        <f>MAX(0,Table7[Nm2Eco]*MIN(Table36[ratedRpm]/MAX(1,Table15[[#This Row],[rpm]]),1-(MAX(0,Table15[[#This Row],[rpm]]-Table36[ratedRpm])/Table36[fadeOut])^Table36[fadeOutExp]))</f>
        <v>819.24019607843138</v>
      </c>
    </row>
    <row r="19" spans="1:22" x14ac:dyDescent="0.25">
      <c r="A19" s="3">
        <v>1800</v>
      </c>
      <c r="B1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885.39843137254911</v>
      </c>
      <c r="C19" s="20"/>
      <c r="D1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885.39843137254911</v>
      </c>
      <c r="E19" s="20"/>
      <c r="F19" s="3">
        <f>Table36[Factor]*IF(Table15[[#This Row],[manualData]]&gt;0,Table15[[#This Row],[manualData]],Table15[[#This Row],[rawData]])</f>
        <v>885.39843137254911</v>
      </c>
      <c r="G19" s="3">
        <f>Table36[Factor]*IF(Table15[[#This Row],[manDataEco]]&gt;0,Table15[[#This Row],[manDataEco]],Table15[[#This Row],[rawDataEco]])</f>
        <v>885.39843137254911</v>
      </c>
      <c r="H19" s="26">
        <f>1.36*Table15[[#This Row],[rpm]]*Table15[[#This Row],[motor]]/9550</f>
        <v>226.95867643979062</v>
      </c>
      <c r="I19" s="26">
        <f>1.36*Table15[[#This Row],[rpm]]*Table15[[#This Row],[motorEco]]/9550</f>
        <v>226.95867643979062</v>
      </c>
      <c r="J1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217.93981481481481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motorTorque="885" fuelUsageRatio="217.9"/&gt;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torque="0.986"/&gt;</v>
      </c>
      <c r="M19" s="3">
        <f>(1-(1-Table15[[#This Row],[rpm]]/Table36[idleRpm])^2)*Table7[idleT]</f>
        <v>0</v>
      </c>
      <c r="N19" s="3">
        <f>MAX(0,(1-Table7[f1]*(Table36[maxTRpm1]-Table15[[#This Row],[rpm]])^2)*Table36[maxT])</f>
        <v>894.33469387755099</v>
      </c>
      <c r="O19" s="3">
        <f>MAX(0,(Table36[linearDown]*(1-Table7[f2]*(Table15[[#This Row],[rpm]]-Table36[maxTRpm]))+(1-Table36[linearDown])*(1-Table7[f3]*(Table15[[#This Row],[rpm]]-Table36[maxTRpm])^2))*Table36[maxT])</f>
        <v>885.39843137254911</v>
      </c>
      <c r="P19" s="3">
        <f>MAX(0,(Table36[maxPS]-Table7[f4]*(Table15[[#This Row],[rpm]]-Table36[maxPRpm])^2)/1.36*9550/MAX(1,Table15[[#This Row],[rpm]]))</f>
        <v>955.78022875816987</v>
      </c>
      <c r="Q19" s="3">
        <f>MAX(0,Table7[Nm2]*MIN(Table36[ratedRpm]/MAX(1,Table15[[#This Row],[rpm]]),1-(MAX(0,Table15[[#This Row],[rpm]]-Table36[ratedRpm])/Table36[fadeOut])^Table36[fadeOutExp]))</f>
        <v>819.24019607843138</v>
      </c>
      <c r="R19" s="3">
        <f>(1-(1-Table15[[#This Row],[rpm]]/Table36[idleRpm])^2)*Table7[idleTEco]</f>
        <v>0</v>
      </c>
      <c r="S19" s="3">
        <f>MAX(0,(1-Table7[f1]*(Table36[maxTRpm1]-Table15[[#This Row],[rpm]])^2)*Table36[maxTEco])</f>
        <v>894.33469387755099</v>
      </c>
      <c r="T19" s="3">
        <f>MAX(0,(Table36[linearDown]*(1-Table7[f2Eco]*(Table15[[#This Row],[rpm]]-Table36[maxTRpm]))+(1-Table36[linearDown])*(1-Table7[f3Eco]*(Table15[[#This Row],[rpm]]-Table36[maxTRpm])^2))*Table36[maxTEco])</f>
        <v>885.39843137254911</v>
      </c>
      <c r="U19" s="3">
        <f>MAX(0,(Table36[maxPSEco]-Table7[f4Eco]*(Table15[[#This Row],[rpm]]-Table36[maxPRpm])^2)/1.36*9550/MAX(1,Table15[[#This Row],[rpm]]))</f>
        <v>955.78022875816987</v>
      </c>
      <c r="V19" s="3">
        <f>MAX(0,Table7[Nm2Eco]*MIN(Table36[ratedRpm]/MAX(1,Table15[[#This Row],[rpm]]),1-(MAX(0,Table15[[#This Row],[rpm]]-Table36[ratedRpm])/Table36[fadeOut])^Table36[fadeOutExp]))</f>
        <v>819.24019607843138</v>
      </c>
    </row>
    <row r="20" spans="1:22" x14ac:dyDescent="0.25">
      <c r="A20" s="3">
        <v>1850</v>
      </c>
      <c r="B2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878.31004901960785</v>
      </c>
      <c r="C20" s="20"/>
      <c r="D2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878.31004901960785</v>
      </c>
      <c r="E20" s="20"/>
      <c r="F20" s="3">
        <f>Table36[Factor]*IF(Table15[[#This Row],[manualData]]&gt;0,Table15[[#This Row],[manualData]],Table15[[#This Row],[rawData]])</f>
        <v>878.31004901960785</v>
      </c>
      <c r="G20" s="3">
        <f>Table36[Factor]*IF(Table15[[#This Row],[manDataEco]]&gt;0,Table15[[#This Row],[manDataEco]],Table15[[#This Row],[rawDataEco]])</f>
        <v>878.31004901960785</v>
      </c>
      <c r="H20" s="26">
        <f>1.36*Table15[[#This Row],[rpm]]*Table15[[#This Row],[motor]]/9550</f>
        <v>231.39561082024434</v>
      </c>
      <c r="I20" s="26">
        <f>1.36*Table15[[#This Row],[rpm]]*Table15[[#This Row],[motorEco]]/9550</f>
        <v>231.39561082024434</v>
      </c>
      <c r="J2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219.94277263374485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motorTorque="878" fuelUsageRatio="219.9"/&gt;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torque="0.978"/&gt;</v>
      </c>
      <c r="M20" s="3">
        <f>(1-(1-Table15[[#This Row],[rpm]]/Table36[idleRpm])^2)*Table7[idleT]</f>
        <v>-97.421913580246581</v>
      </c>
      <c r="N20" s="3">
        <f>MAX(0,(1-Table7[f1]*(Table36[maxTRpm1]-Table15[[#This Row],[rpm]])^2)*Table36[maxT])</f>
        <v>892.27295918367349</v>
      </c>
      <c r="O20" s="3">
        <f>MAX(0,(Table36[linearDown]*(1-Table7[f2]*(Table15[[#This Row],[rpm]]-Table36[maxTRpm]))+(1-Table36[linearDown])*(1-Table7[f3]*(Table15[[#This Row],[rpm]]-Table36[maxTRpm])^2))*Table36[maxT])</f>
        <v>878.31004901960785</v>
      </c>
      <c r="P20" s="3">
        <f>MAX(0,(Table36[maxPS]-Table7[f4]*(Table15[[#This Row],[rpm]]-Table36[maxPRpm])^2)/1.36*9550/MAX(1,Table15[[#This Row],[rpm]]))</f>
        <v>929.9483306836247</v>
      </c>
      <c r="Q20" s="3">
        <f>MAX(0,Table7[Nm2]*MIN(Table36[ratedRpm]/MAX(1,Table15[[#This Row],[rpm]]),1-(MAX(0,Table15[[#This Row],[rpm]]-Table36[ratedRpm])/Table36[fadeOut])^Table36[fadeOutExp]))</f>
        <v>819.24019607843138</v>
      </c>
      <c r="R20" s="3">
        <f>(1-(1-Table15[[#This Row],[rpm]]/Table36[idleRpm])^2)*Table7[idleTEco]</f>
        <v>-97.421913580246581</v>
      </c>
      <c r="S20" s="3">
        <f>MAX(0,(1-Table7[f1]*(Table36[maxTRpm1]-Table15[[#This Row],[rpm]])^2)*Table36[maxTEco])</f>
        <v>892.27295918367349</v>
      </c>
      <c r="T20" s="3">
        <f>MAX(0,(Table36[linearDown]*(1-Table7[f2Eco]*(Table15[[#This Row],[rpm]]-Table36[maxTRpm]))+(1-Table36[linearDown])*(1-Table7[f3Eco]*(Table15[[#This Row],[rpm]]-Table36[maxTRpm])^2))*Table36[maxTEco])</f>
        <v>878.31004901960785</v>
      </c>
      <c r="U20" s="3">
        <f>MAX(0,(Table36[maxPSEco]-Table7[f4Eco]*(Table15[[#This Row],[rpm]]-Table36[maxPRpm])^2)/1.36*9550/MAX(1,Table15[[#This Row],[rpm]]))</f>
        <v>929.9483306836247</v>
      </c>
      <c r="V20" s="3">
        <f>MAX(0,Table7[Nm2Eco]*MIN(Table36[ratedRpm]/MAX(1,Table15[[#This Row],[rpm]]),1-(MAX(0,Table15[[#This Row],[rpm]]-Table36[ratedRpm])/Table36[fadeOut])^Table36[fadeOutExp]))</f>
        <v>819.24019607843138</v>
      </c>
    </row>
    <row r="21" spans="1:22" x14ac:dyDescent="0.25">
      <c r="A21" s="3">
        <v>1900</v>
      </c>
      <c r="B2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869.64647058823527</v>
      </c>
      <c r="C21" s="20"/>
      <c r="D2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869.64647058823527</v>
      </c>
      <c r="E21" s="20"/>
      <c r="F21" s="3">
        <f>Table36[Factor]*IF(Table15[[#This Row],[manualData]]&gt;0,Table15[[#This Row],[manualData]],Table15[[#This Row],[rawData]])</f>
        <v>869.64647058823527</v>
      </c>
      <c r="G21" s="3">
        <f>Table36[Factor]*IF(Table15[[#This Row],[manDataEco]]&gt;0,Table15[[#This Row],[manDataEco]],Table15[[#This Row],[rawDataEco]])</f>
        <v>869.64647058823527</v>
      </c>
      <c r="H21" s="26">
        <f>1.36*Table15[[#This Row],[rpm]]*Table15[[#This Row],[motor]]/9550</f>
        <v>235.30539057591622</v>
      </c>
      <c r="I21" s="26">
        <f>1.36*Table15[[#This Row],[rpm]]*Table15[[#This Row],[motorEco]]/9550</f>
        <v>235.30539057591622</v>
      </c>
      <c r="J2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222.17078189300412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motorTorque="870" fuelUsageRatio="222.2"/&gt;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torque="0.968"/&gt;</v>
      </c>
      <c r="M21" s="3">
        <f>(1-(1-Table15[[#This Row],[rpm]]/Table36[idleRpm])^2)*Table7[idleT]</f>
        <v>-200.10987654320999</v>
      </c>
      <c r="N21" s="3">
        <f>MAX(0,(1-Table7[f1]*(Table36[maxTRpm1]-Table15[[#This Row],[rpm]])^2)*Table36[maxT])</f>
        <v>889.75306122448978</v>
      </c>
      <c r="O21" s="3">
        <f>MAX(0,(Table36[linearDown]*(1-Table7[f2]*(Table15[[#This Row],[rpm]]-Table36[maxTRpm]))+(1-Table36[linearDown])*(1-Table7[f3]*(Table15[[#This Row],[rpm]]-Table36[maxTRpm])^2))*Table36[maxT])</f>
        <v>869.64647058823527</v>
      </c>
      <c r="P21" s="3">
        <f>MAX(0,(Table36[maxPS]-Table7[f4]*(Table15[[#This Row],[rpm]]-Table36[maxPRpm])^2)/1.36*9550/MAX(1,Table15[[#This Row],[rpm]]))</f>
        <v>905.47600619195043</v>
      </c>
      <c r="Q21" s="3">
        <f>MAX(0,Table7[Nm2]*MIN(Table36[ratedRpm]/MAX(1,Table15[[#This Row],[rpm]]),1-(MAX(0,Table15[[#This Row],[rpm]]-Table36[ratedRpm])/Table36[fadeOut])^Table36[fadeOutExp]))</f>
        <v>819.24019607843138</v>
      </c>
      <c r="R21" s="3">
        <f>(1-(1-Table15[[#This Row],[rpm]]/Table36[idleRpm])^2)*Table7[idleTEco]</f>
        <v>-200.10987654320999</v>
      </c>
      <c r="S21" s="3">
        <f>MAX(0,(1-Table7[f1]*(Table36[maxTRpm1]-Table15[[#This Row],[rpm]])^2)*Table36[maxTEco])</f>
        <v>889.75306122448978</v>
      </c>
      <c r="T21" s="3">
        <f>MAX(0,(Table36[linearDown]*(1-Table7[f2Eco]*(Table15[[#This Row],[rpm]]-Table36[maxTRpm]))+(1-Table36[linearDown])*(1-Table7[f3Eco]*(Table15[[#This Row],[rpm]]-Table36[maxTRpm])^2))*Table36[maxTEco])</f>
        <v>869.64647058823527</v>
      </c>
      <c r="U21" s="3">
        <f>MAX(0,(Table36[maxPSEco]-Table7[f4Eco]*(Table15[[#This Row],[rpm]]-Table36[maxPRpm])^2)/1.36*9550/MAX(1,Table15[[#This Row],[rpm]]))</f>
        <v>905.47600619195043</v>
      </c>
      <c r="V21" s="3">
        <f>MAX(0,Table7[Nm2Eco]*MIN(Table36[ratedRpm]/MAX(1,Table15[[#This Row],[rpm]]),1-(MAX(0,Table15[[#This Row],[rpm]]-Table36[ratedRpm])/Table36[fadeOut])^Table36[fadeOutExp]))</f>
        <v>819.24019607843138</v>
      </c>
    </row>
    <row r="22" spans="1:22" x14ac:dyDescent="0.25">
      <c r="A22" s="3">
        <v>1950</v>
      </c>
      <c r="B2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859.4076960784314</v>
      </c>
      <c r="C22" s="20"/>
      <c r="D2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859.4076960784314</v>
      </c>
      <c r="E22" s="20"/>
      <c r="F22" s="3">
        <f>Table36[Factor]*IF(Table15[[#This Row],[manualData]]&gt;0,Table15[[#This Row],[manualData]],Table15[[#This Row],[rawData]])</f>
        <v>859.4076960784314</v>
      </c>
      <c r="G22" s="3">
        <f>Table36[Factor]*IF(Table15[[#This Row],[manDataEco]]&gt;0,Table15[[#This Row],[manDataEco]],Table15[[#This Row],[rawDataEco]])</f>
        <v>859.4076960784314</v>
      </c>
      <c r="H22" s="26">
        <f>1.36*Table15[[#This Row],[rpm]]*Table15[[#This Row],[motor]]/9550</f>
        <v>238.65436753926701</v>
      </c>
      <c r="I22" s="26">
        <f>1.36*Table15[[#This Row],[rpm]]*Table15[[#This Row],[motorEco]]/9550</f>
        <v>238.65436753926701</v>
      </c>
      <c r="J2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224.62384259259258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motorTorque="859" fuelUsageRatio="224.6"/&gt;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torque="0.957"/&gt;</v>
      </c>
      <c r="M22" s="3">
        <f>(1-(1-Table15[[#This Row],[rpm]]/Table36[idleRpm])^2)*Table7[idleT]</f>
        <v>-308.06388888888853</v>
      </c>
      <c r="N22" s="3">
        <f>MAX(0,(1-Table7[f1]*(Table36[maxTRpm1]-Table15[[#This Row],[rpm]])^2)*Table36[maxT])</f>
        <v>886.77500000000009</v>
      </c>
      <c r="O22" s="3">
        <f>MAX(0,(Table36[linearDown]*(1-Table7[f2]*(Table15[[#This Row],[rpm]]-Table36[maxTRpm]))+(1-Table36[linearDown])*(1-Table7[f3]*(Table15[[#This Row],[rpm]]-Table36[maxTRpm])^2))*Table36[maxT])</f>
        <v>859.4076960784314</v>
      </c>
      <c r="P22" s="3">
        <f>MAX(0,(Table36[maxPS]-Table7[f4]*(Table15[[#This Row],[rpm]]-Table36[maxPRpm])^2)/1.36*9550/MAX(1,Table15[[#This Row],[rpm]]))</f>
        <v>882.25867269984917</v>
      </c>
      <c r="Q22" s="3">
        <f>MAX(0,Table7[Nm2]*MIN(Table36[ratedRpm]/MAX(1,Table15[[#This Row],[rpm]]),1-(MAX(0,Table15[[#This Row],[rpm]]-Table36[ratedRpm])/Table36[fadeOut])^Table36[fadeOutExp]))</f>
        <v>819.24019607843138</v>
      </c>
      <c r="R22" s="3">
        <f>(1-(1-Table15[[#This Row],[rpm]]/Table36[idleRpm])^2)*Table7[idleTEco]</f>
        <v>-308.06388888888853</v>
      </c>
      <c r="S22" s="3">
        <f>MAX(0,(1-Table7[f1]*(Table36[maxTRpm1]-Table15[[#This Row],[rpm]])^2)*Table36[maxTEco])</f>
        <v>886.77500000000009</v>
      </c>
      <c r="T22" s="3">
        <f>MAX(0,(Table36[linearDown]*(1-Table7[f2Eco]*(Table15[[#This Row],[rpm]]-Table36[maxTRpm]))+(1-Table36[linearDown])*(1-Table7[f3Eco]*(Table15[[#This Row],[rpm]]-Table36[maxTRpm])^2))*Table36[maxTEco])</f>
        <v>859.4076960784314</v>
      </c>
      <c r="U22" s="3">
        <f>MAX(0,(Table36[maxPSEco]-Table7[f4Eco]*(Table15[[#This Row],[rpm]]-Table36[maxPRpm])^2)/1.36*9550/MAX(1,Table15[[#This Row],[rpm]]))</f>
        <v>882.25867269984917</v>
      </c>
      <c r="V22" s="3">
        <f>MAX(0,Table7[Nm2Eco]*MIN(Table36[ratedRpm]/MAX(1,Table15[[#This Row],[rpm]]),1-(MAX(0,Table15[[#This Row],[rpm]]-Table36[ratedRpm])/Table36[fadeOut])^Table36[fadeOutExp]))</f>
        <v>819.24019607843138</v>
      </c>
    </row>
    <row r="23" spans="1:22" x14ac:dyDescent="0.25">
      <c r="A23" s="3">
        <v>2000</v>
      </c>
      <c r="B2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847.59372549019611</v>
      </c>
      <c r="C23" s="20"/>
      <c r="D2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847.59372549019611</v>
      </c>
      <c r="E23" s="20"/>
      <c r="F23" s="3">
        <f>Table36[Factor]*IF(Table15[[#This Row],[manualData]]&gt;0,Table15[[#This Row],[manualData]],Table15[[#This Row],[rawData]])</f>
        <v>847.59372549019611</v>
      </c>
      <c r="G23" s="3">
        <f>Table36[Factor]*IF(Table15[[#This Row],[manDataEco]]&gt;0,Table15[[#This Row],[manDataEco]],Table15[[#This Row],[rawDataEco]])</f>
        <v>847.59372549019611</v>
      </c>
      <c r="H23" s="26">
        <f>1.36*Table15[[#This Row],[rpm]]*Table15[[#This Row],[motor]]/9550</f>
        <v>241.40889354275745</v>
      </c>
      <c r="I23" s="26">
        <f>1.36*Table15[[#This Row],[rpm]]*Table15[[#This Row],[motorEco]]/9550</f>
        <v>241.40889354275745</v>
      </c>
      <c r="J2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227.30195473251027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motorTorque="848" fuelUsageRatio="227.3"/&gt;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torque="0.944"/&gt;</v>
      </c>
      <c r="M23" s="3">
        <f>(1-(1-Table15[[#This Row],[rpm]]/Table36[idleRpm])^2)*Table7[idleT]</f>
        <v>-421.28395061728406</v>
      </c>
      <c r="N23" s="3">
        <f>MAX(0,(1-Table7[f1]*(Table36[maxTRpm1]-Table15[[#This Row],[rpm]])^2)*Table36[maxT])</f>
        <v>883.33877551020407</v>
      </c>
      <c r="O23" s="3">
        <f>MAX(0,(Table36[linearDown]*(1-Table7[f2]*(Table15[[#This Row],[rpm]]-Table36[maxTRpm]))+(1-Table36[linearDown])*(1-Table7[f3]*(Table15[[#This Row],[rpm]]-Table36[maxTRpm])^2))*Table36[maxT])</f>
        <v>847.59372549019611</v>
      </c>
      <c r="P23" s="3">
        <f>MAX(0,(Table36[maxPS]-Table7[f4]*(Table15[[#This Row],[rpm]]-Table36[maxPRpm])^2)/1.36*9550/MAX(1,Table15[[#This Row],[rpm]]))</f>
        <v>860.20220588235293</v>
      </c>
      <c r="Q23" s="3">
        <f>MAX(0,Table7[Nm2]*MIN(Table36[ratedRpm]/MAX(1,Table15[[#This Row],[rpm]]),1-(MAX(0,Table15[[#This Row],[rpm]]-Table36[ratedRpm])/Table36[fadeOut])^Table36[fadeOutExp]))</f>
        <v>819.24019607843138</v>
      </c>
      <c r="R23" s="3">
        <f>(1-(1-Table15[[#This Row],[rpm]]/Table36[idleRpm])^2)*Table7[idleTEco]</f>
        <v>-421.28395061728406</v>
      </c>
      <c r="S23" s="3">
        <f>MAX(0,(1-Table7[f1]*(Table36[maxTRpm1]-Table15[[#This Row],[rpm]])^2)*Table36[maxTEco])</f>
        <v>883.33877551020407</v>
      </c>
      <c r="T23" s="3">
        <f>MAX(0,(Table36[linearDown]*(1-Table7[f2Eco]*(Table15[[#This Row],[rpm]]-Table36[maxTRpm]))+(1-Table36[linearDown])*(1-Table7[f3Eco]*(Table15[[#This Row],[rpm]]-Table36[maxTRpm])^2))*Table36[maxTEco])</f>
        <v>847.59372549019611</v>
      </c>
      <c r="U23" s="3">
        <f>MAX(0,(Table36[maxPSEco]-Table7[f4Eco]*(Table15[[#This Row],[rpm]]-Table36[maxPRpm])^2)/1.36*9550/MAX(1,Table15[[#This Row],[rpm]]))</f>
        <v>860.20220588235293</v>
      </c>
      <c r="V23" s="3">
        <f>MAX(0,Table7[Nm2Eco]*MIN(Table36[ratedRpm]/MAX(1,Table15[[#This Row],[rpm]]),1-(MAX(0,Table15[[#This Row],[rpm]]-Table36[ratedRpm])/Table36[fadeOut])^Table36[fadeOutExp]))</f>
        <v>819.24019607843138</v>
      </c>
    </row>
    <row r="24" spans="1:22" x14ac:dyDescent="0.25">
      <c r="A24" s="3">
        <v>2050</v>
      </c>
      <c r="B2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834.2045588235294</v>
      </c>
      <c r="C24" s="20"/>
      <c r="D2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834.2045588235294</v>
      </c>
      <c r="E24" s="20"/>
      <c r="F24" s="3">
        <f>Table36[Factor]*IF(Table15[[#This Row],[manualData]]&gt;0,Table15[[#This Row],[manualData]],Table15[[#This Row],[rawData]])</f>
        <v>834.2045588235294</v>
      </c>
      <c r="G24" s="3">
        <f>Table36[Factor]*IF(Table15[[#This Row],[manDataEco]]&gt;0,Table15[[#This Row],[manDataEco]],Table15[[#This Row],[rawDataEco]])</f>
        <v>834.2045588235294</v>
      </c>
      <c r="H24" s="26">
        <f>1.36*Table15[[#This Row],[rpm]]*Table15[[#This Row],[motor]]/9550</f>
        <v>243.53532041884819</v>
      </c>
      <c r="I24" s="26">
        <f>1.36*Table15[[#This Row],[rpm]]*Table15[[#This Row],[motorEco]]/9550</f>
        <v>243.53532041884819</v>
      </c>
      <c r="J2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230.20511831275718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motorTorque="834" fuelUsageRatio="230.2"/&gt;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torque="0.929"/&gt;</v>
      </c>
      <c r="M24" s="3">
        <f>(1-(1-Table15[[#This Row],[rpm]]/Table36[idleRpm])^2)*Table7[idleT]</f>
        <v>-539.77006172839469</v>
      </c>
      <c r="N24" s="3">
        <f>MAX(0,(1-Table7[f1]*(Table36[maxTRpm1]-Table15[[#This Row],[rpm]])^2)*Table36[maxT])</f>
        <v>879.44438775510196</v>
      </c>
      <c r="O24" s="3">
        <f>MAX(0,(Table36[linearDown]*(1-Table7[f2]*(Table15[[#This Row],[rpm]]-Table36[maxTRpm]))+(1-Table36[linearDown])*(1-Table7[f3]*(Table15[[#This Row],[rpm]]-Table36[maxTRpm])^2))*Table36[maxT])</f>
        <v>834.2045588235294</v>
      </c>
      <c r="P24" s="3">
        <f>MAX(0,(Table36[maxPS]-Table7[f4]*(Table15[[#This Row],[rpm]]-Table36[maxPRpm])^2)/1.36*9550/MAX(1,Table15[[#This Row],[rpm]]))</f>
        <v>839.2216642754662</v>
      </c>
      <c r="Q24" s="3">
        <f>MAX(0,Table7[Nm2]*MIN(Table36[ratedRpm]/MAX(1,Table15[[#This Row],[rpm]]),1-(MAX(0,Table15[[#This Row],[rpm]]-Table36[ratedRpm])/Table36[fadeOut])^Table36[fadeOutExp]))</f>
        <v>819.24019607843138</v>
      </c>
      <c r="R24" s="3">
        <f>(1-(1-Table15[[#This Row],[rpm]]/Table36[idleRpm])^2)*Table7[idleTEco]</f>
        <v>-539.77006172839469</v>
      </c>
      <c r="S24" s="3">
        <f>MAX(0,(1-Table7[f1]*(Table36[maxTRpm1]-Table15[[#This Row],[rpm]])^2)*Table36[maxTEco])</f>
        <v>879.44438775510196</v>
      </c>
      <c r="T24" s="3">
        <f>MAX(0,(Table36[linearDown]*(1-Table7[f2Eco]*(Table15[[#This Row],[rpm]]-Table36[maxTRpm]))+(1-Table36[linearDown])*(1-Table7[f3Eco]*(Table15[[#This Row],[rpm]]-Table36[maxTRpm])^2))*Table36[maxTEco])</f>
        <v>834.2045588235294</v>
      </c>
      <c r="U24" s="3">
        <f>MAX(0,(Table36[maxPSEco]-Table7[f4Eco]*(Table15[[#This Row],[rpm]]-Table36[maxPRpm])^2)/1.36*9550/MAX(1,Table15[[#This Row],[rpm]]))</f>
        <v>839.2216642754662</v>
      </c>
      <c r="V24" s="3">
        <f>MAX(0,Table7[Nm2Eco]*MIN(Table36[ratedRpm]/MAX(1,Table15[[#This Row],[rpm]]),1-(MAX(0,Table15[[#This Row],[rpm]]-Table36[ratedRpm])/Table36[fadeOut])^Table36[fadeOutExp]))</f>
        <v>819.24019607843138</v>
      </c>
    </row>
    <row r="25" spans="1:22" x14ac:dyDescent="0.25">
      <c r="A25" s="3">
        <v>2100</v>
      </c>
      <c r="B2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819.24019607843138</v>
      </c>
      <c r="C25" s="20"/>
      <c r="D2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819.24019607843138</v>
      </c>
      <c r="E25" s="20"/>
      <c r="F25" s="3">
        <f>Table36[Factor]*IF(Table15[[#This Row],[manualData]]&gt;0,Table15[[#This Row],[manualData]],Table15[[#This Row],[rawData]])</f>
        <v>819.24019607843138</v>
      </c>
      <c r="G25" s="3">
        <f>Table36[Factor]*IF(Table15[[#This Row],[manDataEco]]&gt;0,Table15[[#This Row],[manDataEco]],Table15[[#This Row],[rawDataEco]])</f>
        <v>819.24019607843138</v>
      </c>
      <c r="H25" s="26">
        <f>1.36*Table15[[#This Row],[rpm]]*Table15[[#This Row],[motor]]/9550</f>
        <v>245</v>
      </c>
      <c r="I25" s="26">
        <f>1.36*Table15[[#This Row],[rpm]]*Table15[[#This Row],[motorEco]]/9550</f>
        <v>245</v>
      </c>
      <c r="J2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233.33333333333331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motorTorque="819" fuelUsageRatio="233.3"/&gt;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torque="0.912"/&gt;</v>
      </c>
      <c r="M25" s="3">
        <f>(1-(1-Table15[[#This Row],[rpm]]/Table36[idleRpm])^2)*Table7[idleT]</f>
        <v>-663.52222222222247</v>
      </c>
      <c r="N25" s="3">
        <f>MAX(0,(1-Table7[f1]*(Table36[maxTRpm1]-Table15[[#This Row],[rpm]])^2)*Table36[maxT])</f>
        <v>875.09183673469386</v>
      </c>
      <c r="O25" s="3">
        <f>MAX(0,(Table36[linearDown]*(1-Table7[f2]*(Table15[[#This Row],[rpm]]-Table36[maxTRpm]))+(1-Table36[linearDown])*(1-Table7[f3]*(Table15[[#This Row],[rpm]]-Table36[maxTRpm])^2))*Table36[maxT])</f>
        <v>819.24019607843138</v>
      </c>
      <c r="P25" s="3">
        <f>MAX(0,(Table36[maxPS]-Table7[f4]*(Table15[[#This Row],[rpm]]-Table36[maxPRpm])^2)/1.36*9550/MAX(1,Table15[[#This Row],[rpm]]))</f>
        <v>819.24019607843138</v>
      </c>
      <c r="Q25" s="3">
        <f>MAX(0,Table7[Nm2]*MIN(Table36[ratedRpm]/MAX(1,Table15[[#This Row],[rpm]]),1-(MAX(0,Table15[[#This Row],[rpm]]-Table36[ratedRpm])/Table36[fadeOut])^Table36[fadeOutExp]))</f>
        <v>819.24019607843138</v>
      </c>
      <c r="R25" s="3">
        <f>(1-(1-Table15[[#This Row],[rpm]]/Table36[idleRpm])^2)*Table7[idleTEco]</f>
        <v>-663.52222222222247</v>
      </c>
      <c r="S25" s="3">
        <f>MAX(0,(1-Table7[f1]*(Table36[maxTRpm1]-Table15[[#This Row],[rpm]])^2)*Table36[maxTEco])</f>
        <v>875.09183673469386</v>
      </c>
      <c r="T25" s="3">
        <f>MAX(0,(Table36[linearDown]*(1-Table7[f2Eco]*(Table15[[#This Row],[rpm]]-Table36[maxTRpm]))+(1-Table36[linearDown])*(1-Table7[f3Eco]*(Table15[[#This Row],[rpm]]-Table36[maxTRpm])^2))*Table36[maxTEco])</f>
        <v>819.24019607843138</v>
      </c>
      <c r="U25" s="3">
        <f>MAX(0,(Table36[maxPSEco]-Table7[f4Eco]*(Table15[[#This Row],[rpm]]-Table36[maxPRpm])^2)/1.36*9550/MAX(1,Table15[[#This Row],[rpm]]))</f>
        <v>819.24019607843138</v>
      </c>
      <c r="V25" s="3">
        <f>MAX(0,Table7[Nm2Eco]*MIN(Table36[ratedRpm]/MAX(1,Table15[[#This Row],[rpm]]),1-(MAX(0,Table15[[#This Row],[rpm]]-Table36[ratedRpm])/Table36[fadeOut])^Table36[fadeOutExp]))</f>
        <v>819.24019607843138</v>
      </c>
    </row>
    <row r="26" spans="1:22" x14ac:dyDescent="0.25">
      <c r="A26" s="3">
        <v>2150</v>
      </c>
      <c r="B2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765.76881884260797</v>
      </c>
      <c r="C26" s="20"/>
      <c r="D2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765.76881884260797</v>
      </c>
      <c r="E26" s="20"/>
      <c r="F26" s="3">
        <f>Table36[Factor]*IF(Table15[[#This Row],[manualData]]&gt;0,Table15[[#This Row],[manualData]],Table15[[#This Row],[rawData]])</f>
        <v>765.76881884260797</v>
      </c>
      <c r="G26" s="3">
        <f>Table36[Factor]*IF(Table15[[#This Row],[manDataEco]]&gt;0,Table15[[#This Row],[manDataEco]],Table15[[#This Row],[rawDataEco]])</f>
        <v>765.76881884260797</v>
      </c>
      <c r="H26" s="26">
        <f>1.36*Table15[[#This Row],[rpm]]*Table15[[#This Row],[motor]]/9550</f>
        <v>234.46157343411369</v>
      </c>
      <c r="I26" s="26">
        <f>1.36*Table15[[#This Row],[rpm]]*Table15[[#This Row],[motorEco]]/9550</f>
        <v>234.46157343411369</v>
      </c>
      <c r="J2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237.54936076923158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motorTorque="766" fuelUsageRatio="237.5"/&gt;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torque="0.853"/&gt;</v>
      </c>
      <c r="M26" s="3">
        <f>(1-(1-Table15[[#This Row],[rpm]]/Table36[idleRpm])^2)*Table7[idleT]</f>
        <v>-792.54043209876522</v>
      </c>
      <c r="N26" s="3">
        <f>MAX(0,(1-Table7[f1]*(Table36[maxTRpm1]-Table15[[#This Row],[rpm]])^2)*Table36[maxT])</f>
        <v>870.28112244897954</v>
      </c>
      <c r="O26" s="3">
        <f>MAX(0,(Table36[linearDown]*(1-Table7[f2]*(Table15[[#This Row],[rpm]]-Table36[maxTRpm]))+(1-Table36[linearDown])*(1-Table7[f3]*(Table15[[#This Row],[rpm]]-Table36[maxTRpm])^2))*Table36[maxT])</f>
        <v>802.70063725490206</v>
      </c>
      <c r="P26" s="3">
        <f>MAX(0,(Table36[maxPS]-Table7[f4]*(Table15[[#This Row],[rpm]]-Table36[maxPRpm])^2)/1.36*9550/MAX(1,Table15[[#This Row],[rpm]]))</f>
        <v>800.18809849521199</v>
      </c>
      <c r="Q26" s="3">
        <f>MAX(0,Table7[Nm2]*MIN(Table36[ratedRpm]/MAX(1,Table15[[#This Row],[rpm]]),1-(MAX(0,Table15[[#This Row],[rpm]]-Table36[ratedRpm])/Table36[fadeOut])^Table36[fadeOutExp]))</f>
        <v>765.76881884260797</v>
      </c>
      <c r="R26" s="3">
        <f>(1-(1-Table15[[#This Row],[rpm]]/Table36[idleRpm])^2)*Table7[idleTEco]</f>
        <v>-792.54043209876522</v>
      </c>
      <c r="S26" s="3">
        <f>MAX(0,(1-Table7[f1]*(Table36[maxTRpm1]-Table15[[#This Row],[rpm]])^2)*Table36[maxTEco])</f>
        <v>870.28112244897954</v>
      </c>
      <c r="T26" s="3">
        <f>MAX(0,(Table36[linearDown]*(1-Table7[f2Eco]*(Table15[[#This Row],[rpm]]-Table36[maxTRpm]))+(1-Table36[linearDown])*(1-Table7[f3Eco]*(Table15[[#This Row],[rpm]]-Table36[maxTRpm])^2))*Table36[maxTEco])</f>
        <v>802.70063725490206</v>
      </c>
      <c r="U26" s="3">
        <f>MAX(0,(Table36[maxPSEco]-Table7[f4Eco]*(Table15[[#This Row],[rpm]]-Table36[maxPRpm])^2)/1.36*9550/MAX(1,Table15[[#This Row],[rpm]]))</f>
        <v>800.18809849521199</v>
      </c>
      <c r="V26" s="3">
        <f>MAX(0,Table7[Nm2Eco]*MIN(Table36[ratedRpm]/MAX(1,Table15[[#This Row],[rpm]]),1-(MAX(0,Table15[[#This Row],[rpm]]-Table36[ratedRpm])/Table36[fadeOut])^Table36[fadeOutExp]))</f>
        <v>765.76881884260797</v>
      </c>
    </row>
    <row r="27" spans="1:22" x14ac:dyDescent="0.25">
      <c r="A27" s="3">
        <v>2200</v>
      </c>
      <c r="B2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645.51117889336808</v>
      </c>
      <c r="C27" s="20"/>
      <c r="D2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645.51117889336808</v>
      </c>
      <c r="E27" s="20"/>
      <c r="F27" s="3">
        <f>Table36[Factor]*IF(Table15[[#This Row],[manualData]]&gt;0,Table15[[#This Row],[manualData]],Table15[[#This Row],[rawData]])</f>
        <v>645.51117889336808</v>
      </c>
      <c r="G27" s="3">
        <f>Table36[Factor]*IF(Table15[[#This Row],[manDataEco]]&gt;0,Table15[[#This Row],[manDataEco]],Table15[[#This Row],[rawDataEco]])</f>
        <v>645.51117889336808</v>
      </c>
      <c r="H27" s="3">
        <f>1.36*Table15[[#This Row],[rpm]]*Table15[[#This Row],[motor]]/9550</f>
        <v>202.23763845538821</v>
      </c>
      <c r="I27" s="3">
        <f>1.36*Table15[[#This Row],[rpm]]*Table15[[#This Row],[motorEco]]/9550</f>
        <v>202.23763845538821</v>
      </c>
      <c r="J2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257.18278605007094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motorTorque="646" fuelUsageRatio="257.2"/&gt;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torque="0.719"/&gt;</v>
      </c>
      <c r="M27" s="3">
        <f>(1-(1-Table15[[#This Row],[rpm]]/Table36[idleRpm])^2)*Table7[idleT]</f>
        <v>-926.82469135802489</v>
      </c>
      <c r="N27" s="3">
        <f>MAX(0,(1-Table7[f1]*(Table36[maxTRpm1]-Table15[[#This Row],[rpm]])^2)*Table36[maxT])</f>
        <v>865.01224489795914</v>
      </c>
      <c r="O27" s="3">
        <f>MAX(0,(Table36[linearDown]*(1-Table7[f2]*(Table15[[#This Row],[rpm]]-Table36[maxTRpm]))+(1-Table36[linearDown])*(1-Table7[f3]*(Table15[[#This Row],[rpm]]-Table36[maxTRpm])^2))*Table36[maxT])</f>
        <v>784.58588235294121</v>
      </c>
      <c r="P27" s="3">
        <f>MAX(0,(Table36[maxPS]-Table7[f4]*(Table15[[#This Row],[rpm]]-Table36[maxPRpm])^2)/1.36*9550/MAX(1,Table15[[#This Row],[rpm]]))</f>
        <v>782.00200534759358</v>
      </c>
      <c r="Q27" s="3">
        <f>MAX(0,Table7[Nm2]*MIN(Table36[ratedRpm]/MAX(1,Table15[[#This Row],[rpm]]),1-(MAX(0,Table15[[#This Row],[rpm]]-Table36[ratedRpm])/Table36[fadeOut])^Table36[fadeOutExp]))</f>
        <v>645.51117889336808</v>
      </c>
      <c r="R27" s="3">
        <f>(1-(1-Table15[[#This Row],[rpm]]/Table36[idleRpm])^2)*Table7[idleTEco]</f>
        <v>-926.82469135802489</v>
      </c>
      <c r="S27" s="3">
        <f>MAX(0,(1-Table7[f1]*(Table36[maxTRpm1]-Table15[[#This Row],[rpm]])^2)*Table36[maxTEco])</f>
        <v>865.01224489795914</v>
      </c>
      <c r="T27" s="3">
        <f>MAX(0,(Table36[linearDown]*(1-Table7[f2Eco]*(Table15[[#This Row],[rpm]]-Table36[maxTRpm]))+(1-Table36[linearDown])*(1-Table7[f3Eco]*(Table15[[#This Row],[rpm]]-Table36[maxTRpm])^2))*Table36[maxTEco])</f>
        <v>784.58588235294121</v>
      </c>
      <c r="U27" s="3">
        <f>MAX(0,(Table36[maxPSEco]-Table7[f4Eco]*(Table15[[#This Row],[rpm]]-Table36[maxPRpm])^2)/1.36*9550/MAX(1,Table15[[#This Row],[rpm]]))</f>
        <v>782.00200534759358</v>
      </c>
      <c r="V27" s="3">
        <f>MAX(0,Table7[Nm2Eco]*MIN(Table36[ratedRpm]/MAX(1,Table15[[#This Row],[rpm]]),1-(MAX(0,Table15[[#This Row],[rpm]]-Table36[ratedRpm])/Table36[fadeOut])^Table36[fadeOutExp]))</f>
        <v>645.51117889336808</v>
      </c>
    </row>
    <row r="28" spans="1:22" x14ac:dyDescent="0.25">
      <c r="A28" s="3">
        <v>2250</v>
      </c>
      <c r="B2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473.11955201942459</v>
      </c>
      <c r="C28" s="20"/>
      <c r="D2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473.11955201942459</v>
      </c>
      <c r="E28" s="20"/>
      <c r="F28" s="3">
        <f>Table36[Factor]*IF(Table15[[#This Row],[manualData]]&gt;0,Table15[[#This Row],[manualData]],Table15[[#This Row],[rawData]])</f>
        <v>473.11955201942459</v>
      </c>
      <c r="G28" s="3">
        <f>Table36[Factor]*IF(Table15[[#This Row],[manDataEco]]&gt;0,Table15[[#This Row],[manDataEco]],Table15[[#This Row],[rawDataEco]])</f>
        <v>473.11955201942459</v>
      </c>
      <c r="H28" s="3">
        <f>1.36*Table15[[#This Row],[rpm]]*Table15[[#This Row],[motor]]/9550</f>
        <v>151.5964219036062</v>
      </c>
      <c r="I28" s="3">
        <f>1.36*Table15[[#This Row],[rpm]]*Table15[[#This Row],[motorEco]]/9550</f>
        <v>151.5964219036062</v>
      </c>
      <c r="J2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299.05469685905462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motorTorque="473" fuelUsageRatio="299.1"/&gt;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-1066.375</v>
      </c>
      <c r="N28" s="3">
        <f>MAX(0,(1-Table7[f1]*(Table36[maxTRpm1]-Table15[[#This Row],[rpm]])^2)*Table36[maxT])</f>
        <v>859.28520408163263</v>
      </c>
      <c r="O28" s="3">
        <f>MAX(0,(Table36[linearDown]*(1-Table7[f2]*(Table15[[#This Row],[rpm]]-Table36[maxTRpm]))+(1-Table36[linearDown])*(1-Table7[f3]*(Table15[[#This Row],[rpm]]-Table36[maxTRpm])^2))*Table36[maxT])</f>
        <v>764.89593137254906</v>
      </c>
      <c r="P28" s="3">
        <f>MAX(0,(Table36[maxPS]-Table7[f4]*(Table15[[#This Row],[rpm]]-Table36[maxPRpm])^2)/1.36*9550/MAX(1,Table15[[#This Row],[rpm]]))</f>
        <v>764.62418300653587</v>
      </c>
      <c r="Q28" s="3">
        <f>MAX(0,Table7[Nm2]*MIN(Table36[ratedRpm]/MAX(1,Table15[[#This Row],[rpm]]),1-(MAX(0,Table15[[#This Row],[rpm]]-Table36[ratedRpm])/Table36[fadeOut])^Table36[fadeOutExp]))</f>
        <v>473.11955201942459</v>
      </c>
      <c r="R28" s="3">
        <f>(1-(1-Table15[[#This Row],[rpm]]/Table36[idleRpm])^2)*Table7[idleTEco]</f>
        <v>-1066.375</v>
      </c>
      <c r="S28" s="3">
        <f>MAX(0,(1-Table7[f1]*(Table36[maxTRpm1]-Table15[[#This Row],[rpm]])^2)*Table36[maxTEco])</f>
        <v>859.28520408163263</v>
      </c>
      <c r="T28" s="3">
        <f>MAX(0,(Table36[linearDown]*(1-Table7[f2Eco]*(Table15[[#This Row],[rpm]]-Table36[maxTRpm]))+(1-Table36[linearDown])*(1-Table7[f3Eco]*(Table15[[#This Row],[rpm]]-Table36[maxTRpm])^2))*Table36[maxTEco])</f>
        <v>764.89593137254906</v>
      </c>
      <c r="U28" s="3">
        <f>MAX(0,(Table36[maxPSEco]-Table7[f4Eco]*(Table15[[#This Row],[rpm]]-Table36[maxPRpm])^2)/1.36*9550/MAX(1,Table15[[#This Row],[rpm]]))</f>
        <v>764.62418300653587</v>
      </c>
      <c r="V28" s="3">
        <f>MAX(0,Table7[Nm2Eco]*MIN(Table36[ratedRpm]/MAX(1,Table15[[#This Row],[rpm]]),1-(MAX(0,Table15[[#This Row],[rpm]]-Table36[ratedRpm])/Table36[fadeOut])^Table36[fadeOutExp]))</f>
        <v>473.11955201942459</v>
      </c>
    </row>
    <row r="29" spans="1:22" x14ac:dyDescent="0.25">
      <c r="A29" s="3">
        <v>2300</v>
      </c>
      <c r="B2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254.7929539777063</v>
      </c>
      <c r="C29" s="20"/>
      <c r="D2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254.7929539777063</v>
      </c>
      <c r="E29" s="20"/>
      <c r="F29" s="3">
        <f>Table36[Factor]*IF(Table15[[#This Row],[manualData]]&gt;0,Table15[[#This Row],[manualData]],Table15[[#This Row],[rawData]])</f>
        <v>254.7929539777063</v>
      </c>
      <c r="G29" s="3">
        <f>Table36[Factor]*IF(Table15[[#This Row],[manDataEco]]&gt;0,Table15[[#This Row],[manDataEco]],Table15[[#This Row],[rawDataEco]])</f>
        <v>254.7929539777063</v>
      </c>
      <c r="H29" s="3">
        <f>1.36*Table15[[#This Row],[rpm]]*Table15[[#This Row],[motor]]/9550</f>
        <v>83.45469738662463</v>
      </c>
      <c r="I29" s="3">
        <f>1.36*Table15[[#This Row],[rpm]]*Table15[[#This Row],[motorEco]]/9550</f>
        <v>83.45469738662463</v>
      </c>
      <c r="J2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368.24621128207804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motorTorque="255" fuelUsageRatio="368.2"/&gt;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-1211.1913580246905</v>
      </c>
      <c r="N29" s="3">
        <f>MAX(0,(1-Table7[f1]*(Table36[maxTRpm1]-Table15[[#This Row],[rpm]])^2)*Table36[maxT])</f>
        <v>853.09999999999991</v>
      </c>
      <c r="O29" s="3">
        <f>MAX(0,(Table36[linearDown]*(1-Table7[f2]*(Table15[[#This Row],[rpm]]-Table36[maxTRpm]))+(1-Table36[linearDown])*(1-Table7[f3]*(Table15[[#This Row],[rpm]]-Table36[maxTRpm])^2))*Table36[maxT])</f>
        <v>743.63078431372548</v>
      </c>
      <c r="P29" s="3">
        <f>MAX(0,(Table36[maxPS]-Table7[f4]*(Table15[[#This Row],[rpm]]-Table36[maxPRpm])^2)/1.36*9550/MAX(1,Table15[[#This Row],[rpm]]))</f>
        <v>748.00191815856772</v>
      </c>
      <c r="Q29" s="3">
        <f>MAX(0,Table7[Nm2]*MIN(Table36[ratedRpm]/MAX(1,Table15[[#This Row],[rpm]]),1-(MAX(0,Table15[[#This Row],[rpm]]-Table36[ratedRpm])/Table36[fadeOut])^Table36[fadeOutExp]))</f>
        <v>254.7929539777063</v>
      </c>
      <c r="R29" s="3">
        <f>(1-(1-Table15[[#This Row],[rpm]]/Table36[idleRpm])^2)*Table7[idleTEco]</f>
        <v>-1211.1913580246905</v>
      </c>
      <c r="S29" s="3">
        <f>MAX(0,(1-Table7[f1]*(Table36[maxTRpm1]-Table15[[#This Row],[rpm]])^2)*Table36[maxTEco])</f>
        <v>853.09999999999991</v>
      </c>
      <c r="T29" s="3">
        <f>MAX(0,(Table36[linearDown]*(1-Table7[f2Eco]*(Table15[[#This Row],[rpm]]-Table36[maxTRpm]))+(1-Table36[linearDown])*(1-Table7[f3Eco]*(Table15[[#This Row],[rpm]]-Table36[maxTRpm])^2))*Table36[maxTEco])</f>
        <v>743.63078431372548</v>
      </c>
      <c r="U29" s="3">
        <f>MAX(0,(Table36[maxPSEco]-Table7[f4Eco]*(Table15[[#This Row],[rpm]]-Table36[maxPRpm])^2)/1.36*9550/MAX(1,Table15[[#This Row],[rpm]]))</f>
        <v>748.00191815856772</v>
      </c>
      <c r="V29" s="3">
        <f>MAX(0,Table7[Nm2Eco]*MIN(Table36[ratedRpm]/MAX(1,Table15[[#This Row],[rpm]]),1-(MAX(0,Table15[[#This Row],[rpm]]-Table36[ratedRpm])/Table36[fadeOut])^Table36[fadeOutExp]))</f>
        <v>254.7929539777063</v>
      </c>
    </row>
    <row r="30" spans="1:22" x14ac:dyDescent="0.25">
      <c r="A30" s="3">
        <v>2350</v>
      </c>
      <c r="B3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motorTorque="0" motorTorqueEco="0" fuelUsageRatio="466.7"/&gt;</v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-1361.2737654320988</v>
      </c>
      <c r="N30" s="3">
        <f>MAX(0,(1-Table7[f1]*(Table36[maxTRpm1]-Table15[[#This Row],[rpm]])^2)*Table36[maxT])</f>
        <v>846.45663265306121</v>
      </c>
      <c r="O30" s="3">
        <f>MAX(0,(Table36[linearDown]*(1-Table7[f2]*(Table15[[#This Row],[rpm]]-Table36[maxTRpm]))+(1-Table36[linearDown])*(1-Table7[f3]*(Table15[[#This Row],[rpm]]-Table36[maxTRpm])^2))*Table36[maxT])</f>
        <v>720.79044117647061</v>
      </c>
      <c r="P30" s="3">
        <f>MAX(0,(Table36[maxPS]-Table7[f4]*(Table15[[#This Row],[rpm]]-Table36[maxPRpm])^2)/1.36*9550/MAX(1,Table15[[#This Row],[rpm]]))</f>
        <v>732.08698372966205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-1361.2737654320988</v>
      </c>
      <c r="S30" s="3">
        <f>MAX(0,(1-Table7[f1]*(Table36[maxTRpm1]-Table15[[#This Row],[rpm]])^2)*Table36[maxTEco])</f>
        <v>846.45663265306121</v>
      </c>
      <c r="T30" s="3">
        <f>MAX(0,(Table36[linearDown]*(1-Table7[f2Eco]*(Table15[[#This Row],[rpm]]-Table36[maxTRpm]))+(1-Table36[linearDown])*(1-Table7[f3Eco]*(Table15[[#This Row],[rpm]]-Table36[maxTRpm])^2))*Table36[maxTEco])</f>
        <v>720.79044117647061</v>
      </c>
      <c r="U30" s="3">
        <f>MAX(0,(Table36[maxPSEco]-Table7[f4Eco]*(Table15[[#This Row],[rpm]]-Table36[maxPRpm])^2)/1.36*9550/MAX(1,Table15[[#This Row],[rpm]]))</f>
        <v>732.08698372966205</v>
      </c>
      <c r="V30" s="3">
        <f>MAX(0,Table7[Nm2Eco]*MIN(Table36[ratedRpm]/MAX(1,Table15[[#This Row],[rpm]]),1-(MAX(0,Table15[[#This Row],[rpm]]-Table36[ratedRpm])/Table36[fadeOut])^Table36[fadeOutExp]))</f>
        <v>0</v>
      </c>
    </row>
    <row r="31" spans="1:22" x14ac:dyDescent="0.25">
      <c r="A31" s="3">
        <v>2400</v>
      </c>
      <c r="B3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motorTorque="0" motorTorqueEco="0" fuelUsageRatio="466.7"/&gt;</v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-1516.6222222222216</v>
      </c>
      <c r="N31" s="3">
        <f>MAX(0,(1-Table7[f1]*(Table36[maxTRpm1]-Table15[[#This Row],[rpm]])^2)*Table36[maxT])</f>
        <v>839.35510204081618</v>
      </c>
      <c r="O31" s="3">
        <f>MAX(0,(Table36[linearDown]*(1-Table7[f2]*(Table15[[#This Row],[rpm]]-Table36[maxTRpm]))+(1-Table36[linearDown])*(1-Table7[f3]*(Table15[[#This Row],[rpm]]-Table36[maxTRpm])^2))*Table36[maxT])</f>
        <v>696.37490196078431</v>
      </c>
      <c r="P31" s="3">
        <f>MAX(0,(Table36[maxPS]-Table7[f4]*(Table15[[#This Row],[rpm]]-Table36[maxPRpm])^2)/1.36*9550/MAX(1,Table15[[#This Row],[rpm]]))</f>
        <v>716.8351715686274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-1516.6222222222216</v>
      </c>
      <c r="S31" s="3">
        <f>MAX(0,(1-Table7[f1]*(Table36[maxTRpm1]-Table15[[#This Row],[rpm]])^2)*Table36[maxTEco])</f>
        <v>839.35510204081618</v>
      </c>
      <c r="T31" s="3">
        <f>MAX(0,(Table36[linearDown]*(1-Table7[f2Eco]*(Table15[[#This Row],[rpm]]-Table36[maxTRpm]))+(1-Table36[linearDown])*(1-Table7[f3Eco]*(Table15[[#This Row],[rpm]]-Table36[maxTRpm])^2))*Table36[maxTEco])</f>
        <v>696.37490196078431</v>
      </c>
      <c r="U31" s="3">
        <f>MAX(0,(Table36[maxPSEco]-Table7[f4Eco]*(Table15[[#This Row],[rpm]]-Table36[maxPRpm])^2)/1.36*9550/MAX(1,Table15[[#This Row],[rpm]]))</f>
        <v>716.8351715686274</v>
      </c>
      <c r="V31" s="3">
        <f>MAX(0,Table7[Nm2Eco]*MIN(Table36[ratedRpm]/MAX(1,Table15[[#This Row],[rpm]]),1-(MAX(0,Table15[[#This Row],[rpm]]-Table36[ratedRpm])/Table36[fadeOut])^Table36[fadeOutExp]))</f>
        <v>0</v>
      </c>
    </row>
    <row r="32" spans="1:22" x14ac:dyDescent="0.25">
      <c r="A32" s="3">
        <v>2450</v>
      </c>
      <c r="B3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-1677.2367283950621</v>
      </c>
      <c r="N32" s="3">
        <f>MAX(0,(1-Table7[f1]*(Table36[maxTRpm1]-Table15[[#This Row],[rpm]])^2)*Table36[maxT])</f>
        <v>831.79540816326528</v>
      </c>
      <c r="O32" s="3">
        <f>MAX(0,(Table36[linearDown]*(1-Table7[f2]*(Table15[[#This Row],[rpm]]-Table36[maxTRpm]))+(1-Table36[linearDown])*(1-Table7[f3]*(Table15[[#This Row],[rpm]]-Table36[maxTRpm])^2))*Table36[maxT])</f>
        <v>670.38416666666672</v>
      </c>
      <c r="P32" s="3">
        <f>MAX(0,(Table36[maxPS]-Table7[f4]*(Table15[[#This Row],[rpm]]-Table36[maxPRpm])^2)/1.36*9550/MAX(1,Table15[[#This Row],[rpm]]))</f>
        <v>702.2058823529411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-1677.2367283950621</v>
      </c>
      <c r="S32" s="3">
        <f>MAX(0,(1-Table7[f1]*(Table36[maxTRpm1]-Table15[[#This Row],[rpm]])^2)*Table36[maxTEco])</f>
        <v>831.79540816326528</v>
      </c>
      <c r="T32" s="3">
        <f>MAX(0,(Table36[linearDown]*(1-Table7[f2Eco]*(Table15[[#This Row],[rpm]]-Table36[maxTRpm]))+(1-Table36[linearDown])*(1-Table7[f3Eco]*(Table15[[#This Row],[rpm]]-Table36[maxTRpm])^2))*Table36[maxTEco])</f>
        <v>670.38416666666672</v>
      </c>
      <c r="U32" s="3">
        <f>MAX(0,(Table36[maxPSEco]-Table7[f4Eco]*(Table15[[#This Row],[rpm]]-Table36[maxPRpm])^2)/1.36*9550/MAX(1,Table15[[#This Row],[rpm]]))</f>
        <v>702.2058823529411</v>
      </c>
      <c r="V32" s="3">
        <f>MAX(0,Table7[Nm2Eco]*MIN(Table36[ratedRpm]/MAX(1,Table15[[#This Row],[rpm]]),1-(MAX(0,Table15[[#This Row],[rpm]]-Table36[ratedRpm])/Table36[fadeOut])^Table36[fadeOutExp]))</f>
        <v>0</v>
      </c>
    </row>
    <row r="33" spans="1:22" x14ac:dyDescent="0.25">
      <c r="A33" s="3">
        <v>2500</v>
      </c>
      <c r="B3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-1843.1172839506169</v>
      </c>
      <c r="N33" s="3">
        <f>MAX(0,(1-Table7[f1]*(Table36[maxTRpm1]-Table15[[#This Row],[rpm]])^2)*Table36[maxT])</f>
        <v>823.77755102040805</v>
      </c>
      <c r="O33" s="3">
        <f>MAX(0,(Table36[linearDown]*(1-Table7[f2]*(Table15[[#This Row],[rpm]]-Table36[maxTRpm]))+(1-Table36[linearDown])*(1-Table7[f3]*(Table15[[#This Row],[rpm]]-Table36[maxTRpm])^2))*Table36[maxT])</f>
        <v>642.8182352941177</v>
      </c>
      <c r="P33" s="3">
        <f>MAX(0,(Table36[maxPS]-Table7[f4]*(Table15[[#This Row],[rpm]]-Table36[maxPRpm])^2)/1.36*9550/MAX(1,Table15[[#This Row],[rpm]]))</f>
        <v>688.16176470588232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-1843.1172839506169</v>
      </c>
      <c r="S33" s="3">
        <f>MAX(0,(1-Table7[f1]*(Table36[maxTRpm1]-Table15[[#This Row],[rpm]])^2)*Table36[maxTEco])</f>
        <v>823.77755102040805</v>
      </c>
      <c r="T33" s="3">
        <f>MAX(0,(Table36[linearDown]*(1-Table7[f2Eco]*(Table15[[#This Row],[rpm]]-Table36[maxTRpm]))+(1-Table36[linearDown])*(1-Table7[f3Eco]*(Table15[[#This Row],[rpm]]-Table36[maxTRpm])^2))*Table36[maxTEco])</f>
        <v>642.8182352941177</v>
      </c>
      <c r="U33" s="3">
        <f>MAX(0,(Table36[maxPSEco]-Table7[f4Eco]*(Table15[[#This Row],[rpm]]-Table36[maxPRpm])^2)/1.36*9550/MAX(1,Table15[[#This Row],[rpm]]))</f>
        <v>688.16176470588232</v>
      </c>
      <c r="V33" s="3">
        <f>MAX(0,Table7[Nm2Eco]*MIN(Table36[ratedRpm]/MAX(1,Table15[[#This Row],[rpm]]),1-(MAX(0,Table15[[#This Row],[rpm]]-Table36[ratedRpm])/Table36[fadeOut])^Table36[fadeOutExp]))</f>
        <v>0</v>
      </c>
    </row>
    <row r="34" spans="1:22" x14ac:dyDescent="0.25">
      <c r="A34" s="3">
        <v>2550</v>
      </c>
      <c r="B3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-2014.2638888888891</v>
      </c>
      <c r="N34" s="3">
        <f>MAX(0,(1-Table7[f1]*(Table36[maxTRpm1]-Table15[[#This Row],[rpm]])^2)*Table36[maxT])</f>
        <v>815.30153061224485</v>
      </c>
      <c r="O34" s="3">
        <f>MAX(0,(Table36[linearDown]*(1-Table7[f2]*(Table15[[#This Row],[rpm]]-Table36[maxTRpm]))+(1-Table36[linearDown])*(1-Table7[f3]*(Table15[[#This Row],[rpm]]-Table36[maxTRpm])^2))*Table36[maxT])</f>
        <v>613.67710784313726</v>
      </c>
      <c r="P34" s="3">
        <f>MAX(0,(Table36[maxPS]-Table7[f4]*(Table15[[#This Row],[rpm]]-Table36[maxPRpm])^2)/1.36*9550/MAX(1,Table15[[#This Row],[rpm]]))</f>
        <v>674.6683967704729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-2014.2638888888891</v>
      </c>
      <c r="S34" s="3">
        <f>MAX(0,(1-Table7[f1]*(Table36[maxTRpm1]-Table15[[#This Row],[rpm]])^2)*Table36[maxTEco])</f>
        <v>815.30153061224485</v>
      </c>
      <c r="T34" s="3">
        <f>MAX(0,(Table36[linearDown]*(1-Table7[f2Eco]*(Table15[[#This Row],[rpm]]-Table36[maxTRpm]))+(1-Table36[linearDown])*(1-Table7[f3Eco]*(Table15[[#This Row],[rpm]]-Table36[maxTRpm])^2))*Table36[maxTEco])</f>
        <v>613.67710784313726</v>
      </c>
      <c r="U34" s="3">
        <f>MAX(0,(Table36[maxPSEco]-Table7[f4Eco]*(Table15[[#This Row],[rpm]]-Table36[maxPRpm])^2)/1.36*9550/MAX(1,Table15[[#This Row],[rpm]]))</f>
        <v>674.6683967704729</v>
      </c>
      <c r="V34" s="3">
        <f>MAX(0,Table7[Nm2Eco]*MIN(Table36[ratedRpm]/MAX(1,Table15[[#This Row],[rpm]]),1-(MAX(0,Table15[[#This Row],[rpm]]-Table36[ratedRpm])/Table36[fadeOut])^Table36[fadeOutExp]))</f>
        <v>0</v>
      </c>
    </row>
    <row r="35" spans="1:22" x14ac:dyDescent="0.25">
      <c r="A35" s="3">
        <v>2600</v>
      </c>
      <c r="B3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-2190.6765432098764</v>
      </c>
      <c r="N35" s="3">
        <f>MAX(0,(1-Table7[f1]*(Table36[maxTRpm1]-Table15[[#This Row],[rpm]])^2)*Table36[maxT])</f>
        <v>806.36734693877543</v>
      </c>
      <c r="O35" s="3">
        <f>MAX(0,(Table36[linearDown]*(1-Table7[f2]*(Table15[[#This Row],[rpm]]-Table36[maxTRpm]))+(1-Table36[linearDown])*(1-Table7[f3]*(Table15[[#This Row],[rpm]]-Table36[maxTRpm])^2))*Table36[maxT])</f>
        <v>582.96078431372553</v>
      </c>
      <c r="P35" s="3">
        <f>MAX(0,(Table36[maxPS]-Table7[f4]*(Table15[[#This Row],[rpm]]-Table36[maxPRpm])^2)/1.36*9550/MAX(1,Table15[[#This Row],[rpm]]))</f>
        <v>661.69400452488685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-2190.6765432098764</v>
      </c>
      <c r="S35" s="3">
        <f>MAX(0,(1-Table7[f1]*(Table36[maxTRpm1]-Table15[[#This Row],[rpm]])^2)*Table36[maxTEco])</f>
        <v>806.36734693877543</v>
      </c>
      <c r="T35" s="3">
        <f>MAX(0,(Table36[linearDown]*(1-Table7[f2Eco]*(Table15[[#This Row],[rpm]]-Table36[maxTRpm]))+(1-Table36[linearDown])*(1-Table7[f3Eco]*(Table15[[#This Row],[rpm]]-Table36[maxTRpm])^2))*Table36[maxTEco])</f>
        <v>582.96078431372553</v>
      </c>
      <c r="U35" s="3">
        <f>MAX(0,(Table36[maxPSEco]-Table7[f4Eco]*(Table15[[#This Row],[rpm]]-Table36[maxPRpm])^2)/1.36*9550/MAX(1,Table15[[#This Row],[rpm]]))</f>
        <v>661.69400452488685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2650</v>
      </c>
      <c r="B3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-2372.3552469135807</v>
      </c>
      <c r="N36" s="3">
        <f>MAX(0,(1-Table7[f1]*(Table36[maxTRpm1]-Table15[[#This Row],[rpm]])^2)*Table36[maxT])</f>
        <v>796.97499999999991</v>
      </c>
      <c r="O36" s="3">
        <f>MAX(0,(Table36[linearDown]*(1-Table7[f2]*(Table15[[#This Row],[rpm]]-Table36[maxTRpm]))+(1-Table36[linearDown])*(1-Table7[f3]*(Table15[[#This Row],[rpm]]-Table36[maxTRpm])^2))*Table36[maxT])</f>
        <v>550.66926470588248</v>
      </c>
      <c r="P36" s="3">
        <f>MAX(0,(Table36[maxPS]-Table7[f4]*(Table15[[#This Row],[rpm]]-Table36[maxPRpm])^2)/1.36*9550/MAX(1,Table15[[#This Row],[rpm]]))</f>
        <v>649.20921198668145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-2372.3552469135807</v>
      </c>
      <c r="S36" s="3">
        <f>MAX(0,(1-Table7[f1]*(Table36[maxTRpm1]-Table15[[#This Row],[rpm]])^2)*Table36[maxTEco])</f>
        <v>796.97499999999991</v>
      </c>
      <c r="T36" s="3">
        <f>MAX(0,(Table36[linearDown]*(1-Table7[f2Eco]*(Table15[[#This Row],[rpm]]-Table36[maxTRpm]))+(1-Table36[linearDown])*(1-Table7[f3Eco]*(Table15[[#This Row],[rpm]]-Table36[maxTRpm])^2))*Table36[maxTEco])</f>
        <v>550.66926470588248</v>
      </c>
      <c r="U36" s="3">
        <f>MAX(0,(Table36[maxPSEco]-Table7[f4Eco]*(Table15[[#This Row],[rpm]]-Table36[maxPRpm])^2)/1.36*9550/MAX(1,Table15[[#This Row],[rpm]]))</f>
        <v>649.20921198668145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2750</v>
      </c>
      <c r="B3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-2751.5108024691344</v>
      </c>
      <c r="N37" s="3">
        <f>MAX(0,(1-Table7[f1]*(Table36[maxTRpm1]-Table15[[#This Row],[rpm]])^2)*Table36[maxT])</f>
        <v>776.81581632653058</v>
      </c>
      <c r="O37" s="3">
        <f>MAX(0,(Table36[linearDown]*(1-Table7[f2]*(Table15[[#This Row],[rpm]]-Table36[maxTRpm]))+(1-Table36[linearDown])*(1-Table7[f3]*(Table15[[#This Row],[rpm]]-Table36[maxTRpm])^2))*Table36[maxT])</f>
        <v>481.36063725490197</v>
      </c>
      <c r="P37" s="3">
        <f>MAX(0,(Table36[maxPS]-Table7[f4]*(Table15[[#This Row],[rpm]]-Table36[maxPRpm])^2)/1.36*9550/MAX(1,Table15[[#This Row],[rpm]]))</f>
        <v>625.60160427807489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-2751.5108024691344</v>
      </c>
      <c r="S37" s="3">
        <f>MAX(0,(1-Table7[f1]*(Table36[maxTRpm1]-Table15[[#This Row],[rpm]])^2)*Table36[maxTEco])</f>
        <v>776.81581632653058</v>
      </c>
      <c r="T37" s="3">
        <f>MAX(0,(Table36[linearDown]*(1-Table7[f2Eco]*(Table15[[#This Row],[rpm]]-Table36[maxTRpm]))+(1-Table36[linearDown])*(1-Table7[f3Eco]*(Table15[[#This Row],[rpm]]-Table36[maxTRpm])^2))*Table36[maxTEco])</f>
        <v>481.36063725490197</v>
      </c>
      <c r="U37" s="3">
        <f>MAX(0,(Table36[maxPSEco]-Table7[f4Eco]*(Table15[[#This Row],[rpm]]-Table36[maxPRpm])^2)/1.36*9550/MAX(1,Table15[[#This Row],[rpm]]))</f>
        <v>625.60160427807489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3000</v>
      </c>
      <c r="B3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-3791.5555555555561</v>
      </c>
      <c r="N38" s="3">
        <f>MAX(0,(1-Table7[f1]*(Table36[maxTRpm1]-Table15[[#This Row],[rpm]])^2)*Table36[maxT])</f>
        <v>718.39999999999986</v>
      </c>
      <c r="O38" s="3">
        <f>MAX(0,(Table36[linearDown]*(1-Table7[f2]*(Table15[[#This Row],[rpm]]-Table36[maxTRpm]))+(1-Table36[linearDown])*(1-Table7[f3]*(Table15[[#This Row],[rpm]]-Table36[maxTRpm])^2))*Table36[maxT])</f>
        <v>280.52313725490205</v>
      </c>
      <c r="P38" s="3">
        <f>MAX(0,(Table36[maxPS]-Table7[f4]*(Table15[[#This Row],[rpm]]-Table36[maxPRpm])^2)/1.36*9550/MAX(1,Table15[[#This Row],[rpm]]))</f>
        <v>573.46813725490188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-3791.5555555555561</v>
      </c>
      <c r="S38" s="3">
        <f>MAX(0,(1-Table7[f1]*(Table36[maxTRpm1]-Table15[[#This Row],[rpm]])^2)*Table36[maxTEco])</f>
        <v>718.39999999999986</v>
      </c>
      <c r="T38" s="3">
        <f>MAX(0,(Table36[linearDown]*(1-Table7[f2Eco]*(Table15[[#This Row],[rpm]]-Table36[maxTRpm]))+(1-Table36[linearDown])*(1-Table7[f3Eco]*(Table15[[#This Row],[rpm]]-Table36[maxTRpm])^2))*Table36[maxTEco])</f>
        <v>280.52313725490205</v>
      </c>
      <c r="U38" s="3">
        <f>MAX(0,(Table36[maxPSEco]-Table7[f4Eco]*(Table15[[#This Row],[rpm]]-Table36[maxPRpm])^2)/1.36*9550/MAX(1,Table15[[#This Row],[rpm]]))</f>
        <v>573.46813725490188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3250</v>
      </c>
      <c r="B3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-4963.2515432098762</v>
      </c>
      <c r="N39" s="3">
        <f>MAX(0,(1-Table7[f1]*(Table36[maxTRpm1]-Table15[[#This Row],[rpm]])^2)*Table36[maxT])</f>
        <v>648.53010204081613</v>
      </c>
      <c r="O39" s="3">
        <f>MAX(0,(Table36[linearDown]*(1-Table7[f2]*(Table15[[#This Row],[rpm]]-Table36[maxTRpm]))+(1-Table36[linearDown])*(1-Table7[f3]*(Table15[[#This Row],[rpm]]-Table36[maxTRpm])^2))*Table36[maxT])</f>
        <v>40.305735294117802</v>
      </c>
      <c r="P39" s="3">
        <f>MAX(0,(Table36[maxPS]-Table7[f4]*(Table15[[#This Row],[rpm]]-Table36[maxPRpm])^2)/1.36*9550/MAX(1,Table15[[#This Row],[rpm]]))</f>
        <v>529.3552036199095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-4963.2515432098762</v>
      </c>
      <c r="S39" s="3">
        <f>MAX(0,(1-Table7[f1]*(Table36[maxTRpm1]-Table15[[#This Row],[rpm]])^2)*Table36[maxTEco])</f>
        <v>648.53010204081613</v>
      </c>
      <c r="T39" s="3">
        <f>MAX(0,(Table36[linearDown]*(1-Table7[f2Eco]*(Table15[[#This Row],[rpm]]-Table36[maxTRpm]))+(1-Table36[linearDown])*(1-Table7[f3Eco]*(Table15[[#This Row],[rpm]]-Table36[maxTRpm])^2))*Table36[maxTEco])</f>
        <v>40.305735294117802</v>
      </c>
      <c r="U39" s="3">
        <f>MAX(0,(Table36[maxPSEco]-Table7[f4Eco]*(Table15[[#This Row],[rpm]]-Table36[maxPRpm])^2)/1.36*9550/MAX(1,Table15[[#This Row],[rpm]]))</f>
        <v>529.3552036199095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3500</v>
      </c>
      <c r="B4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-6266.5987654320979</v>
      </c>
      <c r="N40" s="3">
        <f>MAX(0,(1-Table7[f1]*(Table36[maxTRpm1]-Table15[[#This Row],[rpm]])^2)*Table36[maxT])</f>
        <v>567.20612244897927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491.54411764705878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-6266.5987654320979</v>
      </c>
      <c r="S40" s="3">
        <f>MAX(0,(1-Table7[f1]*(Table36[maxTRpm1]-Table15[[#This Row],[rpm]])^2)*Table36[maxTEco])</f>
        <v>567.20612244897927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491.54411764705878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3750</v>
      </c>
      <c r="B4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-7701.5972222222235</v>
      </c>
      <c r="N41" s="3">
        <f>MAX(0,(1-Table7[f1]*(Table36[maxTRpm1]-Table15[[#This Row],[rpm]])^2)*Table36[maxT])</f>
        <v>474.42806122448945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458.77450980392155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-7701.5972222222235</v>
      </c>
      <c r="S41" s="3">
        <f>MAX(0,(1-Table7[f1]*(Table36[maxTRpm1]-Table15[[#This Row],[rpm]])^2)*Table36[maxTEco])</f>
        <v>474.42806122448945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458.77450980392155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x14ac:dyDescent="0.25">
      <c r="A42" s="3">
        <v>4000</v>
      </c>
      <c r="B4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-9268.2469135802476</v>
      </c>
      <c r="N42" s="3">
        <f>MAX(0,(1-Table7[f1]*(Table36[maxTRpm1]-Table15[[#This Row],[rpm]])^2)*Table36[maxT])</f>
        <v>370.19591836734651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430.10110294117646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-9268.2469135802476</v>
      </c>
      <c r="S42" s="3">
        <f>MAX(0,(1-Table7[f1]*(Table36[maxTRpm1]-Table15[[#This Row],[rpm]])^2)*Table36[maxTEco])</f>
        <v>370.19591836734651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430.10110294117646</v>
      </c>
      <c r="V42" s="3">
        <f>MAX(0,Table7[Nm2Eco]*MIN(Table36[ratedRpm]/MAX(1,Table15[[#This Row],[rpm]]),1-(MAX(0,Table15[[#This Row],[rpm]]-Table36[ratedRpm])/Table36[fadeOut])^Table36[fadeOutExp]))</f>
        <v>0</v>
      </c>
    </row>
    <row r="43" spans="1:22" x14ac:dyDescent="0.25">
      <c r="A43" s="3">
        <v>4250</v>
      </c>
      <c r="B4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-10966.547839506171</v>
      </c>
      <c r="N43" s="3">
        <f>MAX(0,(1-Table7[f1]*(Table36[maxTRpm1]-Table15[[#This Row],[rpm]])^2)*Table36[maxT])</f>
        <v>254.50969387755046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404.80103806228374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-10966.547839506171</v>
      </c>
      <c r="S43" s="3">
        <f>MAX(0,(1-Table7[f1]*(Table36[maxTRpm1]-Table15[[#This Row],[rpm]])^2)*Table36[maxTEco])</f>
        <v>254.50969387755046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404.80103806228374</v>
      </c>
      <c r="V43" s="3">
        <f>MAX(0,Table7[Nm2Eco]*MIN(Table36[ratedRpm]/MAX(1,Table15[[#This Row],[rpm]]),1-(MAX(0,Table15[[#This Row],[rpm]]-Table36[ratedRpm])/Table36[fadeOut])^Table36[fadeOutExp]))</f>
        <v>0</v>
      </c>
    </row>
    <row r="44" spans="1:22" x14ac:dyDescent="0.25">
      <c r="A44" s="3">
        <v>4500</v>
      </c>
      <c r="B4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-12796.499999999998</v>
      </c>
      <c r="N44" s="3">
        <f>MAX(0,(1-Table7[f1]*(Table36[maxTRpm1]-Table15[[#This Row],[rpm]])^2)*Table36[maxT])</f>
        <v>127.36938775510137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382.31209150326794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-12796.499999999998</v>
      </c>
      <c r="S44" s="3">
        <f>MAX(0,(1-Table7[f1]*(Table36[maxTRpm1]-Table15[[#This Row],[rpm]])^2)*Table36[maxTEco])</f>
        <v>127.36938775510137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382.31209150326794</v>
      </c>
      <c r="V44" s="3">
        <f>MAX(0,Table7[Nm2Eco]*MIN(Table36[ratedRpm]/MAX(1,Table15[[#This Row],[rpm]]),1-(MAX(0,Table15[[#This Row],[rpm]]-Table36[ratedRpm])/Table36[fadeOut])^Table36[fadeOutExp]))</f>
        <v>0</v>
      </c>
    </row>
    <row r="45" spans="1:22" x14ac:dyDescent="0.25">
      <c r="A45" s="3">
        <v>4750</v>
      </c>
      <c r="B4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-14758.103395061727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362.19040247678015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-14758.103395061727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362.19040247678015</v>
      </c>
      <c r="V45" s="3">
        <f>MAX(0,Table7[Nm2Eco]*MIN(Table36[ratedRpm]/MAX(1,Table15[[#This Row],[rpm]]),1-(MAX(0,Table15[[#This Row],[rpm]]-Table36[ratedRpm])/Table36[fadeOut])^Table36[fadeOutExp]))</f>
        <v>0</v>
      </c>
    </row>
    <row r="46" spans="1:22" x14ac:dyDescent="0.25">
      <c r="A46" s="3">
        <v>5000</v>
      </c>
      <c r="B4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-16851.358024691355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344.08088235294116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-16851.358024691355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344.08088235294116</v>
      </c>
      <c r="V46" s="3">
        <f>MAX(0,Table7[Nm2Eco]*MIN(Table36[ratedRpm]/MAX(1,Table15[[#This Row],[rpm]]),1-(MAX(0,Table15[[#This Row],[rpm]]-Table36[ratedRpm])/Table36[fadeOut])^Table36[fadeOutExp]))</f>
        <v>0</v>
      </c>
    </row>
    <row r="47" spans="1:22" x14ac:dyDescent="0.25">
      <c r="A47" s="3">
        <v>5250</v>
      </c>
      <c r="B4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-19076.263888888883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327.69607843137254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-19076.263888888883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327.69607843137254</v>
      </c>
      <c r="V47" s="3">
        <f>MAX(0,Table7[Nm2Eco]*MIN(Table36[ratedRpm]/MAX(1,Table15[[#This Row],[rpm]]),1-(MAX(0,Table15[[#This Row],[rpm]]-Table36[ratedRpm])/Table36[fadeOut])^Table36[fadeOutExp]))</f>
        <v>0</v>
      </c>
    </row>
    <row r="48" spans="1:22" x14ac:dyDescent="0.25">
      <c r="A48" s="3">
        <v>5500</v>
      </c>
      <c r="B4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-21432.820987654315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312.80080213903744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-21432.820987654315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312.80080213903744</v>
      </c>
      <c r="V48" s="3">
        <f>MAX(0,Table7[Nm2Eco]*MIN(Table36[ratedRpm]/MAX(1,Table15[[#This Row],[rpm]]),1-(MAX(0,Table15[[#This Row],[rpm]]-Table36[ratedRpm])/Table36[fadeOut])^Table36[fadeOutExp]))</f>
        <v>0</v>
      </c>
    </row>
    <row r="49" spans="1:22" x14ac:dyDescent="0.25">
      <c r="A49" s="3">
        <v>5750</v>
      </c>
      <c r="B4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-23921.029320987655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299.20076726342711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-23921.029320987655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299.20076726342711</v>
      </c>
      <c r="V49" s="3">
        <f>MAX(0,Table7[Nm2Eco]*MIN(Table36[ratedRpm]/MAX(1,Table15[[#This Row],[rpm]]),1-(MAX(0,Table15[[#This Row],[rpm]]-Table36[ratedRpm])/Table36[fadeOut])^Table36[fadeOutExp]))</f>
        <v>0</v>
      </c>
    </row>
    <row r="50" spans="1:22" x14ac:dyDescent="0.25">
      <c r="A50" s="3">
        <v>6000</v>
      </c>
      <c r="B5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-26540.888888888891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286.73406862745094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-26540.888888888891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286.73406862745094</v>
      </c>
      <c r="V50" s="3">
        <f>MAX(0,Table7[Nm2Eco]*MIN(Table36[ratedRpm]/MAX(1,Table15[[#This Row],[rpm]]),1-(MAX(0,Table15[[#This Row],[rpm]]-Table36[ratedRpm])/Table36[fadeOut])^Table36[fadeOutExp]))</f>
        <v>0</v>
      </c>
    </row>
    <row r="51" spans="1:22" x14ac:dyDescent="0.25">
      <c r="A51" s="3">
        <v>6250</v>
      </c>
      <c r="B5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-29292.399691358027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275.26470588235293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-29292.399691358027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275.26470588235293</v>
      </c>
      <c r="V51" s="3">
        <f>MAX(0,Table7[Nm2Eco]*MIN(Table36[ratedRpm]/MAX(1,Table15[[#This Row],[rpm]]),1-(MAX(0,Table15[[#This Row],[rpm]]-Table36[ratedRpm])/Table36[fadeOut])^Table36[fadeOutExp]))</f>
        <v>0</v>
      </c>
    </row>
    <row r="52" spans="1:22" x14ac:dyDescent="0.25">
      <c r="A52" s="3">
        <v>6500</v>
      </c>
      <c r="B5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-32175.56172839506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264.67760180995475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-32175.56172839506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264.67760180995475</v>
      </c>
      <c r="V52" s="3">
        <f>MAX(0,Table7[Nm2Eco]*MIN(Table36[ratedRpm]/MAX(1,Table15[[#This Row],[rpm]]),1-(MAX(0,Table15[[#This Row],[rpm]]-Table36[ratedRpm])/Table36[fadeOut])^Table36[fadeOutExp]))</f>
        <v>0</v>
      </c>
    </row>
    <row r="53" spans="1:22" x14ac:dyDescent="0.25">
      <c r="A53" s="3">
        <v>6750</v>
      </c>
      <c r="B5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-35190.374999999993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254.87472766884531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-35190.374999999993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254.87472766884531</v>
      </c>
      <c r="V53" s="3">
        <f>MAX(0,Table7[Nm2Eco]*MIN(Table36[ratedRpm]/MAX(1,Table15[[#This Row],[rpm]]),1-(MAX(0,Table15[[#This Row],[rpm]]-Table36[ratedRpm])/Table36[fadeOut])^Table36[fadeOutExp]))</f>
        <v>0</v>
      </c>
    </row>
    <row r="54" spans="1:22" x14ac:dyDescent="0.25">
      <c r="A54" s="3">
        <v>7000</v>
      </c>
      <c r="B5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-38336.839506172837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245.77205882352939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-38336.839506172837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245.77205882352939</v>
      </c>
      <c r="V54" s="3">
        <f>MAX(0,Table7[Nm2Eco]*MIN(Table36[ratedRpm]/MAX(1,Table15[[#This Row],[rpm]]),1-(MAX(0,Table15[[#This Row],[rpm]]-Table36[ratedRpm])/Table36[fadeOut])^Table36[fadeOutExp]))</f>
        <v>0</v>
      </c>
    </row>
    <row r="55" spans="1:22" x14ac:dyDescent="0.25">
      <c r="A55" s="3">
        <v>7250</v>
      </c>
      <c r="B5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-41614.955246913574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237.29716024340769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-41614.955246913574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237.29716024340769</v>
      </c>
      <c r="V55" s="3">
        <f>MAX(0,Table7[Nm2Eco]*MIN(Table36[ratedRpm]/MAX(1,Table15[[#This Row],[rpm]]),1-(MAX(0,Table15[[#This Row],[rpm]]-Table36[ratedRpm])/Table36[fadeOut])^Table36[fadeOutExp]))</f>
        <v>0</v>
      </c>
    </row>
    <row r="56" spans="1:22" x14ac:dyDescent="0.25">
      <c r="A56" s="3">
        <v>7500</v>
      </c>
      <c r="B5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-45024.722222222226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229.38725490196077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-45024.722222222226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229.38725490196077</v>
      </c>
      <c r="V56" s="3">
        <f>MAX(0,Table7[Nm2Eco]*MIN(Table36[ratedRpm]/MAX(1,Table15[[#This Row],[rpm]]),1-(MAX(0,Table15[[#This Row],[rpm]]-Table36[ratedRpm])/Table36[fadeOut])^Table36[fadeOutExp]))</f>
        <v>0</v>
      </c>
    </row>
    <row r="57" spans="1:22" x14ac:dyDescent="0.25">
      <c r="A57" s="3">
        <v>7750</v>
      </c>
      <c r="B5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-48566.140432098757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221.98766603415558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-48566.140432098757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221.98766603415558</v>
      </c>
      <c r="V57" s="3">
        <f>MAX(0,Table7[Nm2Eco]*MIN(Table36[ratedRpm]/MAX(1,Table15[[#This Row],[rpm]]),1-(MAX(0,Table15[[#This Row],[rpm]]-Table36[ratedRpm])/Table36[fadeOut])^Table36[fadeOutExp]))</f>
        <v>0</v>
      </c>
    </row>
    <row r="58" spans="1:22" x14ac:dyDescent="0.25">
      <c r="A58" s="3">
        <v>8000</v>
      </c>
      <c r="B5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-52239.209876543209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215.05055147058823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-52239.209876543209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215.05055147058823</v>
      </c>
      <c r="V58" s="3">
        <f>MAX(0,Table7[Nm2Eco]*MIN(Table36[ratedRpm]/MAX(1,Table15[[#This Row],[rpm]]),1-(MAX(0,Table15[[#This Row],[rpm]]-Table36[ratedRpm])/Table36[fadeOut])^Table36[fadeOutExp]))</f>
        <v>0</v>
      </c>
    </row>
    <row r="59" spans="1:22" x14ac:dyDescent="0.25">
      <c r="A59" s="3">
        <v>8250</v>
      </c>
      <c r="B5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-56043.930555555533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208.53386809269162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-56043.930555555533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208.53386809269162</v>
      </c>
      <c r="V59" s="3">
        <f>MAX(0,Table7[Nm2Eco]*MIN(Table36[ratedRpm]/MAX(1,Table15[[#This Row],[rpm]]),1-(MAX(0,Table15[[#This Row],[rpm]]-Table36[ratedRpm])/Table36[fadeOut])^Table36[fadeOutExp]))</f>
        <v>0</v>
      </c>
    </row>
    <row r="60" spans="1:22" x14ac:dyDescent="0.25">
      <c r="A60" s="3">
        <v>8500</v>
      </c>
      <c r="B6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-59980.3024691358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202.40051903114187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-59980.3024691358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202.40051903114187</v>
      </c>
      <c r="V60" s="3">
        <f>MAX(0,Table7[Nm2Eco]*MIN(Table36[ratedRpm]/MAX(1,Table15[[#This Row],[rpm]]),1-(MAX(0,Table15[[#This Row],[rpm]]-Table36[ratedRpm])/Table36[fadeOut])^Table36[fadeOutExp]))</f>
        <v>0</v>
      </c>
    </row>
    <row r="61" spans="1:22" x14ac:dyDescent="0.25">
      <c r="A61" s="3">
        <v>8750</v>
      </c>
      <c r="B6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-64048.325617283932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196.61764705882351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-64048.325617283932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196.61764705882351</v>
      </c>
      <c r="V61" s="3">
        <f>MAX(0,Table7[Nm2Eco]*MIN(Table36[ratedRpm]/MAX(1,Table15[[#This Row],[rpm]]),1-(MAX(0,Table15[[#This Row],[rpm]]-Table36[ratedRpm])/Table36[fadeOut])^Table36[fadeOutExp]))</f>
        <v>0</v>
      </c>
    </row>
    <row r="62" spans="1:22" x14ac:dyDescent="0.25">
      <c r="A62" s="3">
        <v>9000</v>
      </c>
      <c r="B6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-68248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191.15604575163397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-68248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191.15604575163397</v>
      </c>
      <c r="V6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2016-02-04T18:53:35Z</dcterms:modified>
</cp:coreProperties>
</file>