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7275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F2" i="3"/>
  <c r="K58" i="3" l="1"/>
  <c r="K59" i="3"/>
  <c r="K60" i="3"/>
  <c r="K61" i="3"/>
  <c r="K62" i="3"/>
  <c r="K55" i="3"/>
  <c r="K56" i="3"/>
  <c r="K57" i="3"/>
  <c r="K38" i="3" l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L4" i="3" l="1"/>
  <c r="K4" i="3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J4" i="3" l="1"/>
  <c r="V4" i="3" l="1"/>
  <c r="K7" i="3" s="1"/>
  <c r="O4" i="3"/>
  <c r="H4" i="3" s="1"/>
  <c r="P4" i="3"/>
  <c r="L7" i="3" l="1"/>
  <c r="V59" i="3"/>
  <c r="V58" i="3"/>
  <c r="D58" i="3" s="1"/>
  <c r="G58" i="3" s="1"/>
  <c r="I58" i="3" s="1"/>
  <c r="V57" i="3"/>
  <c r="D57" i="3" s="1"/>
  <c r="G57" i="3" s="1"/>
  <c r="I57" i="3" s="1"/>
  <c r="V60" i="3"/>
  <c r="D60" i="3" s="1"/>
  <c r="G60" i="3" s="1"/>
  <c r="I60" i="3" s="1"/>
  <c r="V55" i="3"/>
  <c r="V62" i="3"/>
  <c r="D62" i="3" s="1"/>
  <c r="G62" i="3" s="1"/>
  <c r="I62" i="3" s="1"/>
  <c r="V61" i="3"/>
  <c r="D61" i="3" s="1"/>
  <c r="G61" i="3" s="1"/>
  <c r="I61" i="3" s="1"/>
  <c r="V56" i="3"/>
  <c r="D56" i="3" s="1"/>
  <c r="G56" i="3" s="1"/>
  <c r="I56" i="3" s="1"/>
  <c r="D59" i="3"/>
  <c r="G59" i="3" s="1"/>
  <c r="I59" i="3" s="1"/>
  <c r="D55" i="3"/>
  <c r="G55" i="3" s="1"/>
  <c r="I55" i="3" s="1"/>
  <c r="V44" i="3"/>
  <c r="V48" i="3"/>
  <c r="V52" i="3"/>
  <c r="D52" i="3" s="1"/>
  <c r="G52" i="3" s="1"/>
  <c r="I52" i="3" s="1"/>
  <c r="V51" i="3"/>
  <c r="V45" i="3"/>
  <c r="V49" i="3"/>
  <c r="V53" i="3"/>
  <c r="D53" i="3" s="1"/>
  <c r="G53" i="3" s="1"/>
  <c r="I53" i="3" s="1"/>
  <c r="V43" i="3"/>
  <c r="V46" i="3"/>
  <c r="V50" i="3"/>
  <c r="V54" i="3"/>
  <c r="D54" i="3" s="1"/>
  <c r="G54" i="3" s="1"/>
  <c r="I54" i="3" s="1"/>
  <c r="V47" i="3"/>
  <c r="R4" i="3"/>
  <c r="V9" i="3"/>
  <c r="V13" i="3"/>
  <c r="V17" i="3"/>
  <c r="V21" i="3"/>
  <c r="V25" i="3"/>
  <c r="V29" i="3"/>
  <c r="V33" i="3"/>
  <c r="V37" i="3"/>
  <c r="V41" i="3"/>
  <c r="V14" i="3"/>
  <c r="V22" i="3"/>
  <c r="V30" i="3"/>
  <c r="V38" i="3"/>
  <c r="V7" i="3"/>
  <c r="V11" i="3"/>
  <c r="V15" i="3"/>
  <c r="V19" i="3"/>
  <c r="V23" i="3"/>
  <c r="V27" i="3"/>
  <c r="V31" i="3"/>
  <c r="V35" i="3"/>
  <c r="V39" i="3"/>
  <c r="V8" i="3"/>
  <c r="V12" i="3"/>
  <c r="V16" i="3"/>
  <c r="V20" i="3"/>
  <c r="V24" i="3"/>
  <c r="V28" i="3"/>
  <c r="V32" i="3"/>
  <c r="V36" i="3"/>
  <c r="V40" i="3"/>
  <c r="V10" i="3"/>
  <c r="V18" i="3"/>
  <c r="V26" i="3"/>
  <c r="V34" i="3"/>
  <c r="V42" i="3"/>
  <c r="Q4" i="3"/>
  <c r="S4" i="3"/>
  <c r="U60" i="3" l="1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D51" i="3" s="1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D45" i="3" s="1"/>
  <c r="G45" i="3" s="1"/>
  <c r="I45" i="3" s="1"/>
  <c r="T49" i="3"/>
  <c r="D49" i="3" s="1"/>
  <c r="G49" i="3" s="1"/>
  <c r="I49" i="3" s="1"/>
  <c r="T53" i="3"/>
  <c r="T43" i="3"/>
  <c r="D43" i="3" s="1"/>
  <c r="G43" i="3" s="1"/>
  <c r="I43" i="3" s="1"/>
  <c r="T52" i="3"/>
  <c r="T46" i="3"/>
  <c r="D46" i="3" s="1"/>
  <c r="G46" i="3" s="1"/>
  <c r="I46" i="3" s="1"/>
  <c r="T50" i="3"/>
  <c r="T54" i="3"/>
  <c r="T44" i="3"/>
  <c r="T47" i="3"/>
  <c r="T51" i="3"/>
  <c r="T48" i="3"/>
  <c r="D48" i="3" s="1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D35" i="3" s="1"/>
  <c r="G35" i="3" s="1"/>
  <c r="I35" i="3" s="1"/>
  <c r="T39" i="3"/>
  <c r="T8" i="3"/>
  <c r="T12" i="3"/>
  <c r="T16" i="3"/>
  <c r="T20" i="3"/>
  <c r="T24" i="3"/>
  <c r="T28" i="3"/>
  <c r="T32" i="3"/>
  <c r="T36" i="3"/>
  <c r="D36" i="3" s="1"/>
  <c r="G36" i="3" s="1"/>
  <c r="I36" i="3" s="1"/>
  <c r="T40" i="3"/>
  <c r="D40" i="3" s="1"/>
  <c r="G40" i="3" s="1"/>
  <c r="I40" i="3" s="1"/>
  <c r="T9" i="3"/>
  <c r="T13" i="3"/>
  <c r="T17" i="3"/>
  <c r="T21" i="3"/>
  <c r="T25" i="3"/>
  <c r="T29" i="3"/>
  <c r="T33" i="3"/>
  <c r="T37" i="3"/>
  <c r="T41" i="3"/>
  <c r="D41" i="3" s="1"/>
  <c r="G41" i="3" s="1"/>
  <c r="I41" i="3" s="1"/>
  <c r="T10" i="3"/>
  <c r="T26" i="3"/>
  <c r="T42" i="3"/>
  <c r="D42" i="3" s="1"/>
  <c r="G42" i="3" s="1"/>
  <c r="I42" i="3" s="1"/>
  <c r="T38" i="3"/>
  <c r="T14" i="3"/>
  <c r="T30" i="3"/>
  <c r="T18" i="3"/>
  <c r="T34" i="3"/>
  <c r="D34" i="3" s="1"/>
  <c r="G34" i="3" s="1"/>
  <c r="I34" i="3" s="1"/>
  <c r="T22" i="3"/>
  <c r="D47" i="3" l="1"/>
  <c r="G47" i="3" s="1"/>
  <c r="I47" i="3" s="1"/>
  <c r="D39" i="3"/>
  <c r="G39" i="3" s="1"/>
  <c r="I39" i="3" s="1"/>
  <c r="D50" i="3"/>
  <c r="G50" i="3" s="1"/>
  <c r="I50" i="3" s="1"/>
  <c r="D44" i="3"/>
  <c r="G44" i="3" s="1"/>
  <c r="I44" i="3" s="1"/>
  <c r="D4" i="3"/>
  <c r="E4" i="3"/>
  <c r="I4" i="3" s="1"/>
  <c r="A4" i="3"/>
  <c r="F4" i="3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Q62" i="3"/>
  <c r="Q55" i="3"/>
  <c r="B55" i="3" s="1"/>
  <c r="F55" i="3" s="1"/>
  <c r="H55" i="3" s="1"/>
  <c r="Q56" i="3"/>
  <c r="B56" i="3" s="1"/>
  <c r="F56" i="3" s="1"/>
  <c r="H56" i="3" s="1"/>
  <c r="Q59" i="3"/>
  <c r="Q60" i="3"/>
  <c r="B60" i="3" s="1"/>
  <c r="F60" i="3" s="1"/>
  <c r="H60" i="3" s="1"/>
  <c r="Q57" i="3"/>
  <c r="Q61" i="3"/>
  <c r="B61" i="3" s="1"/>
  <c r="F61" i="3" s="1"/>
  <c r="H61" i="3" s="1"/>
  <c r="B59" i="3"/>
  <c r="F59" i="3" s="1"/>
  <c r="H59" i="3" s="1"/>
  <c r="B62" i="3"/>
  <c r="F62" i="3" s="1"/>
  <c r="H62" i="3" s="1"/>
  <c r="B57" i="3"/>
  <c r="F57" i="3" s="1"/>
  <c r="H57" i="3" s="1"/>
  <c r="B58" i="3"/>
  <c r="F58" i="3" s="1"/>
  <c r="H58" i="3" s="1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Q49" i="3"/>
  <c r="Q53" i="3"/>
  <c r="B53" i="3" s="1"/>
  <c r="F53" i="3" s="1"/>
  <c r="Q43" i="3"/>
  <c r="Q52" i="3"/>
  <c r="Q46" i="3"/>
  <c r="Q50" i="3"/>
  <c r="Q54" i="3"/>
  <c r="B54" i="3" s="1"/>
  <c r="F54" i="3" s="1"/>
  <c r="H54" i="3" s="1"/>
  <c r="Q48" i="3"/>
  <c r="Q47" i="3"/>
  <c r="Q51" i="3"/>
  <c r="Q44" i="3"/>
  <c r="B52" i="3"/>
  <c r="F52" i="3" s="1"/>
  <c r="P45" i="3"/>
  <c r="P49" i="3"/>
  <c r="P53" i="3"/>
  <c r="P46" i="3"/>
  <c r="P50" i="3"/>
  <c r="P54" i="3"/>
  <c r="P44" i="3"/>
  <c r="P52" i="3"/>
  <c r="P47" i="3"/>
  <c r="P51" i="3"/>
  <c r="B51" i="3" s="1"/>
  <c r="F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Q31" i="3"/>
  <c r="Q35" i="3"/>
  <c r="Q39" i="3"/>
  <c r="Q8" i="3"/>
  <c r="Q12" i="3"/>
  <c r="Q16" i="3"/>
  <c r="Q20" i="3"/>
  <c r="Q24" i="3"/>
  <c r="Q28" i="3"/>
  <c r="Q32" i="3"/>
  <c r="Q36" i="3"/>
  <c r="Q40" i="3"/>
  <c r="Q9" i="3"/>
  <c r="Q13" i="3"/>
  <c r="Q17" i="3"/>
  <c r="Q21" i="3"/>
  <c r="Q25" i="3"/>
  <c r="Q29" i="3"/>
  <c r="Q33" i="3"/>
  <c r="Q37" i="3"/>
  <c r="Q41" i="3"/>
  <c r="Q14" i="3"/>
  <c r="Q30" i="3"/>
  <c r="Q10" i="3"/>
  <c r="Q18" i="3"/>
  <c r="Q34" i="3"/>
  <c r="Q42" i="3"/>
  <c r="Q22" i="3"/>
  <c r="Q38" i="3"/>
  <c r="Q26" i="3"/>
  <c r="S7" i="3"/>
  <c r="S11" i="3"/>
  <c r="S15" i="3"/>
  <c r="D15" i="3" s="1"/>
  <c r="G15" i="3" s="1"/>
  <c r="S19" i="3"/>
  <c r="D19" i="3" s="1"/>
  <c r="G19" i="3" s="1"/>
  <c r="S23" i="3"/>
  <c r="D23" i="3" s="1"/>
  <c r="G23" i="3" s="1"/>
  <c r="I23" i="3" s="1"/>
  <c r="S27" i="3"/>
  <c r="D27" i="3" s="1"/>
  <c r="G27" i="3" s="1"/>
  <c r="I27" i="3" s="1"/>
  <c r="S31" i="3"/>
  <c r="D31" i="3" s="1"/>
  <c r="G31" i="3" s="1"/>
  <c r="I31" i="3" s="1"/>
  <c r="S35" i="3"/>
  <c r="S39" i="3"/>
  <c r="N7" i="3"/>
  <c r="N11" i="3"/>
  <c r="N15" i="3"/>
  <c r="N19" i="3"/>
  <c r="N23" i="3"/>
  <c r="N27" i="3"/>
  <c r="N31" i="3"/>
  <c r="N35" i="3"/>
  <c r="N39" i="3"/>
  <c r="S8" i="3"/>
  <c r="S12" i="3"/>
  <c r="D12" i="3" s="1"/>
  <c r="S16" i="3"/>
  <c r="D16" i="3" s="1"/>
  <c r="G16" i="3" s="1"/>
  <c r="S20" i="3"/>
  <c r="D20" i="3" s="1"/>
  <c r="G20" i="3" s="1"/>
  <c r="I20" i="3" s="1"/>
  <c r="S24" i="3"/>
  <c r="D24" i="3" s="1"/>
  <c r="G24" i="3" s="1"/>
  <c r="I24" i="3" s="1"/>
  <c r="S28" i="3"/>
  <c r="D28" i="3" s="1"/>
  <c r="G28" i="3" s="1"/>
  <c r="I28" i="3" s="1"/>
  <c r="S32" i="3"/>
  <c r="D32" i="3" s="1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D13" i="3" s="1"/>
  <c r="G13" i="3" s="1"/>
  <c r="S17" i="3"/>
  <c r="D17" i="3" s="1"/>
  <c r="G17" i="3" s="1"/>
  <c r="S21" i="3"/>
  <c r="D21" i="3" s="1"/>
  <c r="G21" i="3" s="1"/>
  <c r="I21" i="3" s="1"/>
  <c r="S25" i="3"/>
  <c r="D25" i="3" s="1"/>
  <c r="G25" i="3" s="1"/>
  <c r="I25" i="3" s="1"/>
  <c r="S29" i="3"/>
  <c r="D29" i="3" s="1"/>
  <c r="G29" i="3" s="1"/>
  <c r="I29" i="3" s="1"/>
  <c r="S33" i="3"/>
  <c r="D33" i="3" s="1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D22" i="3" s="1"/>
  <c r="G22" i="3" s="1"/>
  <c r="I22" i="3" s="1"/>
  <c r="S38" i="3"/>
  <c r="N18" i="3"/>
  <c r="N34" i="3"/>
  <c r="S10" i="3"/>
  <c r="S26" i="3"/>
  <c r="D26" i="3" s="1"/>
  <c r="G26" i="3" s="1"/>
  <c r="I26" i="3" s="1"/>
  <c r="S42" i="3"/>
  <c r="N22" i="3"/>
  <c r="N38" i="3"/>
  <c r="S18" i="3"/>
  <c r="D18" i="3" s="1"/>
  <c r="G18" i="3" s="1"/>
  <c r="N14" i="3"/>
  <c r="S14" i="3"/>
  <c r="S30" i="3"/>
  <c r="D30" i="3" s="1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M61" i="3" l="1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H53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B44" i="3" s="1"/>
  <c r="F44" i="3" s="1"/>
  <c r="O48" i="3"/>
  <c r="B48" i="3" s="1"/>
  <c r="F48" i="3" s="1"/>
  <c r="O52" i="3"/>
  <c r="O51" i="3"/>
  <c r="O45" i="3"/>
  <c r="B45" i="3" s="1"/>
  <c r="F45" i="3" s="1"/>
  <c r="O49" i="3"/>
  <c r="B49" i="3" s="1"/>
  <c r="F49" i="3" s="1"/>
  <c r="O53" i="3"/>
  <c r="O43" i="3"/>
  <c r="B43" i="3" s="1"/>
  <c r="F43" i="3" s="1"/>
  <c r="O46" i="3"/>
  <c r="B46" i="3" s="1"/>
  <c r="F46" i="3" s="1"/>
  <c r="O50" i="3"/>
  <c r="B50" i="3" s="1"/>
  <c r="F50" i="3" s="1"/>
  <c r="O54" i="3"/>
  <c r="O47" i="3"/>
  <c r="B47" i="3" s="1"/>
  <c r="F47" i="3" s="1"/>
  <c r="M10" i="3"/>
  <c r="B10" i="3" s="1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B11" i="3" s="1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D7" i="3" s="1"/>
  <c r="G7" i="3" s="1"/>
  <c r="I7" i="3" s="1"/>
  <c r="R11" i="3"/>
  <c r="D11" i="3" s="1"/>
  <c r="G11" i="3" s="1"/>
  <c r="R15" i="3"/>
  <c r="R19" i="3"/>
  <c r="R23" i="3"/>
  <c r="R27" i="3"/>
  <c r="R31" i="3"/>
  <c r="R35" i="3"/>
  <c r="R39" i="3"/>
  <c r="R8" i="3"/>
  <c r="R12" i="3"/>
  <c r="R16" i="3"/>
  <c r="R20" i="3"/>
  <c r="R24" i="3"/>
  <c r="R28" i="3"/>
  <c r="R32" i="3"/>
  <c r="R36" i="3"/>
  <c r="R40" i="3"/>
  <c r="R9" i="3"/>
  <c r="D9" i="3" s="1"/>
  <c r="G9" i="3" s="1"/>
  <c r="R13" i="3"/>
  <c r="R17" i="3"/>
  <c r="R21" i="3"/>
  <c r="R25" i="3"/>
  <c r="R29" i="3"/>
  <c r="R33" i="3"/>
  <c r="R37" i="3"/>
  <c r="D37" i="3" s="1"/>
  <c r="G37" i="3" s="1"/>
  <c r="I37" i="3" s="1"/>
  <c r="R41" i="3"/>
  <c r="R18" i="3"/>
  <c r="R34" i="3"/>
  <c r="R22" i="3"/>
  <c r="R38" i="3"/>
  <c r="D38" i="3" s="1"/>
  <c r="G38" i="3" s="1"/>
  <c r="I38" i="3" s="1"/>
  <c r="R30" i="3"/>
  <c r="R10" i="3"/>
  <c r="R26" i="3"/>
  <c r="R42" i="3"/>
  <c r="R14" i="3"/>
  <c r="D14" i="3" s="1"/>
  <c r="G14" i="3" s="1"/>
  <c r="I14" i="3" s="1"/>
  <c r="O7" i="3"/>
  <c r="O11" i="3"/>
  <c r="O15" i="3"/>
  <c r="B15" i="3" s="1"/>
  <c r="F15" i="3" s="1"/>
  <c r="K15" i="3" s="1"/>
  <c r="O19" i="3"/>
  <c r="O23" i="3"/>
  <c r="B23" i="3" s="1"/>
  <c r="F23" i="3" s="1"/>
  <c r="K23" i="3" s="1"/>
  <c r="O27" i="3"/>
  <c r="B27" i="3" s="1"/>
  <c r="F27" i="3" s="1"/>
  <c r="K27" i="3" s="1"/>
  <c r="O31" i="3"/>
  <c r="B31" i="3" s="1"/>
  <c r="F31" i="3" s="1"/>
  <c r="K31" i="3" s="1"/>
  <c r="O35" i="3"/>
  <c r="B35" i="3" s="1"/>
  <c r="F35" i="3" s="1"/>
  <c r="K35" i="3" s="1"/>
  <c r="O39" i="3"/>
  <c r="B39" i="3" s="1"/>
  <c r="F39" i="3" s="1"/>
  <c r="O8" i="3"/>
  <c r="O12" i="3"/>
  <c r="O16" i="3"/>
  <c r="B16" i="3" s="1"/>
  <c r="F16" i="3" s="1"/>
  <c r="K16" i="3" s="1"/>
  <c r="O20" i="3"/>
  <c r="O24" i="3"/>
  <c r="B24" i="3" s="1"/>
  <c r="F24" i="3" s="1"/>
  <c r="K24" i="3" s="1"/>
  <c r="O28" i="3"/>
  <c r="B28" i="3" s="1"/>
  <c r="F28" i="3" s="1"/>
  <c r="K28" i="3" s="1"/>
  <c r="O32" i="3"/>
  <c r="B32" i="3" s="1"/>
  <c r="F32" i="3" s="1"/>
  <c r="K32" i="3" s="1"/>
  <c r="O36" i="3"/>
  <c r="B36" i="3" s="1"/>
  <c r="F36" i="3" s="1"/>
  <c r="K36" i="3" s="1"/>
  <c r="O40" i="3"/>
  <c r="B40" i="3" s="1"/>
  <c r="F40" i="3" s="1"/>
  <c r="O9" i="3"/>
  <c r="O13" i="3"/>
  <c r="O17" i="3"/>
  <c r="B17" i="3" s="1"/>
  <c r="F17" i="3" s="1"/>
  <c r="K17" i="3" s="1"/>
  <c r="O21" i="3"/>
  <c r="O25" i="3"/>
  <c r="B25" i="3" s="1"/>
  <c r="F25" i="3" s="1"/>
  <c r="K25" i="3" s="1"/>
  <c r="O29" i="3"/>
  <c r="B29" i="3" s="1"/>
  <c r="F29" i="3" s="1"/>
  <c r="K29" i="3" s="1"/>
  <c r="O33" i="3"/>
  <c r="B33" i="3" s="1"/>
  <c r="F33" i="3" s="1"/>
  <c r="K33" i="3" s="1"/>
  <c r="O37" i="3"/>
  <c r="B37" i="3" s="1"/>
  <c r="F37" i="3" s="1"/>
  <c r="K37" i="3" s="1"/>
  <c r="O41" i="3"/>
  <c r="B41" i="3" s="1"/>
  <c r="F41" i="3" s="1"/>
  <c r="O22" i="3"/>
  <c r="B22" i="3" s="1"/>
  <c r="F22" i="3" s="1"/>
  <c r="K22" i="3" s="1"/>
  <c r="O38" i="3"/>
  <c r="B38" i="3" s="1"/>
  <c r="F38" i="3" s="1"/>
  <c r="O34" i="3"/>
  <c r="B34" i="3" s="1"/>
  <c r="F34" i="3" s="1"/>
  <c r="K34" i="3" s="1"/>
  <c r="O10" i="3"/>
  <c r="O26" i="3"/>
  <c r="B26" i="3" s="1"/>
  <c r="F26" i="3" s="1"/>
  <c r="K26" i="3" s="1"/>
  <c r="O42" i="3"/>
  <c r="B42" i="3" s="1"/>
  <c r="F42" i="3" s="1"/>
  <c r="O14" i="3"/>
  <c r="B14" i="3" s="1"/>
  <c r="F14" i="3" s="1"/>
  <c r="O30" i="3"/>
  <c r="B30" i="3" s="1"/>
  <c r="F30" i="3" s="1"/>
  <c r="K30" i="3" s="1"/>
  <c r="O18" i="3"/>
  <c r="B18" i="3" s="1"/>
  <c r="F18" i="3" s="1"/>
  <c r="K18" i="3" s="1"/>
  <c r="I18" i="3"/>
  <c r="I15" i="3"/>
  <c r="I13" i="3"/>
  <c r="I16" i="3"/>
  <c r="I19" i="3"/>
  <c r="I17" i="3"/>
  <c r="G12" i="3"/>
  <c r="F12" i="3"/>
  <c r="F13" i="3"/>
  <c r="K13" i="3" s="1"/>
  <c r="D22" i="1"/>
  <c r="K14" i="3" l="1"/>
  <c r="K12" i="3"/>
  <c r="K11" i="3"/>
  <c r="H50" i="3"/>
  <c r="H49" i="3"/>
  <c r="H48" i="3"/>
  <c r="H46" i="3"/>
  <c r="H45" i="3"/>
  <c r="H44" i="3"/>
  <c r="H47" i="3"/>
  <c r="H43" i="3"/>
  <c r="D10" i="3"/>
  <c r="G10" i="3" s="1"/>
  <c r="K10" i="3" s="1"/>
  <c r="D8" i="3"/>
  <c r="G8" i="3" s="1"/>
  <c r="I8" i="3" s="1"/>
  <c r="B19" i="3"/>
  <c r="F19" i="3" s="1"/>
  <c r="K19" i="3" s="1"/>
  <c r="B21" i="3"/>
  <c r="F21" i="3" s="1"/>
  <c r="K21" i="3" s="1"/>
  <c r="B20" i="3"/>
  <c r="F20" i="3" s="1"/>
  <c r="K20" i="3" s="1"/>
  <c r="I12" i="3"/>
  <c r="I11" i="3"/>
  <c r="I9" i="3"/>
  <c r="H39" i="3"/>
  <c r="H34" i="3"/>
  <c r="H14" i="3"/>
  <c r="H33" i="3"/>
  <c r="H15" i="3"/>
  <c r="H26" i="3"/>
  <c r="H41" i="3"/>
  <c r="H11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K9" i="3" s="1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K8" i="3" l="1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<sst xmlns="http://schemas.openxmlformats.org/spreadsheetml/2006/main" count="88" uniqueCount="72">
  <si>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</si>
  <si>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</si>
  <si>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</si>
  <si>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</si>
  <si>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</si>
  <si>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</si>
  <si>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</si>
  <si>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</si>
  <si>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</si>
  <si>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</si>
  <si>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</si>
  <si>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</si>
  <si>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</si>
  <si>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</si>
  <si>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</si>
  <si>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</si>
  <si>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</si>
  <si>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</si>
  <si>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</si>
  <si>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</si>
  <si>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</si>
  <si>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</si>
  <si>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</si>
  <si>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</si>
  <si>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</si>
  <si>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</si>
  <si>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</si>
  <si>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</si>
  <si>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</si>
  <si>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</si>
  <si>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</si>
  <si>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</si>
  <si>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</si>
  <si>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</si>
  <si>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</si>
  <si>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</si>
  <si>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</si>
  <si>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</si>
  <si>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</si>
  <si>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</si>
  <si>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</si>
  <si>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</si>
  <si>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</si>
  <si>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</si>
  <si>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</si>
  <si>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</si>
  <si>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</si>
  <si>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</si>
  <si>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</si>
  <si>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</si>
  <si>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</si>
  <si>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</si>
  <si>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</si>
  <si>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</si>
  <si>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</si>
  <si>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</si>
  <si>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</si>
  <si>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</si>
  <si>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</si>
  <si>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</si>
  <si>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</si>
  <si>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</si>
  <si>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</si>
  <si>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</si>
  <si>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</si>
  <si>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</si>
  <si>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</si>
  <si>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</si>
  <si>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</si>
  <si>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g/kWh</t>
  </si>
  <si>
    <t>max kW</t>
  </si>
  <si>
    <t>rated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</si>
</sst>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9" fontId="4" fillId="2" borderId="10" xfId="1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3" xfId="0" applyBorder="1"/>
    <xf numFmtId="0" fontId="0" fillId="0" borderId="7" xfId="0" applyBorder="1"/>
    <xf numFmtId="9" fontId="0" fillId="0" borderId="8" xfId="1" applyFont="1" applyBorder="1"/>
    <xf numFmtId="0" fontId="0" fillId="0" borderId="9" xfId="0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4" fillId="2" borderId="12" xfId="1" applyNumberFormat="1" applyFont="1" applyFill="1" applyBorder="1"/>
    <xf numFmtId="1" fontId="7" fillId="0" borderId="0" xfId="0" applyNumberFormat="1" applyFont="1"/>
    <xf numFmtId="165" fontId="4" fillId="2" borderId="11" xfId="1" applyNumberFormat="1" applyFont="1" applyFill="1" applyBorder="1"/>
  </cellXfs>
  <cellStyles count="2">
    <cellStyle name="Normal" xfId="0" builtinId="0"/>
    <cellStyle name="Percent" xfId="1" builtinId="5"/>
  </cellStyles>
  <dxfs count="7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282.34053749999975</c:v>
                </c:pt>
                <c:pt idx="2">
                  <c:v>535.45379999999989</c:v>
                </c:pt>
                <c:pt idx="3">
                  <c:v>645.49440000000004</c:v>
                </c:pt>
                <c:pt idx="4">
                  <c:v>686.85</c:v>
                </c:pt>
                <c:pt idx="5">
                  <c:v>713.96249999999998</c:v>
                </c:pt>
                <c:pt idx="6">
                  <c:v>723</c:v>
                </c:pt>
                <c:pt idx="7">
                  <c:v>715.91321257212917</c:v>
                </c:pt>
                <c:pt idx="8">
                  <c:v>707.64529390627968</c:v>
                </c:pt>
                <c:pt idx="9">
                  <c:v>698.19624400245186</c:v>
                </c:pt>
                <c:pt idx="10">
                  <c:v>687.5660628606455</c:v>
                </c:pt>
                <c:pt idx="11">
                  <c:v>675.75475048086059</c:v>
                </c:pt>
                <c:pt idx="12">
                  <c:v>662.76230686309736</c:v>
                </c:pt>
                <c:pt idx="13">
                  <c:v>655.82316083997375</c:v>
                </c:pt>
                <c:pt idx="14">
                  <c:v>648.58873200735547</c:v>
                </c:pt>
                <c:pt idx="15">
                  <c:v>641.05902036524276</c:v>
                </c:pt>
                <c:pt idx="16">
                  <c:v>633.23402591363526</c:v>
                </c:pt>
                <c:pt idx="17">
                  <c:v>625.11374865253322</c:v>
                </c:pt>
                <c:pt idx="18">
                  <c:v>616.69818858193639</c:v>
                </c:pt>
                <c:pt idx="19">
                  <c:v>607.98734570184524</c:v>
                </c:pt>
                <c:pt idx="20">
                  <c:v>598.9812200122592</c:v>
                </c:pt>
                <c:pt idx="21">
                  <c:v>589.67981151317861</c:v>
                </c:pt>
                <c:pt idx="22">
                  <c:v>580.08312020460346</c:v>
                </c:pt>
                <c:pt idx="23">
                  <c:v>567.740926157697</c:v>
                </c:pt>
                <c:pt idx="24">
                  <c:v>530.68477415232394</c:v>
                </c:pt>
                <c:pt idx="25">
                  <c:v>447.34513309327622</c:v>
                </c:pt>
                <c:pt idx="26">
                  <c:v>327.87616370950997</c:v>
                </c:pt>
                <c:pt idx="27">
                  <c:v>176.57384044655632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282.34053749999975</c:v>
                </c:pt>
                <c:pt idx="2">
                  <c:v>535.45379999999989</c:v>
                </c:pt>
                <c:pt idx="3">
                  <c:v>645.49440000000004</c:v>
                </c:pt>
                <c:pt idx="4">
                  <c:v>686.85</c:v>
                </c:pt>
                <c:pt idx="5">
                  <c:v>713.96249999999998</c:v>
                </c:pt>
                <c:pt idx="6">
                  <c:v>723</c:v>
                </c:pt>
                <c:pt idx="7">
                  <c:v>715.91321257212917</c:v>
                </c:pt>
                <c:pt idx="8">
                  <c:v>707.64529390627968</c:v>
                </c:pt>
                <c:pt idx="9">
                  <c:v>698.19624400245186</c:v>
                </c:pt>
                <c:pt idx="10">
                  <c:v>687.5660628606455</c:v>
                </c:pt>
                <c:pt idx="11">
                  <c:v>675.75475048086059</c:v>
                </c:pt>
                <c:pt idx="12">
                  <c:v>662.76230686309736</c:v>
                </c:pt>
                <c:pt idx="13">
                  <c:v>655.82316083997375</c:v>
                </c:pt>
                <c:pt idx="14">
                  <c:v>648.58873200735547</c:v>
                </c:pt>
                <c:pt idx="15">
                  <c:v>641.05902036524276</c:v>
                </c:pt>
                <c:pt idx="16">
                  <c:v>633.23402591363526</c:v>
                </c:pt>
                <c:pt idx="17">
                  <c:v>625.11374865253322</c:v>
                </c:pt>
                <c:pt idx="18">
                  <c:v>616.69818858193639</c:v>
                </c:pt>
                <c:pt idx="19">
                  <c:v>607.98734570184524</c:v>
                </c:pt>
                <c:pt idx="20">
                  <c:v>598.9812200122592</c:v>
                </c:pt>
                <c:pt idx="21">
                  <c:v>589.67981151317861</c:v>
                </c:pt>
                <c:pt idx="22">
                  <c:v>580.08312020460346</c:v>
                </c:pt>
                <c:pt idx="23">
                  <c:v>567.740926157697</c:v>
                </c:pt>
                <c:pt idx="24">
                  <c:v>530.68477415232394</c:v>
                </c:pt>
                <c:pt idx="25">
                  <c:v>447.34513309327622</c:v>
                </c:pt>
                <c:pt idx="26">
                  <c:v>327.87616370950997</c:v>
                </c:pt>
                <c:pt idx="27">
                  <c:v>176.57384044655632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75448"/>
        <c:axId val="322271920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14.072680193717266</c:v>
                </c:pt>
                <c:pt idx="2">
                  <c:v>53.377174617801046</c:v>
                </c:pt>
                <c:pt idx="3">
                  <c:v>82.731428858638751</c:v>
                </c:pt>
                <c:pt idx="4">
                  <c:v>97.813193717277485</c:v>
                </c:pt>
                <c:pt idx="5">
                  <c:v>111.84166492146596</c:v>
                </c:pt>
                <c:pt idx="6">
                  <c:v>123.55350785340316</c:v>
                </c:pt>
                <c:pt idx="7">
                  <c:v>132.53765024371984</c:v>
                </c:pt>
                <c:pt idx="8">
                  <c:v>141.08446487932528</c:v>
                </c:pt>
                <c:pt idx="9">
                  <c:v>149.14349086544522</c:v>
                </c:pt>
                <c:pt idx="10">
                  <c:v>156.66426730730521</c:v>
                </c:pt>
                <c:pt idx="11">
                  <c:v>163.59633331013086</c:v>
                </c:pt>
                <c:pt idx="12">
                  <c:v>169.8892279791479</c:v>
                </c:pt>
                <c:pt idx="13">
                  <c:v>172.78021703386113</c:v>
                </c:pt>
                <c:pt idx="14">
                  <c:v>175.49249041958183</c:v>
                </c:pt>
                <c:pt idx="15">
                  <c:v>178.0197405244632</c:v>
                </c:pt>
                <c:pt idx="16">
                  <c:v>180.35565973665842</c:v>
                </c:pt>
                <c:pt idx="17">
                  <c:v>182.49394044432069</c:v>
                </c:pt>
                <c:pt idx="18">
                  <c:v>184.42827503560318</c:v>
                </c:pt>
                <c:pt idx="19">
                  <c:v>186.15235589865921</c:v>
                </c:pt>
                <c:pt idx="20" formatCode="0">
                  <c:v>187.65987542164183</c:v>
                </c:pt>
                <c:pt idx="21" formatCode="0">
                  <c:v>188.94452599270434</c:v>
                </c:pt>
                <c:pt idx="22" formatCode="0">
                  <c:v>189.99999999999994</c:v>
                </c:pt>
                <c:pt idx="23" formatCode="0">
                  <c:v>189.99999999999997</c:v>
                </c:pt>
                <c:pt idx="24" formatCode="0">
                  <c:v>181.3774976788676</c:v>
                </c:pt>
                <c:pt idx="25" formatCode="0">
                  <c:v>156.07895114835566</c:v>
                </c:pt>
                <c:pt idx="26" formatCode="0">
                  <c:v>116.73078079710305</c:v>
                </c:pt>
                <c:pt idx="27" formatCode="0">
                  <c:v>64.121264782058361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14.072680193717266</c:v>
                </c:pt>
                <c:pt idx="2">
                  <c:v>53.377174617801046</c:v>
                </c:pt>
                <c:pt idx="3">
                  <c:v>82.731428858638751</c:v>
                </c:pt>
                <c:pt idx="4">
                  <c:v>97.813193717277485</c:v>
                </c:pt>
                <c:pt idx="5">
                  <c:v>111.84166492146596</c:v>
                </c:pt>
                <c:pt idx="6">
                  <c:v>123.55350785340316</c:v>
                </c:pt>
                <c:pt idx="7">
                  <c:v>132.53765024371984</c:v>
                </c:pt>
                <c:pt idx="8">
                  <c:v>141.08446487932528</c:v>
                </c:pt>
                <c:pt idx="9">
                  <c:v>149.14349086544522</c:v>
                </c:pt>
                <c:pt idx="10">
                  <c:v>156.66426730730521</c:v>
                </c:pt>
                <c:pt idx="11">
                  <c:v>163.59633331013086</c:v>
                </c:pt>
                <c:pt idx="12">
                  <c:v>169.8892279791479</c:v>
                </c:pt>
                <c:pt idx="13">
                  <c:v>172.78021703386113</c:v>
                </c:pt>
                <c:pt idx="14">
                  <c:v>175.49249041958183</c:v>
                </c:pt>
                <c:pt idx="15">
                  <c:v>178.0197405244632</c:v>
                </c:pt>
                <c:pt idx="16">
                  <c:v>180.35565973665842</c:v>
                </c:pt>
                <c:pt idx="17">
                  <c:v>182.49394044432069</c:v>
                </c:pt>
                <c:pt idx="18">
                  <c:v>184.42827503560318</c:v>
                </c:pt>
                <c:pt idx="19">
                  <c:v>186.15235589865921</c:v>
                </c:pt>
                <c:pt idx="20" formatCode="0">
                  <c:v>187.65987542164183</c:v>
                </c:pt>
                <c:pt idx="21" formatCode="0">
                  <c:v>188.94452599270434</c:v>
                </c:pt>
                <c:pt idx="22" formatCode="0">
                  <c:v>189.99999999999994</c:v>
                </c:pt>
                <c:pt idx="23" formatCode="0">
                  <c:v>189.99999999999997</c:v>
                </c:pt>
                <c:pt idx="24" formatCode="0">
                  <c:v>181.3774976788676</c:v>
                </c:pt>
                <c:pt idx="25" formatCode="0">
                  <c:v>156.07895114835566</c:v>
                </c:pt>
                <c:pt idx="26" formatCode="0">
                  <c:v>116.73078079710305</c:v>
                </c:pt>
                <c:pt idx="27" formatCode="0">
                  <c:v>64.121264782058361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73488"/>
        <c:axId val="322276232"/>
      </c:scatterChart>
      <c:valAx>
        <c:axId val="322275448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71920"/>
        <c:crosses val="autoZero"/>
        <c:crossBetween val="midCat"/>
        <c:majorUnit val="250"/>
      </c:valAx>
      <c:valAx>
        <c:axId val="3222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75448"/>
        <c:crosses val="autoZero"/>
        <c:crossBetween val="midCat"/>
      </c:valAx>
      <c:valAx>
        <c:axId val="32227623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73488"/>
        <c:crosses val="max"/>
        <c:crossBetween val="midCat"/>
      </c:valAx>
      <c:valAx>
        <c:axId val="3222734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2227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538.19999999999959</c:v>
                </c:pt>
                <c:pt idx="1">
                  <c:v>373.17499999999978</c:v>
                </c:pt>
                <c:pt idx="2">
                  <c:v>264.49999999999994</c:v>
                </c:pt>
                <c:pt idx="3">
                  <c:v>227.7</c:v>
                </c:pt>
                <c:pt idx="4">
                  <c:v>216.2</c:v>
                </c:pt>
                <c:pt idx="5">
                  <c:v>209.3</c:v>
                </c:pt>
                <c:pt idx="6">
                  <c:v>207</c:v>
                </c:pt>
                <c:pt idx="7">
                  <c:v>207.17391304347825</c:v>
                </c:pt>
                <c:pt idx="8">
                  <c:v>207.69565217391303</c:v>
                </c:pt>
                <c:pt idx="9">
                  <c:v>208.56521739130434</c:v>
                </c:pt>
                <c:pt idx="10">
                  <c:v>209.78260869565219</c:v>
                </c:pt>
                <c:pt idx="11">
                  <c:v>211.34782608695653</c:v>
                </c:pt>
                <c:pt idx="12">
                  <c:v>213.26086956521738</c:v>
                </c:pt>
                <c:pt idx="13">
                  <c:v>214.34782608695653</c:v>
                </c:pt>
                <c:pt idx="14">
                  <c:v>215.52173913043478</c:v>
                </c:pt>
                <c:pt idx="15">
                  <c:v>216.78260869565219</c:v>
                </c:pt>
                <c:pt idx="16">
                  <c:v>218.13043478260869</c:v>
                </c:pt>
                <c:pt idx="17">
                  <c:v>219.56521739130434</c:v>
                </c:pt>
                <c:pt idx="18">
                  <c:v>221.08695652173913</c:v>
                </c:pt>
                <c:pt idx="19">
                  <c:v>222.69565217391303</c:v>
                </c:pt>
                <c:pt idx="20">
                  <c:v>224.39130434782609</c:v>
                </c:pt>
                <c:pt idx="21">
                  <c:v>226.17391304347825</c:v>
                </c:pt>
                <c:pt idx="22">
                  <c:v>228.04347826086956</c:v>
                </c:pt>
                <c:pt idx="23">
                  <c:v>230</c:v>
                </c:pt>
                <c:pt idx="24">
                  <c:v>234.15579847252829</c:v>
                </c:pt>
                <c:pt idx="25">
                  <c:v>253.50874624935562</c:v>
                </c:pt>
                <c:pt idx="26">
                  <c:v>294.7824869039253</c:v>
                </c:pt>
                <c:pt idx="27">
                  <c:v>362.98555112090548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76624"/>
        <c:axId val="322269568"/>
      </c:scatterChart>
      <c:valAx>
        <c:axId val="322276624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69568"/>
        <c:crosses val="autoZero"/>
        <c:crossBetween val="midCat"/>
        <c:majorUnit val="250"/>
      </c:valAx>
      <c:valAx>
        <c:axId val="322269568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76624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69960"/>
        <c:axId val="322273880"/>
      </c:scatterChart>
      <c:valAx>
        <c:axId val="322269960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73880"/>
        <c:crosses val="autoZero"/>
        <c:crossBetween val="midCat"/>
      </c:valAx>
      <c:valAx>
        <c:axId val="3222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6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74000"/>
        <c:axId val="350666552"/>
      </c:scatterChart>
      <c:valAx>
        <c:axId val="350674000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66552"/>
        <c:crosses val="autoZero"/>
        <c:crossBetween val="midCat"/>
      </c:valAx>
      <c:valAx>
        <c:axId val="3506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65</xdr:col>
      <xdr:colOff>276226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62" totalsRowShown="0" headerRowDxfId="75" dataDxfId="74">
  <tableColumns count="22">
    <tableColumn id="1" name="rpm" dataDxfId="73"/>
    <tableColumn id="7" name="rawData" dataDxfId="72">
      <calculatedColumnFormula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71"/>
    <tableColumn id="12" name="rawDataEco" dataDxfId="70">
      <calculatedColumnFormula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69"/>
    <tableColumn id="4" name="motor" dataDxfId="68">
      <calculatedColumnFormula>Table36[Factor]*IF(Table15[[#This Row],[manualData]]&gt;0,Table15[[#This Row],[manualData]],Table15[[#This Row],[rawData]])</calculatedColumnFormula>
    </tableColumn>
    <tableColumn id="14" name="motorEco" dataDxfId="67">
      <calculatedColumnFormula>Table36[Factor]*IF(Table15[[#This Row],[manDataEco]]&gt;0,Table15[[#This Row],[manDataEco]],Table15[[#This Row],[rawDataEco]])</calculatedColumnFormula>
    </tableColumn>
    <tableColumn id="3" name="ps" dataDxfId="66">
      <calculatedColumnFormula>1.36*Table15[[#This Row],[rpm]]*Table15[[#This Row],[motor]]/9550</calculatedColumnFormula>
    </tableColumn>
    <tableColumn id="13" name="psEco" dataDxfId="65">
      <calculatedColumnFormula>1.36*Table15[[#This Row],[rpm]]*Table15[[#This Row],[motorEco]]/9550</calculatedColumnFormula>
    </tableColumn>
    <tableColumn id="10" name="fuelUsageRatio" dataDxfId="6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6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2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1">
      <calculatedColumnFormula>(1-(1-Table15[[#This Row],[rpm]]/Table36[idleRpm])^2)*Table7[idleT]</calculatedColumnFormula>
    </tableColumn>
    <tableColumn id="18" name="t2" dataDxfId="60">
      <calculatedColumnFormula>MAX(0,(1-Table7[f1]*(Table36[maxTRpm1]-Table15[[#This Row],[rpm]])^2)*Table36[maxT])</calculatedColumnFormula>
    </tableColumn>
    <tableColumn id="19" name="t3" dataDxfId="5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8">
      <calculatedColumnFormula>MAX(0,(Table36[maxPS]-Table7[f4]*(Table15[[#This Row],[rpm]]-Table36[maxPRpm])^2)/1.36*9550/MAX(1,Table15[[#This Row],[rpm]]))</calculatedColumnFormula>
    </tableColumn>
    <tableColumn id="17" name="t5" dataDxfId="5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6">
      <calculatedColumnFormula>(1-(1-Table15[[#This Row],[rpm]]/Table36[idleRpm])^2)*Table7[idleTEco]</calculatedColumnFormula>
    </tableColumn>
    <tableColumn id="22" name="t2E" dataDxfId="55">
      <calculatedColumnFormula>MAX(0,(1-Table7[f1]*(Table36[maxTRpm1]-Table15[[#This Row],[rpm]])^2)*Table36[maxTEco])</calculatedColumnFormula>
    </tableColumn>
    <tableColumn id="23" name="t3E" dataDxfId="5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3">
      <calculatedColumnFormula>MAX(0,(Table36[maxPSEco]-Table7[f4Eco]*(Table15[[#This Row],[rpm]]-Table36[maxPRpm])^2)/1.36*9550/MAX(1,Table15[[#This Row],[rpm]]))</calculatedColumnFormula>
    </tableColumn>
    <tableColumn id="25" name="t5E" dataDxfId="52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1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50"/>
    <tableColumn id="14" name="maxPS" dataDxfId="49"/>
    <tableColumn id="19" name="maxPSEco" dataDxfId="48">
      <calculatedColumnFormula>Table36[maxPS]*Table36[maxPsEcoRate]</calculatedColumnFormula>
    </tableColumn>
    <tableColumn id="2" name="ratedRpm"/>
    <tableColumn id="3" name="PS"/>
    <tableColumn id="20" name="PSEco" dataDxfId="47">
      <calculatedColumnFormula>Table36[PS]*Table36[PSEcoRate]</calculatedColumnFormula>
    </tableColumn>
    <tableColumn id="12" name="maxTRpm1" dataDxfId="46"/>
    <tableColumn id="4" name="maxTRpm" dataDxfId="45"/>
    <tableColumn id="5" name="maxT" dataDxfId="44"/>
    <tableColumn id="21" name="maxTEco" dataDxfId="43">
      <calculatedColumnFormula>Table36[maxT]*Table36[NmEcoRate]</calculatedColumnFormula>
    </tableColumn>
    <tableColumn id="6" name="idleRpm"/>
    <tableColumn id="7" name="idleRatio" dataCellStyle="Percent"/>
    <tableColumn id="11" name="fadeOut" dataDxfId="42"/>
    <tableColumn id="15" name="linearDown" dataDxfId="41"/>
    <tableColumn id="25" name="fadeOutExp" dataDxfId="40"/>
    <tableColumn id="22" name="Efficiency" dataDxfId="39"/>
    <tableColumn id="16" name="Factor" dataDxfId="38"/>
    <tableColumn id="13" name="fuelMinRate" dataDxfId="37"/>
    <tableColumn id="18" name="fuelRatedRate" dataDxfId="36">
      <calculatedColumnFormula>Table36[fuelMinRate]/0.9</calculatedColumnFormula>
    </tableColumn>
    <tableColumn id="9" name="fuelMinRpm" dataDxfId="35">
      <calculatedColumnFormula>ROUND(MIN(0.6*Table36[idleRpm]+0.4*Table36[ratedRpm],0.5*Table36[maxTRpm1]+0.5*Table36[maxTRpm]),-1)</calculatedColumnFormula>
    </tableColumn>
    <tableColumn id="17" name="fuelIdleRate" dataDxfId="34">
      <calculatedColumnFormula>0.94*Table36[fuelRatedRate]</calculatedColumnFormula>
    </tableColumn>
    <tableColumn id="1" name="normRpm" dataDxfId="33">
      <calculatedColumnFormula>ROUND(Table36[ratedRpm]+0.49*Table36[fadeOut],-2)</calculatedColumnFormula>
    </tableColumn>
    <tableColumn id="8" name="PSEcoRate" dataDxfId="32"/>
    <tableColumn id="23" name="NmEcoRate"/>
    <tableColumn id="24" name="maxPsEcoRate" dataDxfId="31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V4" totalsRowShown="0" headerRowDxfId="30" dataDxfId="29">
  <tableColumns count="22">
    <tableColumn id="1" name="f1" dataDxfId="28">
      <calculatedColumnFormula>(1-Table36[idleRatio])/((Table36[maxTRpm1]-Table36[idleRpm])^2)</calculatedColumnFormula>
    </tableColumn>
    <tableColumn id="2" name="f2" dataDxfId="27">
      <calculatedColumnFormula>(Table36[maxT]-Table7[Nm])/Table36[maxT]/(Table36[maxPRpm]-Table36[maxTRpm])</calculatedColumnFormula>
    </tableColumn>
    <tableColumn id="5" name="f3" dataDxfId="26">
      <calculatedColumnFormula>(Table36[maxT]-Table7[Nm])/Table36[maxT]/(Table36[maxPRpm]-Table36[maxTRpm])^2</calculatedColumnFormula>
    </tableColumn>
    <tableColumn id="6" name="f4" dataDxfId="25">
      <calculatedColumnFormula>(Table36[maxPS]-Table36[PS])/MAX(1,Table36[ratedRpm]-Table36[maxPRpm])^2</calculatedColumnFormula>
    </tableColumn>
    <tableColumn id="3" name="Nm" dataDxfId="24">
      <calculatedColumnFormula>Table36[maxPS]/1.36*9550/Table36[maxPRpm]</calculatedColumnFormula>
    </tableColumn>
    <tableColumn id="4" name="Nm2" dataDxfId="23">
      <calculatedColumnFormula>Table36[PS]/1.36*9550/Table36[ratedRpm]</calculatedColumnFormula>
    </tableColumn>
    <tableColumn id="7" name="Anfahrmoment" dataDxfId="22" dataCellStyle="Percent">
      <calculatedColumnFormula>Table7[Nm1000]/Table7[Nm2Eco]</calculatedColumnFormula>
    </tableColumn>
    <tableColumn id="17" name="AnstiegE" dataDxfId="21" dataCellStyle="Percent">
      <calculatedColumnFormula>Table36[maxTEco]/Table7[NmEco]-1</calculatedColumnFormula>
    </tableColumn>
    <tableColumn id="14" name="Anstieg" dataDxfId="20" dataCellStyle="Percent">
      <calculatedColumnFormula>Table36[maxT]/Table7[Nm]-1</calculatedColumnFormula>
    </tableColumn>
    <tableColumn id="15" name="Abfall" dataDxfId="19" dataCellStyle="Percent">
      <calculatedColumnFormula>1-Table36[maxTRpm]/Table36[ratedRpm]</calculatedColumnFormula>
    </tableColumn>
    <tableColumn id="20" name="max kW" dataDxfId="18" dataCellStyle="Percent">
      <calculatedColumnFormula>Table36[maxPS]/1.36</calculatedColumnFormula>
    </tableColumn>
    <tableColumn id="18" name="rated kW" dataDxfId="17" dataCellStyle="Percent">
      <calculatedColumnFormula>Table36[PS]/1.36</calculatedColumnFormula>
    </tableColumn>
    <tableColumn id="23" name="g/kWh" dataDxfId="16" dataCellStyle="Percent">
      <calculatedColumnFormula>Table36[fuelRatedRate]*1.1</calculatedColumnFormula>
    </tableColumn>
    <tableColumn id="16" name="Nm1000" dataDxfId="15" dataCellStyle="Percent">
      <calculatedColumnFormula>(1-Table7[f1]*(Table36[maxTRpm1]-1000)^2)*Table36[maxTEco]</calculatedColumnFormula>
    </tableColumn>
    <tableColumn id="8" name="NmEco" dataDxfId="14">
      <calculatedColumnFormula>Table36[maxPSEco]/1.36*9550/Table36[maxPRpm]</calculatedColumnFormula>
    </tableColumn>
    <tableColumn id="9" name="Nm2Eco" dataDxfId="13">
      <calculatedColumnFormula>Table36[PSEco]/1.36*9550/Table36[ratedRpm]</calculatedColumnFormula>
    </tableColumn>
    <tableColumn id="12" name="f2Eco" dataDxfId="12">
      <calculatedColumnFormula>(Table36[maxTEco]-Table7[NmEco])/Table36[maxTEco]/(Table36[maxPRpm]-Table36[maxTRpm])</calculatedColumnFormula>
    </tableColumn>
    <tableColumn id="10" name="f3Eco" dataDxfId="11">
      <calculatedColumnFormula>(Table36[maxTEco]-Table7[NmEco])/Table36[maxTEco]/(Table36[maxPRpm]-Table36[maxTRpm])^2</calculatedColumnFormula>
    </tableColumn>
    <tableColumn id="11" name="f4Eco" dataDxfId="10">
      <calculatedColumnFormula>(Table36[maxPSEco]-Table36[PSEco])/MAX(1,Table36[ratedRpm]-Table36[maxPRpm])^2</calculatedColumnFormula>
    </tableColumn>
    <tableColumn id="13" name="idleT" dataDxfId="9">
      <calculatedColumnFormula>(1-Table7[f1]*(Table36[maxTRpm1]-Table36[idleRpm])^2)*Table36[maxT]</calculatedColumnFormula>
    </tableColumn>
    <tableColumn id="19" name="idleTEco" dataDxfId="8">
      <calculatedColumnFormula>(1-Table7[f1]*(Table36[maxTRpm1]-Table36[idleRpm])^2)*Table36[maxTEco]</calculatedColumnFormula>
    </tableColumn>
    <tableColumn id="21" name="xmlComment" dataDxfId="7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6">
      <calculatedColumnFormula>A2*C2/9550</calculatedColumnFormula>
    </tableColumn>
    <tableColumn id="3" name="ps" dataDxfId="5">
      <calculatedColumnFormula>Table1[[#This Row],[kw_pto]]*1.36/0.94</calculatedColumnFormula>
    </tableColumn>
    <tableColumn id="4" name="motor"/>
    <tableColumn id="5" name="xml" dataDxfId="4">
      <calculatedColumnFormula>CONCATENATE("&lt;torque rpm=""",Table1[[#This Row],[rpm]],""" motorTorque=""",ROUND(Table1[[#This Row],[motor]],0),"""/&gt;")</calculatedColumnFormula>
    </tableColumn>
    <tableColumn id="8" name="xml2" dataDxfId="3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2">
      <calculatedColumnFormula>A2*C2/9550</calculatedColumnFormula>
    </tableColumn>
    <tableColumn id="3" name="ps" dataDxfId="1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0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workbookViewId="0">
      <selection activeCell="K35" sqref="K7:K35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2">
        <v>2300</v>
      </c>
      <c r="B2" s="13">
        <v>190</v>
      </c>
      <c r="C2" s="17">
        <f>Table36[maxPS]*Table36[maxPsEcoRate]</f>
        <v>190</v>
      </c>
      <c r="D2" s="7">
        <v>2350</v>
      </c>
      <c r="E2" s="8">
        <v>190</v>
      </c>
      <c r="F2" s="18">
        <f>Table36[PS]*Table36[PSEcoRate]</f>
        <v>190</v>
      </c>
      <c r="G2" s="12">
        <v>1200</v>
      </c>
      <c r="H2" s="13">
        <v>1200</v>
      </c>
      <c r="I2" s="13">
        <v>723</v>
      </c>
      <c r="J2" s="17">
        <f>Table36[maxT]*Table36[NmEcoRate]</f>
        <v>723</v>
      </c>
      <c r="K2" s="28">
        <v>1000</v>
      </c>
      <c r="L2" s="29">
        <v>0.95</v>
      </c>
      <c r="M2" s="30">
        <v>249</v>
      </c>
      <c r="N2" s="12">
        <v>0.5</v>
      </c>
      <c r="O2" s="13">
        <v>1.7</v>
      </c>
      <c r="P2" s="13">
        <v>0.94</v>
      </c>
      <c r="Q2" s="14">
        <v>1</v>
      </c>
      <c r="R2" s="27">
        <v>207</v>
      </c>
      <c r="S2" s="15">
        <f>Table36[fuelMinRate]/0.9</f>
        <v>230</v>
      </c>
      <c r="T2" s="16">
        <f>ROUND(MIN(0.6*Table36[idleRpm]+0.4*Table36[ratedRpm],0.5*Table36[maxTRpm1]+0.5*Table36[maxTRpm]),-1)</f>
        <v>1200</v>
      </c>
      <c r="U2" s="18">
        <f>0.94*Table36[fuelRatedRate]</f>
        <v>216.2</v>
      </c>
      <c r="V2" s="15">
        <f>ROUND(Table36[ratedRpm]+0.49*Table36[fadeOut],-2)</f>
        <v>2500</v>
      </c>
      <c r="W2" s="7">
        <v>1</v>
      </c>
      <c r="X2" s="9">
        <v>1</v>
      </c>
      <c r="Y2" s="25">
        <f>Table36[PSEcoRate]* (Table36[maxPRpm]-Table36[maxTRpm])/(Table36[ratedRpm]-Table36[maxTRpm]) + Table36[NmEcoRate]* (1- (Table36[maxPRpm]-Table36[maxTRpm])/(Table36[ratedRpm]-Table36[maxTRpm]))</f>
        <v>1</v>
      </c>
    </row>
    <row r="3" spans="1:25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70</v>
      </c>
      <c r="L3" s="23" t="s">
        <v>71</v>
      </c>
      <c r="M3" s="24" t="s">
        <v>69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</row>
    <row r="4" spans="1:25" ht="15.75" thickBot="1" x14ac:dyDescent="0.3">
      <c r="A4" s="11">
        <f>(1-Table36[idleRatio])/((Table36[maxTRpm1]-Table36[idleRpm])^2)</f>
        <v>1.2500000000000012E-6</v>
      </c>
      <c r="B4" s="11">
        <f>(Table36[maxT]-Table7[Nm])/Table36[maxT]/(Table36[maxPRpm]-Table36[maxTRpm])</f>
        <v>1.7970184810184401E-4</v>
      </c>
      <c r="C4" s="11">
        <f>(Table36[maxT]-Table7[Nm])/Table36[maxT]/(Table36[maxPRpm]-Table36[maxTRpm])^2</f>
        <v>1.6336531645622183E-7</v>
      </c>
      <c r="D4" s="11">
        <f>(Table36[maxPS]-Table36[PS])/MAX(1,Table36[ratedRpm]-Table36[maxPRpm])^2</f>
        <v>0</v>
      </c>
      <c r="E4" s="11">
        <f>Table36[maxPS]/1.36*9550/Table36[maxPRpm]</f>
        <v>580.08312020460346</v>
      </c>
      <c r="F4" s="11">
        <f>Table36[PS]/1.36*9550/Table36[ratedRpm]</f>
        <v>567.740926157697</v>
      </c>
      <c r="G4" s="21">
        <f>Table7[Nm1000]/Table7[Nm2Eco]</f>
        <v>1.2097947643979061</v>
      </c>
      <c r="H4" s="35">
        <f>Table36[maxTEco]/Table7[NmEco]-1</f>
        <v>0.24637310553871616</v>
      </c>
      <c r="I4" s="35">
        <f>Table36[maxT]/Table7[Nm]-1</f>
        <v>0.24637310553871616</v>
      </c>
      <c r="J4" s="35">
        <f>1-Table36[maxTRpm]/Table36[ratedRpm]</f>
        <v>0.48936170212765961</v>
      </c>
      <c r="K4" s="31">
        <f>Table36[maxPS]/1.36</f>
        <v>139.70588235294116</v>
      </c>
      <c r="L4" s="32">
        <f>Table36[PS]/1.36</f>
        <v>139.70588235294116</v>
      </c>
      <c r="M4" s="33">
        <f>Table36[fuelRatedRate]*1.1</f>
        <v>253.00000000000003</v>
      </c>
      <c r="N4" s="11">
        <f>(1-Table7[f1]*(Table36[maxTRpm1]-1000)^2)*Table36[maxTEco]</f>
        <v>686.85</v>
      </c>
      <c r="O4" s="11">
        <f>Table36[maxPSEco]/1.36*9550/Table36[maxPRpm]</f>
        <v>580.08312020460346</v>
      </c>
      <c r="P4" s="11">
        <f>Table36[PSEco]/1.36*9550/Table36[ratedRpm]</f>
        <v>567.740926157697</v>
      </c>
      <c r="Q4" s="11">
        <f>(Table36[maxTEco]-Table7[NmEco])/Table36[maxTEco]/(Table36[maxPRpm]-Table36[maxTRpm])</f>
        <v>1.7970184810184401E-4</v>
      </c>
      <c r="R4" s="11">
        <f>(Table36[maxTEco]-Table7[NmEco])/Table36[maxTEco]/(Table36[maxPRpm]-Table36[maxTRpm])^2</f>
        <v>1.6336531645622183E-7</v>
      </c>
      <c r="S4" s="11">
        <f>(Table36[maxPSEco]-Table36[PSEco])/MAX(1,Table36[ratedRpm]-Table36[maxPRpm])^2</f>
        <v>0</v>
      </c>
      <c r="T4" s="11">
        <f>(1-Table7[f1]*(Table36[maxTRpm1]-Table36[idleRpm])^2)*Table36[maxT]</f>
        <v>686.85</v>
      </c>
      <c r="U4" s="11">
        <f>(1-Table7[f1]*(Table36[maxTRpm1]-Table36[idleRpm])^2)*Table36[maxTEco]</f>
        <v>686.85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&lt;!-- 2300: 190(190) | 2350: 190(190) | 1200..1200: 723(723) | 95 | 0.5 | 249 | 1.7 | 2500 | 1200: 207 --&gt;</v>
      </c>
    </row>
    <row r="6" spans="1:25" s="4" customFormat="1" ht="62.2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6">
        <f>1.36*Table15[[#This Row],[rpm]]*Table15[[#This Row],[motor]]/9550</f>
        <v>0</v>
      </c>
      <c r="I7" s="26">
        <f>1.36*Table15[[#This Row],[rpm]]*Table15[[#This Row],[motorEco]]/9550</f>
        <v>0</v>
      </c>
      <c r="J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538.19999999999959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&lt;!-- 2300: 190(190) | 2350: 190(190) | 1200..1200: 723(723) | 95 | 0.5 | 249 | 1.7 | 2500 | 1200: 207 --&gt;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&lt;!-- 2300: 190(190) | 2350: 190(190) | 1200..1200: 723(723) | 95 | 0.5 | 249 | 1.7 | 2500 | 1200: 207 --&gt;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0</v>
      </c>
      <c r="O7" s="3">
        <f>MAX(0,(Table36[linearDown]*(1-Table7[f2]*(Table15[[#This Row],[rpm]]-Table36[maxTRpm]))+(1-Table36[linearDown])*(1-Table7[f3]*(Table15[[#This Row],[rpm]]-Table36[maxTRpm])^2))*Table36[maxT])</f>
        <v>715.91321257212917</v>
      </c>
      <c r="P7" s="3">
        <f>MAX(0,(Table36[maxPS]-Table7[f4]*(Table15[[#This Row],[rpm]]-Table36[maxPRpm])^2)/1.36*9550/MAX(1,Table15[[#This Row],[rpm]]))</f>
        <v>1334191.176470588</v>
      </c>
      <c r="Q7" s="3">
        <f>MAX(0,Table7[Nm2]*MIN(Table36[ratedRpm]/MAX(1,Table15[[#This Row],[rpm]]),1-(MAX(0,Table15[[#This Row],[rpm]]-Table36[ratedRpm])/Table36[fadeOut])^Table36[fadeOutExp]))</f>
        <v>567.740926157697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0</v>
      </c>
      <c r="T7" s="3">
        <f>MAX(0,(Table36[linearDown]*(1-Table7[f2Eco]*(Table15[[#This Row],[rpm]]-Table36[maxTRpm]))+(1-Table36[linearDown])*(1-Table7[f3Eco]*(Table15[[#This Row],[rpm]]-Table36[maxTRpm])^2))*Table36[maxTEco])</f>
        <v>715.91321257212917</v>
      </c>
      <c r="U7" s="3">
        <f>MAX(0,(Table36[maxPSEco]-Table7[f4Eco]*(Table15[[#This Row],[rpm]]-Table36[maxPRpm])^2)/1.36*9550/MAX(1,Table15[[#This Row],[rpm]]))</f>
        <v>1334191.176470588</v>
      </c>
      <c r="V7" s="3">
        <f>MAX(0,Table7[Nm2Eco]*MIN(Table36[ratedRpm]/MAX(1,Table15[[#This Row],[rpm]]),1-(MAX(0,Table15[[#This Row],[rpm]]-Table36[ratedRpm])/Table36[fadeOut])^Table36[fadeOutExp]))</f>
        <v>567.740926157697</v>
      </c>
    </row>
    <row r="8" spans="1:25" x14ac:dyDescent="0.25">
      <c r="A8" s="3">
        <v>350</v>
      </c>
      <c r="B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282.34053749999975</v>
      </c>
      <c r="C8" s="20"/>
      <c r="D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282.34053749999975</v>
      </c>
      <c r="E8" s="20"/>
      <c r="F8" s="3">
        <f>Table36[Factor]*IF(Table15[[#This Row],[manualData]]&gt;0,Table15[[#This Row],[manualData]],Table15[[#This Row],[rawData]])</f>
        <v>282.34053749999975</v>
      </c>
      <c r="G8" s="3">
        <f>Table36[Factor]*IF(Table15[[#This Row],[manDataEco]]&gt;0,Table15[[#This Row],[manDataEco]],Table15[[#This Row],[rawDataEco]])</f>
        <v>282.34053749999975</v>
      </c>
      <c r="H8" s="26">
        <f>1.36*Table15[[#This Row],[rpm]]*Table15[[#This Row],[motor]]/9550</f>
        <v>14.072680193717266</v>
      </c>
      <c r="I8" s="26">
        <f>1.36*Table15[[#This Row],[rpm]]*Table15[[#This Row],[motorEco]]/9550</f>
        <v>14.072680193717266</v>
      </c>
      <c r="J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373.17499999999978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motorTorque="282" fuelUsageRatio="373.2"/&gt;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normRpm="0.14" torque="0.391"/&gt;</v>
      </c>
      <c r="M8" s="3">
        <f>(1-(1-Table15[[#This Row],[rpm]]/Table36[idleRpm])^2)*Table7[idleT]</f>
        <v>396.65587499999992</v>
      </c>
      <c r="N8" s="3">
        <f>MAX(0,(1-Table7[f1]*(Table36[maxTRpm1]-Table15[[#This Row],[rpm]])^2)*Table36[maxT])</f>
        <v>70.040624999999395</v>
      </c>
      <c r="O8" s="3">
        <f>MAX(0,(Table36[linearDown]*(1-Table7[f2]*(Table15[[#This Row],[rpm]]-Table36[maxTRpm]))+(1-Table36[linearDown])*(1-Table7[f3]*(Table15[[#This Row],[rpm]]-Table36[maxTRpm])^2))*Table36[maxT])</f>
        <v>735.54951940352146</v>
      </c>
      <c r="P8" s="3">
        <f>MAX(0,(Table36[maxPS]-Table7[f4]*(Table15[[#This Row],[rpm]]-Table36[maxPRpm])^2)/1.36*9550/MAX(1,Table15[[#This Row],[rpm]]))</f>
        <v>3811.9747899159656</v>
      </c>
      <c r="Q8" s="3">
        <f>MAX(0,Table7[Nm2]*MIN(Table36[ratedRpm]/MAX(1,Table15[[#This Row],[rpm]]),1-(MAX(0,Table15[[#This Row],[rpm]]-Table36[ratedRpm])/Table36[fadeOut])^Table36[fadeOutExp]))</f>
        <v>567.740926157697</v>
      </c>
      <c r="R8" s="3">
        <f>(1-(1-Table15[[#This Row],[rpm]]/Table36[idleRpm])^2)*Table7[idleTEco]</f>
        <v>396.65587499999992</v>
      </c>
      <c r="S8" s="3">
        <f>MAX(0,(1-Table7[f1]*(Table36[maxTRpm1]-Table15[[#This Row],[rpm]])^2)*Table36[maxTEco])</f>
        <v>70.040624999999395</v>
      </c>
      <c r="T8" s="3">
        <f>MAX(0,(Table36[linearDown]*(1-Table7[f2Eco]*(Table15[[#This Row],[rpm]]-Table36[maxTRpm]))+(1-Table36[linearDown])*(1-Table7[f3Eco]*(Table15[[#This Row],[rpm]]-Table36[maxTRpm])^2))*Table36[maxTEco])</f>
        <v>735.54951940352146</v>
      </c>
      <c r="U8" s="3">
        <f>MAX(0,(Table36[maxPSEco]-Table7[f4Eco]*(Table15[[#This Row],[rpm]]-Table36[maxPRpm])^2)/1.36*9550/MAX(1,Table15[[#This Row],[rpm]]))</f>
        <v>3811.9747899159656</v>
      </c>
      <c r="V8" s="3">
        <f>MAX(0,Table7[Nm2Eco]*MIN(Table36[ratedRpm]/MAX(1,Table15[[#This Row],[rpm]]),1-(MAX(0,Table15[[#This Row],[rpm]]-Table36[ratedRpm])/Table36[fadeOut])^Table36[fadeOutExp]))</f>
        <v>567.740926157697</v>
      </c>
    </row>
    <row r="9" spans="1:25" x14ac:dyDescent="0.25">
      <c r="A9" s="3">
        <v>700</v>
      </c>
      <c r="B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535.45379999999989</v>
      </c>
      <c r="C9" s="20"/>
      <c r="D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535.45379999999989</v>
      </c>
      <c r="E9" s="20"/>
      <c r="F9" s="3">
        <f>Table36[Factor]*IF(Table15[[#This Row],[manualData]]&gt;0,Table15[[#This Row],[manualData]],Table15[[#This Row],[rawData]])</f>
        <v>535.45379999999989</v>
      </c>
      <c r="G9" s="3">
        <f>Table36[Factor]*IF(Table15[[#This Row],[manDataEco]]&gt;0,Table15[[#This Row],[manDataEco]],Table15[[#This Row],[rawDataEco]])</f>
        <v>535.45379999999989</v>
      </c>
      <c r="H9" s="26">
        <f>1.36*Table15[[#This Row],[rpm]]*Table15[[#This Row],[motor]]/9550</f>
        <v>53.377174617801046</v>
      </c>
      <c r="I9" s="26">
        <f>1.36*Table15[[#This Row],[rpm]]*Table15[[#This Row],[motorEco]]/9550</f>
        <v>53.377174617801046</v>
      </c>
      <c r="J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264.49999999999994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motorTorque="535" fuelUsageRatio="264.5"/&gt;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normRpm="0.28" torque="0.741"/&gt;</v>
      </c>
      <c r="M9" s="3">
        <f>(1-(1-Table15[[#This Row],[rpm]]/Table36[idleRpm])^2)*Table7[idleT]</f>
        <v>625.0335</v>
      </c>
      <c r="N9" s="3">
        <f>MAX(0,(1-Table7[f1]*(Table36[maxTRpm1]-Table15[[#This Row],[rpm]])^2)*Table36[maxT])</f>
        <v>497.06249999999983</v>
      </c>
      <c r="O9" s="3">
        <f>MAX(0,(Table36[linearDown]*(1-Table7[f2]*(Table15[[#This Row],[rpm]]-Table36[maxTRpm]))+(1-Table36[linearDown])*(1-Table7[f3]*(Table15[[#This Row],[rpm]]-Table36[maxTRpm])^2))*Table36[maxT])</f>
        <v>740.71696856967731</v>
      </c>
      <c r="P9" s="3">
        <f>MAX(0,(Table36[maxPS]-Table7[f4]*(Table15[[#This Row],[rpm]]-Table36[maxPRpm])^2)/1.36*9550/MAX(1,Table15[[#This Row],[rpm]]))</f>
        <v>1905.9873949579828</v>
      </c>
      <c r="Q9" s="3">
        <f>MAX(0,Table7[Nm2]*MIN(Table36[ratedRpm]/MAX(1,Table15[[#This Row],[rpm]]),1-(MAX(0,Table15[[#This Row],[rpm]]-Table36[ratedRpm])/Table36[fadeOut])^Table36[fadeOutExp]))</f>
        <v>567.740926157697</v>
      </c>
      <c r="R9" s="3">
        <f>(1-(1-Table15[[#This Row],[rpm]]/Table36[idleRpm])^2)*Table7[idleTEco]</f>
        <v>625.0335</v>
      </c>
      <c r="S9" s="3">
        <f>MAX(0,(1-Table7[f1]*(Table36[maxTRpm1]-Table15[[#This Row],[rpm]])^2)*Table36[maxTEco])</f>
        <v>497.06249999999983</v>
      </c>
      <c r="T9" s="3">
        <f>MAX(0,(Table36[linearDown]*(1-Table7[f2Eco]*(Table15[[#This Row],[rpm]]-Table36[maxTRpm]))+(1-Table36[linearDown])*(1-Table7[f3Eco]*(Table15[[#This Row],[rpm]]-Table36[maxTRpm])^2))*Table36[maxTEco])</f>
        <v>740.71696856967731</v>
      </c>
      <c r="U9" s="3">
        <f>MAX(0,(Table36[maxPSEco]-Table7[f4Eco]*(Table15[[#This Row],[rpm]]-Table36[maxPRpm])^2)/1.36*9550/MAX(1,Table15[[#This Row],[rpm]]))</f>
        <v>1905.9873949579828</v>
      </c>
      <c r="V9" s="3">
        <f>MAX(0,Table7[Nm2Eco]*MIN(Table36[ratedRpm]/MAX(1,Table15[[#This Row],[rpm]]),1-(MAX(0,Table15[[#This Row],[rpm]]-Table36[ratedRpm])/Table36[fadeOut])^Table36[fadeOutExp]))</f>
        <v>567.740926157697</v>
      </c>
    </row>
    <row r="10" spans="1:25" x14ac:dyDescent="0.25">
      <c r="A10" s="3">
        <v>900</v>
      </c>
      <c r="B1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645.49440000000004</v>
      </c>
      <c r="C10" s="20"/>
      <c r="D1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645.49440000000004</v>
      </c>
      <c r="E10" s="20"/>
      <c r="F10" s="3">
        <f>Table36[Factor]*IF(Table15[[#This Row],[manualData]]&gt;0,Table15[[#This Row],[manualData]],Table15[[#This Row],[rawData]])</f>
        <v>645.49440000000004</v>
      </c>
      <c r="G10" s="3">
        <f>Table36[Factor]*IF(Table15[[#This Row],[manDataEco]]&gt;0,Table15[[#This Row],[manDataEco]],Table15[[#This Row],[rawDataEco]])</f>
        <v>645.49440000000004</v>
      </c>
      <c r="H10" s="26">
        <f>1.36*Table15[[#This Row],[rpm]]*Table15[[#This Row],[motor]]/9550</f>
        <v>82.731428858638751</v>
      </c>
      <c r="I10" s="26">
        <f>1.36*Table15[[#This Row],[rpm]]*Table15[[#This Row],[motorEco]]/9550</f>
        <v>82.731428858638751</v>
      </c>
      <c r="J1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227.7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motorTorque="645" fuelUsageRatio="227.7"/&gt;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normRpm="0.36" torque="0.893"/&gt;</v>
      </c>
      <c r="M10" s="3">
        <f>(1-(1-Table15[[#This Row],[rpm]]/Table36[idleRpm])^2)*Table7[idleT]</f>
        <v>679.98149999999998</v>
      </c>
      <c r="N10" s="3">
        <f>MAX(0,(1-Table7[f1]*(Table36[maxTRpm1]-Table15[[#This Row],[rpm]])^2)*Table36[maxT])</f>
        <v>641.66250000000002</v>
      </c>
      <c r="O10" s="3">
        <f>MAX(0,(Table36[linearDown]*(1-Table7[f2]*(Table15[[#This Row],[rpm]]-Table36[maxTRpm]))+(1-Table36[linearDown])*(1-Table7[f3]*(Table15[[#This Row],[rpm]]-Table36[maxTRpm])^2))*Table36[maxT])</f>
        <v>737.17357485574178</v>
      </c>
      <c r="P10" s="3">
        <f>MAX(0,(Table36[maxPS]-Table7[f4]*(Table15[[#This Row],[rpm]]-Table36[maxPRpm])^2)/1.36*9550/MAX(1,Table15[[#This Row],[rpm]]))</f>
        <v>1482.4346405228755</v>
      </c>
      <c r="Q10" s="3">
        <f>MAX(0,Table7[Nm2]*MIN(Table36[ratedRpm]/MAX(1,Table15[[#This Row],[rpm]]),1-(MAX(0,Table15[[#This Row],[rpm]]-Table36[ratedRpm])/Table36[fadeOut])^Table36[fadeOutExp]))</f>
        <v>567.740926157697</v>
      </c>
      <c r="R10" s="3">
        <f>(1-(1-Table15[[#This Row],[rpm]]/Table36[idleRpm])^2)*Table7[idleTEco]</f>
        <v>679.98149999999998</v>
      </c>
      <c r="S10" s="3">
        <f>MAX(0,(1-Table7[f1]*(Table36[maxTRpm1]-Table15[[#This Row],[rpm]])^2)*Table36[maxTEco])</f>
        <v>641.66250000000002</v>
      </c>
      <c r="T10" s="3">
        <f>MAX(0,(Table36[linearDown]*(1-Table7[f2Eco]*(Table15[[#This Row],[rpm]]-Table36[maxTRpm]))+(1-Table36[linearDown])*(1-Table7[f3Eco]*(Table15[[#This Row],[rpm]]-Table36[maxTRpm])^2))*Table36[maxTEco])</f>
        <v>737.17357485574178</v>
      </c>
      <c r="U10" s="3">
        <f>MAX(0,(Table36[maxPSEco]-Table7[f4Eco]*(Table15[[#This Row],[rpm]]-Table36[maxPRpm])^2)/1.36*9550/MAX(1,Table15[[#This Row],[rpm]]))</f>
        <v>1482.4346405228755</v>
      </c>
      <c r="V10" s="3">
        <f>MAX(0,Table7[Nm2Eco]*MIN(Table36[ratedRpm]/MAX(1,Table15[[#This Row],[rpm]]),1-(MAX(0,Table15[[#This Row],[rpm]]-Table36[ratedRpm])/Table36[fadeOut])^Table36[fadeOutExp]))</f>
        <v>567.740926157697</v>
      </c>
    </row>
    <row r="11" spans="1:25" x14ac:dyDescent="0.25">
      <c r="A11" s="3">
        <v>1000</v>
      </c>
      <c r="B1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686.85</v>
      </c>
      <c r="C11" s="20"/>
      <c r="D1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686.85</v>
      </c>
      <c r="E11" s="20"/>
      <c r="F11" s="3">
        <f>Table36[Factor]*IF(Table15[[#This Row],[manualData]]&gt;0,Table15[[#This Row],[manualData]],Table15[[#This Row],[rawData]])</f>
        <v>686.85</v>
      </c>
      <c r="G11" s="3">
        <f>Table36[Factor]*IF(Table15[[#This Row],[manDataEco]]&gt;0,Table15[[#This Row],[manDataEco]],Table15[[#This Row],[rawDataEco]])</f>
        <v>686.85</v>
      </c>
      <c r="H11" s="26">
        <f>1.36*Table15[[#This Row],[rpm]]*Table15[[#This Row],[motor]]/9550</f>
        <v>97.813193717277485</v>
      </c>
      <c r="I11" s="26">
        <f>1.36*Table15[[#This Row],[rpm]]*Table15[[#This Row],[motorEco]]/9550</f>
        <v>97.813193717277485</v>
      </c>
      <c r="J1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216.2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motorTorque="687" fuelUsageRatio="216.2"/&gt;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normRpm="0.4" torque="0.95"/&gt;</v>
      </c>
      <c r="M11" s="3">
        <f>(1-(1-Table15[[#This Row],[rpm]]/Table36[idleRpm])^2)*Table7[idleT]</f>
        <v>686.85</v>
      </c>
      <c r="N11" s="3">
        <f>MAX(0,(1-Table7[f1]*(Table36[maxTRpm1]-Table15[[#This Row],[rpm]])^2)*Table36[maxT])</f>
        <v>686.85</v>
      </c>
      <c r="O11" s="3">
        <f>MAX(0,(Table36[linearDown]*(1-Table7[f2]*(Table15[[#This Row],[rpm]]-Table36[maxTRpm]))+(1-Table36[linearDown])*(1-Table7[f3]*(Table15[[#This Row],[rpm]]-Table36[maxTRpm])^2))*Table36[maxT])</f>
        <v>733.63018114180647</v>
      </c>
      <c r="P11" s="3">
        <f>MAX(0,(Table36[maxPS]-Table7[f4]*(Table15[[#This Row],[rpm]]-Table36[maxPRpm])^2)/1.36*9550/MAX(1,Table15[[#This Row],[rpm]]))</f>
        <v>1334.1911764705881</v>
      </c>
      <c r="Q11" s="3">
        <f>MAX(0,Table7[Nm2]*MIN(Table36[ratedRpm]/MAX(1,Table15[[#This Row],[rpm]]),1-(MAX(0,Table15[[#This Row],[rpm]]-Table36[ratedRpm])/Table36[fadeOut])^Table36[fadeOutExp]))</f>
        <v>567.740926157697</v>
      </c>
      <c r="R11" s="3">
        <f>(1-(1-Table15[[#This Row],[rpm]]/Table36[idleRpm])^2)*Table7[idleTEco]</f>
        <v>686.85</v>
      </c>
      <c r="S11" s="3">
        <f>MAX(0,(1-Table7[f1]*(Table36[maxTRpm1]-Table15[[#This Row],[rpm]])^2)*Table36[maxTEco])</f>
        <v>686.85</v>
      </c>
      <c r="T11" s="3">
        <f>MAX(0,(Table36[linearDown]*(1-Table7[f2Eco]*(Table15[[#This Row],[rpm]]-Table36[maxTRpm]))+(1-Table36[linearDown])*(1-Table7[f3Eco]*(Table15[[#This Row],[rpm]]-Table36[maxTRpm])^2))*Table36[maxTEco])</f>
        <v>733.63018114180647</v>
      </c>
      <c r="U11" s="3">
        <f>MAX(0,(Table36[maxPSEco]-Table7[f4Eco]*(Table15[[#This Row],[rpm]]-Table36[maxPRpm])^2)/1.36*9550/MAX(1,Table15[[#This Row],[rpm]]))</f>
        <v>1334.1911764705881</v>
      </c>
      <c r="V11" s="3">
        <f>MAX(0,Table7[Nm2Eco]*MIN(Table36[ratedRpm]/MAX(1,Table15[[#This Row],[rpm]]),1-(MAX(0,Table15[[#This Row],[rpm]]-Table36[ratedRpm])/Table36[fadeOut])^Table36[fadeOutExp]))</f>
        <v>567.740926157697</v>
      </c>
    </row>
    <row r="12" spans="1:25" x14ac:dyDescent="0.25">
      <c r="A12" s="3">
        <v>1100</v>
      </c>
      <c r="B1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713.96249999999998</v>
      </c>
      <c r="C12" s="20"/>
      <c r="D1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713.96249999999998</v>
      </c>
      <c r="E12" s="20"/>
      <c r="F12" s="3">
        <f>Table36[Factor]*IF(Table15[[#This Row],[manualData]]&gt;0,Table15[[#This Row],[manualData]],Table15[[#This Row],[rawData]])</f>
        <v>713.96249999999998</v>
      </c>
      <c r="G12" s="3">
        <f>Table36[Factor]*IF(Table15[[#This Row],[manDataEco]]&gt;0,Table15[[#This Row],[manDataEco]],Table15[[#This Row],[rawDataEco]])</f>
        <v>713.96249999999998</v>
      </c>
      <c r="H12" s="26">
        <f>1.36*Table15[[#This Row],[rpm]]*Table15[[#This Row],[motor]]/9550</f>
        <v>111.84166492146596</v>
      </c>
      <c r="I12" s="26">
        <f>1.36*Table15[[#This Row],[rpm]]*Table15[[#This Row],[motorEco]]/9550</f>
        <v>111.84166492146596</v>
      </c>
      <c r="J1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209.3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motorTorque="714" fuelUsageRatio="209.3"/&gt;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normRpm="0.44" torque="0.988"/&gt;</v>
      </c>
      <c r="M12" s="3">
        <f>(1-(1-Table15[[#This Row],[rpm]]/Table36[idleRpm])^2)*Table7[idleT]</f>
        <v>679.98149999999998</v>
      </c>
      <c r="N12" s="3">
        <f>MAX(0,(1-Table7[f1]*(Table36[maxTRpm1]-Table15[[#This Row],[rpm]])^2)*Table36[maxT])</f>
        <v>713.96249999999998</v>
      </c>
      <c r="O12" s="3">
        <f>MAX(0,(Table36[linearDown]*(1-Table7[f2]*(Table15[[#This Row],[rpm]]-Table36[maxTRpm]))+(1-Table36[linearDown])*(1-Table7[f3]*(Table15[[#This Row],[rpm]]-Table36[maxTRpm])^2))*Table36[maxT])</f>
        <v>728.9056561898924</v>
      </c>
      <c r="P12" s="3">
        <f>MAX(0,(Table36[maxPS]-Table7[f4]*(Table15[[#This Row],[rpm]]-Table36[maxPRpm])^2)/1.36*9550/MAX(1,Table15[[#This Row],[rpm]]))</f>
        <v>1212.9010695187164</v>
      </c>
      <c r="Q12" s="3">
        <f>MAX(0,Table7[Nm2]*MIN(Table36[ratedRpm]/MAX(1,Table15[[#This Row],[rpm]]),1-(MAX(0,Table15[[#This Row],[rpm]]-Table36[ratedRpm])/Table36[fadeOut])^Table36[fadeOutExp]))</f>
        <v>567.740926157697</v>
      </c>
      <c r="R12" s="3">
        <f>(1-(1-Table15[[#This Row],[rpm]]/Table36[idleRpm])^2)*Table7[idleTEco]</f>
        <v>679.98149999999998</v>
      </c>
      <c r="S12" s="3">
        <f>MAX(0,(1-Table7[f1]*(Table36[maxTRpm1]-Table15[[#This Row],[rpm]])^2)*Table36[maxTEco])</f>
        <v>713.96249999999998</v>
      </c>
      <c r="T12" s="3">
        <f>MAX(0,(Table36[linearDown]*(1-Table7[f2Eco]*(Table15[[#This Row],[rpm]]-Table36[maxTRpm]))+(1-Table36[linearDown])*(1-Table7[f3Eco]*(Table15[[#This Row],[rpm]]-Table36[maxTRpm])^2))*Table36[maxTEco])</f>
        <v>728.9056561898924</v>
      </c>
      <c r="U12" s="3">
        <f>MAX(0,(Table36[maxPSEco]-Table7[f4Eco]*(Table15[[#This Row],[rpm]]-Table36[maxPRpm])^2)/1.36*9550/MAX(1,Table15[[#This Row],[rpm]]))</f>
        <v>1212.9010695187164</v>
      </c>
      <c r="V12" s="3">
        <f>MAX(0,Table7[Nm2Eco]*MIN(Table36[ratedRpm]/MAX(1,Table15[[#This Row],[rpm]]),1-(MAX(0,Table15[[#This Row],[rpm]]-Table36[ratedRpm])/Table36[fadeOut])^Table36[fadeOutExp]))</f>
        <v>567.740926157697</v>
      </c>
    </row>
    <row r="13" spans="1:25" x14ac:dyDescent="0.25">
      <c r="A13" s="3">
        <v>1200</v>
      </c>
      <c r="B1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723</v>
      </c>
      <c r="C13" s="20"/>
      <c r="D1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723</v>
      </c>
      <c r="E13" s="20"/>
      <c r="F13" s="3">
        <f>Table36[Factor]*IF(Table15[[#This Row],[manualData]]&gt;0,Table15[[#This Row],[manualData]],Table15[[#This Row],[rawData]])</f>
        <v>723</v>
      </c>
      <c r="G13" s="3">
        <f>Table36[Factor]*IF(Table15[[#This Row],[manDataEco]]&gt;0,Table15[[#This Row],[manDataEco]],Table15[[#This Row],[rawDataEco]])</f>
        <v>723</v>
      </c>
      <c r="H13" s="26">
        <f>1.36*Table15[[#This Row],[rpm]]*Table15[[#This Row],[motor]]/9550</f>
        <v>123.55350785340316</v>
      </c>
      <c r="I13" s="26">
        <f>1.36*Table15[[#This Row],[rpm]]*Table15[[#This Row],[motorEco]]/9550</f>
        <v>123.55350785340316</v>
      </c>
      <c r="J1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motorTorque="723" fuelUsageRatio="207"/&gt;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normRpm="0.48" torque="1"/&gt;</v>
      </c>
      <c r="M13" s="3">
        <f>(1-(1-Table15[[#This Row],[rpm]]/Table36[idleRpm])^2)*Table7[idleT]</f>
        <v>659.37599999999998</v>
      </c>
      <c r="N13" s="3">
        <f>MAX(0,(1-Table7[f1]*(Table36[maxTRpm1]-Table15[[#This Row],[rpm]])^2)*Table36[maxT])</f>
        <v>723</v>
      </c>
      <c r="O13" s="3">
        <f>MAX(0,(Table36[linearDown]*(1-Table7[f2]*(Table15[[#This Row],[rpm]]-Table36[maxTRpm]))+(1-Table36[linearDown])*(1-Table7[f3]*(Table15[[#This Row],[rpm]]-Table36[maxTRpm])^2))*Table36[maxT])</f>
        <v>723</v>
      </c>
      <c r="P13" s="3">
        <f>MAX(0,(Table36[maxPS]-Table7[f4]*(Table15[[#This Row],[rpm]]-Table36[maxPRpm])^2)/1.36*9550/MAX(1,Table15[[#This Row],[rpm]]))</f>
        <v>1111.8259803921567</v>
      </c>
      <c r="Q13" s="3">
        <f>MAX(0,Table7[Nm2]*MIN(Table36[ratedRpm]/MAX(1,Table15[[#This Row],[rpm]]),1-(MAX(0,Table15[[#This Row],[rpm]]-Table36[ratedRpm])/Table36[fadeOut])^Table36[fadeOutExp]))</f>
        <v>567.740926157697</v>
      </c>
      <c r="R13" s="3">
        <f>(1-(1-Table15[[#This Row],[rpm]]/Table36[idleRpm])^2)*Table7[idleTEco]</f>
        <v>659.37599999999998</v>
      </c>
      <c r="S13" s="3">
        <f>MAX(0,(1-Table7[f1]*(Table36[maxTRpm1]-Table15[[#This Row],[rpm]])^2)*Table36[maxTEco])</f>
        <v>723</v>
      </c>
      <c r="T13" s="3">
        <f>MAX(0,(Table36[linearDown]*(1-Table7[f2Eco]*(Table15[[#This Row],[rpm]]-Table36[maxTRpm]))+(1-Table36[linearDown])*(1-Table7[f3Eco]*(Table15[[#This Row],[rpm]]-Table36[maxTRpm])^2))*Table36[maxTEco])</f>
        <v>723</v>
      </c>
      <c r="U13" s="3">
        <f>MAX(0,(Table36[maxPSEco]-Table7[f4Eco]*(Table15[[#This Row],[rpm]]-Table36[maxPRpm])^2)/1.36*9550/MAX(1,Table15[[#This Row],[rpm]]))</f>
        <v>1111.8259803921567</v>
      </c>
      <c r="V13" s="3">
        <f>MAX(0,Table7[Nm2Eco]*MIN(Table36[ratedRpm]/MAX(1,Table15[[#This Row],[rpm]]),1-(MAX(0,Table15[[#This Row],[rpm]]-Table36[ratedRpm])/Table36[fadeOut])^Table36[fadeOutExp]))</f>
        <v>567.740926157697</v>
      </c>
    </row>
    <row r="14" spans="1:25" x14ac:dyDescent="0.25">
      <c r="A14" s="3">
        <v>1300</v>
      </c>
      <c r="B1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715.91321257212917</v>
      </c>
      <c r="C14" s="20"/>
      <c r="D1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715.91321257212917</v>
      </c>
      <c r="E14" s="20"/>
      <c r="F14" s="3">
        <f>Table36[Factor]*IF(Table15[[#This Row],[manualData]]&gt;0,Table15[[#This Row],[manualData]],Table15[[#This Row],[rawData]])</f>
        <v>715.91321257212917</v>
      </c>
      <c r="G14" s="3">
        <f>Table36[Factor]*IF(Table15[[#This Row],[manDataEco]]&gt;0,Table15[[#This Row],[manDataEco]],Table15[[#This Row],[rawDataEco]])</f>
        <v>715.91321257212917</v>
      </c>
      <c r="H14" s="26">
        <f>1.36*Table15[[#This Row],[rpm]]*Table15[[#This Row],[motor]]/9550</f>
        <v>132.53765024371984</v>
      </c>
      <c r="I14" s="26">
        <f>1.36*Table15[[#This Row],[rpm]]*Table15[[#This Row],[motorEco]]/9550</f>
        <v>132.53765024371984</v>
      </c>
      <c r="J1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207.17391304347825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motorTorque="716" fuelUsageRatio="207.2"/&gt;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normRpm="0.52" torque="0.99"/&gt;</v>
      </c>
      <c r="M14" s="3">
        <f>(1-(1-Table15[[#This Row],[rpm]]/Table36[idleRpm])^2)*Table7[idleT]</f>
        <v>625.0335</v>
      </c>
      <c r="N14" s="3">
        <f>MAX(0,(1-Table7[f1]*(Table36[maxTRpm1]-Table15[[#This Row],[rpm]])^2)*Table36[maxT])</f>
        <v>713.96249999999998</v>
      </c>
      <c r="O14" s="3">
        <f>MAX(0,(Table36[linearDown]*(1-Table7[f2]*(Table15[[#This Row],[rpm]]-Table36[maxTRpm]))+(1-Table36[linearDown])*(1-Table7[f3]*(Table15[[#This Row],[rpm]]-Table36[maxTRpm])^2))*Table36[maxT])</f>
        <v>715.91321257212917</v>
      </c>
      <c r="P14" s="3">
        <f>MAX(0,(Table36[maxPS]-Table7[f4]*(Table15[[#This Row],[rpm]]-Table36[maxPRpm])^2)/1.36*9550/MAX(1,Table15[[#This Row],[rpm]]))</f>
        <v>1026.3009049773755</v>
      </c>
      <c r="Q14" s="3">
        <f>MAX(0,Table7[Nm2]*MIN(Table36[ratedRpm]/MAX(1,Table15[[#This Row],[rpm]]),1-(MAX(0,Table15[[#This Row],[rpm]]-Table36[ratedRpm])/Table36[fadeOut])^Table36[fadeOutExp]))</f>
        <v>567.740926157697</v>
      </c>
      <c r="R14" s="3">
        <f>(1-(1-Table15[[#This Row],[rpm]]/Table36[idleRpm])^2)*Table7[idleTEco]</f>
        <v>625.0335</v>
      </c>
      <c r="S14" s="3">
        <f>MAX(0,(1-Table7[f1]*(Table36[maxTRpm1]-Table15[[#This Row],[rpm]])^2)*Table36[maxTEco])</f>
        <v>713.96249999999998</v>
      </c>
      <c r="T14" s="3">
        <f>MAX(0,(Table36[linearDown]*(1-Table7[f2Eco]*(Table15[[#This Row],[rpm]]-Table36[maxTRpm]))+(1-Table36[linearDown])*(1-Table7[f3Eco]*(Table15[[#This Row],[rpm]]-Table36[maxTRpm])^2))*Table36[maxTEco])</f>
        <v>715.91321257212917</v>
      </c>
      <c r="U14" s="3">
        <f>MAX(0,(Table36[maxPSEco]-Table7[f4Eco]*(Table15[[#This Row],[rpm]]-Table36[maxPRpm])^2)/1.36*9550/MAX(1,Table15[[#This Row],[rpm]]))</f>
        <v>1026.3009049773755</v>
      </c>
      <c r="V14" s="3">
        <f>MAX(0,Table7[Nm2Eco]*MIN(Table36[ratedRpm]/MAX(1,Table15[[#This Row],[rpm]]),1-(MAX(0,Table15[[#This Row],[rpm]]-Table36[ratedRpm])/Table36[fadeOut])^Table36[fadeOutExp]))</f>
        <v>567.740926157697</v>
      </c>
    </row>
    <row r="15" spans="1:25" x14ac:dyDescent="0.25">
      <c r="A15" s="3">
        <v>1400</v>
      </c>
      <c r="B1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707.64529390627968</v>
      </c>
      <c r="C15" s="20"/>
      <c r="D1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707.64529390627968</v>
      </c>
      <c r="E15" s="20"/>
      <c r="F15" s="3">
        <f>Table36[Factor]*IF(Table15[[#This Row],[manualData]]&gt;0,Table15[[#This Row],[manualData]],Table15[[#This Row],[rawData]])</f>
        <v>707.64529390627968</v>
      </c>
      <c r="G15" s="3">
        <f>Table36[Factor]*IF(Table15[[#This Row],[manDataEco]]&gt;0,Table15[[#This Row],[manDataEco]],Table15[[#This Row],[rawDataEco]])</f>
        <v>707.64529390627968</v>
      </c>
      <c r="H15" s="26">
        <f>1.36*Table15[[#This Row],[rpm]]*Table15[[#This Row],[motor]]/9550</f>
        <v>141.08446487932528</v>
      </c>
      <c r="I15" s="26">
        <f>1.36*Table15[[#This Row],[rpm]]*Table15[[#This Row],[motorEco]]/9550</f>
        <v>141.08446487932528</v>
      </c>
      <c r="J1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207.69565217391303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motorTorque="708" fuelUsageRatio="207.7"/&gt;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normRpm="0.56" torque="0.979"/&gt;</v>
      </c>
      <c r="M15" s="3">
        <f>(1-(1-Table15[[#This Row],[rpm]]/Table36[idleRpm])^2)*Table7[idleT]</f>
        <v>576.95400000000006</v>
      </c>
      <c r="N15" s="3">
        <f>MAX(0,(1-Table7[f1]*(Table36[maxTRpm1]-Table15[[#This Row],[rpm]])^2)*Table36[maxT])</f>
        <v>686.85</v>
      </c>
      <c r="O15" s="3">
        <f>MAX(0,(Table36[linearDown]*(1-Table7[f2]*(Table15[[#This Row],[rpm]]-Table36[maxTRpm]))+(1-Table36[linearDown])*(1-Table7[f3]*(Table15[[#This Row],[rpm]]-Table36[maxTRpm])^2))*Table36[maxT])</f>
        <v>707.64529390627968</v>
      </c>
      <c r="P15" s="3">
        <f>MAX(0,(Table36[maxPS]-Table7[f4]*(Table15[[#This Row],[rpm]]-Table36[maxPRpm])^2)/1.36*9550/MAX(1,Table15[[#This Row],[rpm]]))</f>
        <v>952.99369747899141</v>
      </c>
      <c r="Q15" s="3">
        <f>MAX(0,Table7[Nm2]*MIN(Table36[ratedRpm]/MAX(1,Table15[[#This Row],[rpm]]),1-(MAX(0,Table15[[#This Row],[rpm]]-Table36[ratedRpm])/Table36[fadeOut])^Table36[fadeOutExp]))</f>
        <v>567.740926157697</v>
      </c>
      <c r="R15" s="3">
        <f>(1-(1-Table15[[#This Row],[rpm]]/Table36[idleRpm])^2)*Table7[idleTEco]</f>
        <v>576.95400000000006</v>
      </c>
      <c r="S15" s="3">
        <f>MAX(0,(1-Table7[f1]*(Table36[maxTRpm1]-Table15[[#This Row],[rpm]])^2)*Table36[maxTEco])</f>
        <v>686.85</v>
      </c>
      <c r="T15" s="3">
        <f>MAX(0,(Table36[linearDown]*(1-Table7[f2Eco]*(Table15[[#This Row],[rpm]]-Table36[maxTRpm]))+(1-Table36[linearDown])*(1-Table7[f3Eco]*(Table15[[#This Row],[rpm]]-Table36[maxTRpm])^2))*Table36[maxTEco])</f>
        <v>707.64529390627968</v>
      </c>
      <c r="U15" s="3">
        <f>MAX(0,(Table36[maxPSEco]-Table7[f4Eco]*(Table15[[#This Row],[rpm]]-Table36[maxPRpm])^2)/1.36*9550/MAX(1,Table15[[#This Row],[rpm]]))</f>
        <v>952.99369747899141</v>
      </c>
      <c r="V15" s="3">
        <f>MAX(0,Table7[Nm2Eco]*MIN(Table36[ratedRpm]/MAX(1,Table15[[#This Row],[rpm]]),1-(MAX(0,Table15[[#This Row],[rpm]]-Table36[ratedRpm])/Table36[fadeOut])^Table36[fadeOutExp]))</f>
        <v>567.740926157697</v>
      </c>
    </row>
    <row r="16" spans="1:25" x14ac:dyDescent="0.25">
      <c r="A16" s="3">
        <v>1500</v>
      </c>
      <c r="B1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698.19624400245186</v>
      </c>
      <c r="C16" s="20"/>
      <c r="D1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698.19624400245186</v>
      </c>
      <c r="E16" s="20"/>
      <c r="F16" s="3">
        <f>Table36[Factor]*IF(Table15[[#This Row],[manualData]]&gt;0,Table15[[#This Row],[manualData]],Table15[[#This Row],[rawData]])</f>
        <v>698.19624400245186</v>
      </c>
      <c r="G16" s="3">
        <f>Table36[Factor]*IF(Table15[[#This Row],[manDataEco]]&gt;0,Table15[[#This Row],[manDataEco]],Table15[[#This Row],[rawDataEco]])</f>
        <v>698.19624400245186</v>
      </c>
      <c r="H16" s="26">
        <f>1.36*Table15[[#This Row],[rpm]]*Table15[[#This Row],[motor]]/9550</f>
        <v>149.14349086544522</v>
      </c>
      <c r="I16" s="26">
        <f>1.36*Table15[[#This Row],[rpm]]*Table15[[#This Row],[motorEco]]/9550</f>
        <v>149.14349086544522</v>
      </c>
      <c r="J1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208.56521739130434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motorTorque="698" fuelUsageRatio="208.6"/&gt;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normRpm="0.6" torque="0.966"/&gt;</v>
      </c>
      <c r="M16" s="3">
        <f>(1-(1-Table15[[#This Row],[rpm]]/Table36[idleRpm])^2)*Table7[idleT]</f>
        <v>515.13750000000005</v>
      </c>
      <c r="N16" s="3">
        <f>MAX(0,(1-Table7[f1]*(Table36[maxTRpm1]-Table15[[#This Row],[rpm]])^2)*Table36[maxT])</f>
        <v>641.66250000000002</v>
      </c>
      <c r="O16" s="3">
        <f>MAX(0,(Table36[linearDown]*(1-Table7[f2]*(Table15[[#This Row],[rpm]]-Table36[maxTRpm]))+(1-Table36[linearDown])*(1-Table7[f3]*(Table15[[#This Row],[rpm]]-Table36[maxTRpm])^2))*Table36[maxT])</f>
        <v>698.19624400245186</v>
      </c>
      <c r="P16" s="3">
        <f>MAX(0,(Table36[maxPS]-Table7[f4]*(Table15[[#This Row],[rpm]]-Table36[maxPRpm])^2)/1.36*9550/MAX(1,Table15[[#This Row],[rpm]]))</f>
        <v>889.4607843137253</v>
      </c>
      <c r="Q16" s="3">
        <f>MAX(0,Table7[Nm2]*MIN(Table36[ratedRpm]/MAX(1,Table15[[#This Row],[rpm]]),1-(MAX(0,Table15[[#This Row],[rpm]]-Table36[ratedRpm])/Table36[fadeOut])^Table36[fadeOutExp]))</f>
        <v>567.740926157697</v>
      </c>
      <c r="R16" s="3">
        <f>(1-(1-Table15[[#This Row],[rpm]]/Table36[idleRpm])^2)*Table7[idleTEco]</f>
        <v>515.13750000000005</v>
      </c>
      <c r="S16" s="3">
        <f>MAX(0,(1-Table7[f1]*(Table36[maxTRpm1]-Table15[[#This Row],[rpm]])^2)*Table36[maxTEco])</f>
        <v>641.66250000000002</v>
      </c>
      <c r="T16" s="3">
        <f>MAX(0,(Table36[linearDown]*(1-Table7[f2Eco]*(Table15[[#This Row],[rpm]]-Table36[maxTRpm]))+(1-Table36[linearDown])*(1-Table7[f3Eco]*(Table15[[#This Row],[rpm]]-Table36[maxTRpm])^2))*Table36[maxTEco])</f>
        <v>698.19624400245186</v>
      </c>
      <c r="U16" s="3">
        <f>MAX(0,(Table36[maxPSEco]-Table7[f4Eco]*(Table15[[#This Row],[rpm]]-Table36[maxPRpm])^2)/1.36*9550/MAX(1,Table15[[#This Row],[rpm]]))</f>
        <v>889.4607843137253</v>
      </c>
      <c r="V16" s="3">
        <f>MAX(0,Table7[Nm2Eco]*MIN(Table36[ratedRpm]/MAX(1,Table15[[#This Row],[rpm]]),1-(MAX(0,Table15[[#This Row],[rpm]]-Table36[ratedRpm])/Table36[fadeOut])^Table36[fadeOutExp]))</f>
        <v>567.740926157697</v>
      </c>
    </row>
    <row r="17" spans="1:22" x14ac:dyDescent="0.25">
      <c r="A17" s="3">
        <v>1600</v>
      </c>
      <c r="B1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687.5660628606455</v>
      </c>
      <c r="C17" s="20"/>
      <c r="D1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687.5660628606455</v>
      </c>
      <c r="E17" s="20"/>
      <c r="F17" s="3">
        <f>Table36[Factor]*IF(Table15[[#This Row],[manualData]]&gt;0,Table15[[#This Row],[manualData]],Table15[[#This Row],[rawData]])</f>
        <v>687.5660628606455</v>
      </c>
      <c r="G17" s="3">
        <f>Table36[Factor]*IF(Table15[[#This Row],[manDataEco]]&gt;0,Table15[[#This Row],[manDataEco]],Table15[[#This Row],[rawDataEco]])</f>
        <v>687.5660628606455</v>
      </c>
      <c r="H17" s="26">
        <f>1.36*Table15[[#This Row],[rpm]]*Table15[[#This Row],[motor]]/9550</f>
        <v>156.66426730730521</v>
      </c>
      <c r="I17" s="26">
        <f>1.36*Table15[[#This Row],[rpm]]*Table15[[#This Row],[motorEco]]/9550</f>
        <v>156.66426730730521</v>
      </c>
      <c r="J1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209.78260869565219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motorTorque="688" fuelUsageRatio="209.8"/&gt;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normRpm="0.64" torque="0.951"/&gt;</v>
      </c>
      <c r="M17" s="3">
        <f>(1-(1-Table15[[#This Row],[rpm]]/Table36[idleRpm])^2)*Table7[idleT]</f>
        <v>439.58399999999995</v>
      </c>
      <c r="N17" s="3">
        <f>MAX(0,(1-Table7[f1]*(Table36[maxTRpm1]-Table15[[#This Row],[rpm]])^2)*Table36[maxT])</f>
        <v>578.39999999999986</v>
      </c>
      <c r="O17" s="3">
        <f>MAX(0,(Table36[linearDown]*(1-Table7[f2]*(Table15[[#This Row],[rpm]]-Table36[maxTRpm]))+(1-Table36[linearDown])*(1-Table7[f3]*(Table15[[#This Row],[rpm]]-Table36[maxTRpm])^2))*Table36[maxT])</f>
        <v>687.5660628606455</v>
      </c>
      <c r="P17" s="3">
        <f>MAX(0,(Table36[maxPS]-Table7[f4]*(Table15[[#This Row],[rpm]]-Table36[maxPRpm])^2)/1.36*9550/MAX(1,Table15[[#This Row],[rpm]]))</f>
        <v>833.86948529411745</v>
      </c>
      <c r="Q17" s="3">
        <f>MAX(0,Table7[Nm2]*MIN(Table36[ratedRpm]/MAX(1,Table15[[#This Row],[rpm]]),1-(MAX(0,Table15[[#This Row],[rpm]]-Table36[ratedRpm])/Table36[fadeOut])^Table36[fadeOutExp]))</f>
        <v>567.740926157697</v>
      </c>
      <c r="R17" s="3">
        <f>(1-(1-Table15[[#This Row],[rpm]]/Table36[idleRpm])^2)*Table7[idleTEco]</f>
        <v>439.58399999999995</v>
      </c>
      <c r="S17" s="3">
        <f>MAX(0,(1-Table7[f1]*(Table36[maxTRpm1]-Table15[[#This Row],[rpm]])^2)*Table36[maxTEco])</f>
        <v>578.39999999999986</v>
      </c>
      <c r="T17" s="3">
        <f>MAX(0,(Table36[linearDown]*(1-Table7[f2Eco]*(Table15[[#This Row],[rpm]]-Table36[maxTRpm]))+(1-Table36[linearDown])*(1-Table7[f3Eco]*(Table15[[#This Row],[rpm]]-Table36[maxTRpm])^2))*Table36[maxTEco])</f>
        <v>687.5660628606455</v>
      </c>
      <c r="U17" s="3">
        <f>MAX(0,(Table36[maxPSEco]-Table7[f4Eco]*(Table15[[#This Row],[rpm]]-Table36[maxPRpm])^2)/1.36*9550/MAX(1,Table15[[#This Row],[rpm]]))</f>
        <v>833.86948529411745</v>
      </c>
      <c r="V17" s="3">
        <f>MAX(0,Table7[Nm2Eco]*MIN(Table36[ratedRpm]/MAX(1,Table15[[#This Row],[rpm]]),1-(MAX(0,Table15[[#This Row],[rpm]]-Table36[ratedRpm])/Table36[fadeOut])^Table36[fadeOutExp]))</f>
        <v>567.740926157697</v>
      </c>
    </row>
    <row r="18" spans="1:22" x14ac:dyDescent="0.25">
      <c r="A18" s="3">
        <v>1700</v>
      </c>
      <c r="B1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675.75475048086059</v>
      </c>
      <c r="C18" s="20"/>
      <c r="D1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675.75475048086059</v>
      </c>
      <c r="E18" s="20"/>
      <c r="F18" s="3">
        <f>Table36[Factor]*IF(Table15[[#This Row],[manualData]]&gt;0,Table15[[#This Row],[manualData]],Table15[[#This Row],[rawData]])</f>
        <v>675.75475048086059</v>
      </c>
      <c r="G18" s="3">
        <f>Table36[Factor]*IF(Table15[[#This Row],[manDataEco]]&gt;0,Table15[[#This Row],[manDataEco]],Table15[[#This Row],[rawDataEco]])</f>
        <v>675.75475048086059</v>
      </c>
      <c r="H18" s="26">
        <f>1.36*Table15[[#This Row],[rpm]]*Table15[[#This Row],[motor]]/9550</f>
        <v>163.59633331013086</v>
      </c>
      <c r="I18" s="26">
        <f>1.36*Table15[[#This Row],[rpm]]*Table15[[#This Row],[motorEco]]/9550</f>
        <v>163.59633331013086</v>
      </c>
      <c r="J1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211.34782608695653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motorTorque="676" fuelUsageRatio="211.3"/&gt;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normRpm="0.68" torque="0.935"/&gt;</v>
      </c>
      <c r="M18" s="3">
        <f>(1-(1-Table15[[#This Row],[rpm]]/Table36[idleRpm])^2)*Table7[idleT]</f>
        <v>350.29349999999999</v>
      </c>
      <c r="N18" s="3">
        <f>MAX(0,(1-Table7[f1]*(Table36[maxTRpm1]-Table15[[#This Row],[rpm]])^2)*Table36[maxT])</f>
        <v>497.06249999999983</v>
      </c>
      <c r="O18" s="3">
        <f>MAX(0,(Table36[linearDown]*(1-Table7[f2]*(Table15[[#This Row],[rpm]]-Table36[maxTRpm]))+(1-Table36[linearDown])*(1-Table7[f3]*(Table15[[#This Row],[rpm]]-Table36[maxTRpm])^2))*Table36[maxT])</f>
        <v>675.75475048086059</v>
      </c>
      <c r="P18" s="3">
        <f>MAX(0,(Table36[maxPS]-Table7[f4]*(Table15[[#This Row],[rpm]]-Table36[maxPRpm])^2)/1.36*9550/MAX(1,Table15[[#This Row],[rpm]]))</f>
        <v>784.81833910034584</v>
      </c>
      <c r="Q18" s="3">
        <f>MAX(0,Table7[Nm2]*MIN(Table36[ratedRpm]/MAX(1,Table15[[#This Row],[rpm]]),1-(MAX(0,Table15[[#This Row],[rpm]]-Table36[ratedRpm])/Table36[fadeOut])^Table36[fadeOutExp]))</f>
        <v>567.740926157697</v>
      </c>
      <c r="R18" s="3">
        <f>(1-(1-Table15[[#This Row],[rpm]]/Table36[idleRpm])^2)*Table7[idleTEco]</f>
        <v>350.29349999999999</v>
      </c>
      <c r="S18" s="3">
        <f>MAX(0,(1-Table7[f1]*(Table36[maxTRpm1]-Table15[[#This Row],[rpm]])^2)*Table36[maxTEco])</f>
        <v>497.06249999999983</v>
      </c>
      <c r="T18" s="3">
        <f>MAX(0,(Table36[linearDown]*(1-Table7[f2Eco]*(Table15[[#This Row],[rpm]]-Table36[maxTRpm]))+(1-Table36[linearDown])*(1-Table7[f3Eco]*(Table15[[#This Row],[rpm]]-Table36[maxTRpm])^2))*Table36[maxTEco])</f>
        <v>675.75475048086059</v>
      </c>
      <c r="U18" s="3">
        <f>MAX(0,(Table36[maxPSEco]-Table7[f4Eco]*(Table15[[#This Row],[rpm]]-Table36[maxPRpm])^2)/1.36*9550/MAX(1,Table15[[#This Row],[rpm]]))</f>
        <v>784.81833910034584</v>
      </c>
      <c r="V18" s="3">
        <f>MAX(0,Table7[Nm2Eco]*MIN(Table36[ratedRpm]/MAX(1,Table15[[#This Row],[rpm]]),1-(MAX(0,Table15[[#This Row],[rpm]]-Table36[ratedRpm])/Table36[fadeOut])^Table36[fadeOutExp]))</f>
        <v>567.740926157697</v>
      </c>
    </row>
    <row r="19" spans="1:22" x14ac:dyDescent="0.25">
      <c r="A19" s="3">
        <v>1800</v>
      </c>
      <c r="B1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662.76230686309736</v>
      </c>
      <c r="C19" s="20"/>
      <c r="D1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662.76230686309736</v>
      </c>
      <c r="E19" s="20"/>
      <c r="F19" s="3">
        <f>Table36[Factor]*IF(Table15[[#This Row],[manualData]]&gt;0,Table15[[#This Row],[manualData]],Table15[[#This Row],[rawData]])</f>
        <v>662.76230686309736</v>
      </c>
      <c r="G19" s="3">
        <f>Table36[Factor]*IF(Table15[[#This Row],[manDataEco]]&gt;0,Table15[[#This Row],[manDataEco]],Table15[[#This Row],[rawDataEco]])</f>
        <v>662.76230686309736</v>
      </c>
      <c r="H19" s="26">
        <f>1.36*Table15[[#This Row],[rpm]]*Table15[[#This Row],[motor]]/9550</f>
        <v>169.8892279791479</v>
      </c>
      <c r="I19" s="26">
        <f>1.36*Table15[[#This Row],[rpm]]*Table15[[#This Row],[motorEco]]/9550</f>
        <v>169.8892279791479</v>
      </c>
      <c r="J1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213.26086956521738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motorTorque="663" fuelUsageRatio="213.3"/&gt;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normRpm="0.72" torque="0.917"/&gt;</v>
      </c>
      <c r="M19" s="3">
        <f>(1-(1-Table15[[#This Row],[rpm]]/Table36[idleRpm])^2)*Table7[idleT]</f>
        <v>247.26599999999993</v>
      </c>
      <c r="N19" s="3">
        <f>MAX(0,(1-Table7[f1]*(Table36[maxTRpm1]-Table15[[#This Row],[rpm]])^2)*Table36[maxT])</f>
        <v>397.64999999999969</v>
      </c>
      <c r="O19" s="3">
        <f>MAX(0,(Table36[linearDown]*(1-Table7[f2]*(Table15[[#This Row],[rpm]]-Table36[maxTRpm]))+(1-Table36[linearDown])*(1-Table7[f3]*(Table15[[#This Row],[rpm]]-Table36[maxTRpm])^2))*Table36[maxT])</f>
        <v>662.76230686309736</v>
      </c>
      <c r="P19" s="3">
        <f>MAX(0,(Table36[maxPS]-Table7[f4]*(Table15[[#This Row],[rpm]]-Table36[maxPRpm])^2)/1.36*9550/MAX(1,Table15[[#This Row],[rpm]]))</f>
        <v>741.21732026143775</v>
      </c>
      <c r="Q19" s="3">
        <f>MAX(0,Table7[Nm2]*MIN(Table36[ratedRpm]/MAX(1,Table15[[#This Row],[rpm]]),1-(MAX(0,Table15[[#This Row],[rpm]]-Table36[ratedRpm])/Table36[fadeOut])^Table36[fadeOutExp]))</f>
        <v>567.740926157697</v>
      </c>
      <c r="R19" s="3">
        <f>(1-(1-Table15[[#This Row],[rpm]]/Table36[idleRpm])^2)*Table7[idleTEco]</f>
        <v>247.26599999999993</v>
      </c>
      <c r="S19" s="3">
        <f>MAX(0,(1-Table7[f1]*(Table36[maxTRpm1]-Table15[[#This Row],[rpm]])^2)*Table36[maxTEco])</f>
        <v>397.64999999999969</v>
      </c>
      <c r="T19" s="3">
        <f>MAX(0,(Table36[linearDown]*(1-Table7[f2Eco]*(Table15[[#This Row],[rpm]]-Table36[maxTRpm]))+(1-Table36[linearDown])*(1-Table7[f3Eco]*(Table15[[#This Row],[rpm]]-Table36[maxTRpm])^2))*Table36[maxTEco])</f>
        <v>662.76230686309736</v>
      </c>
      <c r="U19" s="3">
        <f>MAX(0,(Table36[maxPSEco]-Table7[f4Eco]*(Table15[[#This Row],[rpm]]-Table36[maxPRpm])^2)/1.36*9550/MAX(1,Table15[[#This Row],[rpm]]))</f>
        <v>741.21732026143775</v>
      </c>
      <c r="V19" s="3">
        <f>MAX(0,Table7[Nm2Eco]*MIN(Table36[ratedRpm]/MAX(1,Table15[[#This Row],[rpm]]),1-(MAX(0,Table15[[#This Row],[rpm]]-Table36[ratedRpm])/Table36[fadeOut])^Table36[fadeOutExp]))</f>
        <v>567.740926157697</v>
      </c>
    </row>
    <row r="20" spans="1:22" x14ac:dyDescent="0.25">
      <c r="A20" s="3">
        <v>1850</v>
      </c>
      <c r="B2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655.82316083997375</v>
      </c>
      <c r="C20" s="20"/>
      <c r="D2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655.82316083997375</v>
      </c>
      <c r="E20" s="20"/>
      <c r="F20" s="3">
        <f>Table36[Factor]*IF(Table15[[#This Row],[manualData]]&gt;0,Table15[[#This Row],[manualData]],Table15[[#This Row],[rawData]])</f>
        <v>655.82316083997375</v>
      </c>
      <c r="G20" s="3">
        <f>Table36[Factor]*IF(Table15[[#This Row],[manDataEco]]&gt;0,Table15[[#This Row],[manDataEco]],Table15[[#This Row],[rawDataEco]])</f>
        <v>655.82316083997375</v>
      </c>
      <c r="H20" s="26">
        <f>1.36*Table15[[#This Row],[rpm]]*Table15[[#This Row],[motor]]/9550</f>
        <v>172.78021703386113</v>
      </c>
      <c r="I20" s="26">
        <f>1.36*Table15[[#This Row],[rpm]]*Table15[[#This Row],[motorEco]]/9550</f>
        <v>172.78021703386113</v>
      </c>
      <c r="J2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214.34782608695653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motorTorque="656" fuelUsageRatio="214.3"/&gt;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normRpm="0.74" torque="0.907"/&gt;</v>
      </c>
      <c r="M20" s="3">
        <f>(1-(1-Table15[[#This Row],[rpm]]/Table36[idleRpm])^2)*Table7[idleT]</f>
        <v>190.60087499999992</v>
      </c>
      <c r="N20" s="3">
        <f>MAX(0,(1-Table7[f1]*(Table36[maxTRpm1]-Table15[[#This Row],[rpm]])^2)*Table36[maxT])</f>
        <v>341.16562499999964</v>
      </c>
      <c r="O20" s="3">
        <f>MAX(0,(Table36[linearDown]*(1-Table7[f2]*(Table15[[#This Row],[rpm]]-Table36[maxTRpm]))+(1-Table36[linearDown])*(1-Table7[f3]*(Table15[[#This Row],[rpm]]-Table36[maxTRpm])^2))*Table36[maxT])</f>
        <v>655.82316083997375</v>
      </c>
      <c r="P20" s="3">
        <f>MAX(0,(Table36[maxPS]-Table7[f4]*(Table15[[#This Row],[rpm]]-Table36[maxPRpm])^2)/1.36*9550/MAX(1,Table15[[#This Row],[rpm]]))</f>
        <v>721.18441971383129</v>
      </c>
      <c r="Q20" s="3">
        <f>MAX(0,Table7[Nm2]*MIN(Table36[ratedRpm]/MAX(1,Table15[[#This Row],[rpm]]),1-(MAX(0,Table15[[#This Row],[rpm]]-Table36[ratedRpm])/Table36[fadeOut])^Table36[fadeOutExp]))</f>
        <v>567.740926157697</v>
      </c>
      <c r="R20" s="3">
        <f>(1-(1-Table15[[#This Row],[rpm]]/Table36[idleRpm])^2)*Table7[idleTEco]</f>
        <v>190.60087499999992</v>
      </c>
      <c r="S20" s="3">
        <f>MAX(0,(1-Table7[f1]*(Table36[maxTRpm1]-Table15[[#This Row],[rpm]])^2)*Table36[maxTEco])</f>
        <v>341.16562499999964</v>
      </c>
      <c r="T20" s="3">
        <f>MAX(0,(Table36[linearDown]*(1-Table7[f2Eco]*(Table15[[#This Row],[rpm]]-Table36[maxTRpm]))+(1-Table36[linearDown])*(1-Table7[f3Eco]*(Table15[[#This Row],[rpm]]-Table36[maxTRpm])^2))*Table36[maxTEco])</f>
        <v>655.82316083997375</v>
      </c>
      <c r="U20" s="3">
        <f>MAX(0,(Table36[maxPSEco]-Table7[f4Eco]*(Table15[[#This Row],[rpm]]-Table36[maxPRpm])^2)/1.36*9550/MAX(1,Table15[[#This Row],[rpm]]))</f>
        <v>721.18441971383129</v>
      </c>
      <c r="V20" s="3">
        <f>MAX(0,Table7[Nm2Eco]*MIN(Table36[ratedRpm]/MAX(1,Table15[[#This Row],[rpm]]),1-(MAX(0,Table15[[#This Row],[rpm]]-Table36[ratedRpm])/Table36[fadeOut])^Table36[fadeOutExp]))</f>
        <v>567.740926157697</v>
      </c>
    </row>
    <row r="21" spans="1:22" x14ac:dyDescent="0.25">
      <c r="A21" s="3">
        <v>1900</v>
      </c>
      <c r="B2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648.58873200735547</v>
      </c>
      <c r="C21" s="20"/>
      <c r="D2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648.58873200735547</v>
      </c>
      <c r="E21" s="20"/>
      <c r="F21" s="3">
        <f>Table36[Factor]*IF(Table15[[#This Row],[manualData]]&gt;0,Table15[[#This Row],[manualData]],Table15[[#This Row],[rawData]])</f>
        <v>648.58873200735547</v>
      </c>
      <c r="G21" s="3">
        <f>Table36[Factor]*IF(Table15[[#This Row],[manDataEco]]&gt;0,Table15[[#This Row],[manDataEco]],Table15[[#This Row],[rawDataEco]])</f>
        <v>648.58873200735547</v>
      </c>
      <c r="H21" s="26">
        <f>1.36*Table15[[#This Row],[rpm]]*Table15[[#This Row],[motor]]/9550</f>
        <v>175.49249041958183</v>
      </c>
      <c r="I21" s="26">
        <f>1.36*Table15[[#This Row],[rpm]]*Table15[[#This Row],[motorEco]]/9550</f>
        <v>175.49249041958183</v>
      </c>
      <c r="J2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215.52173913043478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motorTorque="649" fuelUsageRatio="215.5"/&gt;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normRpm="0.76" torque="0.897"/&gt;</v>
      </c>
      <c r="M21" s="3">
        <f>(1-(1-Table15[[#This Row],[rpm]]/Table36[idleRpm])^2)*Table7[idleT]</f>
        <v>130.50150000000011</v>
      </c>
      <c r="N21" s="3">
        <f>MAX(0,(1-Table7[f1]*(Table36[maxTRpm1]-Table15[[#This Row],[rpm]])^2)*Table36[maxT])</f>
        <v>280.16249999999957</v>
      </c>
      <c r="O21" s="3">
        <f>MAX(0,(Table36[linearDown]*(1-Table7[f2]*(Table15[[#This Row],[rpm]]-Table36[maxTRpm]))+(1-Table36[linearDown])*(1-Table7[f3]*(Table15[[#This Row],[rpm]]-Table36[maxTRpm])^2))*Table36[maxT])</f>
        <v>648.58873200735547</v>
      </c>
      <c r="P21" s="3">
        <f>MAX(0,(Table36[maxPS]-Table7[f4]*(Table15[[#This Row],[rpm]]-Table36[maxPRpm])^2)/1.36*9550/MAX(1,Table15[[#This Row],[rpm]]))</f>
        <v>702.20588235294099</v>
      </c>
      <c r="Q21" s="3">
        <f>MAX(0,Table7[Nm2]*MIN(Table36[ratedRpm]/MAX(1,Table15[[#This Row],[rpm]]),1-(MAX(0,Table15[[#This Row],[rpm]]-Table36[ratedRpm])/Table36[fadeOut])^Table36[fadeOutExp]))</f>
        <v>567.740926157697</v>
      </c>
      <c r="R21" s="3">
        <f>(1-(1-Table15[[#This Row],[rpm]]/Table36[idleRpm])^2)*Table7[idleTEco]</f>
        <v>130.50150000000011</v>
      </c>
      <c r="S21" s="3">
        <f>MAX(0,(1-Table7[f1]*(Table36[maxTRpm1]-Table15[[#This Row],[rpm]])^2)*Table36[maxTEco])</f>
        <v>280.16249999999957</v>
      </c>
      <c r="T21" s="3">
        <f>MAX(0,(Table36[linearDown]*(1-Table7[f2Eco]*(Table15[[#This Row],[rpm]]-Table36[maxTRpm]))+(1-Table36[linearDown])*(1-Table7[f3Eco]*(Table15[[#This Row],[rpm]]-Table36[maxTRpm])^2))*Table36[maxTEco])</f>
        <v>648.58873200735547</v>
      </c>
      <c r="U21" s="3">
        <f>MAX(0,(Table36[maxPSEco]-Table7[f4Eco]*(Table15[[#This Row],[rpm]]-Table36[maxPRpm])^2)/1.36*9550/MAX(1,Table15[[#This Row],[rpm]]))</f>
        <v>702.20588235294099</v>
      </c>
      <c r="V21" s="3">
        <f>MAX(0,Table7[Nm2Eco]*MIN(Table36[ratedRpm]/MAX(1,Table15[[#This Row],[rpm]]),1-(MAX(0,Table15[[#This Row],[rpm]]-Table36[ratedRpm])/Table36[fadeOut])^Table36[fadeOutExp]))</f>
        <v>567.740926157697</v>
      </c>
    </row>
    <row r="22" spans="1:22" x14ac:dyDescent="0.25">
      <c r="A22" s="3">
        <v>1950</v>
      </c>
      <c r="B2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641.05902036524276</v>
      </c>
      <c r="C22" s="20"/>
      <c r="D2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641.05902036524276</v>
      </c>
      <c r="E22" s="20"/>
      <c r="F22" s="3">
        <f>Table36[Factor]*IF(Table15[[#This Row],[manualData]]&gt;0,Table15[[#This Row],[manualData]],Table15[[#This Row],[rawData]])</f>
        <v>641.05902036524276</v>
      </c>
      <c r="G22" s="3">
        <f>Table36[Factor]*IF(Table15[[#This Row],[manDataEco]]&gt;0,Table15[[#This Row],[manDataEco]],Table15[[#This Row],[rawDataEco]])</f>
        <v>641.05902036524276</v>
      </c>
      <c r="H22" s="26">
        <f>1.36*Table15[[#This Row],[rpm]]*Table15[[#This Row],[motor]]/9550</f>
        <v>178.0197405244632</v>
      </c>
      <c r="I22" s="26">
        <f>1.36*Table15[[#This Row],[rpm]]*Table15[[#This Row],[motorEco]]/9550</f>
        <v>178.0197405244632</v>
      </c>
      <c r="J2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216.78260869565219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motorTorque="641" fuelUsageRatio="216.8"/&gt;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normRpm="0.78" torque="0.887"/&gt;</v>
      </c>
      <c r="M22" s="3">
        <f>(1-(1-Table15[[#This Row],[rpm]]/Table36[idleRpm])^2)*Table7[idleT]</f>
        <v>66.967875000000021</v>
      </c>
      <c r="N22" s="3">
        <f>MAX(0,(1-Table7[f1]*(Table36[maxTRpm1]-Table15[[#This Row],[rpm]])^2)*Table36[maxT])</f>
        <v>214.64062499999952</v>
      </c>
      <c r="O22" s="3">
        <f>MAX(0,(Table36[linearDown]*(1-Table7[f2]*(Table15[[#This Row],[rpm]]-Table36[maxTRpm]))+(1-Table36[linearDown])*(1-Table7[f3]*(Table15[[#This Row],[rpm]]-Table36[maxTRpm])^2))*Table36[maxT])</f>
        <v>641.05902036524276</v>
      </c>
      <c r="P22" s="3">
        <f>MAX(0,(Table36[maxPS]-Table7[f4]*(Table15[[#This Row],[rpm]]-Table36[maxPRpm])^2)/1.36*9550/MAX(1,Table15[[#This Row],[rpm]]))</f>
        <v>684.20060331825027</v>
      </c>
      <c r="Q22" s="3">
        <f>MAX(0,Table7[Nm2]*MIN(Table36[ratedRpm]/MAX(1,Table15[[#This Row],[rpm]]),1-(MAX(0,Table15[[#This Row],[rpm]]-Table36[ratedRpm])/Table36[fadeOut])^Table36[fadeOutExp]))</f>
        <v>567.740926157697</v>
      </c>
      <c r="R22" s="3">
        <f>(1-(1-Table15[[#This Row],[rpm]]/Table36[idleRpm])^2)*Table7[idleTEco]</f>
        <v>66.967875000000021</v>
      </c>
      <c r="S22" s="3">
        <f>MAX(0,(1-Table7[f1]*(Table36[maxTRpm1]-Table15[[#This Row],[rpm]])^2)*Table36[maxTEco])</f>
        <v>214.64062499999952</v>
      </c>
      <c r="T22" s="3">
        <f>MAX(0,(Table36[linearDown]*(1-Table7[f2Eco]*(Table15[[#This Row],[rpm]]-Table36[maxTRpm]))+(1-Table36[linearDown])*(1-Table7[f3Eco]*(Table15[[#This Row],[rpm]]-Table36[maxTRpm])^2))*Table36[maxTEco])</f>
        <v>641.05902036524276</v>
      </c>
      <c r="U22" s="3">
        <f>MAX(0,(Table36[maxPSEco]-Table7[f4Eco]*(Table15[[#This Row],[rpm]]-Table36[maxPRpm])^2)/1.36*9550/MAX(1,Table15[[#This Row],[rpm]]))</f>
        <v>684.20060331825027</v>
      </c>
      <c r="V22" s="3">
        <f>MAX(0,Table7[Nm2Eco]*MIN(Table36[ratedRpm]/MAX(1,Table15[[#This Row],[rpm]]),1-(MAX(0,Table15[[#This Row],[rpm]]-Table36[ratedRpm])/Table36[fadeOut])^Table36[fadeOutExp]))</f>
        <v>567.740926157697</v>
      </c>
    </row>
    <row r="23" spans="1:22" x14ac:dyDescent="0.25">
      <c r="A23" s="3">
        <v>2000</v>
      </c>
      <c r="B2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633.23402591363526</v>
      </c>
      <c r="C23" s="20"/>
      <c r="D2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633.23402591363526</v>
      </c>
      <c r="E23" s="20"/>
      <c r="F23" s="3">
        <f>Table36[Factor]*IF(Table15[[#This Row],[manualData]]&gt;0,Table15[[#This Row],[manualData]],Table15[[#This Row],[rawData]])</f>
        <v>633.23402591363526</v>
      </c>
      <c r="G23" s="3">
        <f>Table36[Factor]*IF(Table15[[#This Row],[manDataEco]]&gt;0,Table15[[#This Row],[manDataEco]],Table15[[#This Row],[rawDataEco]])</f>
        <v>633.23402591363526</v>
      </c>
      <c r="H23" s="26">
        <f>1.36*Table15[[#This Row],[rpm]]*Table15[[#This Row],[motor]]/9550</f>
        <v>180.35565973665842</v>
      </c>
      <c r="I23" s="26">
        <f>1.36*Table15[[#This Row],[rpm]]*Table15[[#This Row],[motorEco]]/9550</f>
        <v>180.35565973665842</v>
      </c>
      <c r="J2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218.13043478260869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motorTorque="633" fuelUsageRatio="218.1"/&gt;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normRpm="0.8" torque="0.876"/&gt;</v>
      </c>
      <c r="M23" s="3">
        <f>(1-(1-Table15[[#This Row],[rpm]]/Table36[idleRpm])^2)*Table7[idleT]</f>
        <v>0</v>
      </c>
      <c r="N23" s="3">
        <f>MAX(0,(1-Table7[f1]*(Table36[maxTRpm1]-Table15[[#This Row],[rpm]])^2)*Table36[maxT])</f>
        <v>144.59999999999948</v>
      </c>
      <c r="O23" s="3">
        <f>MAX(0,(Table36[linearDown]*(1-Table7[f2]*(Table15[[#This Row],[rpm]]-Table36[maxTRpm]))+(1-Table36[linearDown])*(1-Table7[f3]*(Table15[[#This Row],[rpm]]-Table36[maxTRpm])^2))*Table36[maxT])</f>
        <v>633.23402591363526</v>
      </c>
      <c r="P23" s="3">
        <f>MAX(0,(Table36[maxPS]-Table7[f4]*(Table15[[#This Row],[rpm]]-Table36[maxPRpm])^2)/1.36*9550/MAX(1,Table15[[#This Row],[rpm]]))</f>
        <v>667.09558823529403</v>
      </c>
      <c r="Q23" s="3">
        <f>MAX(0,Table7[Nm2]*MIN(Table36[ratedRpm]/MAX(1,Table15[[#This Row],[rpm]]),1-(MAX(0,Table15[[#This Row],[rpm]]-Table36[ratedRpm])/Table36[fadeOut])^Table36[fadeOutExp]))</f>
        <v>567.740926157697</v>
      </c>
      <c r="R23" s="3">
        <f>(1-(1-Table15[[#This Row],[rpm]]/Table36[idleRpm])^2)*Table7[idleTEco]</f>
        <v>0</v>
      </c>
      <c r="S23" s="3">
        <f>MAX(0,(1-Table7[f1]*(Table36[maxTRpm1]-Table15[[#This Row],[rpm]])^2)*Table36[maxTEco])</f>
        <v>144.59999999999948</v>
      </c>
      <c r="T23" s="3">
        <f>MAX(0,(Table36[linearDown]*(1-Table7[f2Eco]*(Table15[[#This Row],[rpm]]-Table36[maxTRpm]))+(1-Table36[linearDown])*(1-Table7[f3Eco]*(Table15[[#This Row],[rpm]]-Table36[maxTRpm])^2))*Table36[maxTEco])</f>
        <v>633.23402591363526</v>
      </c>
      <c r="U23" s="3">
        <f>MAX(0,(Table36[maxPSEco]-Table7[f4Eco]*(Table15[[#This Row],[rpm]]-Table36[maxPRpm])^2)/1.36*9550/MAX(1,Table15[[#This Row],[rpm]]))</f>
        <v>667.09558823529403</v>
      </c>
      <c r="V23" s="3">
        <f>MAX(0,Table7[Nm2Eco]*MIN(Table36[ratedRpm]/MAX(1,Table15[[#This Row],[rpm]]),1-(MAX(0,Table15[[#This Row],[rpm]]-Table36[ratedRpm])/Table36[fadeOut])^Table36[fadeOutExp]))</f>
        <v>567.740926157697</v>
      </c>
    </row>
    <row r="24" spans="1:22" x14ac:dyDescent="0.25">
      <c r="A24" s="3">
        <v>2050</v>
      </c>
      <c r="B2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625.11374865253322</v>
      </c>
      <c r="C24" s="20"/>
      <c r="D2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625.11374865253322</v>
      </c>
      <c r="E24" s="20"/>
      <c r="F24" s="3">
        <f>Table36[Factor]*IF(Table15[[#This Row],[manualData]]&gt;0,Table15[[#This Row],[manualData]],Table15[[#This Row],[rawData]])</f>
        <v>625.11374865253322</v>
      </c>
      <c r="G24" s="3">
        <f>Table36[Factor]*IF(Table15[[#This Row],[manDataEco]]&gt;0,Table15[[#This Row],[manDataEco]],Table15[[#This Row],[rawDataEco]])</f>
        <v>625.11374865253322</v>
      </c>
      <c r="H24" s="26">
        <f>1.36*Table15[[#This Row],[rpm]]*Table15[[#This Row],[motor]]/9550</f>
        <v>182.49394044432069</v>
      </c>
      <c r="I24" s="26">
        <f>1.36*Table15[[#This Row],[rpm]]*Table15[[#This Row],[motorEco]]/9550</f>
        <v>182.49394044432069</v>
      </c>
      <c r="J2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219.56521739130434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motorTorque="625" fuelUsageRatio="219.6"/&gt;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normRpm="0.82" torque="0.865"/&gt;</v>
      </c>
      <c r="M24" s="3">
        <f>(1-(1-Table15[[#This Row],[rpm]]/Table36[idleRpm])^2)*Table7[idleT]</f>
        <v>-70.402124999999728</v>
      </c>
      <c r="N24" s="3">
        <f>MAX(0,(1-Table7[f1]*(Table36[maxTRpm1]-Table15[[#This Row],[rpm]])^2)*Table36[maxT])</f>
        <v>70.040624999999395</v>
      </c>
      <c r="O24" s="3">
        <f>MAX(0,(Table36[linearDown]*(1-Table7[f2]*(Table15[[#This Row],[rpm]]-Table36[maxTRpm]))+(1-Table36[linearDown])*(1-Table7[f3]*(Table15[[#This Row],[rpm]]-Table36[maxTRpm])^2))*Table36[maxT])</f>
        <v>625.11374865253322</v>
      </c>
      <c r="P24" s="3">
        <f>MAX(0,(Table36[maxPS]-Table7[f4]*(Table15[[#This Row],[rpm]]-Table36[maxPRpm])^2)/1.36*9550/MAX(1,Table15[[#This Row],[rpm]]))</f>
        <v>650.82496413199408</v>
      </c>
      <c r="Q24" s="3">
        <f>MAX(0,Table7[Nm2]*MIN(Table36[ratedRpm]/MAX(1,Table15[[#This Row],[rpm]]),1-(MAX(0,Table15[[#This Row],[rpm]]-Table36[ratedRpm])/Table36[fadeOut])^Table36[fadeOutExp]))</f>
        <v>567.740926157697</v>
      </c>
      <c r="R24" s="3">
        <f>(1-(1-Table15[[#This Row],[rpm]]/Table36[idleRpm])^2)*Table7[idleTEco]</f>
        <v>-70.402124999999728</v>
      </c>
      <c r="S24" s="3">
        <f>MAX(0,(1-Table7[f1]*(Table36[maxTRpm1]-Table15[[#This Row],[rpm]])^2)*Table36[maxTEco])</f>
        <v>70.040624999999395</v>
      </c>
      <c r="T24" s="3">
        <f>MAX(0,(Table36[linearDown]*(1-Table7[f2Eco]*(Table15[[#This Row],[rpm]]-Table36[maxTRpm]))+(1-Table36[linearDown])*(1-Table7[f3Eco]*(Table15[[#This Row],[rpm]]-Table36[maxTRpm])^2))*Table36[maxTEco])</f>
        <v>625.11374865253322</v>
      </c>
      <c r="U24" s="3">
        <f>MAX(0,(Table36[maxPSEco]-Table7[f4Eco]*(Table15[[#This Row],[rpm]]-Table36[maxPRpm])^2)/1.36*9550/MAX(1,Table15[[#This Row],[rpm]]))</f>
        <v>650.82496413199408</v>
      </c>
      <c r="V24" s="3">
        <f>MAX(0,Table7[Nm2Eco]*MIN(Table36[ratedRpm]/MAX(1,Table15[[#This Row],[rpm]]),1-(MAX(0,Table15[[#This Row],[rpm]]-Table36[ratedRpm])/Table36[fadeOut])^Table36[fadeOutExp]))</f>
        <v>567.740926157697</v>
      </c>
    </row>
    <row r="25" spans="1:22" x14ac:dyDescent="0.25">
      <c r="A25" s="3">
        <v>2100</v>
      </c>
      <c r="B2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616.69818858193639</v>
      </c>
      <c r="C25" s="20"/>
      <c r="D2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616.69818858193639</v>
      </c>
      <c r="E25" s="20"/>
      <c r="F25" s="3">
        <f>Table36[Factor]*IF(Table15[[#This Row],[manualData]]&gt;0,Table15[[#This Row],[manualData]],Table15[[#This Row],[rawData]])</f>
        <v>616.69818858193639</v>
      </c>
      <c r="G25" s="3">
        <f>Table36[Factor]*IF(Table15[[#This Row],[manDataEco]]&gt;0,Table15[[#This Row],[manDataEco]],Table15[[#This Row],[rawDataEco]])</f>
        <v>616.69818858193639</v>
      </c>
      <c r="H25" s="26">
        <f>1.36*Table15[[#This Row],[rpm]]*Table15[[#This Row],[motor]]/9550</f>
        <v>184.42827503560318</v>
      </c>
      <c r="I25" s="26">
        <f>1.36*Table15[[#This Row],[rpm]]*Table15[[#This Row],[motorEco]]/9550</f>
        <v>184.42827503560318</v>
      </c>
      <c r="J2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221.08695652173913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motorTorque="617" fuelUsageRatio="221.1"/&gt;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normRpm="0.84" torque="0.853"/&gt;</v>
      </c>
      <c r="M25" s="3">
        <f>(1-(1-Table15[[#This Row],[rpm]]/Table36[idleRpm])^2)*Table7[idleT]</f>
        <v>-144.23850000000013</v>
      </c>
      <c r="N25" s="3">
        <f>MAX(0,(1-Table7[f1]*(Table36[maxTRpm1]-Table15[[#This Row],[rpm]])^2)*Table36[maxT])</f>
        <v>0</v>
      </c>
      <c r="O25" s="3">
        <f>MAX(0,(Table36[linearDown]*(1-Table7[f2]*(Table15[[#This Row],[rpm]]-Table36[maxTRpm]))+(1-Table36[linearDown])*(1-Table7[f3]*(Table15[[#This Row],[rpm]]-Table36[maxTRpm])^2))*Table36[maxT])</f>
        <v>616.69818858193639</v>
      </c>
      <c r="P25" s="3">
        <f>MAX(0,(Table36[maxPS]-Table7[f4]*(Table15[[#This Row],[rpm]]-Table36[maxPRpm])^2)/1.36*9550/MAX(1,Table15[[#This Row],[rpm]]))</f>
        <v>635.32913165266098</v>
      </c>
      <c r="Q25" s="3">
        <f>MAX(0,Table7[Nm2]*MIN(Table36[ratedRpm]/MAX(1,Table15[[#This Row],[rpm]]),1-(MAX(0,Table15[[#This Row],[rpm]]-Table36[ratedRpm])/Table36[fadeOut])^Table36[fadeOutExp]))</f>
        <v>567.740926157697</v>
      </c>
      <c r="R25" s="3">
        <f>(1-(1-Table15[[#This Row],[rpm]]/Table36[idleRpm])^2)*Table7[idleTEco]</f>
        <v>-144.23850000000013</v>
      </c>
      <c r="S25" s="3">
        <f>MAX(0,(1-Table7[f1]*(Table36[maxTRpm1]-Table15[[#This Row],[rpm]])^2)*Table36[maxTEco])</f>
        <v>0</v>
      </c>
      <c r="T25" s="3">
        <f>MAX(0,(Table36[linearDown]*(1-Table7[f2Eco]*(Table15[[#This Row],[rpm]]-Table36[maxTRpm]))+(1-Table36[linearDown])*(1-Table7[f3Eco]*(Table15[[#This Row],[rpm]]-Table36[maxTRpm])^2))*Table36[maxTEco])</f>
        <v>616.69818858193639</v>
      </c>
      <c r="U25" s="3">
        <f>MAX(0,(Table36[maxPSEco]-Table7[f4Eco]*(Table15[[#This Row],[rpm]]-Table36[maxPRpm])^2)/1.36*9550/MAX(1,Table15[[#This Row],[rpm]]))</f>
        <v>635.32913165266098</v>
      </c>
      <c r="V25" s="3">
        <f>MAX(0,Table7[Nm2Eco]*MIN(Table36[ratedRpm]/MAX(1,Table15[[#This Row],[rpm]]),1-(MAX(0,Table15[[#This Row],[rpm]]-Table36[ratedRpm])/Table36[fadeOut])^Table36[fadeOutExp]))</f>
        <v>567.740926157697</v>
      </c>
    </row>
    <row r="26" spans="1:22" x14ac:dyDescent="0.25">
      <c r="A26" s="3">
        <v>2150</v>
      </c>
      <c r="B2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607.98734570184524</v>
      </c>
      <c r="C26" s="20"/>
      <c r="D2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607.98734570184524</v>
      </c>
      <c r="E26" s="20"/>
      <c r="F26" s="3">
        <f>Table36[Factor]*IF(Table15[[#This Row],[manualData]]&gt;0,Table15[[#This Row],[manualData]],Table15[[#This Row],[rawData]])</f>
        <v>607.98734570184524</v>
      </c>
      <c r="G26" s="3">
        <f>Table36[Factor]*IF(Table15[[#This Row],[manDataEco]]&gt;0,Table15[[#This Row],[manDataEco]],Table15[[#This Row],[rawDataEco]])</f>
        <v>607.98734570184524</v>
      </c>
      <c r="H26" s="26">
        <f>1.36*Table15[[#This Row],[rpm]]*Table15[[#This Row],[motor]]/9550</f>
        <v>186.15235589865921</v>
      </c>
      <c r="I26" s="26">
        <f>1.36*Table15[[#This Row],[rpm]]*Table15[[#This Row],[motorEco]]/9550</f>
        <v>186.15235589865921</v>
      </c>
      <c r="J2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222.69565217391303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motorTorque="608" fuelUsageRatio="222.7"/&gt;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normRpm="0.86" torque="0.841"/&gt;</v>
      </c>
      <c r="M26" s="3">
        <f>(1-(1-Table15[[#This Row],[rpm]]/Table36[idleRpm])^2)*Table7[idleT]</f>
        <v>-221.50912499999987</v>
      </c>
      <c r="N26" s="3">
        <f>MAX(0,(1-Table7[f1]*(Table36[maxTRpm1]-Table15[[#This Row],[rpm]])^2)*Table36[maxT])</f>
        <v>0</v>
      </c>
      <c r="O26" s="3">
        <f>MAX(0,(Table36[linearDown]*(1-Table7[f2]*(Table15[[#This Row],[rpm]]-Table36[maxTRpm]))+(1-Table36[linearDown])*(1-Table7[f3]*(Table15[[#This Row],[rpm]]-Table36[maxTRpm])^2))*Table36[maxT])</f>
        <v>607.98734570184524</v>
      </c>
      <c r="P26" s="3">
        <f>MAX(0,(Table36[maxPS]-Table7[f4]*(Table15[[#This Row],[rpm]]-Table36[maxPRpm])^2)/1.36*9550/MAX(1,Table15[[#This Row],[rpm]]))</f>
        <v>620.55403556771535</v>
      </c>
      <c r="Q26" s="3">
        <f>MAX(0,Table7[Nm2]*MIN(Table36[ratedRpm]/MAX(1,Table15[[#This Row],[rpm]]),1-(MAX(0,Table15[[#This Row],[rpm]]-Table36[ratedRpm])/Table36[fadeOut])^Table36[fadeOutExp]))</f>
        <v>567.740926157697</v>
      </c>
      <c r="R26" s="3">
        <f>(1-(1-Table15[[#This Row],[rpm]]/Table36[idleRpm])^2)*Table7[idleTEco]</f>
        <v>-221.50912499999987</v>
      </c>
      <c r="S26" s="3">
        <f>MAX(0,(1-Table7[f1]*(Table36[maxTRpm1]-Table15[[#This Row],[rpm]])^2)*Table36[maxTEco])</f>
        <v>0</v>
      </c>
      <c r="T26" s="3">
        <f>MAX(0,(Table36[linearDown]*(1-Table7[f2Eco]*(Table15[[#This Row],[rpm]]-Table36[maxTRpm]))+(1-Table36[linearDown])*(1-Table7[f3Eco]*(Table15[[#This Row],[rpm]]-Table36[maxTRpm])^2))*Table36[maxTEco])</f>
        <v>607.98734570184524</v>
      </c>
      <c r="U26" s="3">
        <f>MAX(0,(Table36[maxPSEco]-Table7[f4Eco]*(Table15[[#This Row],[rpm]]-Table36[maxPRpm])^2)/1.36*9550/MAX(1,Table15[[#This Row],[rpm]]))</f>
        <v>620.55403556771535</v>
      </c>
      <c r="V26" s="3">
        <f>MAX(0,Table7[Nm2Eco]*MIN(Table36[ratedRpm]/MAX(1,Table15[[#This Row],[rpm]]),1-(MAX(0,Table15[[#This Row],[rpm]]-Table36[ratedRpm])/Table36[fadeOut])^Table36[fadeOutExp]))</f>
        <v>567.740926157697</v>
      </c>
    </row>
    <row r="27" spans="1:22" x14ac:dyDescent="0.25">
      <c r="A27" s="3">
        <v>2200</v>
      </c>
      <c r="B2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598.9812200122592</v>
      </c>
      <c r="C27" s="20"/>
      <c r="D2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598.9812200122592</v>
      </c>
      <c r="E27" s="20"/>
      <c r="F27" s="3">
        <f>Table36[Factor]*IF(Table15[[#This Row],[manualData]]&gt;0,Table15[[#This Row],[manualData]],Table15[[#This Row],[rawData]])</f>
        <v>598.9812200122592</v>
      </c>
      <c r="G27" s="3">
        <f>Table36[Factor]*IF(Table15[[#This Row],[manDataEco]]&gt;0,Table15[[#This Row],[manDataEco]],Table15[[#This Row],[rawDataEco]])</f>
        <v>598.9812200122592</v>
      </c>
      <c r="H27" s="3">
        <f>1.36*Table15[[#This Row],[rpm]]*Table15[[#This Row],[motor]]/9550</f>
        <v>187.65987542164183</v>
      </c>
      <c r="I27" s="3">
        <f>1.36*Table15[[#This Row],[rpm]]*Table15[[#This Row],[motorEco]]/9550</f>
        <v>187.65987542164183</v>
      </c>
      <c r="J2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224.39130434782609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motorTorque="599" fuelUsageRatio="224.4"/&gt;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normRpm="0.88" torque="0.828"/&gt;</v>
      </c>
      <c r="M27" s="3">
        <f>(1-(1-Table15[[#This Row],[rpm]]/Table36[idleRpm])^2)*Table7[idleT]</f>
        <v>-302.21400000000028</v>
      </c>
      <c r="N27" s="3">
        <f>MAX(0,(1-Table7[f1]*(Table36[maxTRpm1]-Table15[[#This Row],[rpm]])^2)*Table36[maxT])</f>
        <v>0</v>
      </c>
      <c r="O27" s="3">
        <f>MAX(0,(Table36[linearDown]*(1-Table7[f2]*(Table15[[#This Row],[rpm]]-Table36[maxTRpm]))+(1-Table36[linearDown])*(1-Table7[f3]*(Table15[[#This Row],[rpm]]-Table36[maxTRpm])^2))*Table36[maxT])</f>
        <v>598.9812200122592</v>
      </c>
      <c r="P27" s="3">
        <f>MAX(0,(Table36[maxPS]-Table7[f4]*(Table15[[#This Row],[rpm]]-Table36[maxPRpm])^2)/1.36*9550/MAX(1,Table15[[#This Row],[rpm]]))</f>
        <v>606.45053475935822</v>
      </c>
      <c r="Q27" s="3">
        <f>MAX(0,Table7[Nm2]*MIN(Table36[ratedRpm]/MAX(1,Table15[[#This Row],[rpm]]),1-(MAX(0,Table15[[#This Row],[rpm]]-Table36[ratedRpm])/Table36[fadeOut])^Table36[fadeOutExp]))</f>
        <v>567.740926157697</v>
      </c>
      <c r="R27" s="3">
        <f>(1-(1-Table15[[#This Row],[rpm]]/Table36[idleRpm])^2)*Table7[idleTEco]</f>
        <v>-302.21400000000028</v>
      </c>
      <c r="S27" s="3">
        <f>MAX(0,(1-Table7[f1]*(Table36[maxTRpm1]-Table15[[#This Row],[rpm]])^2)*Table36[maxTEco])</f>
        <v>0</v>
      </c>
      <c r="T27" s="3">
        <f>MAX(0,(Table36[linearDown]*(1-Table7[f2Eco]*(Table15[[#This Row],[rpm]]-Table36[maxTRpm]))+(1-Table36[linearDown])*(1-Table7[f3Eco]*(Table15[[#This Row],[rpm]]-Table36[maxTRpm])^2))*Table36[maxTEco])</f>
        <v>598.9812200122592</v>
      </c>
      <c r="U27" s="3">
        <f>MAX(0,(Table36[maxPSEco]-Table7[f4Eco]*(Table15[[#This Row],[rpm]]-Table36[maxPRpm])^2)/1.36*9550/MAX(1,Table15[[#This Row],[rpm]]))</f>
        <v>606.45053475935822</v>
      </c>
      <c r="V27" s="3">
        <f>MAX(0,Table7[Nm2Eco]*MIN(Table36[ratedRpm]/MAX(1,Table15[[#This Row],[rpm]]),1-(MAX(0,Table15[[#This Row],[rpm]]-Table36[ratedRpm])/Table36[fadeOut])^Table36[fadeOutExp]))</f>
        <v>567.740926157697</v>
      </c>
    </row>
    <row r="28" spans="1:22" x14ac:dyDescent="0.25">
      <c r="A28" s="3">
        <v>2250</v>
      </c>
      <c r="B2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589.67981151317861</v>
      </c>
      <c r="C28" s="20"/>
      <c r="D2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589.67981151317861</v>
      </c>
      <c r="E28" s="20"/>
      <c r="F28" s="3">
        <f>Table36[Factor]*IF(Table15[[#This Row],[manualData]]&gt;0,Table15[[#This Row],[manualData]],Table15[[#This Row],[rawData]])</f>
        <v>589.67981151317861</v>
      </c>
      <c r="G28" s="3">
        <f>Table36[Factor]*IF(Table15[[#This Row],[manDataEco]]&gt;0,Table15[[#This Row],[manDataEco]],Table15[[#This Row],[rawDataEco]])</f>
        <v>589.67981151317861</v>
      </c>
      <c r="H28" s="3">
        <f>1.36*Table15[[#This Row],[rpm]]*Table15[[#This Row],[motor]]/9550</f>
        <v>188.94452599270434</v>
      </c>
      <c r="I28" s="3">
        <f>1.36*Table15[[#This Row],[rpm]]*Table15[[#This Row],[motorEco]]/9550</f>
        <v>188.94452599270434</v>
      </c>
      <c r="J2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226.17391304347825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motorTorque="590" fuelUsageRatio="226.2"/&gt;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normRpm="0.9" torque="0.816"/&gt;</v>
      </c>
      <c r="M28" s="3">
        <f>(1-(1-Table15[[#This Row],[rpm]]/Table36[idleRpm])^2)*Table7[idleT]</f>
        <v>-386.35312500000003</v>
      </c>
      <c r="N28" s="3">
        <f>MAX(0,(1-Table7[f1]*(Table36[maxTRpm1]-Table15[[#This Row],[rpm]])^2)*Table36[maxT])</f>
        <v>0</v>
      </c>
      <c r="O28" s="3">
        <f>MAX(0,(Table36[linearDown]*(1-Table7[f2]*(Table15[[#This Row],[rpm]]-Table36[maxTRpm]))+(1-Table36[linearDown])*(1-Table7[f3]*(Table15[[#This Row],[rpm]]-Table36[maxTRpm])^2))*Table36[maxT])</f>
        <v>589.67981151317861</v>
      </c>
      <c r="P28" s="3">
        <f>MAX(0,(Table36[maxPS]-Table7[f4]*(Table15[[#This Row],[rpm]]-Table36[maxPRpm])^2)/1.36*9550/MAX(1,Table15[[#This Row],[rpm]]))</f>
        <v>592.9738562091502</v>
      </c>
      <c r="Q28" s="3">
        <f>MAX(0,Table7[Nm2]*MIN(Table36[ratedRpm]/MAX(1,Table15[[#This Row],[rpm]]),1-(MAX(0,Table15[[#This Row],[rpm]]-Table36[ratedRpm])/Table36[fadeOut])^Table36[fadeOutExp]))</f>
        <v>567.740926157697</v>
      </c>
      <c r="R28" s="3">
        <f>(1-(1-Table15[[#This Row],[rpm]]/Table36[idleRpm])^2)*Table7[idleTEco]</f>
        <v>-386.35312500000003</v>
      </c>
      <c r="S28" s="3">
        <f>MAX(0,(1-Table7[f1]*(Table36[maxTRpm1]-Table15[[#This Row],[rpm]])^2)*Table36[maxTEco])</f>
        <v>0</v>
      </c>
      <c r="T28" s="3">
        <f>MAX(0,(Table36[linearDown]*(1-Table7[f2Eco]*(Table15[[#This Row],[rpm]]-Table36[maxTRpm]))+(1-Table36[linearDown])*(1-Table7[f3Eco]*(Table15[[#This Row],[rpm]]-Table36[maxTRpm])^2))*Table36[maxTEco])</f>
        <v>589.67981151317861</v>
      </c>
      <c r="U28" s="3">
        <f>MAX(0,(Table36[maxPSEco]-Table7[f4Eco]*(Table15[[#This Row],[rpm]]-Table36[maxPRpm])^2)/1.36*9550/MAX(1,Table15[[#This Row],[rpm]]))</f>
        <v>592.9738562091502</v>
      </c>
      <c r="V28" s="3">
        <f>MAX(0,Table7[Nm2Eco]*MIN(Table36[ratedRpm]/MAX(1,Table15[[#This Row],[rpm]]),1-(MAX(0,Table15[[#This Row],[rpm]]-Table36[ratedRpm])/Table36[fadeOut])^Table36[fadeOutExp]))</f>
        <v>567.740926157697</v>
      </c>
    </row>
    <row r="29" spans="1:22" x14ac:dyDescent="0.25">
      <c r="A29" s="3">
        <v>2300</v>
      </c>
      <c r="B2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580.08312020460346</v>
      </c>
      <c r="C29" s="20"/>
      <c r="D2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580.08312020460346</v>
      </c>
      <c r="E29" s="20"/>
      <c r="F29" s="3">
        <f>Table36[Factor]*IF(Table15[[#This Row],[manualData]]&gt;0,Table15[[#This Row],[manualData]],Table15[[#This Row],[rawData]])</f>
        <v>580.08312020460346</v>
      </c>
      <c r="G29" s="3">
        <f>Table36[Factor]*IF(Table15[[#This Row],[manDataEco]]&gt;0,Table15[[#This Row],[manDataEco]],Table15[[#This Row],[rawDataEco]])</f>
        <v>580.08312020460346</v>
      </c>
      <c r="H29" s="3">
        <f>1.36*Table15[[#This Row],[rpm]]*Table15[[#This Row],[motor]]/9550</f>
        <v>189.99999999999994</v>
      </c>
      <c r="I29" s="3">
        <f>1.36*Table15[[#This Row],[rpm]]*Table15[[#This Row],[motorEco]]/9550</f>
        <v>189.99999999999994</v>
      </c>
      <c r="J2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228.04347826086956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motorTorque="580" fuelUsageRatio="228"/&gt;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normRpm="0.92" torque="0.802"/&gt;</v>
      </c>
      <c r="M29" s="3">
        <f>(1-(1-Table15[[#This Row],[rpm]]/Table36[idleRpm])^2)*Table7[idleT]</f>
        <v>-473.92649999999969</v>
      </c>
      <c r="N29" s="3">
        <f>MAX(0,(1-Table7[f1]*(Table36[maxTRpm1]-Table15[[#This Row],[rpm]])^2)*Table36[maxT])</f>
        <v>0</v>
      </c>
      <c r="O29" s="3">
        <f>MAX(0,(Table36[linearDown]*(1-Table7[f2]*(Table15[[#This Row],[rpm]]-Table36[maxTRpm]))+(1-Table36[linearDown])*(1-Table7[f3]*(Table15[[#This Row],[rpm]]-Table36[maxTRpm])^2))*Table36[maxT])</f>
        <v>580.08312020460346</v>
      </c>
      <c r="P29" s="3">
        <f>MAX(0,(Table36[maxPS]-Table7[f4]*(Table15[[#This Row],[rpm]]-Table36[maxPRpm])^2)/1.36*9550/MAX(1,Table15[[#This Row],[rpm]]))</f>
        <v>580.08312020460346</v>
      </c>
      <c r="Q29" s="3">
        <f>MAX(0,Table7[Nm2]*MIN(Table36[ratedRpm]/MAX(1,Table15[[#This Row],[rpm]]),1-(MAX(0,Table15[[#This Row],[rpm]]-Table36[ratedRpm])/Table36[fadeOut])^Table36[fadeOutExp]))</f>
        <v>567.740926157697</v>
      </c>
      <c r="R29" s="3">
        <f>(1-(1-Table15[[#This Row],[rpm]]/Table36[idleRpm])^2)*Table7[idleTEco]</f>
        <v>-473.92649999999969</v>
      </c>
      <c r="S29" s="3">
        <f>MAX(0,(1-Table7[f1]*(Table36[maxTRpm1]-Table15[[#This Row],[rpm]])^2)*Table36[maxTEco])</f>
        <v>0</v>
      </c>
      <c r="T29" s="3">
        <f>MAX(0,(Table36[linearDown]*(1-Table7[f2Eco]*(Table15[[#This Row],[rpm]]-Table36[maxTRpm]))+(1-Table36[linearDown])*(1-Table7[f3Eco]*(Table15[[#This Row],[rpm]]-Table36[maxTRpm])^2))*Table36[maxTEco])</f>
        <v>580.08312020460346</v>
      </c>
      <c r="U29" s="3">
        <f>MAX(0,(Table36[maxPSEco]-Table7[f4Eco]*(Table15[[#This Row],[rpm]]-Table36[maxPRpm])^2)/1.36*9550/MAX(1,Table15[[#This Row],[rpm]]))</f>
        <v>580.08312020460346</v>
      </c>
      <c r="V29" s="3">
        <f>MAX(0,Table7[Nm2Eco]*MIN(Table36[ratedRpm]/MAX(1,Table15[[#This Row],[rpm]]),1-(MAX(0,Table15[[#This Row],[rpm]]-Table36[ratedRpm])/Table36[fadeOut])^Table36[fadeOutExp]))</f>
        <v>567.740926157697</v>
      </c>
    </row>
    <row r="30" spans="1:22" x14ac:dyDescent="0.25">
      <c r="A30" s="3">
        <v>2350</v>
      </c>
      <c r="B3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567.740926157697</v>
      </c>
      <c r="C30" s="20"/>
      <c r="D3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567.740926157697</v>
      </c>
      <c r="E30" s="20"/>
      <c r="F30" s="3">
        <f>Table36[Factor]*IF(Table15[[#This Row],[manualData]]&gt;0,Table15[[#This Row],[manualData]],Table15[[#This Row],[rawData]])</f>
        <v>567.740926157697</v>
      </c>
      <c r="G30" s="3">
        <f>Table36[Factor]*IF(Table15[[#This Row],[manDataEco]]&gt;0,Table15[[#This Row],[manDataEco]],Table15[[#This Row],[rawDataEco]])</f>
        <v>567.740926157697</v>
      </c>
      <c r="H30" s="3">
        <f>1.36*Table15[[#This Row],[rpm]]*Table15[[#This Row],[motor]]/9550</f>
        <v>189.99999999999997</v>
      </c>
      <c r="I30" s="3">
        <f>1.36*Table15[[#This Row],[rpm]]*Table15[[#This Row],[motorEco]]/9550</f>
        <v>189.99999999999997</v>
      </c>
      <c r="J3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motorTorque="568" fuelUsageRatio="230"/&gt;</v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normRpm="0.94" torque="0.785"/&gt;</v>
      </c>
      <c r="M30" s="3">
        <f>(1-(1-Table15[[#This Row],[rpm]]/Table36[idleRpm])^2)*Table7[idleT]</f>
        <v>-564.93412500000022</v>
      </c>
      <c r="N30" s="3">
        <f>MAX(0,(1-Table7[f1]*(Table36[maxTRpm1]-Table15[[#This Row],[rpm]])^2)*Table36[maxT])</f>
        <v>0</v>
      </c>
      <c r="O30" s="3">
        <f>MAX(0,(Table36[linearDown]*(1-Table7[f2]*(Table15[[#This Row],[rpm]]-Table36[maxTRpm]))+(1-Table36[linearDown])*(1-Table7[f3]*(Table15[[#This Row],[rpm]]-Table36[maxTRpm])^2))*Table36[maxT])</f>
        <v>570.19114608653365</v>
      </c>
      <c r="P30" s="3">
        <f>MAX(0,(Table36[maxPS]-Table7[f4]*(Table15[[#This Row],[rpm]]-Table36[maxPRpm])^2)/1.36*9550/MAX(1,Table15[[#This Row],[rpm]]))</f>
        <v>567.740926157697</v>
      </c>
      <c r="Q30" s="3">
        <f>MAX(0,Table7[Nm2]*MIN(Table36[ratedRpm]/MAX(1,Table15[[#This Row],[rpm]]),1-(MAX(0,Table15[[#This Row],[rpm]]-Table36[ratedRpm])/Table36[fadeOut])^Table36[fadeOutExp]))</f>
        <v>567.740926157697</v>
      </c>
      <c r="R30" s="3">
        <f>(1-(1-Table15[[#This Row],[rpm]]/Table36[idleRpm])^2)*Table7[idleTEco]</f>
        <v>-564.93412500000022</v>
      </c>
      <c r="S30" s="3">
        <f>MAX(0,(1-Table7[f1]*(Table36[maxTRpm1]-Table15[[#This Row],[rpm]])^2)*Table36[maxTEco])</f>
        <v>0</v>
      </c>
      <c r="T30" s="3">
        <f>MAX(0,(Table36[linearDown]*(1-Table7[f2Eco]*(Table15[[#This Row],[rpm]]-Table36[maxTRpm]))+(1-Table36[linearDown])*(1-Table7[f3Eco]*(Table15[[#This Row],[rpm]]-Table36[maxTRpm])^2))*Table36[maxTEco])</f>
        <v>570.19114608653365</v>
      </c>
      <c r="U30" s="3">
        <f>MAX(0,(Table36[maxPSEco]-Table7[f4Eco]*(Table15[[#This Row],[rpm]]-Table36[maxPRpm])^2)/1.36*9550/MAX(1,Table15[[#This Row],[rpm]]))</f>
        <v>567.740926157697</v>
      </c>
      <c r="V30" s="3">
        <f>MAX(0,Table7[Nm2Eco]*MIN(Table36[ratedRpm]/MAX(1,Table15[[#This Row],[rpm]]),1-(MAX(0,Table15[[#This Row],[rpm]]-Table36[ratedRpm])/Table36[fadeOut])^Table36[fadeOutExp]))</f>
        <v>567.740926157697</v>
      </c>
    </row>
    <row r="31" spans="1:22" x14ac:dyDescent="0.25">
      <c r="A31" s="3">
        <v>2400</v>
      </c>
      <c r="B3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530.68477415232394</v>
      </c>
      <c r="C31" s="20"/>
      <c r="D3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530.68477415232394</v>
      </c>
      <c r="E31" s="20"/>
      <c r="F31" s="3">
        <f>Table36[Factor]*IF(Table15[[#This Row],[manualData]]&gt;0,Table15[[#This Row],[manualData]],Table15[[#This Row],[rawData]])</f>
        <v>530.68477415232394</v>
      </c>
      <c r="G31" s="3">
        <f>Table36[Factor]*IF(Table15[[#This Row],[manDataEco]]&gt;0,Table15[[#This Row],[manDataEco]],Table15[[#This Row],[rawDataEco]])</f>
        <v>530.68477415232394</v>
      </c>
      <c r="H31" s="3">
        <f>1.36*Table15[[#This Row],[rpm]]*Table15[[#This Row],[motor]]/9550</f>
        <v>181.3774976788676</v>
      </c>
      <c r="I31" s="3">
        <f>1.36*Table15[[#This Row],[rpm]]*Table15[[#This Row],[motorEco]]/9550</f>
        <v>181.3774976788676</v>
      </c>
      <c r="J3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234.15579847252829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motorTorque="531" fuelUsageRatio="234.2"/&gt;</v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normRpm="0.96" torque="0.734"/&gt;</v>
      </c>
      <c r="M31" s="3">
        <f>(1-(1-Table15[[#This Row],[rpm]]/Table36[idleRpm])^2)*Table7[idleT]</f>
        <v>-659.37599999999986</v>
      </c>
      <c r="N31" s="3">
        <f>MAX(0,(1-Table7[f1]*(Table36[maxTRpm1]-Table15[[#This Row],[rpm]])^2)*Table36[maxT])</f>
        <v>0</v>
      </c>
      <c r="O31" s="3">
        <f>MAX(0,(Table36[linearDown]*(1-Table7[f2]*(Table15[[#This Row],[rpm]]-Table36[maxTRpm]))+(1-Table36[linearDown])*(1-Table7[f3]*(Table15[[#This Row],[rpm]]-Table36[maxTRpm])^2))*Table36[maxT])</f>
        <v>560.00388915896929</v>
      </c>
      <c r="P31" s="3">
        <f>MAX(0,(Table36[maxPS]-Table7[f4]*(Table15[[#This Row],[rpm]]-Table36[maxPRpm])^2)/1.36*9550/MAX(1,Table15[[#This Row],[rpm]]))</f>
        <v>555.91299019607834</v>
      </c>
      <c r="Q31" s="3">
        <f>MAX(0,Table7[Nm2]*MIN(Table36[ratedRpm]/MAX(1,Table15[[#This Row],[rpm]]),1-(MAX(0,Table15[[#This Row],[rpm]]-Table36[ratedRpm])/Table36[fadeOut])^Table36[fadeOutExp]))</f>
        <v>530.68477415232394</v>
      </c>
      <c r="R31" s="3">
        <f>(1-(1-Table15[[#This Row],[rpm]]/Table36[idleRpm])^2)*Table7[idleTEco]</f>
        <v>-659.37599999999986</v>
      </c>
      <c r="S31" s="3">
        <f>MAX(0,(1-Table7[f1]*(Table36[maxTRpm1]-Table15[[#This Row],[rpm]])^2)*Table36[maxTEco])</f>
        <v>0</v>
      </c>
      <c r="T31" s="3">
        <f>MAX(0,(Table36[linearDown]*(1-Table7[f2Eco]*(Table15[[#This Row],[rpm]]-Table36[maxTRpm]))+(1-Table36[linearDown])*(1-Table7[f3Eco]*(Table15[[#This Row],[rpm]]-Table36[maxTRpm])^2))*Table36[maxTEco])</f>
        <v>560.00388915896929</v>
      </c>
      <c r="U31" s="3">
        <f>MAX(0,(Table36[maxPSEco]-Table7[f4Eco]*(Table15[[#This Row],[rpm]]-Table36[maxPRpm])^2)/1.36*9550/MAX(1,Table15[[#This Row],[rpm]]))</f>
        <v>555.91299019607834</v>
      </c>
      <c r="V31" s="3">
        <f>MAX(0,Table7[Nm2Eco]*MIN(Table36[ratedRpm]/MAX(1,Table15[[#This Row],[rpm]]),1-(MAX(0,Table15[[#This Row],[rpm]]-Table36[ratedRpm])/Table36[fadeOut])^Table36[fadeOutExp]))</f>
        <v>530.68477415232394</v>
      </c>
    </row>
    <row r="32" spans="1:22" x14ac:dyDescent="0.25">
      <c r="A32" s="3">
        <v>2450</v>
      </c>
      <c r="B3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447.34513309327622</v>
      </c>
      <c r="C32" s="20"/>
      <c r="D3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447.34513309327622</v>
      </c>
      <c r="E32" s="20"/>
      <c r="F32" s="3">
        <f>Table36[Factor]*IF(Table15[[#This Row],[manualData]]&gt;0,Table15[[#This Row],[manualData]],Table15[[#This Row],[rawData]])</f>
        <v>447.34513309327622</v>
      </c>
      <c r="G32" s="3">
        <f>Table36[Factor]*IF(Table15[[#This Row],[manDataEco]]&gt;0,Table15[[#This Row],[manDataEco]],Table15[[#This Row],[rawDataEco]])</f>
        <v>447.34513309327622</v>
      </c>
      <c r="H32" s="3">
        <f>1.36*Table15[[#This Row],[rpm]]*Table15[[#This Row],[motor]]/9550</f>
        <v>156.07895114835566</v>
      </c>
      <c r="I32" s="3">
        <f>1.36*Table15[[#This Row],[rpm]]*Table15[[#This Row],[motorEco]]/9550</f>
        <v>156.07895114835566</v>
      </c>
      <c r="J3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253.50874624935562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rpm="2450" motorTorque="447" fuelUsageRatio="253.5"/&gt;</v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normRpm="0.98" torque="0.619"/&gt;</v>
      </c>
      <c r="M32" s="3">
        <f>(1-(1-Table15[[#This Row],[rpm]]/Table36[idleRpm])^2)*Table7[idleT]</f>
        <v>-757.25212500000032</v>
      </c>
      <c r="N32" s="3">
        <f>MAX(0,(1-Table7[f1]*(Table36[maxTRpm1]-Table15[[#This Row],[rpm]])^2)*Table36[maxT])</f>
        <v>0</v>
      </c>
      <c r="O32" s="3">
        <f>MAX(0,(Table36[linearDown]*(1-Table7[f2]*(Table15[[#This Row],[rpm]]-Table36[maxTRpm]))+(1-Table36[linearDown])*(1-Table7[f3]*(Table15[[#This Row],[rpm]]-Table36[maxTRpm])^2))*Table36[maxT])</f>
        <v>549.52134942191014</v>
      </c>
      <c r="P32" s="3">
        <f>MAX(0,(Table36[maxPS]-Table7[f4]*(Table15[[#This Row],[rpm]]-Table36[maxPRpm])^2)/1.36*9550/MAX(1,Table15[[#This Row],[rpm]]))</f>
        <v>544.56782713085227</v>
      </c>
      <c r="Q32" s="3">
        <f>MAX(0,Table7[Nm2]*MIN(Table36[ratedRpm]/MAX(1,Table15[[#This Row],[rpm]]),1-(MAX(0,Table15[[#This Row],[rpm]]-Table36[ratedRpm])/Table36[fadeOut])^Table36[fadeOutExp]))</f>
        <v>447.34513309327622</v>
      </c>
      <c r="R32" s="3">
        <f>(1-(1-Table15[[#This Row],[rpm]]/Table36[idleRpm])^2)*Table7[idleTEco]</f>
        <v>-757.25212500000032</v>
      </c>
      <c r="S32" s="3">
        <f>MAX(0,(1-Table7[f1]*(Table36[maxTRpm1]-Table15[[#This Row],[rpm]])^2)*Table36[maxTEco])</f>
        <v>0</v>
      </c>
      <c r="T32" s="3">
        <f>MAX(0,(Table36[linearDown]*(1-Table7[f2Eco]*(Table15[[#This Row],[rpm]]-Table36[maxTRpm]))+(1-Table36[linearDown])*(1-Table7[f3Eco]*(Table15[[#This Row],[rpm]]-Table36[maxTRpm])^2))*Table36[maxTEco])</f>
        <v>549.52134942191014</v>
      </c>
      <c r="U32" s="3">
        <f>MAX(0,(Table36[maxPSEco]-Table7[f4Eco]*(Table15[[#This Row],[rpm]]-Table36[maxPRpm])^2)/1.36*9550/MAX(1,Table15[[#This Row],[rpm]]))</f>
        <v>544.56782713085227</v>
      </c>
      <c r="V32" s="3">
        <f>MAX(0,Table7[Nm2Eco]*MIN(Table36[ratedRpm]/MAX(1,Table15[[#This Row],[rpm]]),1-(MAX(0,Table15[[#This Row],[rpm]]-Table36[ratedRpm])/Table36[fadeOut])^Table36[fadeOutExp]))</f>
        <v>447.34513309327622</v>
      </c>
    </row>
    <row r="33" spans="1:22" x14ac:dyDescent="0.25">
      <c r="A33" s="3">
        <v>2500</v>
      </c>
      <c r="B3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327.87616370950997</v>
      </c>
      <c r="C33" s="20"/>
      <c r="D3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327.87616370950997</v>
      </c>
      <c r="E33" s="20"/>
      <c r="F33" s="3">
        <f>Table36[Factor]*IF(Table15[[#This Row],[manualData]]&gt;0,Table15[[#This Row],[manualData]],Table15[[#This Row],[rawData]])</f>
        <v>327.87616370950997</v>
      </c>
      <c r="G33" s="3">
        <f>Table36[Factor]*IF(Table15[[#This Row],[manDataEco]]&gt;0,Table15[[#This Row],[manDataEco]],Table15[[#This Row],[rawDataEco]])</f>
        <v>327.87616370950997</v>
      </c>
      <c r="H33" s="3">
        <f>1.36*Table15[[#This Row],[rpm]]*Table15[[#This Row],[motor]]/9550</f>
        <v>116.73078079710305</v>
      </c>
      <c r="I33" s="3">
        <f>1.36*Table15[[#This Row],[rpm]]*Table15[[#This Row],[motorEco]]/9550</f>
        <v>116.73078079710305</v>
      </c>
      <c r="J3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294.7824869039253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rpm="2500" motorTorque="328" fuelUsageRatio="294.8"/&gt;</v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torque="0.453"/&gt;</v>
      </c>
      <c r="M33" s="3">
        <f>(1-(1-Table15[[#This Row],[rpm]]/Table36[idleRpm])^2)*Table7[idleT]</f>
        <v>-858.5625</v>
      </c>
      <c r="N33" s="3">
        <f>MAX(0,(1-Table7[f1]*(Table36[maxTRpm1]-Table15[[#This Row],[rpm]])^2)*Table36[maxT])</f>
        <v>0</v>
      </c>
      <c r="O33" s="3">
        <f>MAX(0,(Table36[linearDown]*(1-Table7[f2]*(Table15[[#This Row],[rpm]]-Table36[maxTRpm]))+(1-Table36[linearDown])*(1-Table7[f3]*(Table15[[#This Row],[rpm]]-Table36[maxTRpm])^2))*Table36[maxT])</f>
        <v>538.74352687535657</v>
      </c>
      <c r="P33" s="3">
        <f>MAX(0,(Table36[maxPS]-Table7[f4]*(Table15[[#This Row],[rpm]]-Table36[maxPRpm])^2)/1.36*9550/MAX(1,Table15[[#This Row],[rpm]]))</f>
        <v>533.67647058823513</v>
      </c>
      <c r="Q33" s="3">
        <f>MAX(0,Table7[Nm2]*MIN(Table36[ratedRpm]/MAX(1,Table15[[#This Row],[rpm]]),1-(MAX(0,Table15[[#This Row],[rpm]]-Table36[ratedRpm])/Table36[fadeOut])^Table36[fadeOutExp]))</f>
        <v>327.87616370950997</v>
      </c>
      <c r="R33" s="3">
        <f>(1-(1-Table15[[#This Row],[rpm]]/Table36[idleRpm])^2)*Table7[idleTEco]</f>
        <v>-858.5625</v>
      </c>
      <c r="S33" s="3">
        <f>MAX(0,(1-Table7[f1]*(Table36[maxTRpm1]-Table15[[#This Row],[rpm]])^2)*Table36[maxTEco])</f>
        <v>0</v>
      </c>
      <c r="T33" s="3">
        <f>MAX(0,(Table36[linearDown]*(1-Table7[f2Eco]*(Table15[[#This Row],[rpm]]-Table36[maxTRpm]))+(1-Table36[linearDown])*(1-Table7[f3Eco]*(Table15[[#This Row],[rpm]]-Table36[maxTRpm])^2))*Table36[maxTEco])</f>
        <v>538.74352687535657</v>
      </c>
      <c r="U33" s="3">
        <f>MAX(0,(Table36[maxPSEco]-Table7[f4Eco]*(Table15[[#This Row],[rpm]]-Table36[maxPRpm])^2)/1.36*9550/MAX(1,Table15[[#This Row],[rpm]]))</f>
        <v>533.67647058823513</v>
      </c>
      <c r="V33" s="3">
        <f>MAX(0,Table7[Nm2Eco]*MIN(Table36[ratedRpm]/MAX(1,Table15[[#This Row],[rpm]]),1-(MAX(0,Table15[[#This Row],[rpm]]-Table36[ratedRpm])/Table36[fadeOut])^Table36[fadeOutExp]))</f>
        <v>327.87616370950997</v>
      </c>
    </row>
    <row r="34" spans="1:22" x14ac:dyDescent="0.25">
      <c r="A34" s="3">
        <v>2550</v>
      </c>
      <c r="B3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176.57384044655632</v>
      </c>
      <c r="C34" s="20"/>
      <c r="D3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176.57384044655632</v>
      </c>
      <c r="E34" s="20"/>
      <c r="F34" s="3">
        <f>Table36[Factor]*IF(Table15[[#This Row],[manualData]]&gt;0,Table15[[#This Row],[manualData]],Table15[[#This Row],[rawData]])</f>
        <v>176.57384044655632</v>
      </c>
      <c r="G34" s="3">
        <f>Table36[Factor]*IF(Table15[[#This Row],[manDataEco]]&gt;0,Table15[[#This Row],[manDataEco]],Table15[[#This Row],[rawDataEco]])</f>
        <v>176.57384044655632</v>
      </c>
      <c r="H34" s="3">
        <f>1.36*Table15[[#This Row],[rpm]]*Table15[[#This Row],[motor]]/9550</f>
        <v>64.121264782058361</v>
      </c>
      <c r="I34" s="3">
        <f>1.36*Table15[[#This Row],[rpm]]*Table15[[#This Row],[motorEco]]/9550</f>
        <v>64.121264782058361</v>
      </c>
      <c r="J3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362.98555112090548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rpm="2550" motorTorque="177" fuelUsageRatio="363"/&gt;</v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-963.30712499999959</v>
      </c>
      <c r="N34" s="3">
        <f>MAX(0,(1-Table7[f1]*(Table36[maxTRpm1]-Table15[[#This Row],[rpm]])^2)*Table36[maxT])</f>
        <v>0</v>
      </c>
      <c r="O34" s="3">
        <f>MAX(0,(Table36[linearDown]*(1-Table7[f2]*(Table15[[#This Row],[rpm]]-Table36[maxTRpm]))+(1-Table36[linearDown])*(1-Table7[f3]*(Table15[[#This Row],[rpm]]-Table36[maxTRpm])^2))*Table36[maxT])</f>
        <v>527.67042151930821</v>
      </c>
      <c r="P34" s="3">
        <f>MAX(0,(Table36[maxPS]-Table7[f4]*(Table15[[#This Row],[rpm]]-Table36[maxPRpm])^2)/1.36*9550/MAX(1,Table15[[#This Row],[rpm]]))</f>
        <v>523.21222606689719</v>
      </c>
      <c r="Q34" s="3">
        <f>MAX(0,Table7[Nm2]*MIN(Table36[ratedRpm]/MAX(1,Table15[[#This Row],[rpm]]),1-(MAX(0,Table15[[#This Row],[rpm]]-Table36[ratedRpm])/Table36[fadeOut])^Table36[fadeOutExp]))</f>
        <v>176.57384044655632</v>
      </c>
      <c r="R34" s="3">
        <f>(1-(1-Table15[[#This Row],[rpm]]/Table36[idleRpm])^2)*Table7[idleTEco]</f>
        <v>-963.30712499999959</v>
      </c>
      <c r="S34" s="3">
        <f>MAX(0,(1-Table7[f1]*(Table36[maxTRpm1]-Table15[[#This Row],[rpm]])^2)*Table36[maxTEco])</f>
        <v>0</v>
      </c>
      <c r="T34" s="3">
        <f>MAX(0,(Table36[linearDown]*(1-Table7[f2Eco]*(Table15[[#This Row],[rpm]]-Table36[maxTRpm]))+(1-Table36[linearDown])*(1-Table7[f3Eco]*(Table15[[#This Row],[rpm]]-Table36[maxTRpm])^2))*Table36[maxTEco])</f>
        <v>527.67042151930821</v>
      </c>
      <c r="U34" s="3">
        <f>MAX(0,(Table36[maxPSEco]-Table7[f4Eco]*(Table15[[#This Row],[rpm]]-Table36[maxPRpm])^2)/1.36*9550/MAX(1,Table15[[#This Row],[rpm]]))</f>
        <v>523.21222606689719</v>
      </c>
      <c r="V34" s="3">
        <f>MAX(0,Table7[Nm2Eco]*MIN(Table36[ratedRpm]/MAX(1,Table15[[#This Row],[rpm]]),1-(MAX(0,Table15[[#This Row],[rpm]]-Table36[ratedRpm])/Table36[fadeOut])^Table36[fadeOutExp]))</f>
        <v>176.57384044655632</v>
      </c>
    </row>
    <row r="35" spans="1:22" x14ac:dyDescent="0.25">
      <c r="A35" s="3">
        <v>2600</v>
      </c>
      <c r="B3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rpm="2600" motorTorque="0" motorTorqueEco="0" fuelUsageRatio="460"/&gt;</v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-1071.4860000000003</v>
      </c>
      <c r="N35" s="3">
        <f>MAX(0,(1-Table7[f1]*(Table36[maxTRpm1]-Table15[[#This Row],[rpm]])^2)*Table36[maxT])</f>
        <v>0</v>
      </c>
      <c r="O35" s="3">
        <f>MAX(0,(Table36[linearDown]*(1-Table7[f2]*(Table15[[#This Row],[rpm]]-Table36[maxTRpm]))+(1-Table36[linearDown])*(1-Table7[f3]*(Table15[[#This Row],[rpm]]-Table36[maxTRpm])^2))*Table36[maxT])</f>
        <v>516.3020333537653</v>
      </c>
      <c r="P35" s="3">
        <f>MAX(0,(Table36[maxPS]-Table7[f4]*(Table15[[#This Row],[rpm]]-Table36[maxPRpm])^2)/1.36*9550/MAX(1,Table15[[#This Row],[rpm]]))</f>
        <v>513.15045248868773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-1071.4860000000003</v>
      </c>
      <c r="S35" s="3">
        <f>MAX(0,(1-Table7[f1]*(Table36[maxTRpm1]-Table15[[#This Row],[rpm]])^2)*Table36[maxTEco])</f>
        <v>0</v>
      </c>
      <c r="T35" s="3">
        <f>MAX(0,(Table36[linearDown]*(1-Table7[f2Eco]*(Table15[[#This Row],[rpm]]-Table36[maxTRpm]))+(1-Table36[linearDown])*(1-Table7[f3Eco]*(Table15[[#This Row],[rpm]]-Table36[maxTRpm])^2))*Table36[maxTEco])</f>
        <v>516.3020333537653</v>
      </c>
      <c r="U35" s="3">
        <f>MAX(0,(Table36[maxPSEco]-Table7[f4Eco]*(Table15[[#This Row],[rpm]]-Table36[maxPRpm])^2)/1.36*9550/MAX(1,Table15[[#This Row],[rpm]]))</f>
        <v>513.15045248868773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2650</v>
      </c>
      <c r="B3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rpm="2650" motorTorque="0" motorTorqueEco="0" fuelUsageRatio="460"/&gt;</v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-1183.0991249999997</v>
      </c>
      <c r="N36" s="3">
        <f>MAX(0,(1-Table7[f1]*(Table36[maxTRpm1]-Table15[[#This Row],[rpm]])^2)*Table36[maxT])</f>
        <v>0</v>
      </c>
      <c r="O36" s="3">
        <f>MAX(0,(Table36[linearDown]*(1-Table7[f2]*(Table15[[#This Row],[rpm]]-Table36[maxTRpm]))+(1-Table36[linearDown])*(1-Table7[f3]*(Table15[[#This Row],[rpm]]-Table36[maxTRpm])^2))*Table36[maxT])</f>
        <v>504.63836237872783</v>
      </c>
      <c r="P36" s="3">
        <f>MAX(0,(Table36[maxPS]-Table7[f4]*(Table15[[#This Row],[rpm]]-Table36[maxPRpm])^2)/1.36*9550/MAX(1,Table15[[#This Row],[rpm]]))</f>
        <v>503.46836847946713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-1183.0991249999997</v>
      </c>
      <c r="S36" s="3">
        <f>MAX(0,(1-Table7[f1]*(Table36[maxTRpm1]-Table15[[#This Row],[rpm]])^2)*Table36[maxTEco])</f>
        <v>0</v>
      </c>
      <c r="T36" s="3">
        <f>MAX(0,(Table36[linearDown]*(1-Table7[f2Eco]*(Table15[[#This Row],[rpm]]-Table36[maxTRpm]))+(1-Table36[linearDown])*(1-Table7[f3Eco]*(Table15[[#This Row],[rpm]]-Table36[maxTRpm])^2))*Table36[maxTEco])</f>
        <v>504.63836237872783</v>
      </c>
      <c r="U36" s="3">
        <f>MAX(0,(Table36[maxPSEco]-Table7[f4Eco]*(Table15[[#This Row],[rpm]]-Table36[maxPRpm])^2)/1.36*9550/MAX(1,Table15[[#This Row],[rpm]]))</f>
        <v>503.46836847946713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2750</v>
      </c>
      <c r="B3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-1416.628125</v>
      </c>
      <c r="N37" s="3">
        <f>MAX(0,(1-Table7[f1]*(Table36[maxTRpm1]-Table15[[#This Row],[rpm]])^2)*Table36[maxT])</f>
        <v>0</v>
      </c>
      <c r="O37" s="3">
        <f>MAX(0,(Table36[linearDown]*(1-Table7[f2]*(Table15[[#This Row],[rpm]]-Table36[maxTRpm]))+(1-Table36[linearDown])*(1-Table7[f3]*(Table15[[#This Row],[rpm]]-Table36[maxTRpm])^2))*Table36[maxT])</f>
        <v>480.42517200016886</v>
      </c>
      <c r="P37" s="3">
        <f>MAX(0,(Table36[maxPS]-Table7[f4]*(Table15[[#This Row],[rpm]]-Table36[maxPRpm])^2)/1.36*9550/MAX(1,Table15[[#This Row],[rpm]]))</f>
        <v>485.16042780748654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-1416.628125</v>
      </c>
      <c r="S37" s="3">
        <f>MAX(0,(1-Table7[f1]*(Table36[maxTRpm1]-Table15[[#This Row],[rpm]])^2)*Table36[maxTEco])</f>
        <v>0</v>
      </c>
      <c r="T37" s="3">
        <f>MAX(0,(Table36[linearDown]*(1-Table7[f2Eco]*(Table15[[#This Row],[rpm]]-Table36[maxTRpm]))+(1-Table36[linearDown])*(1-Table7[f3Eco]*(Table15[[#This Row],[rpm]]-Table36[maxTRpm])^2))*Table36[maxTEco])</f>
        <v>480.42517200016886</v>
      </c>
      <c r="U37" s="3">
        <f>MAX(0,(Table36[maxPSEco]-Table7[f4Eco]*(Table15[[#This Row],[rpm]]-Table36[maxPRpm])^2)/1.36*9550/MAX(1,Table15[[#This Row],[rpm]]))</f>
        <v>485.16042780748654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3000</v>
      </c>
      <c r="B3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-2060.5500000000002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414.72474688761571</v>
      </c>
      <c r="P38" s="3">
        <f>MAX(0,(Table36[maxPS]-Table7[f4]*(Table15[[#This Row],[rpm]]-Table36[maxPRpm])^2)/1.36*9550/MAX(1,Table15[[#This Row],[rpm]]))</f>
        <v>444.73039215686265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-2060.5500000000002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414.72474688761571</v>
      </c>
      <c r="U38" s="3">
        <f>MAX(0,(Table36[maxPSEco]-Table7[f4Eco]*(Table15[[#This Row],[rpm]]-Table36[maxPRpm])^2)/1.36*9550/MAX(1,Table15[[#This Row],[rpm]]))</f>
        <v>444.73039215686265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3250</v>
      </c>
      <c r="B3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-2790.328125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341.64225153769701</v>
      </c>
      <c r="P39" s="3">
        <f>MAX(0,(Table36[maxPS]-Table7[f4]*(Table15[[#This Row],[rpm]]-Table36[maxPRpm])^2)/1.36*9550/MAX(1,Table15[[#This Row],[rpm]]))</f>
        <v>410.52036199095016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-2790.328125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341.64225153769701</v>
      </c>
      <c r="U39" s="3">
        <f>MAX(0,(Table36[maxPSEco]-Table7[f4Eco]*(Table15[[#This Row],[rpm]]-Table36[maxPRpm])^2)/1.36*9550/MAX(1,Table15[[#This Row],[rpm]]))</f>
        <v>410.52036199095016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3500</v>
      </c>
      <c r="B4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-3605.9625000000001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261.17768595041281</v>
      </c>
      <c r="P40" s="3">
        <f>MAX(0,(Table36[maxPS]-Table7[f4]*(Table15[[#This Row],[rpm]]-Table36[maxPRpm])^2)/1.36*9550/MAX(1,Table15[[#This Row],[rpm]]))</f>
        <v>381.19747899159654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-3605.9625000000001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261.17768595041281</v>
      </c>
      <c r="U40" s="3">
        <f>MAX(0,(Table36[maxPSEco]-Table7[f4Eco]*(Table15[[#This Row],[rpm]]-Table36[maxPRpm])^2)/1.36*9550/MAX(1,Table15[[#This Row],[rpm]]))</f>
        <v>381.19747899159654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3750</v>
      </c>
      <c r="B4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-4507.453125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173.33105012576306</v>
      </c>
      <c r="P41" s="3">
        <f>MAX(0,(Table36[maxPS]-Table7[f4]*(Table15[[#This Row],[rpm]]-Table36[maxPRpm])^2)/1.36*9550/MAX(1,Table15[[#This Row],[rpm]]))</f>
        <v>355.78431372549011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-4507.453125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173.33105012576306</v>
      </c>
      <c r="U41" s="3">
        <f>MAX(0,(Table36[maxPSEco]-Table7[f4Eco]*(Table15[[#This Row],[rpm]]-Table36[maxPRpm])^2)/1.36*9550/MAX(1,Table15[[#This Row],[rpm]]))</f>
        <v>355.78431372549011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x14ac:dyDescent="0.25">
      <c r="A42" s="3">
        <v>4000</v>
      </c>
      <c r="B4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-5494.8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78.102344063747822</v>
      </c>
      <c r="P42" s="3">
        <f>MAX(0,(Table36[maxPS]-Table7[f4]*(Table15[[#This Row],[rpm]]-Table36[maxPRpm])^2)/1.36*9550/MAX(1,Table15[[#This Row],[rpm]]))</f>
        <v>333.54779411764702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-5494.8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78.102344063747822</v>
      </c>
      <c r="U42" s="3">
        <f>MAX(0,(Table36[maxPSEco]-Table7[f4Eco]*(Table15[[#This Row],[rpm]]-Table36[maxPRpm])^2)/1.36*9550/MAX(1,Table15[[#This Row],[rpm]]))</f>
        <v>333.54779411764702</v>
      </c>
      <c r="V42" s="3">
        <f>MAX(0,Table7[Nm2Eco]*MIN(Table36[ratedRpm]/MAX(1,Table15[[#This Row],[rpm]]),1-(MAX(0,Table15[[#This Row],[rpm]]-Table36[ratedRpm])/Table36[fadeOut])^Table36[fadeOutExp]))</f>
        <v>0</v>
      </c>
    </row>
    <row r="43" spans="1:22" x14ac:dyDescent="0.25">
      <c r="A43" s="3">
        <v>4250</v>
      </c>
      <c r="B4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-6568.0031250000002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313.92733564013832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-6568.0031250000002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313.92733564013832</v>
      </c>
      <c r="V43" s="3">
        <f>MAX(0,Table7[Nm2Eco]*MIN(Table36[ratedRpm]/MAX(1,Table15[[#This Row],[rpm]]),1-(MAX(0,Table15[[#This Row],[rpm]]-Table36[ratedRpm])/Table36[fadeOut])^Table36[fadeOutExp]))</f>
        <v>0</v>
      </c>
    </row>
    <row r="44" spans="1:22" x14ac:dyDescent="0.25">
      <c r="A44" s="3">
        <v>4500</v>
      </c>
      <c r="B4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-7727.0625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296.4869281045751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-7727.0625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296.4869281045751</v>
      </c>
      <c r="V44" s="3">
        <f>MAX(0,Table7[Nm2Eco]*MIN(Table36[ratedRpm]/MAX(1,Table15[[#This Row],[rpm]]),1-(MAX(0,Table15[[#This Row],[rpm]]-Table36[ratedRpm])/Table36[fadeOut])^Table36[fadeOutExp]))</f>
        <v>0</v>
      </c>
    </row>
    <row r="45" spans="1:22" x14ac:dyDescent="0.25">
      <c r="A45" s="3">
        <v>4750</v>
      </c>
      <c r="B4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-8971.9781249999996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280.88235294117641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-8971.9781249999996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280.88235294117641</v>
      </c>
      <c r="V45" s="3">
        <f>MAX(0,Table7[Nm2Eco]*MIN(Table36[ratedRpm]/MAX(1,Table15[[#This Row],[rpm]]),1-(MAX(0,Table15[[#This Row],[rpm]]-Table36[ratedRpm])/Table36[fadeOut])^Table36[fadeOutExp]))</f>
        <v>0</v>
      </c>
    </row>
    <row r="46" spans="1:22" x14ac:dyDescent="0.25">
      <c r="A46" s="3">
        <v>5000</v>
      </c>
      <c r="B4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-10302.75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266.83823529411757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-10302.75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266.83823529411757</v>
      </c>
      <c r="V46" s="3">
        <f>MAX(0,Table7[Nm2Eco]*MIN(Table36[ratedRpm]/MAX(1,Table15[[#This Row],[rpm]]),1-(MAX(0,Table15[[#This Row],[rpm]]-Table36[ratedRpm])/Table36[fadeOut])^Table36[fadeOutExp]))</f>
        <v>0</v>
      </c>
    </row>
    <row r="47" spans="1:22" x14ac:dyDescent="0.25">
      <c r="A47" s="3">
        <v>5250</v>
      </c>
      <c r="B4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-11719.378125000001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254.13165266106438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-11719.378125000001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254.13165266106438</v>
      </c>
      <c r="V47" s="3">
        <f>MAX(0,Table7[Nm2Eco]*MIN(Table36[ratedRpm]/MAX(1,Table15[[#This Row],[rpm]]),1-(MAX(0,Table15[[#This Row],[rpm]]-Table36[ratedRpm])/Table36[fadeOut])^Table36[fadeOutExp]))</f>
        <v>0</v>
      </c>
    </row>
    <row r="48" spans="1:22" x14ac:dyDescent="0.25">
      <c r="A48" s="3">
        <v>5500</v>
      </c>
      <c r="B4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-13221.862500000001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242.58021390374327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-13221.862500000001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242.58021390374327</v>
      </c>
      <c r="V48" s="3">
        <f>MAX(0,Table7[Nm2Eco]*MIN(Table36[ratedRpm]/MAX(1,Table15[[#This Row],[rpm]]),1-(MAX(0,Table15[[#This Row],[rpm]]-Table36[ratedRpm])/Table36[fadeOut])^Table36[fadeOutExp]))</f>
        <v>0</v>
      </c>
    </row>
    <row r="49" spans="1:22" x14ac:dyDescent="0.25">
      <c r="A49" s="3">
        <v>5750</v>
      </c>
      <c r="B4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4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-14810.203125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232.03324808184138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-14810.203125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232.03324808184138</v>
      </c>
      <c r="V49" s="3">
        <f>MAX(0,Table7[Nm2Eco]*MIN(Table36[ratedRpm]/MAX(1,Table15[[#This Row],[rpm]]),1-(MAX(0,Table15[[#This Row],[rpm]]-Table36[ratedRpm])/Table36[fadeOut])^Table36[fadeOutExp]))</f>
        <v>0</v>
      </c>
    </row>
    <row r="50" spans="1:22" x14ac:dyDescent="0.25">
      <c r="A50" s="3">
        <v>6000</v>
      </c>
      <c r="B5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-16484.400000000001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222.36519607843132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-16484.400000000001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222.36519607843132</v>
      </c>
      <c r="V50" s="3">
        <f>MAX(0,Table7[Nm2Eco]*MIN(Table36[ratedRpm]/MAX(1,Table15[[#This Row],[rpm]]),1-(MAX(0,Table15[[#This Row],[rpm]]-Table36[ratedRpm])/Table36[fadeOut])^Table36[fadeOutExp]))</f>
        <v>0</v>
      </c>
    </row>
    <row r="51" spans="1:22" x14ac:dyDescent="0.25">
      <c r="A51" s="3">
        <v>6250</v>
      </c>
      <c r="B5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-18244.453125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213.47058823529409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-18244.453125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213.47058823529409</v>
      </c>
      <c r="V51" s="3">
        <f>MAX(0,Table7[Nm2Eco]*MIN(Table36[ratedRpm]/MAX(1,Table15[[#This Row],[rpm]]),1-(MAX(0,Table15[[#This Row],[rpm]]-Table36[ratedRpm])/Table36[fadeOut])^Table36[fadeOutExp]))</f>
        <v>0</v>
      </c>
    </row>
    <row r="52" spans="1:22" x14ac:dyDescent="0.25">
      <c r="A52" s="3">
        <v>6500</v>
      </c>
      <c r="B5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-20090.362499999999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205.26018099547508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-20090.362499999999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205.26018099547508</v>
      </c>
      <c r="V52" s="3">
        <f>MAX(0,Table7[Nm2Eco]*MIN(Table36[ratedRpm]/MAX(1,Table15[[#This Row],[rpm]]),1-(MAX(0,Table15[[#This Row],[rpm]]-Table36[ratedRpm])/Table36[fadeOut])^Table36[fadeOutExp]))</f>
        <v>0</v>
      </c>
    </row>
    <row r="53" spans="1:22" x14ac:dyDescent="0.25">
      <c r="A53" s="3">
        <v>6750</v>
      </c>
      <c r="B5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-22022.128124999999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197.65795206971674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-22022.128124999999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197.65795206971674</v>
      </c>
      <c r="V53" s="3">
        <f>MAX(0,Table7[Nm2Eco]*MIN(Table36[ratedRpm]/MAX(1,Table15[[#This Row],[rpm]]),1-(MAX(0,Table15[[#This Row],[rpm]]-Table36[ratedRpm])/Table36[fadeOut])^Table36[fadeOutExp]))</f>
        <v>0</v>
      </c>
    </row>
    <row r="54" spans="1:22" x14ac:dyDescent="0.25">
      <c r="A54" s="3">
        <v>7000</v>
      </c>
      <c r="B5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-24039.75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190.59873949579827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-24039.75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190.59873949579827</v>
      </c>
      <c r="V54" s="3">
        <f>MAX(0,Table7[Nm2Eco]*MIN(Table36[ratedRpm]/MAX(1,Table15[[#This Row],[rpm]]),1-(MAX(0,Table15[[#This Row],[rpm]]-Table36[ratedRpm])/Table36[fadeOut])^Table36[fadeOutExp]))</f>
        <v>0</v>
      </c>
    </row>
    <row r="55" spans="1:22" x14ac:dyDescent="0.25">
      <c r="A55" s="3">
        <v>7250</v>
      </c>
      <c r="B5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-26143.228125000001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184.02636916835695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-26143.228125000001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184.02636916835695</v>
      </c>
      <c r="V55" s="3">
        <f>MAX(0,Table7[Nm2Eco]*MIN(Table36[ratedRpm]/MAX(1,Table15[[#This Row],[rpm]]),1-(MAX(0,Table15[[#This Row],[rpm]]-Table36[ratedRpm])/Table36[fadeOut])^Table36[fadeOutExp]))</f>
        <v>0</v>
      </c>
    </row>
    <row r="56" spans="1:22" x14ac:dyDescent="0.25">
      <c r="A56" s="3">
        <v>7500</v>
      </c>
      <c r="B5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-28332.5625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177.89215686274505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-28332.5625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177.89215686274505</v>
      </c>
      <c r="V56" s="3">
        <f>MAX(0,Table7[Nm2Eco]*MIN(Table36[ratedRpm]/MAX(1,Table15[[#This Row],[rpm]]),1-(MAX(0,Table15[[#This Row],[rpm]]-Table36[ratedRpm])/Table36[fadeOut])^Table36[fadeOutExp]))</f>
        <v>0</v>
      </c>
    </row>
    <row r="57" spans="1:22" x14ac:dyDescent="0.25">
      <c r="A57" s="3">
        <v>7750</v>
      </c>
      <c r="B5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-30607.753124999999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172.15370018975329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-30607.753124999999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172.15370018975329</v>
      </c>
      <c r="V57" s="3">
        <f>MAX(0,Table7[Nm2Eco]*MIN(Table36[ratedRpm]/MAX(1,Table15[[#This Row],[rpm]]),1-(MAX(0,Table15[[#This Row],[rpm]]-Table36[ratedRpm])/Table36[fadeOut])^Table36[fadeOutExp]))</f>
        <v>0</v>
      </c>
    </row>
    <row r="58" spans="1:22" x14ac:dyDescent="0.25">
      <c r="A58" s="3">
        <v>8000</v>
      </c>
      <c r="B5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-32968.800000000003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166.77389705882351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-32968.800000000003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166.77389705882351</v>
      </c>
      <c r="V58" s="3">
        <f>MAX(0,Table7[Nm2Eco]*MIN(Table36[ratedRpm]/MAX(1,Table15[[#This Row],[rpm]]),1-(MAX(0,Table15[[#This Row],[rpm]]-Table36[ratedRpm])/Table36[fadeOut])^Table36[fadeOutExp]))</f>
        <v>0</v>
      </c>
    </row>
    <row r="59" spans="1:22" x14ac:dyDescent="0.25">
      <c r="A59" s="3">
        <v>8250</v>
      </c>
      <c r="B5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5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-35415.703125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161.72014260249551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-35415.703125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161.72014260249551</v>
      </c>
      <c r="V59" s="3">
        <f>MAX(0,Table7[Nm2Eco]*MIN(Table36[ratedRpm]/MAX(1,Table15[[#This Row],[rpm]]),1-(MAX(0,Table15[[#This Row],[rpm]]-Table36[ratedRpm])/Table36[fadeOut])^Table36[fadeOutExp]))</f>
        <v>0</v>
      </c>
    </row>
    <row r="60" spans="1:22" x14ac:dyDescent="0.25">
      <c r="A60" s="3">
        <v>8500</v>
      </c>
      <c r="B6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6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-37948.462500000001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156.96366782006916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-37948.462500000001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156.96366782006916</v>
      </c>
      <c r="V60" s="3">
        <f>MAX(0,Table7[Nm2Eco]*MIN(Table36[ratedRpm]/MAX(1,Table15[[#This Row],[rpm]]),1-(MAX(0,Table15[[#This Row],[rpm]]-Table36[ratedRpm])/Table36[fadeOut])^Table36[fadeOutExp]))</f>
        <v>0</v>
      </c>
    </row>
    <row r="61" spans="1:22" x14ac:dyDescent="0.25">
      <c r="A61" s="3">
        <v>8750</v>
      </c>
      <c r="B6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6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-40567.078125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152.47899159663862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-40567.078125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152.47899159663862</v>
      </c>
      <c r="V61" s="3">
        <f>MAX(0,Table7[Nm2Eco]*MIN(Table36[ratedRpm]/MAX(1,Table15[[#This Row],[rpm]]),1-(MAX(0,Table15[[#This Row],[rpm]]-Table36[ratedRpm])/Table36[fadeOut])^Table36[fadeOutExp]))</f>
        <v>0</v>
      </c>
    </row>
    <row r="62" spans="1:22" x14ac:dyDescent="0.25">
      <c r="A62" s="3">
        <v>9000</v>
      </c>
      <c r="B6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460</v>
      </c>
      <c r="K6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-43271.55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148.24346405228755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-43271.55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148.24346405228755</v>
      </c>
      <c r="V6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2016-02-09T16:33:03Z</dcterms:modified>
</cp:coreProperties>
</file>