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716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3" l="1"/>
  <c r="C2" i="3" s="1"/>
  <c r="S2" i="3" l="1"/>
  <c r="Q2" i="3"/>
  <c r="J2" i="3"/>
  <c r="F2" i="3"/>
  <c r="J4" i="3"/>
  <c r="K29" i="3" l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U2" i="3"/>
  <c r="L31" i="3" s="1"/>
  <c r="R2" i="3"/>
  <c r="L42" i="3" l="1"/>
  <c r="L34" i="3"/>
  <c r="L30" i="3"/>
  <c r="L41" i="3"/>
  <c r="L38" i="3"/>
  <c r="L37" i="3"/>
  <c r="L33" i="3"/>
  <c r="L29" i="3"/>
  <c r="L40" i="3"/>
  <c r="L36" i="3"/>
  <c r="L32" i="3"/>
  <c r="L39" i="3"/>
  <c r="L35" i="3"/>
  <c r="S4" i="3" l="1"/>
  <c r="L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M4" i="3"/>
  <c r="H4" i="3" s="1"/>
  <c r="O4" i="3"/>
  <c r="V8" i="3" l="1"/>
  <c r="V12" i="3"/>
  <c r="V40" i="3"/>
  <c r="D40" i="3" s="1"/>
  <c r="G40" i="3" s="1"/>
  <c r="I40" i="3" s="1"/>
  <c r="V28" i="3"/>
  <c r="D28" i="3" s="1"/>
  <c r="G28" i="3" s="1"/>
  <c r="I28" i="3" s="1"/>
  <c r="V24" i="3"/>
  <c r="V36" i="3"/>
  <c r="D36" i="3" s="1"/>
  <c r="G36" i="3" s="1"/>
  <c r="I36" i="3" s="1"/>
  <c r="V20" i="3"/>
  <c r="V32" i="3"/>
  <c r="D32" i="3" s="1"/>
  <c r="G32" i="3" s="1"/>
  <c r="I32" i="3" s="1"/>
  <c r="V16" i="3"/>
  <c r="V39" i="3"/>
  <c r="D39" i="3" s="1"/>
  <c r="G39" i="3" s="1"/>
  <c r="I39" i="3" s="1"/>
  <c r="V35" i="3"/>
  <c r="D35" i="3" s="1"/>
  <c r="G35" i="3" s="1"/>
  <c r="I35" i="3" s="1"/>
  <c r="V31" i="3"/>
  <c r="D31" i="3" s="1"/>
  <c r="G31" i="3" s="1"/>
  <c r="I31" i="3" s="1"/>
  <c r="V27" i="3"/>
  <c r="D27" i="3" s="1"/>
  <c r="G27" i="3" s="1"/>
  <c r="I27" i="3" s="1"/>
  <c r="V23" i="3"/>
  <c r="V19" i="3"/>
  <c r="V15" i="3"/>
  <c r="V11" i="3"/>
  <c r="V42" i="3"/>
  <c r="D42" i="3" s="1"/>
  <c r="G42" i="3" s="1"/>
  <c r="I42" i="3" s="1"/>
  <c r="V38" i="3"/>
  <c r="D38" i="3" s="1"/>
  <c r="G38" i="3" s="1"/>
  <c r="I38" i="3" s="1"/>
  <c r="V34" i="3"/>
  <c r="D34" i="3" s="1"/>
  <c r="G34" i="3" s="1"/>
  <c r="I34" i="3" s="1"/>
  <c r="V30" i="3"/>
  <c r="D30" i="3" s="1"/>
  <c r="G30" i="3" s="1"/>
  <c r="I30" i="3" s="1"/>
  <c r="V26" i="3"/>
  <c r="V22" i="3"/>
  <c r="V18" i="3"/>
  <c r="V14" i="3"/>
  <c r="V10" i="3"/>
  <c r="V41" i="3"/>
  <c r="D41" i="3" s="1"/>
  <c r="G41" i="3" s="1"/>
  <c r="I41" i="3" s="1"/>
  <c r="V37" i="3"/>
  <c r="D37" i="3" s="1"/>
  <c r="G37" i="3" s="1"/>
  <c r="I37" i="3" s="1"/>
  <c r="V33" i="3"/>
  <c r="D33" i="3" s="1"/>
  <c r="G33" i="3" s="1"/>
  <c r="I33" i="3" s="1"/>
  <c r="V29" i="3"/>
  <c r="D29" i="3" s="1"/>
  <c r="G29" i="3" s="1"/>
  <c r="I29" i="3" s="1"/>
  <c r="V25" i="3"/>
  <c r="V21" i="3"/>
  <c r="V17" i="3"/>
  <c r="V13" i="3"/>
  <c r="V9" i="3"/>
  <c r="V7" i="3"/>
  <c r="N4" i="3"/>
  <c r="P4" i="3"/>
  <c r="T11" i="3" l="1"/>
  <c r="T15" i="3"/>
  <c r="T19" i="3"/>
  <c r="T23" i="3"/>
  <c r="T27" i="3"/>
  <c r="T31" i="3"/>
  <c r="T35" i="3"/>
  <c r="T39" i="3"/>
  <c r="T12" i="3"/>
  <c r="T16" i="3"/>
  <c r="T20" i="3"/>
  <c r="T24" i="3"/>
  <c r="T28" i="3"/>
  <c r="T32" i="3"/>
  <c r="T36" i="3"/>
  <c r="T40" i="3"/>
  <c r="T7" i="3"/>
  <c r="T9" i="3"/>
  <c r="T13" i="3"/>
  <c r="T17" i="3"/>
  <c r="T21" i="3"/>
  <c r="T25" i="3"/>
  <c r="T29" i="3"/>
  <c r="T33" i="3"/>
  <c r="T37" i="3"/>
  <c r="T41" i="3"/>
  <c r="T14" i="3"/>
  <c r="T30" i="3"/>
  <c r="T26" i="3"/>
  <c r="T18" i="3"/>
  <c r="T34" i="3"/>
  <c r="T42" i="3"/>
  <c r="T8" i="3"/>
  <c r="T22" i="3"/>
  <c r="T38" i="3"/>
  <c r="T10" i="3"/>
  <c r="U11" i="3"/>
  <c r="U15" i="3"/>
  <c r="U19" i="3"/>
  <c r="U23" i="3"/>
  <c r="D23" i="3" s="1"/>
  <c r="G23" i="3" s="1"/>
  <c r="I23" i="3" s="1"/>
  <c r="U27" i="3"/>
  <c r="U31" i="3"/>
  <c r="U35" i="3"/>
  <c r="U39" i="3"/>
  <c r="U12" i="3"/>
  <c r="U16" i="3"/>
  <c r="U20" i="3"/>
  <c r="U24" i="3"/>
  <c r="D24" i="3" s="1"/>
  <c r="G24" i="3" s="1"/>
  <c r="I24" i="3" s="1"/>
  <c r="U28" i="3"/>
  <c r="U32" i="3"/>
  <c r="U36" i="3"/>
  <c r="U40" i="3"/>
  <c r="U7" i="3"/>
  <c r="U9" i="3"/>
  <c r="U13" i="3"/>
  <c r="U17" i="3"/>
  <c r="U21" i="3"/>
  <c r="D21" i="3" s="1"/>
  <c r="G21" i="3" s="1"/>
  <c r="I21" i="3" s="1"/>
  <c r="U25" i="3"/>
  <c r="D25" i="3" s="1"/>
  <c r="G25" i="3" s="1"/>
  <c r="I25" i="3" s="1"/>
  <c r="U29" i="3"/>
  <c r="U33" i="3"/>
  <c r="U37" i="3"/>
  <c r="U41" i="3"/>
  <c r="U10" i="3"/>
  <c r="U26" i="3"/>
  <c r="D26" i="3" s="1"/>
  <c r="G26" i="3" s="1"/>
  <c r="I26" i="3" s="1"/>
  <c r="U42" i="3"/>
  <c r="U14" i="3"/>
  <c r="U30" i="3"/>
  <c r="U18" i="3"/>
  <c r="U34" i="3"/>
  <c r="U8" i="3"/>
  <c r="U22" i="3"/>
  <c r="D22" i="3" s="1"/>
  <c r="G22" i="3" s="1"/>
  <c r="I22" i="3" s="1"/>
  <c r="U38" i="3"/>
  <c r="D20" i="3" l="1"/>
  <c r="G20" i="3" s="1"/>
  <c r="I20" i="3" s="1"/>
  <c r="D19" i="3"/>
  <c r="D18" i="3"/>
  <c r="D4" i="3"/>
  <c r="E4" i="3"/>
  <c r="B4" i="3" s="1"/>
  <c r="A4" i="3"/>
  <c r="F4" i="3"/>
  <c r="I4" i="3" s="1"/>
  <c r="K4" i="3" l="1"/>
  <c r="G4" i="3" s="1"/>
  <c r="S18" i="3"/>
  <c r="S34" i="3"/>
  <c r="S24" i="3"/>
  <c r="S21" i="3"/>
  <c r="S11" i="3"/>
  <c r="S27" i="3"/>
  <c r="S8" i="3"/>
  <c r="S36" i="3"/>
  <c r="S33" i="3"/>
  <c r="S16" i="3"/>
  <c r="S28" i="3"/>
  <c r="R4" i="3"/>
  <c r="S22" i="3"/>
  <c r="S38" i="3"/>
  <c r="S32" i="3"/>
  <c r="S29" i="3"/>
  <c r="S15" i="3"/>
  <c r="S31" i="3"/>
  <c r="S12" i="3"/>
  <c r="S9" i="3"/>
  <c r="S37" i="3"/>
  <c r="S14" i="3"/>
  <c r="D14" i="3" s="1"/>
  <c r="G14" i="3" s="1"/>
  <c r="I14" i="3" s="1"/>
  <c r="S30" i="3"/>
  <c r="S7" i="3"/>
  <c r="S23" i="3"/>
  <c r="S10" i="3"/>
  <c r="S26" i="3"/>
  <c r="S42" i="3"/>
  <c r="S40" i="3"/>
  <c r="S41" i="3"/>
  <c r="S19" i="3"/>
  <c r="S35" i="3"/>
  <c r="S20" i="3"/>
  <c r="S17" i="3"/>
  <c r="S13" i="3"/>
  <c r="S39" i="3"/>
  <c r="S25" i="3"/>
  <c r="D15" i="3"/>
  <c r="G15" i="3" s="1"/>
  <c r="I15" i="3" s="1"/>
  <c r="N11" i="3"/>
  <c r="N15" i="3"/>
  <c r="B15" i="3" s="1"/>
  <c r="N19" i="3"/>
  <c r="N23" i="3"/>
  <c r="N27" i="3"/>
  <c r="N31" i="3"/>
  <c r="N35" i="3"/>
  <c r="D16" i="3"/>
  <c r="G16" i="3" s="1"/>
  <c r="I16" i="3" s="1"/>
  <c r="N12" i="3"/>
  <c r="N16" i="3"/>
  <c r="N20" i="3"/>
  <c r="N24" i="3"/>
  <c r="D13" i="3"/>
  <c r="G13" i="3" s="1"/>
  <c r="I13" i="3" s="1"/>
  <c r="D17" i="3"/>
  <c r="G17" i="3" s="1"/>
  <c r="I17" i="3" s="1"/>
  <c r="N7" i="3"/>
  <c r="N9" i="3"/>
  <c r="N13" i="3"/>
  <c r="B13" i="3" s="1"/>
  <c r="N17" i="3"/>
  <c r="N21" i="3"/>
  <c r="N25" i="3"/>
  <c r="N29" i="3"/>
  <c r="N33" i="3"/>
  <c r="N37" i="3"/>
  <c r="N14" i="3"/>
  <c r="B14" i="3" s="1"/>
  <c r="N28" i="3"/>
  <c r="N36" i="3"/>
  <c r="N41" i="3"/>
  <c r="N34" i="3"/>
  <c r="N18" i="3"/>
  <c r="N30" i="3"/>
  <c r="N38" i="3"/>
  <c r="N42" i="3"/>
  <c r="N40" i="3"/>
  <c r="N8" i="3"/>
  <c r="N22" i="3"/>
  <c r="N32" i="3"/>
  <c r="N39" i="3"/>
  <c r="N10" i="3"/>
  <c r="N26" i="3"/>
  <c r="P11" i="3"/>
  <c r="P15" i="3"/>
  <c r="P19" i="3"/>
  <c r="P23" i="3"/>
  <c r="P27" i="3"/>
  <c r="P31" i="3"/>
  <c r="P35" i="3"/>
  <c r="P39" i="3"/>
  <c r="P12" i="3"/>
  <c r="P16" i="3"/>
  <c r="P20" i="3"/>
  <c r="P24" i="3"/>
  <c r="P28" i="3"/>
  <c r="P32" i="3"/>
  <c r="P36" i="3"/>
  <c r="P40" i="3"/>
  <c r="P7" i="3"/>
  <c r="P9" i="3"/>
  <c r="P13" i="3"/>
  <c r="P17" i="3"/>
  <c r="P21" i="3"/>
  <c r="P25" i="3"/>
  <c r="P29" i="3"/>
  <c r="P33" i="3"/>
  <c r="P37" i="3"/>
  <c r="P41" i="3"/>
  <c r="P8" i="3"/>
  <c r="P22" i="3"/>
  <c r="P38" i="3"/>
  <c r="P34" i="3"/>
  <c r="P10" i="3"/>
  <c r="P26" i="3"/>
  <c r="P42" i="3"/>
  <c r="P18" i="3"/>
  <c r="P14" i="3"/>
  <c r="P30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8" i="3"/>
  <c r="Q16" i="3"/>
  <c r="Q28" i="3"/>
  <c r="B28" i="3" s="1"/>
  <c r="Q40" i="3"/>
  <c r="B40" i="3" s="1"/>
  <c r="Q10" i="3"/>
  <c r="Q14" i="3"/>
  <c r="Q18" i="3"/>
  <c r="Q22" i="3"/>
  <c r="Q26" i="3"/>
  <c r="B26" i="3" s="1"/>
  <c r="Q30" i="3"/>
  <c r="B30" i="3" s="1"/>
  <c r="Q34" i="3"/>
  <c r="B34" i="3" s="1"/>
  <c r="Q38" i="3"/>
  <c r="B38" i="3" s="1"/>
  <c r="Q42" i="3"/>
  <c r="B42" i="3" s="1"/>
  <c r="Q12" i="3"/>
  <c r="Q24" i="3"/>
  <c r="Q32" i="3"/>
  <c r="B32" i="3" s="1"/>
  <c r="Q7" i="3"/>
  <c r="Q9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20" i="3"/>
  <c r="Q36" i="3"/>
  <c r="B36" i="3" s="1"/>
  <c r="G18" i="3"/>
  <c r="I18" i="3" s="1"/>
  <c r="G19" i="3"/>
  <c r="I19" i="3" s="1"/>
  <c r="Q4" i="3"/>
  <c r="C4" i="3"/>
  <c r="B13" i="1"/>
  <c r="B14" i="1"/>
  <c r="B15" i="1"/>
  <c r="A22" i="1"/>
  <c r="R7" i="3" l="1"/>
  <c r="D7" i="3" s="1"/>
  <c r="R9" i="3"/>
  <c r="D9" i="3" s="1"/>
  <c r="G9" i="3" s="1"/>
  <c r="I9" i="3" s="1"/>
  <c r="R13" i="3"/>
  <c r="R17" i="3"/>
  <c r="R21" i="3"/>
  <c r="R25" i="3"/>
  <c r="R29" i="3"/>
  <c r="R33" i="3"/>
  <c r="R37" i="3"/>
  <c r="R41" i="3"/>
  <c r="R16" i="3"/>
  <c r="R28" i="3"/>
  <c r="R36" i="3"/>
  <c r="R8" i="3"/>
  <c r="D8" i="3" s="1"/>
  <c r="G8" i="3" s="1"/>
  <c r="I8" i="3" s="1"/>
  <c r="R10" i="3"/>
  <c r="D10" i="3" s="1"/>
  <c r="G10" i="3" s="1"/>
  <c r="I10" i="3" s="1"/>
  <c r="R14" i="3"/>
  <c r="R18" i="3"/>
  <c r="R22" i="3"/>
  <c r="R26" i="3"/>
  <c r="R30" i="3"/>
  <c r="R34" i="3"/>
  <c r="R38" i="3"/>
  <c r="R42" i="3"/>
  <c r="R20" i="3"/>
  <c r="R32" i="3"/>
  <c r="R11" i="3"/>
  <c r="D11" i="3" s="1"/>
  <c r="G11" i="3" s="1"/>
  <c r="I11" i="3" s="1"/>
  <c r="R15" i="3"/>
  <c r="R19" i="3"/>
  <c r="R23" i="3"/>
  <c r="R27" i="3"/>
  <c r="R31" i="3"/>
  <c r="R35" i="3"/>
  <c r="R39" i="3"/>
  <c r="R12" i="3"/>
  <c r="D12" i="3" s="1"/>
  <c r="G12" i="3" s="1"/>
  <c r="I12" i="3" s="1"/>
  <c r="R24" i="3"/>
  <c r="R40" i="3"/>
  <c r="O8" i="3"/>
  <c r="O41" i="3"/>
  <c r="O40" i="3"/>
  <c r="O34" i="3"/>
  <c r="O30" i="3"/>
  <c r="O26" i="3"/>
  <c r="O37" i="3"/>
  <c r="O21" i="3"/>
  <c r="B21" i="3" s="1"/>
  <c r="F21" i="3" s="1"/>
  <c r="O7" i="3"/>
  <c r="O36" i="3"/>
  <c r="O20" i="3"/>
  <c r="B20" i="3" s="1"/>
  <c r="F20" i="3" s="1"/>
  <c r="O31" i="3"/>
  <c r="O15" i="3"/>
  <c r="O25" i="3"/>
  <c r="B25" i="3" s="1"/>
  <c r="F25" i="3" s="1"/>
  <c r="O24" i="3"/>
  <c r="B24" i="3" s="1"/>
  <c r="F24" i="3" s="1"/>
  <c r="O35" i="3"/>
  <c r="O18" i="3"/>
  <c r="B18" i="3" s="1"/>
  <c r="O14" i="3"/>
  <c r="O10" i="3"/>
  <c r="O33" i="3"/>
  <c r="O17" i="3"/>
  <c r="B17" i="3" s="1"/>
  <c r="F17" i="3" s="1"/>
  <c r="O32" i="3"/>
  <c r="O16" i="3"/>
  <c r="B16" i="3" s="1"/>
  <c r="F16" i="3" s="1"/>
  <c r="O27" i="3"/>
  <c r="O11" i="3"/>
  <c r="O42" i="3"/>
  <c r="O9" i="3"/>
  <c r="O19" i="3"/>
  <c r="B19" i="3" s="1"/>
  <c r="F19" i="3" s="1"/>
  <c r="O22" i="3"/>
  <c r="B22" i="3" s="1"/>
  <c r="F22" i="3" s="1"/>
  <c r="O38" i="3"/>
  <c r="O29" i="3"/>
  <c r="O13" i="3"/>
  <c r="O28" i="3"/>
  <c r="O12" i="3"/>
  <c r="O39" i="3"/>
  <c r="O23" i="3"/>
  <c r="B23" i="3" s="1"/>
  <c r="F23" i="3" s="1"/>
  <c r="M7" i="3"/>
  <c r="B7" i="3" s="1"/>
  <c r="M9" i="3"/>
  <c r="B9" i="3" s="1"/>
  <c r="M11" i="3"/>
  <c r="B11" i="3" s="1"/>
  <c r="F11" i="3" s="1"/>
  <c r="M15" i="3"/>
  <c r="M19" i="3"/>
  <c r="M23" i="3"/>
  <c r="M27" i="3"/>
  <c r="M31" i="3"/>
  <c r="M35" i="3"/>
  <c r="M39" i="3"/>
  <c r="M18" i="3"/>
  <c r="M34" i="3"/>
  <c r="M8" i="3"/>
  <c r="B8" i="3" s="1"/>
  <c r="M12" i="3"/>
  <c r="B12" i="3" s="1"/>
  <c r="F12" i="3" s="1"/>
  <c r="M16" i="3"/>
  <c r="M20" i="3"/>
  <c r="M24" i="3"/>
  <c r="M28" i="3"/>
  <c r="M32" i="3"/>
  <c r="M36" i="3"/>
  <c r="M40" i="3"/>
  <c r="M10" i="3"/>
  <c r="B10" i="3" s="1"/>
  <c r="F10" i="3" s="1"/>
  <c r="M22" i="3"/>
  <c r="M30" i="3"/>
  <c r="M13" i="3"/>
  <c r="M17" i="3"/>
  <c r="M21" i="3"/>
  <c r="M25" i="3"/>
  <c r="M29" i="3"/>
  <c r="M33" i="3"/>
  <c r="M37" i="3"/>
  <c r="M41" i="3"/>
  <c r="M14" i="3"/>
  <c r="M26" i="3"/>
  <c r="M38" i="3"/>
  <c r="M42" i="3"/>
  <c r="F30" i="3"/>
  <c r="F13" i="3"/>
  <c r="F41" i="3"/>
  <c r="F36" i="3"/>
  <c r="F27" i="3"/>
  <c r="F42" i="3"/>
  <c r="F26" i="3"/>
  <c r="F40" i="3"/>
  <c r="F31" i="3"/>
  <c r="F15" i="3"/>
  <c r="F18" i="3"/>
  <c r="F29" i="3"/>
  <c r="F32" i="3"/>
  <c r="F33" i="3"/>
  <c r="F39" i="3"/>
  <c r="F37" i="3"/>
  <c r="F38" i="3"/>
  <c r="F14" i="3"/>
  <c r="F28" i="3"/>
  <c r="F35" i="3"/>
  <c r="F34" i="3"/>
  <c r="G7" i="3"/>
  <c r="I7" i="3" s="1"/>
  <c r="D22" i="1"/>
  <c r="K28" i="3" l="1"/>
  <c r="K23" i="3"/>
  <c r="K19" i="3"/>
  <c r="K14" i="3"/>
  <c r="K21" i="3"/>
  <c r="K15" i="3"/>
  <c r="K26" i="3"/>
  <c r="K11" i="3"/>
  <c r="K20" i="3"/>
  <c r="K24" i="3"/>
  <c r="K25" i="3"/>
  <c r="K17" i="3"/>
  <c r="K13" i="3"/>
  <c r="K12" i="3"/>
  <c r="K18" i="3"/>
  <c r="K16" i="3"/>
  <c r="K10" i="3"/>
  <c r="K22" i="3"/>
  <c r="K27" i="3"/>
  <c r="H39" i="3"/>
  <c r="H19" i="3"/>
  <c r="H34" i="3"/>
  <c r="H14" i="3"/>
  <c r="H21" i="3"/>
  <c r="H33" i="3"/>
  <c r="H15" i="3"/>
  <c r="H26" i="3"/>
  <c r="H41" i="3"/>
  <c r="H11" i="3"/>
  <c r="H20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28" i="3" l="1"/>
  <c r="L23" i="3"/>
  <c r="L27" i="3"/>
  <c r="L19" i="3"/>
  <c r="L10" i="3"/>
  <c r="L26" i="3"/>
  <c r="L13" i="3"/>
  <c r="L20" i="3"/>
  <c r="L21" i="3"/>
  <c r="K9" i="3"/>
  <c r="L9" i="3"/>
  <c r="K8" i="3"/>
  <c r="L8" i="3"/>
  <c r="L16" i="3"/>
  <c r="L12" i="3"/>
  <c r="L17" i="3"/>
  <c r="L24" i="3"/>
  <c r="L11" i="3"/>
  <c r="L15" i="3"/>
  <c r="K7" i="3"/>
  <c r="L7" i="3"/>
  <c r="L18" i="3"/>
  <c r="L25" i="3"/>
  <c r="L22" i="3"/>
  <c r="L14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<sst xmlns="http://schemas.openxmlformats.org/spreadsheetml/2006/main" count="84" uniqueCount="68">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</sst>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2" fillId="0" borderId="0" xfId="0" applyNumberFormat="1" applyFont="1"/>
    <xf numFmtId="0" fontId="0" fillId="0" borderId="2" xfId="0" applyBorder="1"/>
    <xf numFmtId="9" fontId="0" fillId="0" borderId="4" xfId="1" applyFont="1" applyBorder="1"/>
    <xf numFmtId="0" fontId="3" fillId="2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5" fillId="0" borderId="3" xfId="0" applyFont="1" applyBorder="1"/>
    <xf numFmtId="0" fontId="5" fillId="0" borderId="4" xfId="0" applyFont="1" applyBorder="1"/>
    <xf numFmtId="0" fontId="5" fillId="3" borderId="5" xfId="0" applyFont="1" applyFill="1" applyBorder="1"/>
    <xf numFmtId="0" fontId="5" fillId="0" borderId="5" xfId="0" applyFon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9" fontId="4" fillId="2" borderId="12" xfId="1" applyFont="1" applyFill="1" applyBorder="1"/>
    <xf numFmtId="9" fontId="4" fillId="2" borderId="13" xfId="1" applyFont="1" applyFill="1" applyBorder="1"/>
    <xf numFmtId="9" fontId="4" fillId="2" borderId="14" xfId="1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5" fillId="0" borderId="1" xfId="0" applyFont="1" applyBorder="1"/>
  </cellXfs>
  <cellStyles count="2">
    <cellStyle name="Normal" xfId="0" builtinId="0"/>
    <cellStyle name="Percent" xfId="1" builtinId="5"/>
  </cellStyles>
  <dxfs count="7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Values'!$F$7:$F$42</c:f>
              <c:numCache>
                <c:formatCode>0</c:formatCode>
                <c:ptCount val="36"/>
                <c:pt idx="0">
                  <c:v>0</c:v>
                </c:pt>
                <c:pt idx="1">
                  <c:v>195.41504801097392</c:v>
                </c:pt>
                <c:pt idx="2">
                  <c:v>553.66529492455413</c:v>
                </c:pt>
                <c:pt idx="3">
                  <c:v>679.29257887517133</c:v>
                </c:pt>
                <c:pt idx="4">
                  <c:v>693.77865569272967</c:v>
                </c:pt>
                <c:pt idx="5">
                  <c:v>703.25</c:v>
                </c:pt>
                <c:pt idx="6">
                  <c:v>711.08</c:v>
                </c:pt>
                <c:pt idx="7">
                  <c:v>717.17</c:v>
                </c:pt>
                <c:pt idx="8">
                  <c:v>721.52</c:v>
                </c:pt>
                <c:pt idx="9">
                  <c:v>724.13</c:v>
                </c:pt>
                <c:pt idx="10">
                  <c:v>725</c:v>
                </c:pt>
                <c:pt idx="11">
                  <c:v>725</c:v>
                </c:pt>
                <c:pt idx="12">
                  <c:v>723.40232389252003</c:v>
                </c:pt>
                <c:pt idx="13">
                  <c:v>721.00580973129979</c:v>
                </c:pt>
                <c:pt idx="14">
                  <c:v>717.81045751633974</c:v>
                </c:pt>
                <c:pt idx="15">
                  <c:v>678.79901960784298</c:v>
                </c:pt>
                <c:pt idx="16">
                  <c:v>641.34803921568619</c:v>
                </c:pt>
                <c:pt idx="17">
                  <c:v>605.23459383753493</c:v>
                </c:pt>
                <c:pt idx="18">
                  <c:v>537.9863056333644</c:v>
                </c:pt>
                <c:pt idx="19">
                  <c:v>336.24144102085273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Values'!$G$7:$G$42</c:f>
              <c:numCache>
                <c:formatCode>0</c:formatCode>
                <c:ptCount val="36"/>
                <c:pt idx="0">
                  <c:v>0</c:v>
                </c:pt>
                <c:pt idx="1">
                  <c:v>183.6901451303155</c:v>
                </c:pt>
                <c:pt idx="2">
                  <c:v>520.4453772290808</c:v>
                </c:pt>
                <c:pt idx="3">
                  <c:v>638.53502414266109</c:v>
                </c:pt>
                <c:pt idx="4">
                  <c:v>652.151936351166</c:v>
                </c:pt>
                <c:pt idx="5">
                  <c:v>661.05499999999995</c:v>
                </c:pt>
                <c:pt idx="6">
                  <c:v>668.41520000000003</c:v>
                </c:pt>
                <c:pt idx="7">
                  <c:v>674.13979999999992</c:v>
                </c:pt>
                <c:pt idx="8">
                  <c:v>678.22879999999998</c:v>
                </c:pt>
                <c:pt idx="9">
                  <c:v>680.68219999999997</c:v>
                </c:pt>
                <c:pt idx="10">
                  <c:v>681.5</c:v>
                </c:pt>
                <c:pt idx="11">
                  <c:v>681.5</c:v>
                </c:pt>
                <c:pt idx="12">
                  <c:v>669.23102759622373</c:v>
                </c:pt>
                <c:pt idx="13">
                  <c:v>650.82756899055914</c:v>
                </c:pt>
                <c:pt idx="14">
                  <c:v>626.28962418300659</c:v>
                </c:pt>
                <c:pt idx="15">
                  <c:v>587.23506836945296</c:v>
                </c:pt>
                <c:pt idx="16">
                  <c:v>540.51127450980403</c:v>
                </c:pt>
                <c:pt idx="17">
                  <c:v>487.21384803921569</c:v>
                </c:pt>
                <c:pt idx="18">
                  <c:v>433.07897603485839</c:v>
                </c:pt>
                <c:pt idx="19">
                  <c:v>270.67436002178653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55952"/>
        <c:axId val="362058304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Values'!$H$7:$H$42</c:f>
              <c:numCache>
                <c:formatCode>0</c:formatCode>
                <c:ptCount val="36"/>
                <c:pt idx="0">
                  <c:v>0</c:v>
                </c:pt>
                <c:pt idx="1">
                  <c:v>2.7828739821458064</c:v>
                </c:pt>
                <c:pt idx="2">
                  <c:v>31.538630412456278</c:v>
                </c:pt>
                <c:pt idx="3">
                  <c:v>67.715867548603484</c:v>
                </c:pt>
                <c:pt idx="4">
                  <c:v>79.039913863213599</c:v>
                </c:pt>
                <c:pt idx="5">
                  <c:v>90.133821989528798</c:v>
                </c:pt>
                <c:pt idx="6">
                  <c:v>101.26374869109948</c:v>
                </c:pt>
                <c:pt idx="7">
                  <c:v>112.34411727748689</c:v>
                </c:pt>
                <c:pt idx="8">
                  <c:v>123.30059057591625</c:v>
                </c:pt>
                <c:pt idx="9">
                  <c:v>134.05883141361258</c:v>
                </c:pt>
                <c:pt idx="10">
                  <c:v>144.54450261780107</c:v>
                </c:pt>
                <c:pt idx="11">
                  <c:v>154.86910994764401</c:v>
                </c:pt>
                <c:pt idx="12">
                  <c:v>164.82968133927997</c:v>
                </c:pt>
                <c:pt idx="13">
                  <c:v>174.55135414646756</c:v>
                </c:pt>
                <c:pt idx="14">
                  <c:v>183.99999999999997</c:v>
                </c:pt>
                <c:pt idx="15">
                  <c:v>183.66666666666663</c:v>
                </c:pt>
                <c:pt idx="16">
                  <c:v>182.66666666666666</c:v>
                </c:pt>
                <c:pt idx="17">
                  <c:v>180.99999999999997</c:v>
                </c:pt>
                <c:pt idx="18">
                  <c:v>168.55026455026453</c:v>
                </c:pt>
                <c:pt idx="19">
                  <c:v>110.13227513227511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Values'!$I$7:$I$42</c:f>
              <c:numCache>
                <c:formatCode>0</c:formatCode>
                <c:ptCount val="36"/>
                <c:pt idx="0">
                  <c:v>0</c:v>
                </c:pt>
                <c:pt idx="1">
                  <c:v>2.6159015432170585</c:v>
                </c:pt>
                <c:pt idx="2">
                  <c:v>29.646312587708891</c:v>
                </c:pt>
                <c:pt idx="3">
                  <c:v>63.652915495687267</c:v>
                </c:pt>
                <c:pt idx="4">
                  <c:v>74.297519031420791</c:v>
                </c:pt>
                <c:pt idx="5">
                  <c:v>84.725792670157063</c:v>
                </c:pt>
                <c:pt idx="6">
                  <c:v>95.187923769633514</c:v>
                </c:pt>
                <c:pt idx="7">
                  <c:v>105.60347024083769</c:v>
                </c:pt>
                <c:pt idx="8">
                  <c:v>115.90255514136128</c:v>
                </c:pt>
                <c:pt idx="9">
                  <c:v>126.01530152879582</c:v>
                </c:pt>
                <c:pt idx="10">
                  <c:v>135.871832460733</c:v>
                </c:pt>
                <c:pt idx="11">
                  <c:v>145.57696335078538</c:v>
                </c:pt>
                <c:pt idx="12">
                  <c:v>152.48656712558983</c:v>
                </c:pt>
                <c:pt idx="13">
                  <c:v>157.56160623101286</c:v>
                </c:pt>
                <c:pt idx="14">
                  <c:v>160.54000000000002</c:v>
                </c:pt>
                <c:pt idx="15">
                  <c:v>158.89166666666665</c:v>
                </c:pt>
                <c:pt idx="16">
                  <c:v>153.94666666666669</c:v>
                </c:pt>
                <c:pt idx="17">
                  <c:v>145.70500000000001</c:v>
                </c:pt>
                <c:pt idx="18">
                  <c:v>135.68296296296296</c:v>
                </c:pt>
                <c:pt idx="19">
                  <c:v>88.656481481481492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54776"/>
        <c:axId val="362054384"/>
      </c:scatterChart>
      <c:valAx>
        <c:axId val="36205595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8304"/>
        <c:crosses val="autoZero"/>
        <c:crossBetween val="midCat"/>
        <c:majorUnit val="500"/>
      </c:valAx>
      <c:valAx>
        <c:axId val="362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5952"/>
        <c:crosses val="autoZero"/>
        <c:crossBetween val="midCat"/>
      </c:valAx>
      <c:valAx>
        <c:axId val="3620543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4776"/>
        <c:crosses val="max"/>
        <c:crossBetween val="midCat"/>
      </c:valAx>
      <c:valAx>
        <c:axId val="3620547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6205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Values'!$J$7:$J$42</c:f>
              <c:numCache>
                <c:formatCode>0</c:formatCode>
                <c:ptCount val="36"/>
                <c:pt idx="0">
                  <c:v>345</c:v>
                </c:pt>
                <c:pt idx="1">
                  <c:v>325.83333333333331</c:v>
                </c:pt>
                <c:pt idx="2">
                  <c:v>278.33333333333331</c:v>
                </c:pt>
                <c:pt idx="3">
                  <c:v>245.83333333333334</c:v>
                </c:pt>
                <c:pt idx="4">
                  <c:v>238.33333333333334</c:v>
                </c:pt>
                <c:pt idx="5">
                  <c:v>232.5</c:v>
                </c:pt>
                <c:pt idx="6">
                  <c:v>228.33333333333334</c:v>
                </c:pt>
                <c:pt idx="7">
                  <c:v>225.83333333333334</c:v>
                </c:pt>
                <c:pt idx="8">
                  <c:v>225</c:v>
                </c:pt>
                <c:pt idx="9">
                  <c:v>225.30864197530863</c:v>
                </c:pt>
                <c:pt idx="10">
                  <c:v>226.23456790123456</c:v>
                </c:pt>
                <c:pt idx="11">
                  <c:v>227.77777777777777</c:v>
                </c:pt>
                <c:pt idx="12">
                  <c:v>229.93827160493828</c:v>
                </c:pt>
                <c:pt idx="13">
                  <c:v>232.71604938271605</c:v>
                </c:pt>
                <c:pt idx="14">
                  <c:v>236.11111111111111</c:v>
                </c:pt>
                <c:pt idx="15">
                  <c:v>240.12345679012347</c:v>
                </c:pt>
                <c:pt idx="16">
                  <c:v>244.75308641975309</c:v>
                </c:pt>
                <c:pt idx="17">
                  <c:v>250</c:v>
                </c:pt>
                <c:pt idx="18">
                  <c:v>277.77777777777777</c:v>
                </c:pt>
                <c:pt idx="19">
                  <c:v>361.11111111111109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56344"/>
        <c:axId val="362058696"/>
      </c:scatterChart>
      <c:valAx>
        <c:axId val="362056344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8696"/>
        <c:crosses val="autoZero"/>
        <c:crossBetween val="midCat"/>
        <c:majorUnit val="500"/>
      </c:valAx>
      <c:valAx>
        <c:axId val="362058696"/>
        <c:scaling>
          <c:orientation val="minMax"/>
          <c:max val="3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634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57912"/>
        <c:axId val="362059480"/>
      </c:scatterChart>
      <c:valAx>
        <c:axId val="362057912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9480"/>
        <c:crosses val="autoZero"/>
        <c:crossBetween val="midCat"/>
      </c:valAx>
      <c:valAx>
        <c:axId val="3620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1048"/>
        <c:axId val="362059872"/>
      </c:scatterChart>
      <c:valAx>
        <c:axId val="362061048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59872"/>
        <c:crosses val="autoZero"/>
        <c:crossBetween val="midCat"/>
      </c:valAx>
      <c:valAx>
        <c:axId val="3620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28575</xdr:rowOff>
    </xdr:from>
    <xdr:to>
      <xdr:col>41</xdr:col>
      <xdr:colOff>1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76201</xdr:colOff>
      <xdr:row>30</xdr:row>
      <xdr:rowOff>66675</xdr:rowOff>
    </xdr:from>
    <xdr:to>
      <xdr:col>40</xdr:col>
      <xdr:colOff>19051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42" totalsRowShown="0" headerRowDxfId="71" dataDxfId="70">
  <autoFilter ref="A6:V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rpm" dataDxfId="69"/>
    <tableColumn id="7" name="rawData" dataDxfId="68">
      <calculatedColumnFormula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calculatedColumnFormula>
    </tableColumn>
    <tableColumn id="9" name="manualData" dataDxfId="67"/>
    <tableColumn id="12" name="rawDataEco" dataDxfId="66">
      <calculatedColumnFormula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calculatedColumnFormula>
    </tableColumn>
    <tableColumn id="11" name="manDataEco" dataDxfId="65"/>
    <tableColumn id="4" name="motor" dataDxfId="64">
      <calculatedColumnFormula>Table36[Factor]*IF(Table15[[#This Row],[manualData]]&gt;0,Table15[[#This Row],[manualData]],Table15[[#This Row],[rawData]])</calculatedColumnFormula>
    </tableColumn>
    <tableColumn id="14" name="motorEco" dataDxfId="63">
      <calculatedColumnFormula>Table36[Factor]*IF(Table15[[#This Row],[manDataEco]]&gt;0,Table15[[#This Row],[manDataEco]],Table15[[#This Row],[rawDataEco]])</calculatedColumnFormula>
    </tableColumn>
    <tableColumn id="3" name="ps" dataDxfId="62">
      <calculatedColumnFormula>1.36*Table15[[#This Row],[rpm]]*Table15[[#This Row],[motor]]/9550</calculatedColumnFormula>
    </tableColumn>
    <tableColumn id="13" name="psEco" dataDxfId="61">
      <calculatedColumnFormula>1.36*Table15[[#This Row],[rpm]]*Table15[[#This Row],[motorEco]]/9550</calculatedColumnFormula>
    </tableColumn>
    <tableColumn id="10" name="fuelUsageRatio" dataDxfId="60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calculatedColumnFormula>
    </tableColumn>
    <tableColumn id="5" name="xml" dataDxfId="59">
      <calculatedColumnFormula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calculatedColumnFormula>
    </tableColumn>
    <tableColumn id="8" name="xml2" dataDxfId="58">
      <calculatedColumnFormula>IF(Table15[[#This Row],[rpm]]&gt;Table36[normRpm],"",CONCATENATE("&lt;torque normRpm=""",ROUND(Table15[[#This Row],[rpm]]/Table36[normRpm],3),""" torque=""",ROUND(Table15[[#This Row],[motor]]/MAX(Table15[motor]),3),"""/&gt;"))</calculatedColumnFormula>
    </tableColumn>
    <tableColumn id="15" name="t1" dataDxfId="57">
      <calculatedColumnFormula>(1-(1-Table15[[#This Row],[rpm]]/Table36[idleRpm])^2)*Table7[idleT]</calculatedColumnFormula>
    </tableColumn>
    <tableColumn id="18" name="t2" dataDxfId="56">
      <calculatedColumnFormula>MAX(0,(1-Table7[f1]*(Table36[maxTRpm1]-Table15[[#This Row],[rpm]])^2)*Table36[maxT])</calculatedColumnFormula>
    </tableColumn>
    <tableColumn id="19" name="t3" dataDxfId="55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4">
      <calculatedColumnFormula>MAX(0,(Table36[maxPS]-Table7[f4]*(Table15[[#This Row],[rpm]]-Table36[maxPRpm])^2)/1.36*9550/MAX(1,Table15[[#This Row],[rpm]]))</calculatedColumnFormula>
    </tableColumn>
    <tableColumn id="17" name="t5" dataDxfId="53">
      <calculatedColumnFormula>MAX(0,Table7[Nm2]*(1-(Table15[[#This Row],[rpm]]-Table36[ratedRpm])^2/(Table36[fadeOut]^2)))</calculatedColumnFormula>
    </tableColumn>
    <tableColumn id="21" name="t1E" dataDxfId="52">
      <calculatedColumnFormula>(1-(1-Table15[[#This Row],[rpm]]/Table36[idleRpm])^2)*Table7[idleTEco]</calculatedColumnFormula>
    </tableColumn>
    <tableColumn id="22" name="t2E" dataDxfId="2">
      <calculatedColumnFormula>MAX(0,(1-Table7[f1]*(Table36[maxTRpm1]-Table15[[#This Row],[rpm]])^2)*Table36[maxTEco])</calculatedColumnFormula>
    </tableColumn>
    <tableColumn id="23" name="t3E" dataDxfId="51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0">
      <calculatedColumnFormula>MAX(0,(Table36[maxPSEco]-Table7[f4Eco]*(Table15[[#This Row],[rpm]]-Table36[maxPRpm])^2)/1.36*9550/MAX(1,Table15[[#This Row],[rpm]]))</calculatedColumnFormula>
    </tableColumn>
    <tableColumn id="25" name="t5E" dataDxfId="49">
      <calculatedColumnFormula>MAX(0,Table7[Nm2Eco]*(1-(Table15[[#This Row],[rpm]]-Table36[ratedRpm])^2/(Table36[fadeOut]^2)))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X2" totalsRowShown="0" headerRowDxfId="48">
  <autoFilter ref="A1:X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4">
    <tableColumn id="10" name="maxPRpm" dataDxfId="47"/>
    <tableColumn id="14" name="maxPS" dataDxfId="46"/>
    <tableColumn id="19" name="maxPSEco" dataDxfId="45">
      <calculatedColumnFormula>Table36[maxPsEcoRate]*Table36[maxPS]</calculatedColumnFormula>
    </tableColumn>
    <tableColumn id="2" name="ratedRpm"/>
    <tableColumn id="3" name="PS"/>
    <tableColumn id="20" name="PSEco" dataDxfId="44">
      <calculatedColumnFormula>Table36[PSEcoRate]*Table36[PS]</calculatedColumnFormula>
    </tableColumn>
    <tableColumn id="12" name="maxTRpm1" dataDxfId="43"/>
    <tableColumn id="4" name="maxTRpm" dataDxfId="42"/>
    <tableColumn id="5" name="maxT" dataDxfId="41"/>
    <tableColumn id="21" name="maxTEco" dataDxfId="40">
      <calculatedColumnFormula>Table36[NmEcoRate]*Table36[maxT]</calculatedColumnFormula>
    </tableColumn>
    <tableColumn id="6" name="idleRpm"/>
    <tableColumn id="7" name="idleRatio" dataCellStyle="Percent"/>
    <tableColumn id="11" name="fadeOut" dataDxfId="39"/>
    <tableColumn id="15" name="linearDown" dataDxfId="38"/>
    <tableColumn id="22" name="Efficiency" dataDxfId="37"/>
    <tableColumn id="16" name="Factor" dataDxfId="36"/>
    <tableColumn id="9" name="fuelMinRpm" dataDxfId="35">
      <calculatedColumnFormula>0.75*Table36[idleRpm]+0.25*Table36[ratedRpm]</calculatedColumnFormula>
    </tableColumn>
    <tableColumn id="13" name="fuelMinRate" dataDxfId="34">
      <calculatedColumnFormula>0.9*Table36[fuelRatedRate]</calculatedColumnFormula>
    </tableColumn>
    <tableColumn id="17" name="fuelIdleRate" dataDxfId="33">
      <calculatedColumnFormula>0.93*Table36[fuelRatedRate]</calculatedColumnFormula>
    </tableColumn>
    <tableColumn id="18" name="fuelRatedRate" dataDxfId="32"/>
    <tableColumn id="1" name="normRpm" dataDxfId="31">
      <calculatedColumnFormula>ROUND(Table36[ratedRpm]+MAX(100,0.6667*Table36[fadeOut]),0)</calculatedColumnFormula>
    </tableColumn>
    <tableColumn id="8" name="PSEcoRate" dataDxfId="30"/>
    <tableColumn id="23" name="NmEcoRate"/>
    <tableColumn id="24" name="maxPsEcoRate" dataDxfId="0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S4" totalsRowShown="0" headerRowDxfId="29" dataDxfId="28">
  <autoFilter ref="A3:S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f1" dataDxfId="27">
      <calculatedColumnFormula>(1-Table36[idleRatio])/((Table36[maxTRpm1]-Table36[idleRpm])^2)</calculatedColumnFormula>
    </tableColumn>
    <tableColumn id="2" name="f2" dataDxfId="26">
      <calculatedColumnFormula>(Table36[maxT]-Table7[Nm])/Table36[maxT]/(Table36[maxPRpm]-Table36[maxTRpm])</calculatedColumnFormula>
    </tableColumn>
    <tableColumn id="5" name="f3" dataDxfId="25">
      <calculatedColumnFormula>(Table36[maxT]-Table7[Nm])/Table36[maxT]/(Table36[maxPRpm]-Table36[maxTRpm])^2</calculatedColumnFormula>
    </tableColumn>
    <tableColumn id="6" name="f4" dataDxfId="24">
      <calculatedColumnFormula>(Table36[maxPS]-Table36[PS])/MAX(1,Table36[ratedRpm]-Table36[maxPRpm])^2</calculatedColumnFormula>
    </tableColumn>
    <tableColumn id="3" name="Nm" dataDxfId="23">
      <calculatedColumnFormula>Table36[maxPS]/1.36*9550/Table36[maxPRpm]</calculatedColumnFormula>
    </tableColumn>
    <tableColumn id="4" name="Nm2" dataDxfId="22">
      <calculatedColumnFormula>Table36[PS]/1.36*9550/Table36[ratedRpm]</calculatedColumnFormula>
    </tableColumn>
    <tableColumn id="7" name="Anfahrmoment" dataDxfId="21" dataCellStyle="Percent">
      <calculatedColumnFormula>Table7[Nm1000]/Table7[Nm2Eco]</calculatedColumnFormula>
    </tableColumn>
    <tableColumn id="17" name="AnstiegE" dataDxfId="1" dataCellStyle="Percent">
      <calculatedColumnFormula>Table36[maxTEco]/Table7[Nm2Eco]-1</calculatedColumnFormula>
    </tableColumn>
    <tableColumn id="14" name="Anstieg" dataDxfId="20" dataCellStyle="Percent">
      <calculatedColumnFormula>Table36[maxT]/Table7[Nm2]-1</calculatedColumnFormula>
    </tableColumn>
    <tableColumn id="15" name="Abfall" dataDxfId="19" dataCellStyle="Percent">
      <calculatedColumnFormula>1-Table36[maxTRpm]/Table36[ratedRpm]</calculatedColumnFormula>
    </tableColumn>
    <tableColumn id="16" name="Nm1000" dataDxfId="3" dataCellStyle="Percent">
      <calculatedColumnFormula>(1-Table7[f1]*(Table36[maxTRpm1]-1000)^2)*Table36[maxTEco]</calculatedColumnFormula>
    </tableColumn>
    <tableColumn id="8" name="NmEco" dataDxfId="18">
      <calculatedColumnFormula>Table36[maxPSEco]/1.36*9550/Table36[maxPRpm]</calculatedColumnFormula>
    </tableColumn>
    <tableColumn id="9" name="Nm2Eco" dataDxfId="17">
      <calculatedColumnFormula>Table36[PSEco]/1.36*9550/Table36[ratedRpm]</calculatedColumnFormula>
    </tableColumn>
    <tableColumn id="12" name="f2Eco" dataDxfId="16">
      <calculatedColumnFormula>(Table36[maxTEco]-Table7[NmEco])/Table36[maxTEco]/(Table36[maxPRpm]-Table36[maxTRpm])</calculatedColumnFormula>
    </tableColumn>
    <tableColumn id="10" name="f3Eco" dataDxfId="15">
      <calculatedColumnFormula>(Table36[maxTEco]-Table7[NmEco])/Table36[maxTEco]/(Table36[maxPRpm]-Table36[maxTRpm])^2</calculatedColumnFormula>
    </tableColumn>
    <tableColumn id="11" name="f4Eco" dataDxfId="14">
      <calculatedColumnFormula>(Table36[maxPSEco]-Table36[PSEco])/MAX(1,Table36[ratedRpm]-Table36[maxPRpm])^2</calculatedColumnFormula>
    </tableColumn>
    <tableColumn id="13" name="idleT" dataDxfId="13">
      <calculatedColumnFormula>(1-Table7[f1]*(Table36[maxTRpm1]-Table36[idleRpm])^2)*Table36[maxT]</calculatedColumnFormula>
    </tableColumn>
    <tableColumn id="19" name="idleTEco" dataDxfId="12">
      <calculatedColumnFormula>(1-Table7[f1]*(Table36[maxTRpm1]-Table36[idleRpm])^2)*Table36[maxTEco]</calculatedColumnFormula>
    </tableColumn>
    <tableColumn id="21" name="xmlComment" dataDxfId="11">
      <calculatedColumnFormula>CONCATENATE("&lt;!-- ",Table36[maxPRpm],": ",Table36[maxPS],"(",Table36[maxPSEco],") | ",Table36[ratedRpm],": ",Table36[PS],"(",Table36[PSEco],") | ",Table36[maxTRpm1],"..",Table36[maxTRpm],": ",Table36[maxT],"(",Table36[maxTEco],") | ",Table36[idleRatio]*100," | ",Table36[linearDown],"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0">
      <calculatedColumnFormula>A2*C2/9550</calculatedColumnFormula>
    </tableColumn>
    <tableColumn id="3" name="ps" dataDxfId="9">
      <calculatedColumnFormula>Table1[[#This Row],[kw_pto]]*1.36/0.94</calculatedColumnFormula>
    </tableColumn>
    <tableColumn id="4" name="motor"/>
    <tableColumn id="5" name="xml" dataDxfId="8">
      <calculatedColumnFormula>CONCATENATE("&lt;torque rpm=""",Table1[[#This Row],[rpm]],""" motorTorque=""",ROUND(Table1[[#This Row],[motor]],0),"""/&gt;")</calculatedColumnFormula>
    </tableColumn>
    <tableColumn id="8" name="xml2" dataDxfId="7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4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workbookViewId="0">
      <selection activeCell="A2" sqref="A2"/>
    </sheetView>
  </sheetViews>
  <sheetFormatPr defaultColWidth="7.140625" defaultRowHeight="15" x14ac:dyDescent="0.25"/>
  <cols>
    <col min="1" max="1" width="10" bestFit="1" customWidth="1"/>
    <col min="2" max="2" width="7.28515625" bestFit="1" customWidth="1"/>
    <col min="3" max="3" width="12" bestFit="1" customWidth="1"/>
    <col min="4" max="4" width="7.28515625" bestFit="1" customWidth="1"/>
    <col min="5" max="5" width="10.85546875" customWidth="1"/>
    <col min="6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4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49</v>
      </c>
      <c r="P1" s="4" t="s">
        <v>7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60</v>
      </c>
      <c r="V1" s="4" t="s">
        <v>63</v>
      </c>
      <c r="W1" s="4" t="s">
        <v>64</v>
      </c>
      <c r="X1" s="4" t="s">
        <v>67</v>
      </c>
    </row>
    <row r="2" spans="1:24" ht="15.75" thickBot="1" x14ac:dyDescent="0.3">
      <c r="A2" s="14">
        <v>1800</v>
      </c>
      <c r="B2" s="15">
        <v>184</v>
      </c>
      <c r="C2" s="19">
        <f>Table36[maxPsEcoRate]*Table36[maxPS]</f>
        <v>160.54000000000002</v>
      </c>
      <c r="D2" s="7">
        <v>2100</v>
      </c>
      <c r="E2" s="8">
        <v>181</v>
      </c>
      <c r="F2" s="20">
        <f>Table36[PSEcoRate]*Table36[PS]</f>
        <v>145.70500000000001</v>
      </c>
      <c r="G2" s="14">
        <v>1400</v>
      </c>
      <c r="H2" s="15">
        <v>1500</v>
      </c>
      <c r="I2" s="15">
        <v>725</v>
      </c>
      <c r="J2" s="19">
        <f>Table36[NmEcoRate]*Table36[maxT]</f>
        <v>681.5</v>
      </c>
      <c r="K2" s="7">
        <v>900</v>
      </c>
      <c r="L2" s="12">
        <v>0.97</v>
      </c>
      <c r="M2" s="9">
        <v>300</v>
      </c>
      <c r="N2" s="14">
        <v>0.5</v>
      </c>
      <c r="O2" s="15">
        <v>0.94</v>
      </c>
      <c r="P2" s="16">
        <v>1</v>
      </c>
      <c r="Q2" s="17">
        <f>0.75*Table36[idleRpm]+0.25*Table36[ratedRpm]</f>
        <v>1200</v>
      </c>
      <c r="R2" s="18">
        <f>0.9*Table36[fuelRatedRate]</f>
        <v>225</v>
      </c>
      <c r="S2" s="18">
        <f>0.93*Table36[fuelRatedRate]</f>
        <v>232.5</v>
      </c>
      <c r="T2" s="9">
        <v>250</v>
      </c>
      <c r="U2" s="11">
        <f>ROUND(Table36[ratedRpm]+MAX(100,0.6667*Table36[fadeOut]),0)</f>
        <v>2300</v>
      </c>
      <c r="V2" s="7">
        <v>0.80500000000000005</v>
      </c>
      <c r="W2" s="9">
        <v>0.94</v>
      </c>
      <c r="X2" s="30">
        <f>Table36[PSEcoRate]* (Table36[maxPRpm]-Table36[maxTRpm])/(Table36[ratedRpm]-Table36[maxTRpm]) + Table36[NmEcoRate]* (1- (Table36[maxPRpm]-Table36[maxTRpm])/(Table36[ratedRpm]-Table36[maxTRpm]))</f>
        <v>0.87250000000000005</v>
      </c>
    </row>
    <row r="3" spans="1:24" x14ac:dyDescent="0.25">
      <c r="A3" s="13" t="s">
        <v>16</v>
      </c>
      <c r="B3" s="13" t="s">
        <v>17</v>
      </c>
      <c r="C3" s="13" t="s">
        <v>24</v>
      </c>
      <c r="D3" s="13" t="s">
        <v>26</v>
      </c>
      <c r="E3" s="13" t="s">
        <v>19</v>
      </c>
      <c r="F3" s="13" t="s">
        <v>20</v>
      </c>
      <c r="G3" s="27" t="s">
        <v>27</v>
      </c>
      <c r="H3" s="28" t="s">
        <v>66</v>
      </c>
      <c r="I3" s="28" t="s">
        <v>61</v>
      </c>
      <c r="J3" s="29" t="s">
        <v>62</v>
      </c>
      <c r="K3" s="13" t="s">
        <v>65</v>
      </c>
      <c r="L3" s="13" t="s">
        <v>37</v>
      </c>
      <c r="M3" s="13" t="s">
        <v>38</v>
      </c>
      <c r="N3" s="13" t="s">
        <v>41</v>
      </c>
      <c r="O3" s="13" t="s">
        <v>39</v>
      </c>
      <c r="P3" s="13" t="s">
        <v>40</v>
      </c>
      <c r="Q3" s="13" t="s">
        <v>42</v>
      </c>
      <c r="R3" s="13" t="s">
        <v>48</v>
      </c>
      <c r="S3" s="13" t="s">
        <v>28</v>
      </c>
    </row>
    <row r="4" spans="1:24" ht="15.75" thickBot="1" x14ac:dyDescent="0.3">
      <c r="A4" s="13">
        <f>(1-Table36[idleRatio])/((Table36[maxTRpm1]-Table36[idleRpm])^2)</f>
        <v>1.200000000000001E-7</v>
      </c>
      <c r="B4" s="13">
        <f>(Table36[maxT]-Table7[Nm])/Table36[maxT]/(Table36[maxPRpm]-Table36[maxTRpm])</f>
        <v>3.3055367740966714E-5</v>
      </c>
      <c r="C4" s="13">
        <f>(Table36[maxT]-Table7[Nm])/Table36[maxT]/(Table36[maxPRpm]-Table36[maxTRpm])^2</f>
        <v>1.1018455913655572E-7</v>
      </c>
      <c r="D4" s="13">
        <f>(Table36[maxPS]-Table36[PS])/MAX(1,Table36[ratedRpm]-Table36[maxPRpm])^2</f>
        <v>3.3333333333333335E-5</v>
      </c>
      <c r="E4" s="13">
        <f>Table36[maxPS]/1.36*9550/Table36[maxPRpm]</f>
        <v>717.81045751633974</v>
      </c>
      <c r="F4" s="13">
        <f>Table36[PS]/1.36*9550/Table36[ratedRpm]</f>
        <v>605.23459383753493</v>
      </c>
      <c r="G4" s="24">
        <f>Table7[Nm1000]/Table7[Nm2Eco]</f>
        <v>1.3719133860624575</v>
      </c>
      <c r="H4" s="25">
        <f>Table36[maxTEco]/Table7[Nm2Eco]-1</f>
        <v>0.39876976556123322</v>
      </c>
      <c r="I4" s="25">
        <f>Table36[maxT]/Table7[Nm2]-1</f>
        <v>0.19788261837956678</v>
      </c>
      <c r="J4" s="26">
        <f>1-Table36[maxTRpm]/Table36[ratedRpm]</f>
        <v>0.2857142857142857</v>
      </c>
      <c r="K4" s="13">
        <f>(1-Table7[f1]*(Table36[maxTRpm1]-1000)^2)*Table36[maxTEco]</f>
        <v>668.41520000000003</v>
      </c>
      <c r="L4" s="13">
        <f>Table36[maxPSEco]/1.36*9550/Table36[maxPRpm]</f>
        <v>626.28962418300659</v>
      </c>
      <c r="M4" s="13">
        <f>Table36[PSEco]/1.36*9550/Table36[ratedRpm]</f>
        <v>487.21384803921569</v>
      </c>
      <c r="N4" s="13">
        <f>(Table36[maxTEco]-Table7[NmEco])/Table36[maxTEco]/(Table36[maxPRpm]-Table36[maxTRpm])</f>
        <v>2.7004341314254538E-4</v>
      </c>
      <c r="O4" s="13">
        <f>(Table36[maxTEco]-Table7[NmEco])/Table36[maxTEco]/(Table36[maxPRpm]-Table36[maxTRpm])^2</f>
        <v>9.0014471047515134E-7</v>
      </c>
      <c r="P4" s="13">
        <f>(Table36[maxPSEco]-Table36[PSEco])/MAX(1,Table36[ratedRpm]-Table36[maxPRpm])^2</f>
        <v>1.6483333333333343E-4</v>
      </c>
      <c r="Q4" s="13">
        <f>(1-Table7[f1]*(Table36[maxTRpm1]-Table36[idleRpm])^2)*Table36[maxT]</f>
        <v>703.25</v>
      </c>
      <c r="R4" s="13">
        <f>(1-Table7[f1]*(Table36[maxTRpm1]-Table36[idleRpm])^2)*Table36[maxTEco]</f>
        <v>661.05499999999995</v>
      </c>
      <c r="S4" s="13" t="str">
        <f>CONCATENATE("&lt;!-- ",Table36[maxPRpm],": ",Table36[maxPS],"(",Table36[maxPSEco],") | ",Table36[ratedRpm],": ",Table36[PS],"(",Table36[PSEco],") | ",Table36[maxTRpm1],"..",Table36[maxTRpm],": ",Table36[maxT],"(",Table36[maxTEco],") | ",Table36[idleRatio]*100," | ",Table36[linearDown]," --&gt;")</f>
        <v>&lt;!-- 1800: 184(160.54) | 2100: 181(145.705) | 1400..1500: 725(681.5) | 97 | 0.5 --&gt;</v>
      </c>
    </row>
    <row r="6" spans="1:24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4" x14ac:dyDescent="0.25">
      <c r="A7" s="3">
        <v>0</v>
      </c>
      <c r="B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7" s="21"/>
      <c r="D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7" s="21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3">
        <f>1.36*Table15[[#This Row],[rpm]]*Table15[[#This Row],[motor]]/9550</f>
        <v>0</v>
      </c>
      <c r="I7" s="3">
        <f>1.36*Table15[[#This Row],[rpm]]*Table15[[#This Row],[motorEco]]/9550</f>
        <v>0</v>
      </c>
      <c r="J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345</v>
      </c>
      <c r="K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rpm="0" motorTorque="0" motorTorqueEco="0" fuelUsageRatio="345"/&gt;&lt;!-- 1800: 184(160.54) | 2100: 181(145.705) | 1400..1500: 725(681.5) | 97 | 0.5 --&gt;</v>
      </c>
      <c r="L7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normRpm="0" torque="0"/&gt;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554.4799999999999</v>
      </c>
      <c r="O7" s="3">
        <f>MAX(0,(Table36[linearDown]*(1-Table7[f2]*(Table15[[#This Row],[rpm]]-Table36[maxTRpm]))+(1-Table36[linearDown])*(1-Table7[f3]*(Table15[[#This Row],[rpm]]-Table36[maxTRpm])^2))*Table36[maxT])</f>
        <v>653.10457516339739</v>
      </c>
      <c r="P7" s="3">
        <f>MAX(0,(Table36[maxPS]-Table7[f4]*(Table15[[#This Row],[rpm]]-Table36[maxPRpm])^2)/1.36*9550/MAX(1,Table15[[#This Row],[rpm]]))</f>
        <v>533676.47058823518</v>
      </c>
      <c r="Q7" s="3">
        <f>MAX(0,Table7[Nm2]*(1-(Table15[[#This Row],[rpm]]-Table36[ratedRpm])^2/(Table36[fadeOut]^2)))</f>
        <v>0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521.21119999999985</v>
      </c>
      <c r="T7" s="3">
        <f>MAX(0,(Table36[linearDown]*(1-Table7[f2Eco]*(Table15[[#This Row],[rpm]]-Table36[maxTRpm]))+(1-Table36[linearDown])*(1-Table7[f3Eco]*(Table15[[#This Row],[rpm]]-Table36[maxTRpm])^2))*Table36[maxTEco])</f>
        <v>129.39624183006595</v>
      </c>
      <c r="U7" s="3">
        <f>MAX(0,(Table36[maxPSEco]-Table7[f4Eco]*(Table15[[#This Row],[rpm]]-Table36[maxPRpm])^2)/1.36*9550/MAX(1,Table15[[#This Row],[rpm]]))</f>
        <v>0</v>
      </c>
      <c r="V7" s="3">
        <f>MAX(0,Table7[Nm2Eco]*(1-(Table15[[#This Row],[rpm]]-Table36[ratedRpm])^2/(Table36[fadeOut]^2)))</f>
        <v>0</v>
      </c>
    </row>
    <row r="8" spans="1:24" x14ac:dyDescent="0.25">
      <c r="A8" s="3">
        <v>100</v>
      </c>
      <c r="B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195.41504801097392</v>
      </c>
      <c r="C8" s="22"/>
      <c r="D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183.6901451303155</v>
      </c>
      <c r="E8" s="22"/>
      <c r="F8" s="3">
        <f>Table36[Factor]*IF(Table15[[#This Row],[manualData]]&gt;0,Table15[[#This Row],[manualData]],Table15[[#This Row],[rawData]])</f>
        <v>195.41504801097392</v>
      </c>
      <c r="G8" s="3">
        <f>Table36[Factor]*IF(Table15[[#This Row],[manDataEco]]&gt;0,Table15[[#This Row],[manDataEco]],Table15[[#This Row],[rawDataEco]])</f>
        <v>183.6901451303155</v>
      </c>
      <c r="H8" s="3">
        <f>1.36*Table15[[#This Row],[rpm]]*Table15[[#This Row],[motor]]/9550</f>
        <v>2.7828739821458064</v>
      </c>
      <c r="I8" s="3">
        <f>1.36*Table15[[#This Row],[rpm]]*Table15[[#This Row],[motorEco]]/9550</f>
        <v>2.6159015432170585</v>
      </c>
      <c r="J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325.83333333333331</v>
      </c>
      <c r="K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rpm="100" motorTorque="195" motorTorqueEco="184" fuelUsageRatio="326"/&gt;</v>
      </c>
      <c r="L8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normRpm="0.043" torque="0.27"/&gt;</v>
      </c>
      <c r="M8" s="3">
        <f>(1-(1-Table15[[#This Row],[rpm]]/Table36[idleRpm])^2)*Table7[idleT]</f>
        <v>147.5956790123457</v>
      </c>
      <c r="N8" s="3">
        <f>MAX(0,(1-Table7[f1]*(Table36[maxTRpm1]-Table15[[#This Row],[rpm]])^2)*Table36[maxT])</f>
        <v>577.9699999999998</v>
      </c>
      <c r="O8" s="3">
        <f>MAX(0,(Table36[linearDown]*(1-Table7[f2]*(Table15[[#This Row],[rpm]]-Table36[maxTRpm]))+(1-Table36[linearDown])*(1-Table7[f3]*(Table15[[#This Row],[rpm]]-Table36[maxTRpm])^2))*Table36[maxT])</f>
        <v>663.4894698620177</v>
      </c>
      <c r="P8" s="3">
        <f>MAX(0,(Table36[maxPS]-Table7[f4]*(Table15[[#This Row],[rpm]]-Table36[maxPRpm])^2)/1.36*9550/MAX(1,Table15[[#This Row],[rpm]]))</f>
        <v>6156.0049019607832</v>
      </c>
      <c r="Q8" s="3">
        <f>MAX(0,Table7[Nm2]*(1-(Table15[[#This Row],[rpm]]-Table36[ratedRpm])^2/(Table36[fadeOut]^2)))</f>
        <v>0</v>
      </c>
      <c r="R8" s="3">
        <f>(1-(1-Table15[[#This Row],[rpm]]/Table36[idleRpm])^2)*Table7[idleTEco]</f>
        <v>138.73993827160496</v>
      </c>
      <c r="S8" s="3">
        <f>MAX(0,(1-Table7[f1]*(Table36[maxTRpm1]-Table15[[#This Row],[rpm]])^2)*Table36[maxTEco])</f>
        <v>543.29179999999985</v>
      </c>
      <c r="T8" s="3">
        <f>MAX(0,(Table36[linearDown]*(1-Table7[f2Eco]*(Table15[[#This Row],[rpm]]-Table36[maxTRpm]))+(1-Table36[linearDown])*(1-Table7[f3Eco]*(Table15[[#This Row],[rpm]]-Table36[maxTRpm])^2))*Table36[maxTEco])</f>
        <v>209.14456245461193</v>
      </c>
      <c r="U8" s="3">
        <f>MAX(0,(Table36[maxPSEco]-Table7[f4Eco]*(Table15[[#This Row],[rpm]]-Table36[maxPRpm])^2)/1.36*9550/MAX(1,Table15[[#This Row],[rpm]]))</f>
        <v>0</v>
      </c>
      <c r="V8" s="3">
        <f>MAX(0,Table7[Nm2Eco]*(1-(Table15[[#This Row],[rpm]]-Table36[ratedRpm])^2/(Table36[fadeOut]^2)))</f>
        <v>0</v>
      </c>
    </row>
    <row r="9" spans="1:24" x14ac:dyDescent="0.25">
      <c r="A9" s="3">
        <v>400</v>
      </c>
      <c r="B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553.66529492455413</v>
      </c>
      <c r="C9" s="22"/>
      <c r="D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520.4453772290808</v>
      </c>
      <c r="E9" s="22"/>
      <c r="F9" s="3">
        <f>Table36[Factor]*IF(Table15[[#This Row],[manualData]]&gt;0,Table15[[#This Row],[manualData]],Table15[[#This Row],[rawData]])</f>
        <v>553.66529492455413</v>
      </c>
      <c r="G9" s="3">
        <f>Table36[Factor]*IF(Table15[[#This Row],[manDataEco]]&gt;0,Table15[[#This Row],[manDataEco]],Table15[[#This Row],[rawDataEco]])</f>
        <v>520.4453772290808</v>
      </c>
      <c r="H9" s="3">
        <f>1.36*Table15[[#This Row],[rpm]]*Table15[[#This Row],[motor]]/9550</f>
        <v>31.538630412456278</v>
      </c>
      <c r="I9" s="3">
        <f>1.36*Table15[[#This Row],[rpm]]*Table15[[#This Row],[motorEco]]/9550</f>
        <v>29.646312587708891</v>
      </c>
      <c r="J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278.33333333333331</v>
      </c>
      <c r="K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rpm="400" motorTorque="554" motorTorqueEco="520" fuelUsageRatio="278"/&gt;</v>
      </c>
      <c r="L9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normRpm="0.174" torque="0.764"/&gt;</v>
      </c>
      <c r="M9" s="3">
        <f>(1-(1-Table15[[#This Row],[rpm]]/Table36[idleRpm])^2)*Table7[idleT]</f>
        <v>486.19753086419752</v>
      </c>
      <c r="N9" s="3">
        <f>MAX(0,(1-Table7[f1]*(Table36[maxTRpm1]-Table15[[#This Row],[rpm]])^2)*Table36[maxT])</f>
        <v>637.99999999999989</v>
      </c>
      <c r="O9" s="3">
        <f>MAX(0,(Table36[linearDown]*(1-Table7[f2]*(Table15[[#This Row],[rpm]]-Table36[maxTRpm]))+(1-Table36[linearDown])*(1-Table7[f3]*(Table15[[#This Row],[rpm]]-Table36[maxTRpm])^2))*Table36[maxT])</f>
        <v>689.85112563543873</v>
      </c>
      <c r="P9" s="3">
        <f>MAX(0,(Table36[maxPS]-Table7[f4]*(Table15[[#This Row],[rpm]]-Table36[maxPRpm])^2)/1.36*9550/MAX(1,Table15[[#This Row],[rpm]]))</f>
        <v>2083.2107843137251</v>
      </c>
      <c r="Q9" s="3">
        <f>MAX(0,Table7[Nm2]*(1-(Table15[[#This Row],[rpm]]-Table36[ratedRpm])^2/(Table36[fadeOut]^2)))</f>
        <v>0</v>
      </c>
      <c r="R9" s="3">
        <f>(1-(1-Table15[[#This Row],[rpm]]/Table36[idleRpm])^2)*Table7[idleTEco]</f>
        <v>457.02567901234562</v>
      </c>
      <c r="S9" s="3">
        <f>MAX(0,(1-Table7[f1]*(Table36[maxTRpm1]-Table15[[#This Row],[rpm]])^2)*Table36[maxTEco])</f>
        <v>599.71999999999991</v>
      </c>
      <c r="T9" s="3">
        <f>MAX(0,(Table36[linearDown]*(1-Table7[f2Eco]*(Table15[[#This Row],[rpm]]-Table36[maxTRpm]))+(1-Table36[linearDown])*(1-Table7[f3Eco]*(Table15[[#This Row],[rpm]]-Table36[maxTRpm])^2))*Table36[maxTEco])</f>
        <v>411.58260711692111</v>
      </c>
      <c r="U9" s="3">
        <f>MAX(0,(Table36[maxPSEco]-Table7[f4Eco]*(Table15[[#This Row],[rpm]]-Table36[maxPRpm])^2)/1.36*9550/MAX(1,Table15[[#This Row],[rpm]]))</f>
        <v>0</v>
      </c>
      <c r="V9" s="3">
        <f>MAX(0,Table7[Nm2Eco]*(1-(Table15[[#This Row],[rpm]]-Table36[ratedRpm])^2/(Table36[fadeOut]^2)))</f>
        <v>0</v>
      </c>
    </row>
    <row r="10" spans="1:24" x14ac:dyDescent="0.25">
      <c r="A10" s="3">
        <v>700</v>
      </c>
      <c r="B1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679.29257887517133</v>
      </c>
      <c r="C10" s="22"/>
      <c r="D1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638.53502414266109</v>
      </c>
      <c r="E10" s="22"/>
      <c r="F10" s="3">
        <f>Table36[Factor]*IF(Table15[[#This Row],[manualData]]&gt;0,Table15[[#This Row],[manualData]],Table15[[#This Row],[rawData]])</f>
        <v>679.29257887517133</v>
      </c>
      <c r="G10" s="3">
        <f>Table36[Factor]*IF(Table15[[#This Row],[manDataEco]]&gt;0,Table15[[#This Row],[manDataEco]],Table15[[#This Row],[rawDataEco]])</f>
        <v>638.53502414266109</v>
      </c>
      <c r="H10" s="3">
        <f>1.36*Table15[[#This Row],[rpm]]*Table15[[#This Row],[motor]]/9550</f>
        <v>67.715867548603484</v>
      </c>
      <c r="I10" s="3">
        <f>1.36*Table15[[#This Row],[rpm]]*Table15[[#This Row],[motorEco]]/9550</f>
        <v>63.652915495687267</v>
      </c>
      <c r="J1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245.83333333333334</v>
      </c>
      <c r="K1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rpm="700" motorTorque="679" motorTorqueEco="639" fuelUsageRatio="246"/&gt;</v>
      </c>
      <c r="L10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normRpm="0.304" torque="0.937"/&gt;</v>
      </c>
      <c r="M10" s="3">
        <f>(1-(1-Table15[[#This Row],[rpm]]/Table36[idleRpm])^2)*Table7[idleT]</f>
        <v>668.52160493827159</v>
      </c>
      <c r="N10" s="3">
        <f>MAX(0,(1-Table7[f1]*(Table36[maxTRpm1]-Table15[[#This Row],[rpm]])^2)*Table36[maxT])</f>
        <v>682.36999999999989</v>
      </c>
      <c r="O10" s="3">
        <f>MAX(0,(Table36[linearDown]*(1-Table7[f2]*(Table15[[#This Row],[rpm]]-Table36[maxTRpm]))+(1-Table36[linearDown])*(1-Table7[f3]*(Table15[[#This Row],[rpm]]-Table36[maxTRpm])^2))*Table36[maxT])</f>
        <v>709.02323892519939</v>
      </c>
      <c r="P10" s="3">
        <f>MAX(0,(Table36[maxPS]-Table7[f4]*(Table15[[#This Row],[rpm]]-Table36[maxPRpm])^2)/1.36*9550/MAX(1,Table15[[#This Row],[rpm]]))</f>
        <v>1441.1939775910364</v>
      </c>
      <c r="Q10" s="3">
        <f>MAX(0,Table7[Nm2]*(1-(Table15[[#This Row],[rpm]]-Table36[ratedRpm])^2/(Table36[fadeOut]^2)))</f>
        <v>0</v>
      </c>
      <c r="R10" s="3">
        <f>(1-(1-Table15[[#This Row],[rpm]]/Table36[idleRpm])^2)*Table7[idleTEco]</f>
        <v>628.41030864197523</v>
      </c>
      <c r="S10" s="3">
        <f>MAX(0,(1-Table7[f1]*(Table36[maxTRpm1]-Table15[[#This Row],[rpm]])^2)*Table36[maxTEco])</f>
        <v>641.42779999999993</v>
      </c>
      <c r="T10" s="3">
        <f>MAX(0,(Table36[linearDown]*(1-Table7[f2Eco]*(Table15[[#This Row],[rpm]]-Table36[maxTRpm]))+(1-Table36[linearDown])*(1-Table7[f3Eco]*(Table15[[#This Row],[rpm]]-Table36[maxTRpm])^2))*Table36[maxTEco])</f>
        <v>558.81027596223691</v>
      </c>
      <c r="U10" s="3">
        <f>MAX(0,(Table36[maxPSEco]-Table7[f4Eco]*(Table15[[#This Row],[rpm]]-Table36[maxPRpm])^2)/1.36*9550/MAX(1,Table15[[#This Row],[rpm]]))</f>
        <v>0</v>
      </c>
      <c r="V10" s="3">
        <f>MAX(0,Table7[Nm2Eco]*(1-(Table15[[#This Row],[rpm]]-Table36[ratedRpm])^2/(Table36[fadeOut]^2)))</f>
        <v>0</v>
      </c>
    </row>
    <row r="11" spans="1:24" x14ac:dyDescent="0.25">
      <c r="A11" s="3">
        <v>800</v>
      </c>
      <c r="B1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693.77865569272967</v>
      </c>
      <c r="C11" s="22"/>
      <c r="D1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652.151936351166</v>
      </c>
      <c r="E11" s="22"/>
      <c r="F11" s="3">
        <f>Table36[Factor]*IF(Table15[[#This Row],[manualData]]&gt;0,Table15[[#This Row],[manualData]],Table15[[#This Row],[rawData]])</f>
        <v>693.77865569272967</v>
      </c>
      <c r="G11" s="3">
        <f>Table36[Factor]*IF(Table15[[#This Row],[manDataEco]]&gt;0,Table15[[#This Row],[manDataEco]],Table15[[#This Row],[rawDataEco]])</f>
        <v>652.151936351166</v>
      </c>
      <c r="H11" s="3">
        <f>1.36*Table15[[#This Row],[rpm]]*Table15[[#This Row],[motor]]/9550</f>
        <v>79.039913863213599</v>
      </c>
      <c r="I11" s="3">
        <f>1.36*Table15[[#This Row],[rpm]]*Table15[[#This Row],[motorEco]]/9550</f>
        <v>74.297519031420791</v>
      </c>
      <c r="J1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238.33333333333334</v>
      </c>
      <c r="K1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rpm="800" motorTorque="694" motorTorqueEco="652" fuelUsageRatio="238"/&gt;</v>
      </c>
      <c r="L11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normRpm="0.348" torque="0.957"/&gt;</v>
      </c>
      <c r="M11" s="3">
        <f>(1-(1-Table15[[#This Row],[rpm]]/Table36[idleRpm])^2)*Table7[idleT]</f>
        <v>694.5679012345679</v>
      </c>
      <c r="N11" s="3">
        <f>MAX(0,(1-Table7[f1]*(Table36[maxTRpm1]-Table15[[#This Row],[rpm]])^2)*Table36[maxT])</f>
        <v>693.68</v>
      </c>
      <c r="O11" s="3">
        <f>MAX(0,(Table36[linearDown]*(1-Table7[f2]*(Table15[[#This Row],[rpm]]-Table36[maxTRpm]))+(1-Table36[linearDown])*(1-Table7[f3]*(Table15[[#This Row],[rpm]]-Table36[maxTRpm])^2))*Table36[maxT])</f>
        <v>713.81626724763964</v>
      </c>
      <c r="P11" s="3">
        <f>MAX(0,(Table36[maxPS]-Table7[f4]*(Table15[[#This Row],[rpm]]-Table36[maxPRpm])^2)/1.36*9550/MAX(1,Table15[[#This Row],[rpm]]))</f>
        <v>1322.4877450980389</v>
      </c>
      <c r="Q11" s="3">
        <f>MAX(0,Table7[Nm2]*(1-(Table15[[#This Row],[rpm]]-Table36[ratedRpm])^2/(Table36[fadeOut]^2)))</f>
        <v>0</v>
      </c>
      <c r="R11" s="3">
        <f>(1-(1-Table15[[#This Row],[rpm]]/Table36[idleRpm])^2)*Table7[idleTEco]</f>
        <v>652.89382716049374</v>
      </c>
      <c r="S11" s="3">
        <f>MAX(0,(1-Table7[f1]*(Table36[maxTRpm1]-Table15[[#This Row],[rpm]])^2)*Table36[maxTEco])</f>
        <v>652.05920000000003</v>
      </c>
      <c r="T11" s="3">
        <f>MAX(0,(Table36[linearDown]*(1-Table7[f2Eco]*(Table15[[#This Row],[rpm]]-Table36[maxTRpm]))+(1-Table36[linearDown])*(1-Table7[f3Eco]*(Table15[[#This Row],[rpm]]-Table36[maxTRpm])^2))*Table36[maxTEco])</f>
        <v>595.61719317356585</v>
      </c>
      <c r="U11" s="3">
        <f>MAX(0,(Table36[maxPSEco]-Table7[f4Eco]*(Table15[[#This Row],[rpm]]-Table36[maxPRpm])^2)/1.36*9550/MAX(1,Table15[[#This Row],[rpm]]))</f>
        <v>0</v>
      </c>
      <c r="V11" s="3">
        <f>MAX(0,Table7[Nm2Eco]*(1-(Table15[[#This Row],[rpm]]-Table36[ratedRpm])^2/(Table36[fadeOut]^2)))</f>
        <v>0</v>
      </c>
    </row>
    <row r="12" spans="1:24" x14ac:dyDescent="0.25">
      <c r="A12" s="3">
        <v>900</v>
      </c>
      <c r="B1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703.25</v>
      </c>
      <c r="C12" s="22"/>
      <c r="D1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661.05499999999995</v>
      </c>
      <c r="E12" s="22"/>
      <c r="F12" s="3">
        <f>Table36[Factor]*IF(Table15[[#This Row],[manualData]]&gt;0,Table15[[#This Row],[manualData]],Table15[[#This Row],[rawData]])</f>
        <v>703.25</v>
      </c>
      <c r="G12" s="3">
        <f>Table36[Factor]*IF(Table15[[#This Row],[manDataEco]]&gt;0,Table15[[#This Row],[manDataEco]],Table15[[#This Row],[rawDataEco]])</f>
        <v>661.05499999999995</v>
      </c>
      <c r="H12" s="3">
        <f>1.36*Table15[[#This Row],[rpm]]*Table15[[#This Row],[motor]]/9550</f>
        <v>90.133821989528798</v>
      </c>
      <c r="I12" s="3">
        <f>1.36*Table15[[#This Row],[rpm]]*Table15[[#This Row],[motorEco]]/9550</f>
        <v>84.725792670157063</v>
      </c>
      <c r="J1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232.5</v>
      </c>
      <c r="K1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rpm="900" motorTorque="703" motorTorqueEco="661" fuelUsageRatio="233"/&gt;</v>
      </c>
      <c r="L12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normRpm="0.391" torque="0.97"/&gt;</v>
      </c>
      <c r="M12" s="3">
        <f>(1-(1-Table15[[#This Row],[rpm]]/Table36[idleRpm])^2)*Table7[idleT]</f>
        <v>703.25</v>
      </c>
      <c r="N12" s="3">
        <f>MAX(0,(1-Table7[f1]*(Table36[maxTRpm1]-Table15[[#This Row],[rpm]])^2)*Table36[maxT])</f>
        <v>703.25</v>
      </c>
      <c r="O12" s="3">
        <f>MAX(0,(Table36[linearDown]*(1-Table7[f2]*(Table15[[#This Row],[rpm]]-Table36[maxTRpm]))+(1-Table36[linearDown])*(1-Table7[f3]*(Table15[[#This Row],[rpm]]-Table36[maxTRpm])^2))*Table36[maxT])</f>
        <v>717.81045751633974</v>
      </c>
      <c r="P12" s="3">
        <f>MAX(0,(Table36[maxPS]-Table7[f4]*(Table15[[#This Row],[rpm]]-Table36[maxPRpm])^2)/1.36*9550/MAX(1,Table15[[#This Row],[rpm]]))</f>
        <v>1224.9591503267973</v>
      </c>
      <c r="Q12" s="3">
        <f>MAX(0,Table7[Nm2]*(1-(Table15[[#This Row],[rpm]]-Table36[ratedRpm])^2/(Table36[fadeOut]^2)))</f>
        <v>0</v>
      </c>
      <c r="R12" s="3">
        <f>(1-(1-Table15[[#This Row],[rpm]]/Table36[idleRpm])^2)*Table7[idleTEco]</f>
        <v>661.05499999999995</v>
      </c>
      <c r="S12" s="3">
        <f>MAX(0,(1-Table7[f1]*(Table36[maxTRpm1]-Table15[[#This Row],[rpm]])^2)*Table36[maxTEco])</f>
        <v>661.05499999999995</v>
      </c>
      <c r="T12" s="3">
        <f>MAX(0,(Table36[linearDown]*(1-Table7[f2Eco]*(Table15[[#This Row],[rpm]]-Table36[maxTRpm]))+(1-Table36[linearDown])*(1-Table7[f3Eco]*(Table15[[#This Row],[rpm]]-Table36[maxTRpm])^2))*Table36[maxTEco])</f>
        <v>626.28962418300659</v>
      </c>
      <c r="U12" s="3">
        <f>MAX(0,(Table36[maxPSEco]-Table7[f4Eco]*(Table15[[#This Row],[rpm]]-Table36[maxPRpm])^2)/1.36*9550/MAX(1,Table15[[#This Row],[rpm]]))</f>
        <v>210.85682189542442</v>
      </c>
      <c r="V12" s="3">
        <f>MAX(0,Table7[Nm2Eco]*(1-(Table15[[#This Row],[rpm]]-Table36[ratedRpm])^2/(Table36[fadeOut]^2)))</f>
        <v>0</v>
      </c>
    </row>
    <row r="13" spans="1:24" x14ac:dyDescent="0.25">
      <c r="A13" s="3">
        <v>1000</v>
      </c>
      <c r="B1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711.08</v>
      </c>
      <c r="C13" s="22"/>
      <c r="D1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668.41520000000003</v>
      </c>
      <c r="E13" s="22"/>
      <c r="F13" s="3">
        <f>Table36[Factor]*IF(Table15[[#This Row],[manualData]]&gt;0,Table15[[#This Row],[manualData]],Table15[[#This Row],[rawData]])</f>
        <v>711.08</v>
      </c>
      <c r="G13" s="3">
        <f>Table36[Factor]*IF(Table15[[#This Row],[manDataEco]]&gt;0,Table15[[#This Row],[manDataEco]],Table15[[#This Row],[rawDataEco]])</f>
        <v>668.41520000000003</v>
      </c>
      <c r="H13" s="3">
        <f>1.36*Table15[[#This Row],[rpm]]*Table15[[#This Row],[motor]]/9550</f>
        <v>101.26374869109948</v>
      </c>
      <c r="I13" s="3">
        <f>1.36*Table15[[#This Row],[rpm]]*Table15[[#This Row],[motorEco]]/9550</f>
        <v>95.187923769633514</v>
      </c>
      <c r="J13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228.33333333333334</v>
      </c>
      <c r="K13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rpm="1000" motorTorque="711" motorTorqueEco="668" fuelUsageRatio="228"/&gt;</v>
      </c>
      <c r="L13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normRpm="0.435" torque="0.981"/&gt;</v>
      </c>
      <c r="M13" s="3">
        <f>(1-(1-Table15[[#This Row],[rpm]]/Table36[idleRpm])^2)*Table7[idleT]</f>
        <v>694.5679012345679</v>
      </c>
      <c r="N13" s="3">
        <f>MAX(0,(1-Table7[f1]*(Table36[maxTRpm1]-Table15[[#This Row],[rpm]])^2)*Table36[maxT])</f>
        <v>711.08</v>
      </c>
      <c r="O13" s="3">
        <f>MAX(0,(Table36[linearDown]*(1-Table7[f2]*(Table15[[#This Row],[rpm]]-Table36[maxTRpm]))+(1-Table36[linearDown])*(1-Table7[f3]*(Table15[[#This Row],[rpm]]-Table36[maxTRpm])^2))*Table36[maxT])</f>
        <v>721.00580973129979</v>
      </c>
      <c r="P13" s="3">
        <f>MAX(0,(Table36[maxPS]-Table7[f4]*(Table15[[#This Row],[rpm]]-Table36[maxPRpm])^2)/1.36*9550/MAX(1,Table15[[#This Row],[rpm]]))</f>
        <v>1142.2549019607841</v>
      </c>
      <c r="Q13" s="3">
        <f>MAX(0,Table7[Nm2]*(1-(Table15[[#This Row],[rpm]]-Table36[ratedRpm])^2/(Table36[fadeOut]^2)))</f>
        <v>0</v>
      </c>
      <c r="R13" s="3">
        <f>(1-(1-Table15[[#This Row],[rpm]]/Table36[idleRpm])^2)*Table7[idleTEco]</f>
        <v>652.89382716049374</v>
      </c>
      <c r="S13" s="3">
        <f>MAX(0,(1-Table7[f1]*(Table36[maxTRpm1]-Table15[[#This Row],[rpm]])^2)*Table36[maxTEco])</f>
        <v>668.41520000000003</v>
      </c>
      <c r="T13" s="3">
        <f>MAX(0,(Table36[linearDown]*(1-Table7[f2Eco]*(Table15[[#This Row],[rpm]]-Table36[maxTRpm]))+(1-Table36[linearDown])*(1-Table7[f3Eco]*(Table15[[#This Row],[rpm]]-Table36[maxTRpm])^2))*Table36[maxTEco])</f>
        <v>650.82756899055914</v>
      </c>
      <c r="U13" s="3">
        <f>MAX(0,(Table36[maxPSEco]-Table7[f4Eco]*(Table15[[#This Row],[rpm]]-Table36[maxPRpm])^2)/1.36*9550/MAX(1,Table15[[#This Row],[rpm]]))</f>
        <v>386.5409313725487</v>
      </c>
      <c r="V13" s="3">
        <f>MAX(0,Table7[Nm2Eco]*(1-(Table15[[#This Row],[rpm]]-Table36[ratedRpm])^2/(Table36[fadeOut]^2)))</f>
        <v>0</v>
      </c>
    </row>
    <row r="14" spans="1:24" x14ac:dyDescent="0.25">
      <c r="A14" s="3">
        <v>1100</v>
      </c>
      <c r="B1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717.17</v>
      </c>
      <c r="C14" s="22"/>
      <c r="D1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674.13979999999992</v>
      </c>
      <c r="E14" s="22"/>
      <c r="F14" s="3">
        <f>Table36[Factor]*IF(Table15[[#This Row],[manualData]]&gt;0,Table15[[#This Row],[manualData]],Table15[[#This Row],[rawData]])</f>
        <v>717.17</v>
      </c>
      <c r="G14" s="3">
        <f>Table36[Factor]*IF(Table15[[#This Row],[manDataEco]]&gt;0,Table15[[#This Row],[manDataEco]],Table15[[#This Row],[rawDataEco]])</f>
        <v>674.13979999999992</v>
      </c>
      <c r="H14" s="3">
        <f>1.36*Table15[[#This Row],[rpm]]*Table15[[#This Row],[motor]]/9550</f>
        <v>112.34411727748689</v>
      </c>
      <c r="I14" s="3">
        <f>1.36*Table15[[#This Row],[rpm]]*Table15[[#This Row],[motorEco]]/9550</f>
        <v>105.60347024083769</v>
      </c>
      <c r="J14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225.83333333333334</v>
      </c>
      <c r="K14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rpm="1100" motorTorque="717" motorTorqueEco="674" fuelUsageRatio="226"/&gt;</v>
      </c>
      <c r="L14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normRpm="0.478" torque="0.989"/&gt;</v>
      </c>
      <c r="M14" s="3">
        <f>(1-(1-Table15[[#This Row],[rpm]]/Table36[idleRpm])^2)*Table7[idleT]</f>
        <v>668.52160493827159</v>
      </c>
      <c r="N14" s="3">
        <f>MAX(0,(1-Table7[f1]*(Table36[maxTRpm1]-Table15[[#This Row],[rpm]])^2)*Table36[maxT])</f>
        <v>717.17</v>
      </c>
      <c r="O14" s="3">
        <f>MAX(0,(Table36[linearDown]*(1-Table7[f2]*(Table15[[#This Row],[rpm]]-Table36[maxTRpm]))+(1-Table36[linearDown])*(1-Table7[f3]*(Table15[[#This Row],[rpm]]-Table36[maxTRpm])^2))*Table36[maxT])</f>
        <v>723.40232389251992</v>
      </c>
      <c r="P14" s="3">
        <f>MAX(0,(Table36[maxPS]-Table7[f4]*(Table15[[#This Row],[rpm]]-Table36[maxPRpm])^2)/1.36*9550/MAX(1,Table15[[#This Row],[rpm]]))</f>
        <v>1070.3319964349373</v>
      </c>
      <c r="Q14" s="3">
        <f>MAX(0,Table7[Nm2]*(1-(Table15[[#This Row],[rpm]]-Table36[ratedRpm])^2/(Table36[fadeOut]^2)))</f>
        <v>0</v>
      </c>
      <c r="R14" s="3">
        <f>(1-(1-Table15[[#This Row],[rpm]]/Table36[idleRpm])^2)*Table7[idleTEco]</f>
        <v>628.41030864197523</v>
      </c>
      <c r="S14" s="3">
        <f>MAX(0,(1-Table7[f1]*(Table36[maxTRpm1]-Table15[[#This Row],[rpm]])^2)*Table36[maxTEco])</f>
        <v>674.13979999999992</v>
      </c>
      <c r="T14" s="3">
        <f>MAX(0,(Table36[linearDown]*(1-Table7[f2Eco]*(Table15[[#This Row],[rpm]]-Table36[maxTRpm]))+(1-Table36[linearDown])*(1-Table7[f3Eco]*(Table15[[#This Row],[rpm]]-Table36[maxTRpm])^2))*Table36[maxTEco])</f>
        <v>669.23102759622373</v>
      </c>
      <c r="U14" s="3">
        <f>MAX(0,(Table36[maxPSEco]-Table7[f4Eco]*(Table15[[#This Row],[rpm]]-Table36[maxPRpm])^2)/1.36*9550/MAX(1,Table15[[#This Row],[rpm]]))</f>
        <v>509.23757798573956</v>
      </c>
      <c r="V14" s="3">
        <f>MAX(0,Table7[Nm2Eco]*(1-(Table15[[#This Row],[rpm]]-Table36[ratedRpm])^2/(Table36[fadeOut]^2)))</f>
        <v>0</v>
      </c>
    </row>
    <row r="15" spans="1:24" x14ac:dyDescent="0.25">
      <c r="A15" s="3">
        <v>1200</v>
      </c>
      <c r="B1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721.52</v>
      </c>
      <c r="C15" s="22"/>
      <c r="D1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678.22879999999998</v>
      </c>
      <c r="E15" s="22"/>
      <c r="F15" s="3">
        <f>Table36[Factor]*IF(Table15[[#This Row],[manualData]]&gt;0,Table15[[#This Row],[manualData]],Table15[[#This Row],[rawData]])</f>
        <v>721.52</v>
      </c>
      <c r="G15" s="3">
        <f>Table36[Factor]*IF(Table15[[#This Row],[manDataEco]]&gt;0,Table15[[#This Row],[manDataEco]],Table15[[#This Row],[rawDataEco]])</f>
        <v>678.22879999999998</v>
      </c>
      <c r="H15" s="3">
        <f>1.36*Table15[[#This Row],[rpm]]*Table15[[#This Row],[motor]]/9550</f>
        <v>123.30059057591625</v>
      </c>
      <c r="I15" s="3">
        <f>1.36*Table15[[#This Row],[rpm]]*Table15[[#This Row],[motorEco]]/9550</f>
        <v>115.90255514136128</v>
      </c>
      <c r="J15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225</v>
      </c>
      <c r="K15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rpm="1200" motorTorque="722" motorTorqueEco="678" fuelUsageRatio="225"/&gt;</v>
      </c>
      <c r="L15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normRpm="0.522" torque="0.995"/&gt;</v>
      </c>
      <c r="M15" s="3">
        <f>(1-(1-Table15[[#This Row],[rpm]]/Table36[idleRpm])^2)*Table7[idleT]</f>
        <v>625.1111111111112</v>
      </c>
      <c r="N15" s="3">
        <f>MAX(0,(1-Table7[f1]*(Table36[maxTRpm1]-Table15[[#This Row],[rpm]])^2)*Table36[maxT])</f>
        <v>721.52</v>
      </c>
      <c r="O15" s="3">
        <f>MAX(0,(Table36[linearDown]*(1-Table7[f2]*(Table15[[#This Row],[rpm]]-Table36[maxTRpm]))+(1-Table36[linearDown])*(1-Table7[f3]*(Table15[[#This Row],[rpm]]-Table36[maxTRpm])^2))*Table36[maxT])</f>
        <v>725</v>
      </c>
      <c r="P15" s="3">
        <f>MAX(0,(Table36[maxPS]-Table7[f4]*(Table15[[#This Row],[rpm]]-Table36[maxPRpm])^2)/1.36*9550/MAX(1,Table15[[#This Row],[rpm]]))</f>
        <v>1006.4950980392155</v>
      </c>
      <c r="Q15" s="3">
        <f>MAX(0,Table7[Nm2]*(1-(Table15[[#This Row],[rpm]]-Table36[ratedRpm])^2/(Table36[fadeOut]^2)))</f>
        <v>0</v>
      </c>
      <c r="R15" s="3">
        <f>(1-(1-Table15[[#This Row],[rpm]]/Table36[idleRpm])^2)*Table7[idleTEco]</f>
        <v>587.60444444444443</v>
      </c>
      <c r="S15" s="3">
        <f>MAX(0,(1-Table7[f1]*(Table36[maxTRpm1]-Table15[[#This Row],[rpm]])^2)*Table36[maxTEco])</f>
        <v>678.22879999999998</v>
      </c>
      <c r="T15" s="3">
        <f>MAX(0,(Table36[linearDown]*(1-Table7[f2Eco]*(Table15[[#This Row],[rpm]]-Table36[maxTRpm]))+(1-Table36[linearDown])*(1-Table7[f3Eco]*(Table15[[#This Row],[rpm]]-Table36[maxTRpm])^2))*Table36[maxTEco])</f>
        <v>681.5</v>
      </c>
      <c r="U15" s="3">
        <f>MAX(0,(Table36[maxPSEco]-Table7[f4Eco]*(Table15[[#This Row],[rpm]]-Table36[maxPRpm])^2)/1.36*9550/MAX(1,Table15[[#This Row],[rpm]]))</f>
        <v>592.19362745098022</v>
      </c>
      <c r="V15" s="3">
        <f>MAX(0,Table7[Nm2Eco]*(1-(Table15[[#This Row],[rpm]]-Table36[ratedRpm])^2/(Table36[fadeOut]^2)))</f>
        <v>0</v>
      </c>
    </row>
    <row r="16" spans="1:24" x14ac:dyDescent="0.25">
      <c r="A16" s="3">
        <v>1300</v>
      </c>
      <c r="B1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724.13</v>
      </c>
      <c r="C16" s="22"/>
      <c r="D1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680.68219999999997</v>
      </c>
      <c r="E16" s="22"/>
      <c r="F16" s="3">
        <f>Table36[Factor]*IF(Table15[[#This Row],[manualData]]&gt;0,Table15[[#This Row],[manualData]],Table15[[#This Row],[rawData]])</f>
        <v>724.13</v>
      </c>
      <c r="G16" s="3">
        <f>Table36[Factor]*IF(Table15[[#This Row],[manDataEco]]&gt;0,Table15[[#This Row],[manDataEco]],Table15[[#This Row],[rawDataEco]])</f>
        <v>680.68219999999997</v>
      </c>
      <c r="H16" s="3">
        <f>1.36*Table15[[#This Row],[rpm]]*Table15[[#This Row],[motor]]/9550</f>
        <v>134.05883141361258</v>
      </c>
      <c r="I16" s="3">
        <f>1.36*Table15[[#This Row],[rpm]]*Table15[[#This Row],[motorEco]]/9550</f>
        <v>126.01530152879582</v>
      </c>
      <c r="J16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225.30864197530863</v>
      </c>
      <c r="K16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rpm="1300" motorTorque="724" motorTorqueEco="681" fuelUsageRatio="225"/&gt;</v>
      </c>
      <c r="L16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normRpm="0.565" torque="0.999"/&gt;</v>
      </c>
      <c r="M16" s="3">
        <f>(1-(1-Table15[[#This Row],[rpm]]/Table36[idleRpm])^2)*Table7[idleT]</f>
        <v>564.33641975308637</v>
      </c>
      <c r="N16" s="3">
        <f>MAX(0,(1-Table7[f1]*(Table36[maxTRpm1]-Table15[[#This Row],[rpm]])^2)*Table36[maxT])</f>
        <v>724.13</v>
      </c>
      <c r="O16" s="3">
        <f>MAX(0,(Table36[linearDown]*(1-Table7[f2]*(Table15[[#This Row],[rpm]]-Table36[maxTRpm]))+(1-Table36[linearDown])*(1-Table7[f3]*(Table15[[#This Row],[rpm]]-Table36[maxTRpm])^2))*Table36[maxT])</f>
        <v>725.79883805374004</v>
      </c>
      <c r="P16" s="3">
        <f>MAX(0,(Table36[maxPS]-Table7[f4]*(Table15[[#This Row],[rpm]]-Table36[maxPRpm])^2)/1.36*9550/MAX(1,Table15[[#This Row],[rpm]]))</f>
        <v>948.87820512820497</v>
      </c>
      <c r="Q16" s="3">
        <f>MAX(0,Table7[Nm2]*(1-(Table15[[#This Row],[rpm]]-Table36[ratedRpm])^2/(Table36[fadeOut]^2)))</f>
        <v>0</v>
      </c>
      <c r="R16" s="3">
        <f>(1-(1-Table15[[#This Row],[rpm]]/Table36[idleRpm])^2)*Table7[idleTEco]</f>
        <v>530.4762345679012</v>
      </c>
      <c r="S16" s="3">
        <f>MAX(0,(1-Table7[f1]*(Table36[maxTRpm1]-Table15[[#This Row],[rpm]])^2)*Table36[maxTEco])</f>
        <v>680.68219999999997</v>
      </c>
      <c r="T16" s="3">
        <f>MAX(0,(Table36[linearDown]*(1-Table7[f2Eco]*(Table15[[#This Row],[rpm]]-Table36[maxTRpm]))+(1-Table36[linearDown])*(1-Table7[f3Eco]*(Table15[[#This Row],[rpm]]-Table36[maxTRpm])^2))*Table36[maxTEco])</f>
        <v>687.63448620188808</v>
      </c>
      <c r="U16" s="3">
        <f>MAX(0,(Table36[maxPSEco]-Table7[f4Eco]*(Table15[[#This Row],[rpm]]-Table36[maxPRpm])^2)/1.36*9550/MAX(1,Table15[[#This Row],[rpm]]))</f>
        <v>644.57998680241326</v>
      </c>
      <c r="V16" s="3">
        <f>MAX(0,Table7[Nm2Eco]*(1-(Table15[[#This Row],[rpm]]-Table36[ratedRpm])^2/(Table36[fadeOut]^2)))</f>
        <v>0</v>
      </c>
    </row>
    <row r="17" spans="1:22" x14ac:dyDescent="0.25">
      <c r="A17" s="3">
        <v>1400</v>
      </c>
      <c r="B1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725</v>
      </c>
      <c r="C17" s="22"/>
      <c r="D1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681.5</v>
      </c>
      <c r="E17" s="22"/>
      <c r="F17" s="3">
        <f>Table36[Factor]*IF(Table15[[#This Row],[manualData]]&gt;0,Table15[[#This Row],[manualData]],Table15[[#This Row],[rawData]])</f>
        <v>725</v>
      </c>
      <c r="G17" s="3">
        <f>Table36[Factor]*IF(Table15[[#This Row],[manDataEco]]&gt;0,Table15[[#This Row],[manDataEco]],Table15[[#This Row],[rawDataEco]])</f>
        <v>681.5</v>
      </c>
      <c r="H17" s="3">
        <f>1.36*Table15[[#This Row],[rpm]]*Table15[[#This Row],[motor]]/9550</f>
        <v>144.54450261780107</v>
      </c>
      <c r="I17" s="3">
        <f>1.36*Table15[[#This Row],[rpm]]*Table15[[#This Row],[motorEco]]/9550</f>
        <v>135.871832460733</v>
      </c>
      <c r="J1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226.23456790123456</v>
      </c>
      <c r="K1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rpm="1400" motorTorque="725" motorTorqueEco="682" fuelUsageRatio="226"/&gt;</v>
      </c>
      <c r="L17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normRpm="0.609" torque="1"/&gt;</v>
      </c>
      <c r="M17" s="3">
        <f>(1-(1-Table15[[#This Row],[rpm]]/Table36[idleRpm])^2)*Table7[idleT]</f>
        <v>486.19753086419752</v>
      </c>
      <c r="N17" s="3">
        <f>MAX(0,(1-Table7[f1]*(Table36[maxTRpm1]-Table15[[#This Row],[rpm]])^2)*Table36[maxT])</f>
        <v>725</v>
      </c>
      <c r="O17" s="3">
        <f>MAX(0,(Table36[linearDown]*(1-Table7[f2]*(Table15[[#This Row],[rpm]]-Table36[maxTRpm]))+(1-Table36[linearDown])*(1-Table7[f3]*(Table15[[#This Row],[rpm]]-Table36[maxTRpm])^2))*Table36[maxT])</f>
        <v>725.79883805374004</v>
      </c>
      <c r="P17" s="3">
        <f>MAX(0,(Table36[maxPS]-Table7[f4]*(Table15[[#This Row],[rpm]]-Table36[maxPRpm])^2)/1.36*9550/MAX(1,Table15[[#This Row],[rpm]]))</f>
        <v>896.14845938375333</v>
      </c>
      <c r="Q17" s="3">
        <f>MAX(0,Table7[Nm2]*(1-(Table15[[#This Row],[rpm]]-Table36[ratedRpm])^2/(Table36[fadeOut]^2)))</f>
        <v>0</v>
      </c>
      <c r="R17" s="3">
        <f>(1-(1-Table15[[#This Row],[rpm]]/Table36[idleRpm])^2)*Table7[idleTEco]</f>
        <v>457.02567901234562</v>
      </c>
      <c r="S17" s="3">
        <f>MAX(0,(1-Table7[f1]*(Table36[maxTRpm1]-Table15[[#This Row],[rpm]])^2)*Table36[maxTEco])</f>
        <v>681.5</v>
      </c>
      <c r="T17" s="3">
        <f>MAX(0,(Table36[linearDown]*(1-Table7[f2Eco]*(Table15[[#This Row],[rpm]]-Table36[maxTRpm]))+(1-Table36[linearDown])*(1-Table7[f3Eco]*(Table15[[#This Row],[rpm]]-Table36[maxTRpm])^2))*Table36[maxTEco])</f>
        <v>687.63448620188808</v>
      </c>
      <c r="U17" s="3">
        <f>MAX(0,(Table36[maxPSEco]-Table7[f4Eco]*(Table15[[#This Row],[rpm]]-Table36[maxPRpm])^2)/1.36*9550/MAX(1,Table15[[#This Row],[rpm]]))</f>
        <v>672.94730392156862</v>
      </c>
      <c r="V17" s="3">
        <f>MAX(0,Table7[Nm2Eco]*(1-(Table15[[#This Row],[rpm]]-Table36[ratedRpm])^2/(Table36[fadeOut]^2)))</f>
        <v>0</v>
      </c>
    </row>
    <row r="18" spans="1:22" x14ac:dyDescent="0.25">
      <c r="A18" s="3">
        <v>1500</v>
      </c>
      <c r="B1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725</v>
      </c>
      <c r="C18" s="22"/>
      <c r="D1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681.5</v>
      </c>
      <c r="E18" s="22"/>
      <c r="F18" s="3">
        <f>Table36[Factor]*IF(Table15[[#This Row],[manualData]]&gt;0,Table15[[#This Row],[manualData]],Table15[[#This Row],[rawData]])</f>
        <v>725</v>
      </c>
      <c r="G18" s="3">
        <f>Table36[Factor]*IF(Table15[[#This Row],[manDataEco]]&gt;0,Table15[[#This Row],[manDataEco]],Table15[[#This Row],[rawDataEco]])</f>
        <v>681.5</v>
      </c>
      <c r="H18" s="3">
        <f>1.36*Table15[[#This Row],[rpm]]*Table15[[#This Row],[motor]]/9550</f>
        <v>154.86910994764401</v>
      </c>
      <c r="I18" s="3">
        <f>1.36*Table15[[#This Row],[rpm]]*Table15[[#This Row],[motorEco]]/9550</f>
        <v>145.57696335078538</v>
      </c>
      <c r="J1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227.77777777777777</v>
      </c>
      <c r="K1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rpm="1500" motorTorque="725" motorTorqueEco="682" fuelUsageRatio="228"/&gt;</v>
      </c>
      <c r="L18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normRpm="0.652" torque="1"/&gt;</v>
      </c>
      <c r="M18" s="3">
        <f>(1-(1-Table15[[#This Row],[rpm]]/Table36[idleRpm])^2)*Table7[idleT]</f>
        <v>390.6944444444444</v>
      </c>
      <c r="N18" s="3">
        <f>MAX(0,(1-Table7[f1]*(Table36[maxTRpm1]-Table15[[#This Row],[rpm]])^2)*Table36[maxT])</f>
        <v>724.13</v>
      </c>
      <c r="O18" s="3">
        <f>MAX(0,(Table36[linearDown]*(1-Table7[f2]*(Table15[[#This Row],[rpm]]-Table36[maxTRpm]))+(1-Table36[linearDown])*(1-Table7[f3]*(Table15[[#This Row],[rpm]]-Table36[maxTRpm])^2))*Table36[maxT])</f>
        <v>725</v>
      </c>
      <c r="P18" s="3">
        <f>MAX(0,(Table36[maxPS]-Table7[f4]*(Table15[[#This Row],[rpm]]-Table36[maxPRpm])^2)/1.36*9550/MAX(1,Table15[[#This Row],[rpm]]))</f>
        <v>847.32843137254895</v>
      </c>
      <c r="Q18" s="3">
        <f>MAX(0,Table7[Nm2]*(1-(Table15[[#This Row],[rpm]]-Table36[ratedRpm])^2/(Table36[fadeOut]^2)))</f>
        <v>0</v>
      </c>
      <c r="R18" s="3">
        <f>(1-(1-Table15[[#This Row],[rpm]]/Table36[idleRpm])^2)*Table7[idleTEco]</f>
        <v>367.25277777777768</v>
      </c>
      <c r="S18" s="3">
        <f>MAX(0,(1-Table7[f1]*(Table36[maxTRpm1]-Table15[[#This Row],[rpm]])^2)*Table36[maxTEco])</f>
        <v>680.68219999999997</v>
      </c>
      <c r="T18" s="3">
        <f>MAX(0,(Table36[linearDown]*(1-Table7[f2Eco]*(Table15[[#This Row],[rpm]]-Table36[maxTRpm]))+(1-Table36[linearDown])*(1-Table7[f3Eco]*(Table15[[#This Row],[rpm]]-Table36[maxTRpm])^2))*Table36[maxTEco])</f>
        <v>681.5</v>
      </c>
      <c r="U18" s="3">
        <f>MAX(0,(Table36[maxPSEco]-Table7[f4Eco]*(Table15[[#This Row],[rpm]]-Table36[maxPRpm])^2)/1.36*9550/MAX(1,Table15[[#This Row],[rpm]]))</f>
        <v>682.09938725490201</v>
      </c>
      <c r="V18" s="3">
        <f>MAX(0,Table7[Nm2Eco]*(1-(Table15[[#This Row],[rpm]]-Table36[ratedRpm])^2/(Table36[fadeOut]^2)))</f>
        <v>0</v>
      </c>
    </row>
    <row r="19" spans="1:22" x14ac:dyDescent="0.25">
      <c r="A19" s="3">
        <v>1600</v>
      </c>
      <c r="B1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723.40232389252003</v>
      </c>
      <c r="C19" s="22"/>
      <c r="D1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669.23102759622373</v>
      </c>
      <c r="E19" s="22"/>
      <c r="F19" s="3">
        <f>Table36[Factor]*IF(Table15[[#This Row],[manualData]]&gt;0,Table15[[#This Row],[manualData]],Table15[[#This Row],[rawData]])</f>
        <v>723.40232389252003</v>
      </c>
      <c r="G19" s="3">
        <f>Table36[Factor]*IF(Table15[[#This Row],[manDataEco]]&gt;0,Table15[[#This Row],[manDataEco]],Table15[[#This Row],[rawDataEco]])</f>
        <v>669.23102759622373</v>
      </c>
      <c r="H19" s="3">
        <f>1.36*Table15[[#This Row],[rpm]]*Table15[[#This Row],[motor]]/9550</f>
        <v>164.82968133927997</v>
      </c>
      <c r="I19" s="3">
        <f>1.36*Table15[[#This Row],[rpm]]*Table15[[#This Row],[motorEco]]/9550</f>
        <v>152.48656712558983</v>
      </c>
      <c r="J1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229.93827160493828</v>
      </c>
      <c r="K1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rpm="1600" motorTorque="723" motorTorqueEco="669" fuelUsageRatio="230"/&gt;</v>
      </c>
      <c r="L19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normRpm="0.696" torque="0.998"/&gt;</v>
      </c>
      <c r="M19" s="3">
        <f>(1-(1-Table15[[#This Row],[rpm]]/Table36[idleRpm])^2)*Table7[idleT]</f>
        <v>277.82716049382731</v>
      </c>
      <c r="N19" s="3">
        <f>MAX(0,(1-Table7[f1]*(Table36[maxTRpm1]-Table15[[#This Row],[rpm]])^2)*Table36[maxT])</f>
        <v>721.52</v>
      </c>
      <c r="O19" s="3">
        <f>MAX(0,(Table36[linearDown]*(1-Table7[f2]*(Table15[[#This Row],[rpm]]-Table36[maxTRpm]))+(1-Table36[linearDown])*(1-Table7[f3]*(Table15[[#This Row],[rpm]]-Table36[maxTRpm])^2))*Table36[maxT])</f>
        <v>723.40232389252003</v>
      </c>
      <c r="P19" s="3">
        <f>MAX(0,(Table36[maxPS]-Table7[f4]*(Table15[[#This Row],[rpm]]-Table36[maxPRpm])^2)/1.36*9550/MAX(1,Table15[[#This Row],[rpm]]))</f>
        <v>801.68504901960773</v>
      </c>
      <c r="Q19" s="3">
        <f>MAX(0,Table7[Nm2]*(1-(Table15[[#This Row],[rpm]]-Table36[ratedRpm])^2/(Table36[fadeOut]^2)))</f>
        <v>0</v>
      </c>
      <c r="R19" s="3">
        <f>(1-(1-Table15[[#This Row],[rpm]]/Table36[idleRpm])^2)*Table7[idleTEco]</f>
        <v>261.15753086419767</v>
      </c>
      <c r="S19" s="3">
        <f>MAX(0,(1-Table7[f1]*(Table36[maxTRpm1]-Table15[[#This Row],[rpm]])^2)*Table36[maxTEco])</f>
        <v>678.22879999999998</v>
      </c>
      <c r="T19" s="3">
        <f>MAX(0,(Table36[linearDown]*(1-Table7[f2Eco]*(Table15[[#This Row],[rpm]]-Table36[maxTRpm]))+(1-Table36[linearDown])*(1-Table7[f3Eco]*(Table15[[#This Row],[rpm]]-Table36[maxTRpm])^2))*Table36[maxTEco])</f>
        <v>669.23102759622373</v>
      </c>
      <c r="U19" s="3">
        <f>MAX(0,(Table36[maxPSEco]-Table7[f4Eco]*(Table15[[#This Row],[rpm]]-Table36[maxPRpm])^2)/1.36*9550/MAX(1,Table15[[#This Row],[rpm]]))</f>
        <v>675.63909313725492</v>
      </c>
      <c r="V19" s="3">
        <f>MAX(0,Table7[Nm2Eco]*(1-(Table15[[#This Row],[rpm]]-Table36[ratedRpm])^2/(Table36[fadeOut]^2)))</f>
        <v>0</v>
      </c>
    </row>
    <row r="20" spans="1:22" x14ac:dyDescent="0.25">
      <c r="A20" s="3">
        <v>1700</v>
      </c>
      <c r="B2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721.00580973129979</v>
      </c>
      <c r="C20" s="22"/>
      <c r="D2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650.82756899055914</v>
      </c>
      <c r="E20" s="22"/>
      <c r="F20" s="3">
        <f>Table36[Factor]*IF(Table15[[#This Row],[manualData]]&gt;0,Table15[[#This Row],[manualData]],Table15[[#This Row],[rawData]])</f>
        <v>721.00580973129979</v>
      </c>
      <c r="G20" s="3">
        <f>Table36[Factor]*IF(Table15[[#This Row],[manDataEco]]&gt;0,Table15[[#This Row],[manDataEco]],Table15[[#This Row],[rawDataEco]])</f>
        <v>650.82756899055914</v>
      </c>
      <c r="H20" s="3">
        <f>1.36*Table15[[#This Row],[rpm]]*Table15[[#This Row],[motor]]/9550</f>
        <v>174.55135414646756</v>
      </c>
      <c r="I20" s="3">
        <f>1.36*Table15[[#This Row],[rpm]]*Table15[[#This Row],[motorEco]]/9550</f>
        <v>157.56160623101286</v>
      </c>
      <c r="J2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232.71604938271605</v>
      </c>
      <c r="K2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rpm="1700" motorTorque="721" motorTorqueEco="651" fuelUsageRatio="233"/&gt;</v>
      </c>
      <c r="L20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normRpm="0.739" torque="0.994"/&gt;</v>
      </c>
      <c r="M20" s="3">
        <f>(1-(1-Table15[[#This Row],[rpm]]/Table36[idleRpm])^2)*Table7[idleT]</f>
        <v>147.5956790123457</v>
      </c>
      <c r="N20" s="3">
        <f>MAX(0,(1-Table7[f1]*(Table36[maxTRpm1]-Table15[[#This Row],[rpm]])^2)*Table36[maxT])</f>
        <v>717.17</v>
      </c>
      <c r="O20" s="3">
        <f>MAX(0,(Table36[linearDown]*(1-Table7[f2]*(Table15[[#This Row],[rpm]]-Table36[maxTRpm]))+(1-Table36[linearDown])*(1-Table7[f3]*(Table15[[#This Row],[rpm]]-Table36[maxTRpm])^2))*Table36[maxT])</f>
        <v>721.00580973129979</v>
      </c>
      <c r="P20" s="3">
        <f>MAX(0,(Table36[maxPS]-Table7[f4]*(Table15[[#This Row],[rpm]]-Table36[maxPRpm])^2)/1.36*9550/MAX(1,Table15[[#This Row],[rpm]]))</f>
        <v>758.65772779700103</v>
      </c>
      <c r="Q20" s="3">
        <f>MAX(0,Table7[Nm2]*(1-(Table15[[#This Row],[rpm]]-Table36[ratedRpm])^2/(Table36[fadeOut]^2)))</f>
        <v>0</v>
      </c>
      <c r="R20" s="3">
        <f>(1-(1-Table15[[#This Row],[rpm]]/Table36[idleRpm])^2)*Table7[idleTEco]</f>
        <v>138.73993827160496</v>
      </c>
      <c r="S20" s="3">
        <f>MAX(0,(1-Table7[f1]*(Table36[maxTRpm1]-Table15[[#This Row],[rpm]])^2)*Table36[maxTEco])</f>
        <v>674.13979999999992</v>
      </c>
      <c r="T20" s="3">
        <f>MAX(0,(Table36[linearDown]*(1-Table7[f2Eco]*(Table15[[#This Row],[rpm]]-Table36[maxTRpm]))+(1-Table36[linearDown])*(1-Table7[f3Eco]*(Table15[[#This Row],[rpm]]-Table36[maxTRpm])^2))*Table36[maxTEco])</f>
        <v>650.82756899055914</v>
      </c>
      <c r="U20" s="3">
        <f>MAX(0,(Table36[maxPSEco]-Table7[f4Eco]*(Table15[[#This Row],[rpm]]-Table36[maxPRpm])^2)/1.36*9550/MAX(1,Table15[[#This Row],[rpm]]))</f>
        <v>656.32154700115336</v>
      </c>
      <c r="V20" s="3">
        <f>MAX(0,Table7[Nm2Eco]*(1-(Table15[[#This Row],[rpm]]-Table36[ratedRpm])^2/(Table36[fadeOut]^2)))</f>
        <v>0</v>
      </c>
    </row>
    <row r="21" spans="1:22" x14ac:dyDescent="0.25">
      <c r="A21" s="3">
        <v>1800</v>
      </c>
      <c r="B2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717.81045751633974</v>
      </c>
      <c r="C21" s="22"/>
      <c r="D2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626.28962418300659</v>
      </c>
      <c r="E21" s="22"/>
      <c r="F21" s="3">
        <f>Table36[Factor]*IF(Table15[[#This Row],[manualData]]&gt;0,Table15[[#This Row],[manualData]],Table15[[#This Row],[rawData]])</f>
        <v>717.81045751633974</v>
      </c>
      <c r="G21" s="3">
        <f>Table36[Factor]*IF(Table15[[#This Row],[manDataEco]]&gt;0,Table15[[#This Row],[manDataEco]],Table15[[#This Row],[rawDataEco]])</f>
        <v>626.28962418300659</v>
      </c>
      <c r="H21" s="3">
        <f>1.36*Table15[[#This Row],[rpm]]*Table15[[#This Row],[motor]]/9550</f>
        <v>183.99999999999997</v>
      </c>
      <c r="I21" s="3">
        <f>1.36*Table15[[#This Row],[rpm]]*Table15[[#This Row],[motorEco]]/9550</f>
        <v>160.54000000000002</v>
      </c>
      <c r="J2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236.11111111111111</v>
      </c>
      <c r="K2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rpm="1800" motorTorque="718" motorTorqueEco="626" fuelUsageRatio="236"/&gt;</v>
      </c>
      <c r="L21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normRpm="0.783" torque="0.99"/&gt;</v>
      </c>
      <c r="M21" s="3">
        <f>(1-(1-Table15[[#This Row],[rpm]]/Table36[idleRpm])^2)*Table7[idleT]</f>
        <v>0</v>
      </c>
      <c r="N21" s="3">
        <f>MAX(0,(1-Table7[f1]*(Table36[maxTRpm1]-Table15[[#This Row],[rpm]])^2)*Table36[maxT])</f>
        <v>711.08</v>
      </c>
      <c r="O21" s="3">
        <f>MAX(0,(Table36[linearDown]*(1-Table7[f2]*(Table15[[#This Row],[rpm]]-Table36[maxTRpm]))+(1-Table36[linearDown])*(1-Table7[f3]*(Table15[[#This Row],[rpm]]-Table36[maxTRpm])^2))*Table36[maxT])</f>
        <v>717.81045751633974</v>
      </c>
      <c r="P21" s="3">
        <f>MAX(0,(Table36[maxPS]-Table7[f4]*(Table15[[#This Row],[rpm]]-Table36[maxPRpm])^2)/1.36*9550/MAX(1,Table15[[#This Row],[rpm]]))</f>
        <v>717.81045751633974</v>
      </c>
      <c r="Q21" s="3">
        <f>MAX(0,Table7[Nm2]*(1-(Table15[[#This Row],[rpm]]-Table36[ratedRpm])^2/(Table36[fadeOut]^2)))</f>
        <v>0</v>
      </c>
      <c r="R21" s="3">
        <f>(1-(1-Table15[[#This Row],[rpm]]/Table36[idleRpm])^2)*Table7[idleTEco]</f>
        <v>0</v>
      </c>
      <c r="S21" s="3">
        <f>MAX(0,(1-Table7[f1]*(Table36[maxTRpm1]-Table15[[#This Row],[rpm]])^2)*Table36[maxTEco])</f>
        <v>668.41520000000003</v>
      </c>
      <c r="T21" s="3">
        <f>MAX(0,(Table36[linearDown]*(1-Table7[f2Eco]*(Table15[[#This Row],[rpm]]-Table36[maxTRpm]))+(1-Table36[linearDown])*(1-Table7[f3Eco]*(Table15[[#This Row],[rpm]]-Table36[maxTRpm])^2))*Table36[maxTEco])</f>
        <v>626.28962418300659</v>
      </c>
      <c r="U21" s="3">
        <f>MAX(0,(Table36[maxPSEco]-Table7[f4Eco]*(Table15[[#This Row],[rpm]]-Table36[maxPRpm])^2)/1.36*9550/MAX(1,Table15[[#This Row],[rpm]]))</f>
        <v>626.28962418300659</v>
      </c>
      <c r="V21" s="3">
        <f>MAX(0,Table7[Nm2Eco]*(1-(Table15[[#This Row],[rpm]]-Table36[ratedRpm])^2/(Table36[fadeOut]^2)))</f>
        <v>0</v>
      </c>
    </row>
    <row r="22" spans="1:22" x14ac:dyDescent="0.25">
      <c r="A22" s="3">
        <v>1900</v>
      </c>
      <c r="B2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678.79901960784298</v>
      </c>
      <c r="C22" s="22"/>
      <c r="D2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587.23506836945296</v>
      </c>
      <c r="E22" s="22"/>
      <c r="F22" s="3">
        <f>Table36[Factor]*IF(Table15[[#This Row],[manualData]]&gt;0,Table15[[#This Row],[manualData]],Table15[[#This Row],[rawData]])</f>
        <v>678.79901960784298</v>
      </c>
      <c r="G22" s="3">
        <f>Table36[Factor]*IF(Table15[[#This Row],[manDataEco]]&gt;0,Table15[[#This Row],[manDataEco]],Table15[[#This Row],[rawDataEco]])</f>
        <v>587.23506836945296</v>
      </c>
      <c r="H22" s="3">
        <f>1.36*Table15[[#This Row],[rpm]]*Table15[[#This Row],[motor]]/9550</f>
        <v>183.66666666666663</v>
      </c>
      <c r="I22" s="3">
        <f>1.36*Table15[[#This Row],[rpm]]*Table15[[#This Row],[motorEco]]/9550</f>
        <v>158.89166666666665</v>
      </c>
      <c r="J2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240.12345679012347</v>
      </c>
      <c r="K2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rpm="1900" motorTorque="679" motorTorqueEco="587" fuelUsageRatio="240"/&gt;</v>
      </c>
      <c r="L22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normRpm="0.826" torque="0.936"/&gt;</v>
      </c>
      <c r="M22" s="3">
        <f>(1-(1-Table15[[#This Row],[rpm]]/Table36[idleRpm])^2)*Table7[idleT]</f>
        <v>-164.95987654320999</v>
      </c>
      <c r="N22" s="3">
        <f>MAX(0,(1-Table7[f1]*(Table36[maxTRpm1]-Table15[[#This Row],[rpm]])^2)*Table36[maxT])</f>
        <v>703.25</v>
      </c>
      <c r="O22" s="3">
        <f>MAX(0,(Table36[linearDown]*(1-Table7[f2]*(Table15[[#This Row],[rpm]]-Table36[maxTRpm]))+(1-Table36[linearDown])*(1-Table7[f3]*(Table15[[#This Row],[rpm]]-Table36[maxTRpm])^2))*Table36[maxT])</f>
        <v>713.81626724763964</v>
      </c>
      <c r="P22" s="3">
        <f>MAX(0,(Table36[maxPS]-Table7[f4]*(Table15[[#This Row],[rpm]]-Table36[maxPRpm])^2)/1.36*9550/MAX(1,Table15[[#This Row],[rpm]]))</f>
        <v>678.79901960784298</v>
      </c>
      <c r="Q22" s="3">
        <f>MAX(0,Table7[Nm2]*(1-(Table15[[#This Row],[rpm]]-Table36[ratedRpm])^2/(Table36[fadeOut]^2)))</f>
        <v>336.24144102085273</v>
      </c>
      <c r="R22" s="3">
        <f>(1-(1-Table15[[#This Row],[rpm]]/Table36[idleRpm])^2)*Table7[idleTEco]</f>
        <v>-155.06228395061737</v>
      </c>
      <c r="S22" s="3">
        <f>MAX(0,(1-Table7[f1]*(Table36[maxTRpm1]-Table15[[#This Row],[rpm]])^2)*Table36[maxTEco])</f>
        <v>661.05499999999995</v>
      </c>
      <c r="T22" s="3">
        <f>MAX(0,(Table36[linearDown]*(1-Table7[f2Eco]*(Table15[[#This Row],[rpm]]-Table36[maxTRpm]))+(1-Table36[linearDown])*(1-Table7[f3Eco]*(Table15[[#This Row],[rpm]]-Table36[maxTRpm])^2))*Table36[maxTEco])</f>
        <v>595.61719317356585</v>
      </c>
      <c r="U22" s="3">
        <f>MAX(0,(Table36[maxPSEco]-Table7[f4Eco]*(Table15[[#This Row],[rpm]]-Table36[maxPRpm])^2)/1.36*9550/MAX(1,Table15[[#This Row],[rpm]]))</f>
        <v>587.23506836945296</v>
      </c>
      <c r="V22" s="3">
        <f>MAX(0,Table7[Nm2Eco]*(1-(Table15[[#This Row],[rpm]]-Table36[ratedRpm])^2/(Table36[fadeOut]^2)))</f>
        <v>270.67436002178653</v>
      </c>
    </row>
    <row r="23" spans="1:22" x14ac:dyDescent="0.25">
      <c r="A23" s="3">
        <v>2000</v>
      </c>
      <c r="B2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641.34803921568619</v>
      </c>
      <c r="C23" s="22"/>
      <c r="D2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540.51127450980403</v>
      </c>
      <c r="E23" s="22"/>
      <c r="F23" s="3">
        <f>Table36[Factor]*IF(Table15[[#This Row],[manualData]]&gt;0,Table15[[#This Row],[manualData]],Table15[[#This Row],[rawData]])</f>
        <v>641.34803921568619</v>
      </c>
      <c r="G23" s="3">
        <f>Table36[Factor]*IF(Table15[[#This Row],[manDataEco]]&gt;0,Table15[[#This Row],[manDataEco]],Table15[[#This Row],[rawDataEco]])</f>
        <v>540.51127450980403</v>
      </c>
      <c r="H23" s="3">
        <f>1.36*Table15[[#This Row],[rpm]]*Table15[[#This Row],[motor]]/9550</f>
        <v>182.66666666666666</v>
      </c>
      <c r="I23" s="3">
        <f>1.36*Table15[[#This Row],[rpm]]*Table15[[#This Row],[motorEco]]/9550</f>
        <v>153.94666666666669</v>
      </c>
      <c r="J23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244.75308641975309</v>
      </c>
      <c r="K23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rpm="2000" motorTorque="641" motorTorqueEco="541" fuelUsageRatio="245"/&gt;</v>
      </c>
      <c r="L23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normRpm="0.87" torque="0.885"/&gt;</v>
      </c>
      <c r="M23" s="3">
        <f>(1-(1-Table15[[#This Row],[rpm]]/Table36[idleRpm])^2)*Table7[idleT]</f>
        <v>-347.28395061728406</v>
      </c>
      <c r="N23" s="3">
        <f>MAX(0,(1-Table7[f1]*(Table36[maxTRpm1]-Table15[[#This Row],[rpm]])^2)*Table36[maxT])</f>
        <v>693.68</v>
      </c>
      <c r="O23" s="3">
        <f>MAX(0,(Table36[linearDown]*(1-Table7[f2]*(Table15[[#This Row],[rpm]]-Table36[maxTRpm]))+(1-Table36[linearDown])*(1-Table7[f3]*(Table15[[#This Row],[rpm]]-Table36[maxTRpm])^2))*Table36[maxT])</f>
        <v>709.02323892519939</v>
      </c>
      <c r="P23" s="3">
        <f>MAX(0,(Table36[maxPS]-Table7[f4]*(Table15[[#This Row],[rpm]]-Table36[maxPRpm])^2)/1.36*9550/MAX(1,Table15[[#This Row],[rpm]]))</f>
        <v>641.34803921568619</v>
      </c>
      <c r="Q23" s="3">
        <f>MAX(0,Table7[Nm2]*(1-(Table15[[#This Row],[rpm]]-Table36[ratedRpm])^2/(Table36[fadeOut]^2)))</f>
        <v>537.9863056333644</v>
      </c>
      <c r="R23" s="3">
        <f>(1-(1-Table15[[#This Row],[rpm]]/Table36[idleRpm])^2)*Table7[idleTEco]</f>
        <v>-326.44691358024704</v>
      </c>
      <c r="S23" s="3">
        <f>MAX(0,(1-Table7[f1]*(Table36[maxTRpm1]-Table15[[#This Row],[rpm]])^2)*Table36[maxTEco])</f>
        <v>652.05920000000003</v>
      </c>
      <c r="T23" s="3">
        <f>MAX(0,(Table36[linearDown]*(1-Table7[f2Eco]*(Table15[[#This Row],[rpm]]-Table36[maxTRpm]))+(1-Table36[linearDown])*(1-Table7[f3Eco]*(Table15[[#This Row],[rpm]]-Table36[maxTRpm])^2))*Table36[maxTEco])</f>
        <v>558.81027596223691</v>
      </c>
      <c r="U23" s="3">
        <f>MAX(0,(Table36[maxPSEco]-Table7[f4Eco]*(Table15[[#This Row],[rpm]]-Table36[maxPRpm])^2)/1.36*9550/MAX(1,Table15[[#This Row],[rpm]]))</f>
        <v>540.51127450980403</v>
      </c>
      <c r="V23" s="3">
        <f>MAX(0,Table7[Nm2Eco]*(1-(Table15[[#This Row],[rpm]]-Table36[ratedRpm])^2/(Table36[fadeOut]^2)))</f>
        <v>433.07897603485839</v>
      </c>
    </row>
    <row r="24" spans="1:22" x14ac:dyDescent="0.25">
      <c r="A24" s="3">
        <v>2100</v>
      </c>
      <c r="B2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605.23459383753493</v>
      </c>
      <c r="C24" s="22"/>
      <c r="D2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487.21384803921569</v>
      </c>
      <c r="E24" s="22"/>
      <c r="F24" s="3">
        <f>Table36[Factor]*IF(Table15[[#This Row],[manualData]]&gt;0,Table15[[#This Row],[manualData]],Table15[[#This Row],[rawData]])</f>
        <v>605.23459383753493</v>
      </c>
      <c r="G24" s="3">
        <f>Table36[Factor]*IF(Table15[[#This Row],[manDataEco]]&gt;0,Table15[[#This Row],[manDataEco]],Table15[[#This Row],[rawDataEco]])</f>
        <v>487.21384803921569</v>
      </c>
      <c r="H24" s="3">
        <f>1.36*Table15[[#This Row],[rpm]]*Table15[[#This Row],[motor]]/9550</f>
        <v>180.99999999999997</v>
      </c>
      <c r="I24" s="3">
        <f>1.36*Table15[[#This Row],[rpm]]*Table15[[#This Row],[motorEco]]/9550</f>
        <v>145.70500000000001</v>
      </c>
      <c r="J24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250</v>
      </c>
      <c r="K24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rpm="2100" motorTorque="605" motorTorqueEco="487" fuelUsageRatio="250"/&gt;</v>
      </c>
      <c r="L24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normRpm="0.913" torque="0.835"/&gt;</v>
      </c>
      <c r="M24" s="3">
        <f>(1-(1-Table15[[#This Row],[rpm]]/Table36[idleRpm])^2)*Table7[idleT]</f>
        <v>-546.97222222222251</v>
      </c>
      <c r="N24" s="3">
        <f>MAX(0,(1-Table7[f1]*(Table36[maxTRpm1]-Table15[[#This Row],[rpm]])^2)*Table36[maxT])</f>
        <v>682.36999999999989</v>
      </c>
      <c r="O24" s="3">
        <f>MAX(0,(Table36[linearDown]*(1-Table7[f2]*(Table15[[#This Row],[rpm]]-Table36[maxTRpm]))+(1-Table36[linearDown])*(1-Table7[f3]*(Table15[[#This Row],[rpm]]-Table36[maxTRpm])^2))*Table36[maxT])</f>
        <v>703.43137254901922</v>
      </c>
      <c r="P24" s="3">
        <f>MAX(0,(Table36[maxPS]-Table7[f4]*(Table15[[#This Row],[rpm]]-Table36[maxPRpm])^2)/1.36*9550/MAX(1,Table15[[#This Row],[rpm]]))</f>
        <v>605.23459383753493</v>
      </c>
      <c r="Q24" s="3">
        <f>MAX(0,Table7[Nm2]*(1-(Table15[[#This Row],[rpm]]-Table36[ratedRpm])^2/(Table36[fadeOut]^2)))</f>
        <v>605.23459383753493</v>
      </c>
      <c r="R24" s="3">
        <f>(1-(1-Table15[[#This Row],[rpm]]/Table36[idleRpm])^2)*Table7[idleTEco]</f>
        <v>-514.15388888888913</v>
      </c>
      <c r="S24" s="3">
        <f>MAX(0,(1-Table7[f1]*(Table36[maxTRpm1]-Table15[[#This Row],[rpm]])^2)*Table36[maxTEco])</f>
        <v>641.42779999999993</v>
      </c>
      <c r="T24" s="3">
        <f>MAX(0,(Table36[linearDown]*(1-Table7[f2Eco]*(Table15[[#This Row],[rpm]]-Table36[maxTRpm]))+(1-Table36[linearDown])*(1-Table7[f3Eco]*(Table15[[#This Row],[rpm]]-Table36[maxTRpm])^2))*Table36[maxTEco])</f>
        <v>515.86887254901978</v>
      </c>
      <c r="U24" s="3">
        <f>MAX(0,(Table36[maxPSEco]-Table7[f4Eco]*(Table15[[#This Row],[rpm]]-Table36[maxPRpm])^2)/1.36*9550/MAX(1,Table15[[#This Row],[rpm]]))</f>
        <v>487.21384803921569</v>
      </c>
      <c r="V24" s="3">
        <f>MAX(0,Table7[Nm2Eco]*(1-(Table15[[#This Row],[rpm]]-Table36[ratedRpm])^2/(Table36[fadeOut]^2)))</f>
        <v>487.21384803921569</v>
      </c>
    </row>
    <row r="25" spans="1:22" x14ac:dyDescent="0.25">
      <c r="A25" s="3">
        <v>2200</v>
      </c>
      <c r="B2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537.9863056333644</v>
      </c>
      <c r="C25" s="22"/>
      <c r="D2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433.07897603485839</v>
      </c>
      <c r="E25" s="22"/>
      <c r="F25" s="3">
        <f>Table36[Factor]*IF(Table15[[#This Row],[manualData]]&gt;0,Table15[[#This Row],[manualData]],Table15[[#This Row],[rawData]])</f>
        <v>537.9863056333644</v>
      </c>
      <c r="G25" s="3">
        <f>Table36[Factor]*IF(Table15[[#This Row],[manDataEco]]&gt;0,Table15[[#This Row],[manDataEco]],Table15[[#This Row],[rawDataEco]])</f>
        <v>433.07897603485839</v>
      </c>
      <c r="H25" s="3">
        <f>1.36*Table15[[#This Row],[rpm]]*Table15[[#This Row],[motor]]/9550</f>
        <v>168.55026455026453</v>
      </c>
      <c r="I25" s="3">
        <f>1.36*Table15[[#This Row],[rpm]]*Table15[[#This Row],[motorEco]]/9550</f>
        <v>135.68296296296296</v>
      </c>
      <c r="J25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277.77777777777777</v>
      </c>
      <c r="K25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rpm="2200" motorTorque="538" motorTorqueEco="433" fuelUsageRatio="278"/&gt;</v>
      </c>
      <c r="L25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normRpm="0.957" torque="0.742"/&gt;</v>
      </c>
      <c r="M25" s="3">
        <f>(1-(1-Table15[[#This Row],[rpm]]/Table36[idleRpm])^2)*Table7[idleT]</f>
        <v>-764.02469135802494</v>
      </c>
      <c r="N25" s="3">
        <f>MAX(0,(1-Table7[f1]*(Table36[maxTRpm1]-Table15[[#This Row],[rpm]])^2)*Table36[maxT])</f>
        <v>669.31999999999994</v>
      </c>
      <c r="O25" s="3">
        <f>MAX(0,(Table36[linearDown]*(1-Table7[f2]*(Table15[[#This Row],[rpm]]-Table36[maxTRpm]))+(1-Table36[linearDown])*(1-Table7[f3]*(Table15[[#This Row],[rpm]]-Table36[maxTRpm])^2))*Table36[maxT])</f>
        <v>697.040668119099</v>
      </c>
      <c r="P25" s="3">
        <f>MAX(0,(Table36[maxPS]-Table7[f4]*(Table15[[#This Row],[rpm]]-Table36[maxPRpm])^2)/1.36*9550/MAX(1,Table15[[#This Row],[rpm]]))</f>
        <v>570.27629233511573</v>
      </c>
      <c r="Q25" s="3">
        <f>MAX(0,Table7[Nm2]*(1-(Table15[[#This Row],[rpm]]-Table36[ratedRpm])^2/(Table36[fadeOut]^2)))</f>
        <v>537.9863056333644</v>
      </c>
      <c r="R25" s="3">
        <f>(1-(1-Table15[[#This Row],[rpm]]/Table36[idleRpm])^2)*Table7[idleTEco]</f>
        <v>-718.1832098765434</v>
      </c>
      <c r="S25" s="3">
        <f>MAX(0,(1-Table7[f1]*(Table36[maxTRpm1]-Table15[[#This Row],[rpm]])^2)*Table36[maxTEco])</f>
        <v>629.16079999999999</v>
      </c>
      <c r="T25" s="3">
        <f>MAX(0,(Table36[linearDown]*(1-Table7[f2Eco]*(Table15[[#This Row],[rpm]]-Table36[maxTRpm]))+(1-Table36[linearDown])*(1-Table7[f3Eco]*(Table15[[#This Row],[rpm]]-Table36[maxTRpm])^2))*Table36[maxTEco])</f>
        <v>466.79298293391452</v>
      </c>
      <c r="U25" s="3">
        <f>MAX(0,(Table36[maxPSEco]-Table7[f4Eco]*(Table15[[#This Row],[rpm]]-Table36[maxPRpm])^2)/1.36*9550/MAX(1,Table15[[#This Row],[rpm]]))</f>
        <v>428.23919340463459</v>
      </c>
      <c r="V25" s="3">
        <f>MAX(0,Table7[Nm2Eco]*(1-(Table15[[#This Row],[rpm]]-Table36[ratedRpm])^2/(Table36[fadeOut]^2)))</f>
        <v>433.07897603485839</v>
      </c>
    </row>
    <row r="26" spans="1:22" x14ac:dyDescent="0.25">
      <c r="A26" s="3">
        <v>2300</v>
      </c>
      <c r="B2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336.24144102085273</v>
      </c>
      <c r="C26" s="22"/>
      <c r="D2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270.67436002178653</v>
      </c>
      <c r="E26" s="22"/>
      <c r="F26" s="3">
        <f>Table36[Factor]*IF(Table15[[#This Row],[manualData]]&gt;0,Table15[[#This Row],[manualData]],Table15[[#This Row],[rawData]])</f>
        <v>336.24144102085273</v>
      </c>
      <c r="G26" s="3">
        <f>Table36[Factor]*IF(Table15[[#This Row],[manDataEco]]&gt;0,Table15[[#This Row],[manDataEco]],Table15[[#This Row],[rawDataEco]])</f>
        <v>270.67436002178653</v>
      </c>
      <c r="H26" s="3">
        <f>1.36*Table15[[#This Row],[rpm]]*Table15[[#This Row],[motor]]/9550</f>
        <v>110.13227513227511</v>
      </c>
      <c r="I26" s="3">
        <f>1.36*Table15[[#This Row],[rpm]]*Table15[[#This Row],[motorEco]]/9550</f>
        <v>88.656481481481492</v>
      </c>
      <c r="J26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361.11111111111109</v>
      </c>
      <c r="K26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rpm="2300" motorTorque="336" motorTorqueEco="271" fuelUsageRatio="361"/&gt;</v>
      </c>
      <c r="L26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normRpm="1" torque="0.464"/&gt;</v>
      </c>
      <c r="M26" s="3">
        <f>(1-(1-Table15[[#This Row],[rpm]]/Table36[idleRpm])^2)*Table7[idleT]</f>
        <v>-998.44135802469077</v>
      </c>
      <c r="N26" s="3">
        <f>MAX(0,(1-Table7[f1]*(Table36[maxTRpm1]-Table15[[#This Row],[rpm]])^2)*Table36[maxT])</f>
        <v>654.53</v>
      </c>
      <c r="O26" s="3">
        <f>MAX(0,(Table36[linearDown]*(1-Table7[f2]*(Table15[[#This Row],[rpm]]-Table36[maxTRpm]))+(1-Table36[linearDown])*(1-Table7[f3]*(Table15[[#This Row],[rpm]]-Table36[maxTRpm])^2))*Table36[maxT])</f>
        <v>689.85112563543873</v>
      </c>
      <c r="P26" s="3">
        <f>MAX(0,(Table36[maxPS]-Table7[f4]*(Table15[[#This Row],[rpm]]-Table36[maxPRpm])^2)/1.36*9550/MAX(1,Table15[[#This Row],[rpm]]))</f>
        <v>536.32246376811588</v>
      </c>
      <c r="Q26" s="3">
        <f>MAX(0,Table7[Nm2]*(1-(Table15[[#This Row],[rpm]]-Table36[ratedRpm])^2/(Table36[fadeOut]^2)))</f>
        <v>336.24144102085273</v>
      </c>
      <c r="R26" s="3">
        <f>(1-(1-Table15[[#This Row],[rpm]]/Table36[idleRpm])^2)*Table7[idleTEco]</f>
        <v>-938.53487654320929</v>
      </c>
      <c r="S26" s="3">
        <f>MAX(0,(1-Table7[f1]*(Table36[maxTRpm1]-Table15[[#This Row],[rpm]])^2)*Table36[maxTEco])</f>
        <v>615.25819999999999</v>
      </c>
      <c r="T26" s="3">
        <f>MAX(0,(Table36[linearDown]*(1-Table7[f2Eco]*(Table15[[#This Row],[rpm]]-Table36[maxTRpm]))+(1-Table36[linearDown])*(1-Table7[f3Eco]*(Table15[[#This Row],[rpm]]-Table36[maxTRpm])^2))*Table36[maxTEco])</f>
        <v>411.58260711692111</v>
      </c>
      <c r="U26" s="3">
        <f>MAX(0,(Table36[maxPSEco]-Table7[f4Eco]*(Table15[[#This Row],[rpm]]-Table36[maxPRpm])^2)/1.36*9550/MAX(1,Table15[[#This Row],[rpm]]))</f>
        <v>364.32781862745099</v>
      </c>
      <c r="V26" s="3">
        <f>MAX(0,Table7[Nm2Eco]*(1-(Table15[[#This Row],[rpm]]-Table36[ratedRpm])^2/(Table36[fadeOut]^2)))</f>
        <v>270.67436002178653</v>
      </c>
    </row>
    <row r="27" spans="1:22" x14ac:dyDescent="0.25">
      <c r="A27" s="3">
        <v>2400</v>
      </c>
      <c r="B2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7" s="22"/>
      <c r="D2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7" s="22"/>
      <c r="F27" s="3">
        <f>Table36[Factor]*IF(Table15[[#This Row],[manualData]]&gt;0,Table15[[#This Row],[manualData]],Table15[[#This Row],[rawData]])</f>
        <v>0</v>
      </c>
      <c r="G27" s="3">
        <f>Table36[Factor]*IF(Table15[[#This Row],[manDataEco]]&gt;0,Table15[[#This Row],[manDataEco]],Table15[[#This Row],[rawDataEco]])</f>
        <v>0</v>
      </c>
      <c r="H27" s="3">
        <f>1.36*Table15[[#This Row],[rpm]]*Table15[[#This Row],[motor]]/9550</f>
        <v>0</v>
      </c>
      <c r="I27" s="3">
        <f>1.36*Table15[[#This Row],[rpm]]*Table15[[#This Row],[motorEco]]/9550</f>
        <v>0</v>
      </c>
      <c r="J2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2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rpm="2400" motorTorque="0" motorTorqueEco="0" fuelUsageRatio="500"/&gt;</v>
      </c>
      <c r="L27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7" s="3">
        <f>(1-(1-Table15[[#This Row],[rpm]]/Table36[idleRpm])^2)*Table7[idleT]</f>
        <v>-1250.2222222222219</v>
      </c>
      <c r="N27" s="3">
        <f>MAX(0,(1-Table7[f1]*(Table36[maxTRpm1]-Table15[[#This Row],[rpm]])^2)*Table36[maxT])</f>
        <v>637.99999999999989</v>
      </c>
      <c r="O27" s="3">
        <f>MAX(0,(Table36[linearDown]*(1-Table7[f2]*(Table15[[#This Row],[rpm]]-Table36[maxTRpm]))+(1-Table36[linearDown])*(1-Table7[f3]*(Table15[[#This Row],[rpm]]-Table36[maxTRpm])^2))*Table36[maxT])</f>
        <v>681.86274509803854</v>
      </c>
      <c r="P27" s="3">
        <f>MAX(0,(Table36[maxPS]-Table7[f4]*(Table15[[#This Row],[rpm]]-Table36[maxPRpm])^2)/1.36*9550/MAX(1,Table15[[#This Row],[rpm]]))</f>
        <v>503.24754901960773</v>
      </c>
      <c r="Q27" s="3">
        <f>MAX(0,Table7[Nm2]*(1-(Table15[[#This Row],[rpm]]-Table36[ratedRpm])^2/(Table36[fadeOut]^2)))</f>
        <v>0</v>
      </c>
      <c r="R27" s="3">
        <f>(1-(1-Table15[[#This Row],[rpm]]/Table36[idleRpm])^2)*Table7[idleTEco]</f>
        <v>-1175.2088888888884</v>
      </c>
      <c r="S27" s="3">
        <f>MAX(0,(1-Table7[f1]*(Table36[maxTRpm1]-Table15[[#This Row],[rpm]])^2)*Table36[maxTEco])</f>
        <v>599.71999999999991</v>
      </c>
      <c r="T27" s="3">
        <f>MAX(0,(Table36[linearDown]*(1-Table7[f2Eco]*(Table15[[#This Row],[rpm]]-Table36[maxTRpm]))+(1-Table36[linearDown])*(1-Table7[f3Eco]*(Table15[[#This Row],[rpm]]-Table36[maxTRpm])^2))*Table36[maxTEco])</f>
        <v>350.23774509803951</v>
      </c>
      <c r="U27" s="3">
        <f>MAX(0,(Table36[maxPSEco]-Table7[f4Eco]*(Table15[[#This Row],[rpm]]-Table36[maxPRpm])^2)/1.36*9550/MAX(1,Table15[[#This Row],[rpm]]))</f>
        <v>296.09681372549011</v>
      </c>
      <c r="V27" s="3">
        <f>MAX(0,Table7[Nm2Eco]*(1-(Table15[[#This Row],[rpm]]-Table36[ratedRpm])^2/(Table36[fadeOut]^2)))</f>
        <v>0</v>
      </c>
    </row>
    <row r="28" spans="1:22" x14ac:dyDescent="0.25">
      <c r="A28" s="3">
        <v>2500</v>
      </c>
      <c r="B2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8" s="22"/>
      <c r="D2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8" s="22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2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28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8" s="3">
        <f>(1-(1-Table15[[#This Row],[rpm]]/Table36[idleRpm])^2)*Table7[idleT]</f>
        <v>-1519.3672839506171</v>
      </c>
      <c r="N28" s="3">
        <f>MAX(0,(1-Table7[f1]*(Table36[maxTRpm1]-Table15[[#This Row],[rpm]])^2)*Table36[maxT])</f>
        <v>619.7299999999999</v>
      </c>
      <c r="O28" s="3">
        <f>MAX(0,(Table36[linearDown]*(1-Table7[f2]*(Table15[[#This Row],[rpm]]-Table36[maxTRpm]))+(1-Table36[linearDown])*(1-Table7[f3]*(Table15[[#This Row],[rpm]]-Table36[maxTRpm])^2))*Table36[maxT])</f>
        <v>673.07552650689809</v>
      </c>
      <c r="P28" s="3">
        <f>MAX(0,(Table36[maxPS]-Table7[f4]*(Table15[[#This Row],[rpm]]-Table36[maxPRpm])^2)/1.36*9550/MAX(1,Table15[[#This Row],[rpm]]))</f>
        <v>470.94607843137243</v>
      </c>
      <c r="Q28" s="3">
        <f>MAX(0,Table7[Nm2]*(1-(Table15[[#This Row],[rpm]]-Table36[ratedRpm])^2/(Table36[fadeOut]^2)))</f>
        <v>0</v>
      </c>
      <c r="R28" s="3">
        <f>(1-(1-Table15[[#This Row],[rpm]]/Table36[idleRpm])^2)*Table7[idleTEco]</f>
        <v>-1428.2052469135799</v>
      </c>
      <c r="S28" s="3">
        <f>MAX(0,(1-Table7[f1]*(Table36[maxTRpm1]-Table15[[#This Row],[rpm]])^2)*Table36[maxTEco])</f>
        <v>582.54619999999989</v>
      </c>
      <c r="T28" s="3">
        <f>MAX(0,(Table36[linearDown]*(1-Table7[f2Eco]*(Table15[[#This Row],[rpm]]-Table36[maxTRpm]))+(1-Table36[linearDown])*(1-Table7[f3Eco]*(Table15[[#This Row],[rpm]]-Table36[maxTRpm])^2))*Table36[maxTEco])</f>
        <v>282.75839687726989</v>
      </c>
      <c r="U28" s="3">
        <f>MAX(0,(Table36[maxPSEco]-Table7[f4Eco]*(Table15[[#This Row],[rpm]]-Table36[maxPRpm])^2)/1.36*9550/MAX(1,Table15[[#This Row],[rpm]]))</f>
        <v>224.0645343137254</v>
      </c>
      <c r="V28" s="3">
        <f>MAX(0,Table7[Nm2Eco]*(1-(Table15[[#This Row],[rpm]]-Table36[ratedRpm])^2/(Table36[fadeOut]^2)))</f>
        <v>0</v>
      </c>
    </row>
    <row r="29" spans="1:22" x14ac:dyDescent="0.25">
      <c r="A29" s="3">
        <v>2750</v>
      </c>
      <c r="B2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9" s="22"/>
      <c r="D2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9" s="22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2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29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9" s="3">
        <f>(1-(1-Table15[[#This Row],[rpm]]/Table36[idleRpm])^2)*Table7[idleT]</f>
        <v>-2268.1983024691349</v>
      </c>
      <c r="N29" s="3">
        <f>MAX(0,(1-Table7[f1]*(Table36[maxTRpm1]-Table15[[#This Row],[rpm]])^2)*Table36[maxT])</f>
        <v>566.44249999999988</v>
      </c>
      <c r="O29" s="3">
        <f>MAX(0,(Table36[linearDown]*(1-Table7[f2]*(Table15[[#This Row],[rpm]]-Table36[maxTRpm]))+(1-Table36[linearDown])*(1-Table7[f3]*(Table15[[#This Row],[rpm]]-Table36[maxTRpm])^2))*Table36[maxT])</f>
        <v>647.6125635439347</v>
      </c>
      <c r="P29" s="3">
        <f>MAX(0,(Table36[maxPS]-Table7[f4]*(Table15[[#This Row],[rpm]]-Table36[maxPRpm])^2)/1.36*9550/MAX(1,Table15[[#This Row],[rpm]]))</f>
        <v>393.02250445632791</v>
      </c>
      <c r="Q29" s="3">
        <f>MAX(0,Table7[Nm2]*(1-(Table15[[#This Row],[rpm]]-Table36[ratedRpm])^2/(Table36[fadeOut]^2)))</f>
        <v>0</v>
      </c>
      <c r="R29" s="3">
        <f>(1-(1-Table15[[#This Row],[rpm]]/Table36[idleRpm])^2)*Table7[idleTEco]</f>
        <v>-2132.1064043209867</v>
      </c>
      <c r="S29" s="3">
        <f>MAX(0,(1-Table7[f1]*(Table36[maxTRpm1]-Table15[[#This Row],[rpm]])^2)*Table36[maxTEco])</f>
        <v>532.45594999999992</v>
      </c>
      <c r="T29" s="3">
        <f>MAX(0,(Table36[linearDown]*(1-Table7[f2Eco]*(Table15[[#This Row],[rpm]]-Table36[maxTRpm]))+(1-Table36[linearDown])*(1-Table7[f3Eco]*(Table15[[#This Row],[rpm]]-Table36[maxTRpm])^2))*Table36[maxTEco])</f>
        <v>87.221649192084911</v>
      </c>
      <c r="U29" s="3">
        <f>MAX(0,(Table36[maxPSEco]-Table7[f4Eco]*(Table15[[#This Row],[rpm]]-Table36[maxPRpm])^2)/1.36*9550/MAX(1,Table15[[#This Row],[rpm]]))</f>
        <v>30.074626782531052</v>
      </c>
      <c r="V29" s="3">
        <f>MAX(0,Table7[Nm2Eco]*(1-(Table15[[#This Row],[rpm]]-Table36[ratedRpm])^2/(Table36[fadeOut]^2)))</f>
        <v>0</v>
      </c>
    </row>
    <row r="30" spans="1:22" x14ac:dyDescent="0.25">
      <c r="A30" s="3">
        <v>3000</v>
      </c>
      <c r="B3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0" s="22"/>
      <c r="D3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0" s="22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0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0" s="3">
        <f>(1-(1-Table15[[#This Row],[rpm]]/Table36[idleRpm])^2)*Table7[idleT]</f>
        <v>-3125.5555555555561</v>
      </c>
      <c r="N30" s="3">
        <f>MAX(0,(1-Table7[f1]*(Table36[maxTRpm1]-Table15[[#This Row],[rpm]])^2)*Table36[maxT])</f>
        <v>502.2799999999998</v>
      </c>
      <c r="O30" s="3">
        <f>MAX(0,(Table36[linearDown]*(1-Table7[f2]*(Table15[[#This Row],[rpm]]-Table36[maxTRpm]))+(1-Table36[linearDown])*(1-Table7[f3]*(Table15[[#This Row],[rpm]]-Table36[maxTRpm])^2))*Table36[maxT])</f>
        <v>617.15686274509608</v>
      </c>
      <c r="P30" s="3">
        <f>MAX(0,(Table36[maxPS]-Table7[f4]*(Table15[[#This Row],[rpm]]-Table36[maxPRpm])^2)/1.36*9550/MAX(1,Table15[[#This Row],[rpm]]))</f>
        <v>318.33333333333331</v>
      </c>
      <c r="Q30" s="3">
        <f>MAX(0,Table7[Nm2]*(1-(Table15[[#This Row],[rpm]]-Table36[ratedRpm])^2/(Table36[fadeOut]^2)))</f>
        <v>0</v>
      </c>
      <c r="R30" s="3">
        <f>(1-(1-Table15[[#This Row],[rpm]]/Table36[idleRpm])^2)*Table7[idleTEco]</f>
        <v>-2938.0222222222228</v>
      </c>
      <c r="S30" s="3">
        <f>MAX(0,(1-Table7[f1]*(Table36[maxTRpm1]-Table15[[#This Row],[rpm]])^2)*Table36[maxTEco])</f>
        <v>472.14319999999981</v>
      </c>
      <c r="T30" s="3">
        <f>MAX(0,(Table36[linearDown]*(1-Table7[f2Eco]*(Table15[[#This Row],[rpm]]-Table36[maxTRpm]))+(1-Table36[linearDown])*(1-Table7[f3Eco]*(Table15[[#This Row],[rpm]]-Table36[maxTRpm])^2))*Table36[maxTEco])</f>
        <v>0</v>
      </c>
      <c r="U30" s="3">
        <f>MAX(0,(Table36[maxPSEco]-Table7[f4Eco]*(Table15[[#This Row],[rpm]]-Table36[maxPRpm])^2)/1.36*9550/MAX(1,Table15[[#This Row],[rpm]]))</f>
        <v>0</v>
      </c>
      <c r="V30" s="3">
        <f>MAX(0,Table7[Nm2Eco]*(1-(Table15[[#This Row],[rpm]]-Table36[ratedRpm])^2/(Table36[fadeOut]^2)))</f>
        <v>0</v>
      </c>
    </row>
    <row r="31" spans="1:22" x14ac:dyDescent="0.25">
      <c r="A31" s="3">
        <v>3250</v>
      </c>
      <c r="B3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1" s="22"/>
      <c r="D3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1" s="22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1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1" s="3">
        <f>(1-(1-Table15[[#This Row],[rpm]]/Table36[idleRpm])^2)*Table7[idleT]</f>
        <v>-4091.4390432098762</v>
      </c>
      <c r="N31" s="3">
        <f>MAX(0,(1-Table7[f1]*(Table36[maxTRpm1]-Table15[[#This Row],[rpm]])^2)*Table36[maxT])</f>
        <v>427.24249999999978</v>
      </c>
      <c r="O31" s="3">
        <f>MAX(0,(Table36[linearDown]*(1-Table7[f2]*(Table15[[#This Row],[rpm]]-Table36[maxTRpm]))+(1-Table36[linearDown])*(1-Table7[f3]*(Table15[[#This Row],[rpm]]-Table36[maxTRpm])^2))*Table36[maxT])</f>
        <v>581.70842411038234</v>
      </c>
      <c r="P31" s="3">
        <f>MAX(0,(Table36[maxPS]-Table7[f4]*(Table15[[#This Row],[rpm]]-Table36[maxPRpm])^2)/1.36*9550/MAX(1,Table15[[#This Row],[rpm]]))</f>
        <v>246.1321644042232</v>
      </c>
      <c r="Q31" s="3">
        <f>MAX(0,Table7[Nm2]*(1-(Table15[[#This Row],[rpm]]-Table36[ratedRpm])^2/(Table36[fadeOut]^2)))</f>
        <v>0</v>
      </c>
      <c r="R31" s="3">
        <f>(1-(1-Table15[[#This Row],[rpm]]/Table36[idleRpm])^2)*Table7[idleTEco]</f>
        <v>-3845.9527006172834</v>
      </c>
      <c r="S31" s="3">
        <f>MAX(0,(1-Table7[f1]*(Table36[maxTRpm1]-Table15[[#This Row],[rpm]])^2)*Table36[maxTEco])</f>
        <v>401.60794999999979</v>
      </c>
      <c r="T31" s="3">
        <f>MAX(0,(Table36[linearDown]*(1-Table7[f2Eco]*(Table15[[#This Row],[rpm]]-Table36[maxTRpm]))+(1-Table36[linearDown])*(1-Table7[f3Eco]*(Table15[[#This Row],[rpm]]-Table36[maxTRpm])^2))*Table36[maxTEco])</f>
        <v>0</v>
      </c>
      <c r="U31" s="3">
        <f>MAX(0,(Table36[maxPSEco]-Table7[f4Eco]*(Table15[[#This Row],[rpm]]-Table36[maxPRpm])^2)/1.36*9550/MAX(1,Table15[[#This Row],[rpm]]))</f>
        <v>0</v>
      </c>
      <c r="V31" s="3">
        <f>MAX(0,Table7[Nm2Eco]*(1-(Table15[[#This Row],[rpm]]-Table36[ratedRpm])^2/(Table36[fadeOut]^2)))</f>
        <v>0</v>
      </c>
    </row>
    <row r="32" spans="1:22" x14ac:dyDescent="0.25">
      <c r="A32" s="3">
        <v>3500</v>
      </c>
      <c r="B3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2" s="22"/>
      <c r="D3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2" s="22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2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2" s="3">
        <f>(1-(1-Table15[[#This Row],[rpm]]/Table36[idleRpm])^2)*Table7[idleT]</f>
        <v>-5165.8487654320988</v>
      </c>
      <c r="N32" s="3">
        <f>MAX(0,(1-Table7[f1]*(Table36[maxTRpm1]-Table15[[#This Row],[rpm]])^2)*Table36[maxT])</f>
        <v>341.3299999999997</v>
      </c>
      <c r="O32" s="3">
        <f>MAX(0,(Table36[linearDown]*(1-Table7[f2]*(Table15[[#This Row],[rpm]]-Table36[maxTRpm]))+(1-Table36[linearDown])*(1-Table7[f3]*(Table15[[#This Row],[rpm]]-Table36[maxTRpm])^2))*Table36[maxT])</f>
        <v>541.26724763979337</v>
      </c>
      <c r="P32" s="3">
        <f>MAX(0,(Table36[maxPS]-Table7[f4]*(Table15[[#This Row],[rpm]]-Table36[maxPRpm])^2)/1.36*9550/MAX(1,Table15[[#This Row],[rpm]]))</f>
        <v>175.88585434173666</v>
      </c>
      <c r="Q32" s="3">
        <f>MAX(0,Table7[Nm2]*(1-(Table15[[#This Row],[rpm]]-Table36[ratedRpm])^2/(Table36[fadeOut]^2)))</f>
        <v>0</v>
      </c>
      <c r="R32" s="3">
        <f>(1-(1-Table15[[#This Row],[rpm]]/Table36[idleRpm])^2)*Table7[idleTEco]</f>
        <v>-4855.8978395061722</v>
      </c>
      <c r="S32" s="3">
        <f>MAX(0,(1-Table7[f1]*(Table36[maxTRpm1]-Table15[[#This Row],[rpm]])^2)*Table36[maxTEco])</f>
        <v>320.85019999999969</v>
      </c>
      <c r="T32" s="3">
        <f>MAX(0,(Table36[linearDown]*(1-Table7[f2Eco]*(Table15[[#This Row],[rpm]]-Table36[maxTRpm]))+(1-Table36[linearDown])*(1-Table7[f3Eco]*(Table15[[#This Row],[rpm]]-Table36[maxTRpm])^2))*Table36[maxTEco])</f>
        <v>0</v>
      </c>
      <c r="U32" s="3">
        <f>MAX(0,(Table36[maxPSEco]-Table7[f4Eco]*(Table15[[#This Row],[rpm]]-Table36[maxPRpm])^2)/1.36*9550/MAX(1,Table15[[#This Row],[rpm]]))</f>
        <v>0</v>
      </c>
      <c r="V32" s="3">
        <f>MAX(0,Table7[Nm2Eco]*(1-(Table15[[#This Row],[rpm]]-Table36[ratedRpm])^2/(Table36[fadeOut]^2)))</f>
        <v>0</v>
      </c>
    </row>
    <row r="33" spans="1:22" x14ac:dyDescent="0.25">
      <c r="A33" s="3">
        <v>3750</v>
      </c>
      <c r="B3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3" s="22"/>
      <c r="D3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3" s="22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3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3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3" s="3">
        <f>(1-(1-Table15[[#This Row],[rpm]]/Table36[idleRpm])^2)*Table7[idleT]</f>
        <v>-6348.7847222222244</v>
      </c>
      <c r="N33" s="3">
        <f>MAX(0,(1-Table7[f1]*(Table36[maxTRpm1]-Table15[[#This Row],[rpm]])^2)*Table36[maxT])</f>
        <v>244.54249999999962</v>
      </c>
      <c r="O33" s="3">
        <f>MAX(0,(Table36[linearDown]*(1-Table7[f2]*(Table15[[#This Row],[rpm]]-Table36[maxTRpm]))+(1-Table36[linearDown])*(1-Table7[f3]*(Table15[[#This Row],[rpm]]-Table36[maxTRpm])^2))*Table36[maxT])</f>
        <v>495.83333333332916</v>
      </c>
      <c r="P33" s="3">
        <f>MAX(0,(Table36[maxPS]-Table7[f4]*(Table15[[#This Row],[rpm]]-Table36[maxPRpm])^2)/1.36*9550/MAX(1,Table15[[#This Row],[rpm]]))</f>
        <v>107.20343137254902</v>
      </c>
      <c r="Q33" s="3">
        <f>MAX(0,Table7[Nm2]*(1-(Table15[[#This Row],[rpm]]-Table36[ratedRpm])^2/(Table36[fadeOut]^2)))</f>
        <v>0</v>
      </c>
      <c r="R33" s="3">
        <f>(1-(1-Table15[[#This Row],[rpm]]/Table36[idleRpm])^2)*Table7[idleTEco]</f>
        <v>-5967.8576388888905</v>
      </c>
      <c r="S33" s="3">
        <f>MAX(0,(1-Table7[f1]*(Table36[maxTRpm1]-Table15[[#This Row],[rpm]])^2)*Table36[maxTEco])</f>
        <v>229.86994999999965</v>
      </c>
      <c r="T33" s="3">
        <f>MAX(0,(Table36[linearDown]*(1-Table7[f2Eco]*(Table15[[#This Row],[rpm]]-Table36[maxTRpm]))+(1-Table36[linearDown])*(1-Table7[f3Eco]*(Table15[[#This Row],[rpm]]-Table36[maxTRpm])^2))*Table36[maxTEco])</f>
        <v>0</v>
      </c>
      <c r="U33" s="3">
        <f>MAX(0,(Table36[maxPSEco]-Table7[f4Eco]*(Table15[[#This Row],[rpm]]-Table36[maxPRpm])^2)/1.36*9550/MAX(1,Table15[[#This Row],[rpm]]))</f>
        <v>0</v>
      </c>
      <c r="V33" s="3">
        <f>MAX(0,Table7[Nm2Eco]*(1-(Table15[[#This Row],[rpm]]-Table36[ratedRpm])^2/(Table36[fadeOut]^2)))</f>
        <v>0</v>
      </c>
    </row>
    <row r="34" spans="1:22" x14ac:dyDescent="0.25">
      <c r="A34" s="3">
        <v>4000</v>
      </c>
      <c r="B3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4" s="22"/>
      <c r="D3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4" s="22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4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4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4" s="3">
        <f>(1-(1-Table15[[#This Row],[rpm]]/Table36[idleRpm])^2)*Table7[idleT]</f>
        <v>-7640.2469135802485</v>
      </c>
      <c r="N34" s="3">
        <f>MAX(0,(1-Table7[f1]*(Table36[maxTRpm1]-Table15[[#This Row],[rpm]])^2)*Table36[maxT])</f>
        <v>136.87999999999948</v>
      </c>
      <c r="O34" s="3">
        <f>MAX(0,(Table36[linearDown]*(1-Table7[f2]*(Table15[[#This Row],[rpm]]-Table36[maxTRpm]))+(1-Table36[linearDown])*(1-Table7[f3]*(Table15[[#This Row],[rpm]]-Table36[maxTRpm])^2))*Table36[maxT])</f>
        <v>445.40668119098984</v>
      </c>
      <c r="P34" s="3">
        <f>MAX(0,(Table36[maxPS]-Table7[f4]*(Table15[[#This Row],[rpm]]-Table36[maxPRpm])^2)/1.36*9550/MAX(1,Table15[[#This Row],[rpm]]))</f>
        <v>39.791666666666643</v>
      </c>
      <c r="Q34" s="3">
        <f>MAX(0,Table7[Nm2]*(1-(Table15[[#This Row],[rpm]]-Table36[ratedRpm])^2/(Table36[fadeOut]^2)))</f>
        <v>0</v>
      </c>
      <c r="R34" s="3">
        <f>(1-(1-Table15[[#This Row],[rpm]]/Table36[idleRpm])^2)*Table7[idleTEco]</f>
        <v>-7181.8320987654333</v>
      </c>
      <c r="S34" s="3">
        <f>MAX(0,(1-Table7[f1]*(Table36[maxTRpm1]-Table15[[#This Row],[rpm]])^2)*Table36[maxTEco])</f>
        <v>128.66719999999953</v>
      </c>
      <c r="T34" s="3">
        <f>MAX(0,(Table36[linearDown]*(1-Table7[f2Eco]*(Table15[[#This Row],[rpm]]-Table36[maxTRpm]))+(1-Table36[linearDown])*(1-Table7[f3Eco]*(Table15[[#This Row],[rpm]]-Table36[maxTRpm])^2))*Table36[maxTEco])</f>
        <v>0</v>
      </c>
      <c r="U34" s="3">
        <f>MAX(0,(Table36[maxPSEco]-Table7[f4Eco]*(Table15[[#This Row],[rpm]]-Table36[maxPRpm])^2)/1.36*9550/MAX(1,Table15[[#This Row],[rpm]]))</f>
        <v>0</v>
      </c>
      <c r="V34" s="3">
        <f>MAX(0,Table7[Nm2Eco]*(1-(Table15[[#This Row],[rpm]]-Table36[ratedRpm])^2/(Table36[fadeOut]^2)))</f>
        <v>0</v>
      </c>
    </row>
    <row r="35" spans="1:22" x14ac:dyDescent="0.25">
      <c r="A35" s="3">
        <v>4250</v>
      </c>
      <c r="B3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5" s="22"/>
      <c r="D3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5" s="22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5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5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5" s="3">
        <f>(1-(1-Table15[[#This Row],[rpm]]/Table36[idleRpm])^2)*Table7[idleT]</f>
        <v>-9040.2353395061727</v>
      </c>
      <c r="N35" s="3">
        <f>MAX(0,(1-Table7[f1]*(Table36[maxTRpm1]-Table15[[#This Row],[rpm]])^2)*Table36[maxT])</f>
        <v>18.342499999999429</v>
      </c>
      <c r="O35" s="3">
        <f>MAX(0,(Table36[linearDown]*(1-Table7[f2]*(Table15[[#This Row],[rpm]]-Table36[maxTRpm]))+(1-Table36[linearDown])*(1-Table7[f3]*(Table15[[#This Row],[rpm]]-Table36[maxTRpm])^2))*Table36[maxT])</f>
        <v>389.9872912127754</v>
      </c>
      <c r="P35" s="3">
        <f>MAX(0,(Table36[maxPS]-Table7[f4]*(Table15[[#This Row],[rpm]]-Table36[maxPRpm])^2)/1.36*9550/MAX(1,Table15[[#This Row],[rpm]]))</f>
        <v>0</v>
      </c>
      <c r="Q35" s="3">
        <f>MAX(0,Table7[Nm2]*(1-(Table15[[#This Row],[rpm]]-Table36[ratedRpm])^2/(Table36[fadeOut]^2)))</f>
        <v>0</v>
      </c>
      <c r="R35" s="3">
        <f>(1-(1-Table15[[#This Row],[rpm]]/Table36[idleRpm])^2)*Table7[idleTEco]</f>
        <v>-8497.8212191358016</v>
      </c>
      <c r="S35" s="3">
        <f>MAX(0,(1-Table7[f1]*(Table36[maxTRpm1]-Table15[[#This Row],[rpm]])^2)*Table36[maxTEco])</f>
        <v>17.241949999999463</v>
      </c>
      <c r="T35" s="3">
        <f>MAX(0,(Table36[linearDown]*(1-Table7[f2Eco]*(Table15[[#This Row],[rpm]]-Table36[maxTRpm]))+(1-Table36[linearDown])*(1-Table7[f3Eco]*(Table15[[#This Row],[rpm]]-Table36[maxTRpm])^2))*Table36[maxTEco])</f>
        <v>0</v>
      </c>
      <c r="U35" s="3">
        <f>MAX(0,(Table36[maxPSEco]-Table7[f4Eco]*(Table15[[#This Row],[rpm]]-Table36[maxPRpm])^2)/1.36*9550/MAX(1,Table15[[#This Row],[rpm]]))</f>
        <v>0</v>
      </c>
      <c r="V35" s="3">
        <f>MAX(0,Table7[Nm2Eco]*(1-(Table15[[#This Row],[rpm]]-Table36[ratedRpm])^2/(Table36[fadeOut]^2)))</f>
        <v>0</v>
      </c>
    </row>
    <row r="36" spans="1:22" x14ac:dyDescent="0.25">
      <c r="A36" s="3">
        <v>4500</v>
      </c>
      <c r="B3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6" s="22"/>
      <c r="D3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6" s="22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6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6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6" s="3">
        <f>(1-(1-Table15[[#This Row],[rpm]]/Table36[idleRpm])^2)*Table7[idleT]</f>
        <v>-10548.75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329.57516339868567</v>
      </c>
      <c r="P36" s="3">
        <f>MAX(0,(Table36[maxPS]-Table7[f4]*(Table15[[#This Row],[rpm]]-Table36[maxPRpm])^2)/1.36*9550/MAX(1,Table15[[#This Row],[rpm]]))</f>
        <v>0</v>
      </c>
      <c r="Q36" s="3">
        <f>MAX(0,Table7[Nm2]*(1-(Table15[[#This Row],[rpm]]-Table36[ratedRpm])^2/(Table36[fadeOut]^2)))</f>
        <v>0</v>
      </c>
      <c r="R36" s="3">
        <f>(1-(1-Table15[[#This Row],[rpm]]/Table36[idleRpm])^2)*Table7[idleTEco]</f>
        <v>-9915.8249999999989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0</v>
      </c>
      <c r="U36" s="3">
        <f>MAX(0,(Table36[maxPSEco]-Table7[f4Eco]*(Table15[[#This Row],[rpm]]-Table36[maxPRpm])^2)/1.36*9550/MAX(1,Table15[[#This Row],[rpm]]))</f>
        <v>0</v>
      </c>
      <c r="V36" s="3">
        <f>MAX(0,Table7[Nm2Eco]*(1-(Table15[[#This Row],[rpm]]-Table36[ratedRpm])^2/(Table36[fadeOut]^2)))</f>
        <v>0</v>
      </c>
    </row>
    <row r="37" spans="1:22" x14ac:dyDescent="0.25">
      <c r="A37" s="3">
        <v>4750</v>
      </c>
      <c r="B3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7" s="22"/>
      <c r="D3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7" s="22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7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7" s="3">
        <f>(1-(1-Table15[[#This Row],[rpm]]/Table36[idleRpm])^2)*Table7[idleT]</f>
        <v>-12165.790895061729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264.17029774872083</v>
      </c>
      <c r="P37" s="3">
        <f>MAX(0,(Table36[maxPS]-Table7[f4]*(Table15[[#This Row],[rpm]]-Table36[maxPRpm])^2)/1.36*9550/MAX(1,Table15[[#This Row],[rpm]]))</f>
        <v>0</v>
      </c>
      <c r="Q37" s="3">
        <f>MAX(0,Table7[Nm2]*(1-(Table15[[#This Row],[rpm]]-Table36[ratedRpm])^2/(Table36[fadeOut]^2)))</f>
        <v>0</v>
      </c>
      <c r="R37" s="3">
        <f>(1-(1-Table15[[#This Row],[rpm]]/Table36[idleRpm])^2)*Table7[idleTEco]</f>
        <v>-11435.843441358023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0</v>
      </c>
      <c r="U37" s="3">
        <f>MAX(0,(Table36[maxPSEco]-Table7[f4Eco]*(Table15[[#This Row],[rpm]]-Table36[maxPRpm])^2)/1.36*9550/MAX(1,Table15[[#This Row],[rpm]]))</f>
        <v>0</v>
      </c>
      <c r="V37" s="3">
        <f>MAX(0,Table7[Nm2Eco]*(1-(Table15[[#This Row],[rpm]]-Table36[ratedRpm])^2/(Table36[fadeOut]^2)))</f>
        <v>0</v>
      </c>
    </row>
    <row r="38" spans="1:22" x14ac:dyDescent="0.25">
      <c r="A38" s="3">
        <v>5000</v>
      </c>
      <c r="B3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8" s="22"/>
      <c r="D3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8" s="22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8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8" s="3">
        <f>(1-(1-Table15[[#This Row],[rpm]]/Table36[idleRpm])^2)*Table7[idleT]</f>
        <v>-13891.358024691357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193.77269426288075</v>
      </c>
      <c r="P38" s="3">
        <f>MAX(0,(Table36[maxPS]-Table7[f4]*(Table15[[#This Row],[rpm]]-Table36[maxPRpm])^2)/1.36*9550/MAX(1,Table15[[#This Row],[rpm]]))</f>
        <v>0</v>
      </c>
      <c r="Q38" s="3">
        <f>MAX(0,Table7[Nm2]*(1-(Table15[[#This Row],[rpm]]-Table36[ratedRpm])^2/(Table36[fadeOut]^2)))</f>
        <v>0</v>
      </c>
      <c r="R38" s="3">
        <f>(1-(1-Table15[[#This Row],[rpm]]/Table36[idleRpm])^2)*Table7[idleTEco]</f>
        <v>-13057.876543209875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MAX(0,Table7[Nm2Eco]*(1-(Table15[[#This Row],[rpm]]-Table36[ratedRpm])^2/(Table36[fadeOut]^2)))</f>
        <v>0</v>
      </c>
    </row>
    <row r="39" spans="1:22" x14ac:dyDescent="0.25">
      <c r="A39" s="3">
        <v>5250</v>
      </c>
      <c r="B3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9" s="22"/>
      <c r="D3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9" s="22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3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9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9" s="3">
        <f>(1-(1-Table15[[#This Row],[rpm]]/Table36[idleRpm])^2)*Table7[idleT]</f>
        <v>-15725.451388888887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118.38235294116551</v>
      </c>
      <c r="P39" s="3">
        <f>MAX(0,(Table36[maxPS]-Table7[f4]*(Table15[[#This Row],[rpm]]-Table36[maxPRpm])^2)/1.36*9550/MAX(1,Table15[[#This Row],[rpm]]))</f>
        <v>0</v>
      </c>
      <c r="Q39" s="3">
        <f>MAX(0,Table7[Nm2]*(1-(Table15[[#This Row],[rpm]]-Table36[ratedRpm])^2/(Table36[fadeOut]^2)))</f>
        <v>0</v>
      </c>
      <c r="R39" s="3">
        <f>(1-(1-Table15[[#This Row],[rpm]]/Table36[idleRpm])^2)*Table7[idleTEco]</f>
        <v>-14781.924305555553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MAX(0,Table7[Nm2Eco]*(1-(Table15[[#This Row],[rpm]]-Table36[ratedRpm])^2/(Table36[fadeOut]^2)))</f>
        <v>0</v>
      </c>
    </row>
    <row r="40" spans="1:22" x14ac:dyDescent="0.25">
      <c r="A40" s="3">
        <v>5500</v>
      </c>
      <c r="B4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0" s="22"/>
      <c r="D4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0" s="22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4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40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40" s="3">
        <f>(1-(1-Table15[[#This Row],[rpm]]/Table36[idleRpm])^2)*Table7[idleT]</f>
        <v>-17668.070987654319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37.999273783575141</v>
      </c>
      <c r="P40" s="3">
        <f>MAX(0,(Table36[maxPS]-Table7[f4]*(Table15[[#This Row],[rpm]]-Table36[maxPRpm])^2)/1.36*9550/MAX(1,Table15[[#This Row],[rpm]]))</f>
        <v>0</v>
      </c>
      <c r="Q40" s="3">
        <f>MAX(0,Table7[Nm2]*(1-(Table15[[#This Row],[rpm]]-Table36[ratedRpm])^2/(Table36[fadeOut]^2)))</f>
        <v>0</v>
      </c>
      <c r="R40" s="3">
        <f>(1-(1-Table15[[#This Row],[rpm]]/Table36[idleRpm])^2)*Table7[idleTEco]</f>
        <v>-16607.986728395059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MAX(0,Table7[Nm2Eco]*(1-(Table15[[#This Row],[rpm]]-Table36[ratedRpm])^2/(Table36[fadeOut]^2)))</f>
        <v>0</v>
      </c>
    </row>
    <row r="41" spans="1:22" x14ac:dyDescent="0.25">
      <c r="A41" s="3">
        <v>5750</v>
      </c>
      <c r="B4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1" s="22"/>
      <c r="D4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1" s="22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4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41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41" s="3">
        <f>(1-(1-Table15[[#This Row],[rpm]]/Table36[idleRpm])^2)*Table7[idleT]</f>
        <v>-19719.216820987658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MAX(0,Table7[Nm2]*(1-(Table15[[#This Row],[rpm]]-Table36[ratedRpm])^2/(Table36[fadeOut]^2)))</f>
        <v>0</v>
      </c>
      <c r="R41" s="3">
        <f>(1-(1-Table15[[#This Row],[rpm]]/Table36[idleRpm])^2)*Table7[idleTEco]</f>
        <v>-18536.063811728396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MAX(0,Table7[Nm2Eco]*(1-(Table15[[#This Row],[rpm]]-Table36[ratedRpm])^2/(Table36[fadeOut]^2)))</f>
        <v>0</v>
      </c>
    </row>
    <row r="42" spans="1:22" ht="15.75" thickBot="1" x14ac:dyDescent="0.3">
      <c r="A42" s="3">
        <v>6000</v>
      </c>
      <c r="B4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2" s="23"/>
      <c r="D4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2" s="2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500</v>
      </c>
      <c r="K4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42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42" s="3">
        <f>(1-(1-Table15[[#This Row],[rpm]]/Table36[idleRpm])^2)*Table7[idleT]</f>
        <v>-21878.888888888891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MAX(0,Table7[Nm2]*(1-(Table15[[#This Row],[rpm]]-Table36[ratedRpm])^2/(Table36[fadeOut]^2)))</f>
        <v>0</v>
      </c>
      <c r="R42" s="3">
        <f>(1-(1-Table15[[#This Row],[rpm]]/Table36[idleRpm])^2)*Table7[idleTEco]</f>
        <v>-20566.155555555557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MAX(0,Table7[Nm2Eco]*(1-(Table15[[#This Row],[rpm]]-Table36[ratedRpm])^2/(Table36[fadeOut]^2)))</f>
        <v>0</v>
      </c>
    </row>
  </sheetData>
  <conditionalFormatting sqref="I7:I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4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H7:H42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H7:I42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F7:G42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2015-10-23T13:34:50Z</dcterms:modified>
</cp:coreProperties>
</file>