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610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L4" i="3"/>
  <c r="K4" i="3"/>
  <c r="K29" i="3" l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F2" i="3"/>
  <c r="T2" i="3" l="1"/>
  <c r="S2" i="3"/>
  <c r="U2" i="3" s="1"/>
  <c r="J9" i="3" l="1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29" i="3" l="1"/>
  <c r="L33" i="3"/>
  <c r="L37" i="3"/>
  <c r="L41" i="3"/>
  <c r="L30" i="3"/>
  <c r="L34" i="3"/>
  <c r="L38" i="3"/>
  <c r="L42" i="3"/>
  <c r="L32" i="3"/>
  <c r="L31" i="3"/>
  <c r="L35" i="3"/>
  <c r="L39" i="3"/>
  <c r="L28" i="3"/>
  <c r="L36" i="3"/>
  <c r="L40" i="3"/>
  <c r="Y2" i="3"/>
  <c r="C2" i="3" s="1"/>
  <c r="V4" i="3" l="1"/>
  <c r="K7" i="3" s="1"/>
  <c r="J2" i="3"/>
  <c r="J4" i="3"/>
  <c r="L7" i="3" l="1"/>
  <c r="O4" i="3"/>
  <c r="P4" i="3"/>
  <c r="H4" i="3" s="1"/>
  <c r="R4" i="3" l="1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V7" i="3"/>
  <c r="V11" i="3"/>
  <c r="V15" i="3"/>
  <c r="V19" i="3"/>
  <c r="V23" i="3"/>
  <c r="V27" i="3"/>
  <c r="D27" i="3" s="1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G36" i="3" l="1"/>
  <c r="I36" i="3" s="1"/>
  <c r="G39" i="3"/>
  <c r="I39" i="3" s="1"/>
  <c r="G29" i="3"/>
  <c r="I29" i="3" s="1"/>
  <c r="G32" i="3"/>
  <c r="I32" i="3" s="1"/>
  <c r="G35" i="3"/>
  <c r="I35" i="3" s="1"/>
  <c r="G41" i="3"/>
  <c r="I41" i="3" s="1"/>
  <c r="D38" i="3"/>
  <c r="G38" i="3" s="1"/>
  <c r="I38" i="3" s="1"/>
  <c r="U7" i="3"/>
  <c r="U23" i="3"/>
  <c r="U39" i="3"/>
  <c r="U20" i="3"/>
  <c r="U36" i="3"/>
  <c r="U17" i="3"/>
  <c r="U33" i="3"/>
  <c r="U26" i="3"/>
  <c r="D26" i="3" s="1"/>
  <c r="G26" i="3" s="1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G40" i="3"/>
  <c r="I40" i="3" s="1"/>
  <c r="G27" i="3"/>
  <c r="I27" i="3" s="1"/>
  <c r="G34" i="3"/>
  <c r="I34" i="3" s="1"/>
  <c r="T7" i="3"/>
  <c r="T11" i="3"/>
  <c r="T15" i="3"/>
  <c r="T19" i="3"/>
  <c r="D19" i="3" s="1"/>
  <c r="T23" i="3"/>
  <c r="T27" i="3"/>
  <c r="T31" i="3"/>
  <c r="T35" i="3"/>
  <c r="T39" i="3"/>
  <c r="T8" i="3"/>
  <c r="T12" i="3"/>
  <c r="T16" i="3"/>
  <c r="T20" i="3"/>
  <c r="D20" i="3" s="1"/>
  <c r="T24" i="3"/>
  <c r="T28" i="3"/>
  <c r="T32" i="3"/>
  <c r="T36" i="3"/>
  <c r="T40" i="3"/>
  <c r="T9" i="3"/>
  <c r="T13" i="3"/>
  <c r="T17" i="3"/>
  <c r="T21" i="3"/>
  <c r="D21" i="3" s="1"/>
  <c r="T25" i="3"/>
  <c r="T29" i="3"/>
  <c r="T33" i="3"/>
  <c r="T37" i="3"/>
  <c r="T41" i="3"/>
  <c r="T10" i="3"/>
  <c r="T26" i="3"/>
  <c r="T42" i="3"/>
  <c r="T38" i="3"/>
  <c r="T14" i="3"/>
  <c r="T30" i="3"/>
  <c r="T18" i="3"/>
  <c r="T34" i="3"/>
  <c r="T22" i="3"/>
  <c r="G42" i="3"/>
  <c r="I42" i="3" s="1"/>
  <c r="G28" i="3"/>
  <c r="I28" i="3" s="1"/>
  <c r="G31" i="3"/>
  <c r="I31" i="3" s="1"/>
  <c r="G37" i="3"/>
  <c r="I37" i="3" s="1"/>
  <c r="G30" i="3"/>
  <c r="I30" i="3" s="1"/>
  <c r="G33" i="3"/>
  <c r="I33" i="3" s="1"/>
  <c r="D25" i="3" l="1"/>
  <c r="G25" i="3" s="1"/>
  <c r="D24" i="3"/>
  <c r="G24" i="3" s="1"/>
  <c r="I24" i="3" s="1"/>
  <c r="D23" i="3"/>
  <c r="G23" i="3" s="1"/>
  <c r="I23" i="3" s="1"/>
  <c r="D22" i="3"/>
  <c r="G22" i="3" s="1"/>
  <c r="I22" i="3" s="1"/>
  <c r="G21" i="3"/>
  <c r="I25" i="3"/>
  <c r="I26" i="3"/>
  <c r="G20" i="3"/>
  <c r="D4" i="3"/>
  <c r="E4" i="3"/>
  <c r="A4" i="3"/>
  <c r="F4" i="3"/>
  <c r="P7" i="3" l="1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S7" i="3"/>
  <c r="S11" i="3"/>
  <c r="S15" i="3"/>
  <c r="D15" i="3" s="1"/>
  <c r="G15" i="3" s="1"/>
  <c r="S19" i="3"/>
  <c r="S23" i="3"/>
  <c r="S27" i="3"/>
  <c r="S31" i="3"/>
  <c r="S35" i="3"/>
  <c r="S39" i="3"/>
  <c r="N7" i="3"/>
  <c r="N11" i="3"/>
  <c r="N15" i="3"/>
  <c r="B15" i="3" s="1"/>
  <c r="N19" i="3"/>
  <c r="N23" i="3"/>
  <c r="N27" i="3"/>
  <c r="N31" i="3"/>
  <c r="N35" i="3"/>
  <c r="N39" i="3"/>
  <c r="S8" i="3"/>
  <c r="S12" i="3"/>
  <c r="D12" i="3" s="1"/>
  <c r="S16" i="3"/>
  <c r="D16" i="3" s="1"/>
  <c r="G16" i="3" s="1"/>
  <c r="S20" i="3"/>
  <c r="S24" i="3"/>
  <c r="S28" i="3"/>
  <c r="S32" i="3"/>
  <c r="S36" i="3"/>
  <c r="S40" i="3"/>
  <c r="N8" i="3"/>
  <c r="N12" i="3"/>
  <c r="B12" i="3" s="1"/>
  <c r="N16" i="3"/>
  <c r="B16" i="3" s="1"/>
  <c r="N20" i="3"/>
  <c r="N24" i="3"/>
  <c r="N28" i="3"/>
  <c r="N32" i="3"/>
  <c r="N36" i="3"/>
  <c r="N40" i="3"/>
  <c r="S9" i="3"/>
  <c r="S13" i="3"/>
  <c r="D13" i="3" s="1"/>
  <c r="S17" i="3"/>
  <c r="D17" i="3" s="1"/>
  <c r="G17" i="3" s="1"/>
  <c r="S21" i="3"/>
  <c r="S25" i="3"/>
  <c r="S29" i="3"/>
  <c r="S33" i="3"/>
  <c r="S37" i="3"/>
  <c r="S41" i="3"/>
  <c r="N9" i="3"/>
  <c r="N13" i="3"/>
  <c r="B13" i="3" s="1"/>
  <c r="N17" i="3"/>
  <c r="B17" i="3" s="1"/>
  <c r="N21" i="3"/>
  <c r="N25" i="3"/>
  <c r="N29" i="3"/>
  <c r="N33" i="3"/>
  <c r="N37" i="3"/>
  <c r="N41" i="3"/>
  <c r="S22" i="3"/>
  <c r="S38" i="3"/>
  <c r="N18" i="3"/>
  <c r="B18" i="3" s="1"/>
  <c r="N34" i="3"/>
  <c r="S10" i="3"/>
  <c r="S26" i="3"/>
  <c r="S42" i="3"/>
  <c r="N22" i="3"/>
  <c r="N38" i="3"/>
  <c r="S18" i="3"/>
  <c r="D18" i="3" s="1"/>
  <c r="G18" i="3" s="1"/>
  <c r="N14" i="3"/>
  <c r="B14" i="3" s="1"/>
  <c r="S14" i="3"/>
  <c r="D14" i="3" s="1"/>
  <c r="S30" i="3"/>
  <c r="N10" i="3"/>
  <c r="N26" i="3"/>
  <c r="N42" i="3"/>
  <c r="S34" i="3"/>
  <c r="N30" i="3"/>
  <c r="I21" i="3"/>
  <c r="B4" i="3"/>
  <c r="I20" i="3"/>
  <c r="I4" i="3"/>
  <c r="N4" i="3"/>
  <c r="G4" i="3" s="1"/>
  <c r="U4" i="3"/>
  <c r="G14" i="3"/>
  <c r="G13" i="3"/>
  <c r="G19" i="3"/>
  <c r="T4" i="3"/>
  <c r="C4" i="3"/>
  <c r="B13" i="1"/>
  <c r="B14" i="1"/>
  <c r="B15" i="1"/>
  <c r="A22" i="1"/>
  <c r="B26" i="3" l="1"/>
  <c r="M10" i="3"/>
  <c r="B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B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D7" i="3" s="1"/>
  <c r="G7" i="3" s="1"/>
  <c r="I7" i="3" s="1"/>
  <c r="R11" i="3"/>
  <c r="D11" i="3" s="1"/>
  <c r="R15" i="3"/>
  <c r="R19" i="3"/>
  <c r="R23" i="3"/>
  <c r="R27" i="3"/>
  <c r="R31" i="3"/>
  <c r="R35" i="3"/>
  <c r="R39" i="3"/>
  <c r="R8" i="3"/>
  <c r="R12" i="3"/>
  <c r="R16" i="3"/>
  <c r="R20" i="3"/>
  <c r="R24" i="3"/>
  <c r="R28" i="3"/>
  <c r="R32" i="3"/>
  <c r="R36" i="3"/>
  <c r="R40" i="3"/>
  <c r="R9" i="3"/>
  <c r="D9" i="3" s="1"/>
  <c r="G9" i="3" s="1"/>
  <c r="R13" i="3"/>
  <c r="R17" i="3"/>
  <c r="R21" i="3"/>
  <c r="R25" i="3"/>
  <c r="R29" i="3"/>
  <c r="R33" i="3"/>
  <c r="R37" i="3"/>
  <c r="R41" i="3"/>
  <c r="R18" i="3"/>
  <c r="R34" i="3"/>
  <c r="R22" i="3"/>
  <c r="R38" i="3"/>
  <c r="R30" i="3"/>
  <c r="R10" i="3"/>
  <c r="R26" i="3"/>
  <c r="R42" i="3"/>
  <c r="R14" i="3"/>
  <c r="O7" i="3"/>
  <c r="O11" i="3"/>
  <c r="O15" i="3"/>
  <c r="O19" i="3"/>
  <c r="O23" i="3"/>
  <c r="B23" i="3" s="1"/>
  <c r="F23" i="3" s="1"/>
  <c r="K23" i="3" s="1"/>
  <c r="O27" i="3"/>
  <c r="O31" i="3"/>
  <c r="O35" i="3"/>
  <c r="O39" i="3"/>
  <c r="O8" i="3"/>
  <c r="O12" i="3"/>
  <c r="O16" i="3"/>
  <c r="O20" i="3"/>
  <c r="O24" i="3"/>
  <c r="B24" i="3" s="1"/>
  <c r="F24" i="3" s="1"/>
  <c r="K24" i="3" s="1"/>
  <c r="O28" i="3"/>
  <c r="O32" i="3"/>
  <c r="O36" i="3"/>
  <c r="O40" i="3"/>
  <c r="O9" i="3"/>
  <c r="O13" i="3"/>
  <c r="O17" i="3"/>
  <c r="O21" i="3"/>
  <c r="O25" i="3"/>
  <c r="B25" i="3" s="1"/>
  <c r="F25" i="3" s="1"/>
  <c r="K25" i="3" s="1"/>
  <c r="O29" i="3"/>
  <c r="O33" i="3"/>
  <c r="O37" i="3"/>
  <c r="O41" i="3"/>
  <c r="O22" i="3"/>
  <c r="B22" i="3" s="1"/>
  <c r="F22" i="3" s="1"/>
  <c r="K22" i="3" s="1"/>
  <c r="O38" i="3"/>
  <c r="O34" i="3"/>
  <c r="O10" i="3"/>
  <c r="O26" i="3"/>
  <c r="O42" i="3"/>
  <c r="O14" i="3"/>
  <c r="O30" i="3"/>
  <c r="O18" i="3"/>
  <c r="G11" i="3"/>
  <c r="I18" i="3"/>
  <c r="I15" i="3"/>
  <c r="I14" i="3"/>
  <c r="I13" i="3"/>
  <c r="I16" i="3"/>
  <c r="I19" i="3"/>
  <c r="I17" i="3"/>
  <c r="G12" i="3"/>
  <c r="F18" i="3"/>
  <c r="K18" i="3" s="1"/>
  <c r="F17" i="3"/>
  <c r="K17" i="3" s="1"/>
  <c r="F16" i="3"/>
  <c r="K16" i="3" s="1"/>
  <c r="F11" i="3"/>
  <c r="F12" i="3"/>
  <c r="F10" i="3"/>
  <c r="F30" i="3"/>
  <c r="F13" i="3"/>
  <c r="K13" i="3" s="1"/>
  <c r="F41" i="3"/>
  <c r="F36" i="3"/>
  <c r="F27" i="3"/>
  <c r="F42" i="3"/>
  <c r="F26" i="3"/>
  <c r="K26" i="3" s="1"/>
  <c r="F40" i="3"/>
  <c r="F31" i="3"/>
  <c r="F15" i="3"/>
  <c r="K15" i="3" s="1"/>
  <c r="F29" i="3"/>
  <c r="F32" i="3"/>
  <c r="F33" i="3"/>
  <c r="F39" i="3"/>
  <c r="F37" i="3"/>
  <c r="F38" i="3"/>
  <c r="F14" i="3"/>
  <c r="K14" i="3" s="1"/>
  <c r="F28" i="3"/>
  <c r="K28" i="3" s="1"/>
  <c r="F35" i="3"/>
  <c r="F34" i="3"/>
  <c r="D22" i="1"/>
  <c r="K12" i="3" l="1"/>
  <c r="K27" i="3"/>
  <c r="K11" i="3"/>
  <c r="D10" i="3"/>
  <c r="G10" i="3" s="1"/>
  <c r="K10" i="3" s="1"/>
  <c r="D8" i="3"/>
  <c r="G8" i="3" s="1"/>
  <c r="I8" i="3" s="1"/>
  <c r="B19" i="3"/>
  <c r="F19" i="3" s="1"/>
  <c r="K19" i="3" s="1"/>
  <c r="B21" i="3"/>
  <c r="F21" i="3" s="1"/>
  <c r="K21" i="3" s="1"/>
  <c r="B20" i="3"/>
  <c r="F20" i="3" s="1"/>
  <c r="K20" i="3" s="1"/>
  <c r="I12" i="3"/>
  <c r="I11" i="3"/>
  <c r="I9" i="3"/>
  <c r="H39" i="3"/>
  <c r="H34" i="3"/>
  <c r="H14" i="3"/>
  <c r="H33" i="3"/>
  <c r="H15" i="3"/>
  <c r="H26" i="3"/>
  <c r="H41" i="3"/>
  <c r="H11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K9" i="3" s="1"/>
  <c r="F7" i="3"/>
  <c r="L26" i="3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L27" i="3" l="1"/>
  <c r="K8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<sst xmlns="http://schemas.openxmlformats.org/spreadsheetml/2006/main" count="88" uniqueCount="72">
  <si>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</si>
  <si>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</si>
  <si>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</si>
  <si>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</si>
  <si>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</si>
  <si>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</si>
  <si>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</si>
  <si>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</si>
  <si>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</si>
  <si>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</si>
  <si>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</si>
  <si>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</si>
  <si>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</si>
  <si>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</si>
  <si>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</si>
  <si>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</si>
  <si>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</si>
  <si>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</si>
  <si>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</si>
  <si>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</si>
  <si>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</si>
  <si>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</si>
  <si>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</si>
  <si>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</si>
  <si>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</si>
  <si>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</si>
  <si>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</si>
  <si>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</si>
  <si>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</si>
  <si>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</si>
  <si>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</si>
  <si>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</si>
  <si>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</si>
  <si>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</si>
  <si>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</si>
  <si>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</si>
  <si>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</si>
  <si>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</si>
  <si>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</si>
  <si>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</si>
  <si>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</si>
  <si>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</si>
  <si>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</si>
  <si>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</si>
  <si>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</si>
  <si>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</si>
  <si>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</si>
  <si>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</si>
  <si>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</si>
  <si>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</si>
  <si>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</si>
  <si>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</si>
  <si>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</si>
  <si>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</si>
  <si>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</si>
  <si>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</si>
  <si>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</si>
  <si>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</si>
  <si>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</si>
  <si>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</si>
  <si>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</si>
  <si>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</si>
  <si>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</si>
  <si>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</si>
  <si>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</si>
  <si>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</si>
  <si>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</si>
  <si>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</si>
  <si>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</si>
  <si>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g/kWh</t>
  </si>
  <si>
    <t>max kW</t>
  </si>
  <si>
    <t>rated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</si>
</sst>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9" fontId="4" fillId="2" borderId="11" xfId="1" applyFont="1" applyFill="1" applyBorder="1"/>
    <xf numFmtId="9" fontId="4" fillId="2" borderId="12" xfId="1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4" xfId="0" applyBorder="1"/>
    <xf numFmtId="0" fontId="0" fillId="0" borderId="8" xfId="0" applyBorder="1"/>
    <xf numFmtId="9" fontId="0" fillId="0" borderId="9" xfId="1" applyFont="1" applyBorder="1"/>
    <xf numFmtId="0" fontId="0" fillId="0" borderId="10" xfId="0" applyBorder="1"/>
    <xf numFmtId="1" fontId="4" fillId="2" borderId="11" xfId="1" applyNumberFormat="1" applyFont="1" applyFill="1" applyBorder="1"/>
    <xf numFmtId="1" fontId="4" fillId="2" borderId="12" xfId="1" applyNumberFormat="1" applyFont="1" applyFill="1" applyBorder="1"/>
    <xf numFmtId="1" fontId="4" fillId="2" borderId="13" xfId="1" applyNumberFormat="1" applyFont="1" applyFill="1" applyBorder="1"/>
  </cellXfs>
  <cellStyles count="2">
    <cellStyle name="Normal" xfId="0" builtinId="0"/>
    <cellStyle name="Percent" xfId="1" builtinId="5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Values'!$F$7:$F$42</c:f>
              <c:numCache>
                <c:formatCode>0</c:formatCode>
                <c:ptCount val="36"/>
                <c:pt idx="0">
                  <c:v>0</c:v>
                </c:pt>
                <c:pt idx="1">
                  <c:v>65.594032081968592</c:v>
                </c:pt>
                <c:pt idx="2">
                  <c:v>198.07791719156796</c:v>
                </c:pt>
                <c:pt idx="3">
                  <c:v>268.84252792475007</c:v>
                </c:pt>
                <c:pt idx="4">
                  <c:v>286.43267993617201</c:v>
                </c:pt>
                <c:pt idx="5">
                  <c:v>303.77999999999997</c:v>
                </c:pt>
                <c:pt idx="6">
                  <c:v>320.2873469387755</c:v>
                </c:pt>
                <c:pt idx="7">
                  <c:v>334.25510204081633</c:v>
                </c:pt>
                <c:pt idx="8">
                  <c:v>345.68326530612245</c:v>
                </c:pt>
                <c:pt idx="9">
                  <c:v>354.57183673469387</c:v>
                </c:pt>
                <c:pt idx="10">
                  <c:v>360.9208163265306</c:v>
                </c:pt>
                <c:pt idx="11">
                  <c:v>364.73020408163262</c:v>
                </c:pt>
                <c:pt idx="12">
                  <c:v>366</c:v>
                </c:pt>
                <c:pt idx="13">
                  <c:v>361.40352941176468</c:v>
                </c:pt>
                <c:pt idx="14">
                  <c:v>355.27490196078435</c:v>
                </c:pt>
                <c:pt idx="15">
                  <c:v>347.61411764705883</c:v>
                </c:pt>
                <c:pt idx="16">
                  <c:v>338.42117647058825</c:v>
                </c:pt>
                <c:pt idx="17">
                  <c:v>327.69607843137254</c:v>
                </c:pt>
                <c:pt idx="18">
                  <c:v>310.4069184491978</c:v>
                </c:pt>
                <c:pt idx="19">
                  <c:v>290.04156010230173</c:v>
                </c:pt>
                <c:pt idx="20">
                  <c:v>242.73862745517255</c:v>
                </c:pt>
                <c:pt idx="21">
                  <c:v>57.094595048925981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Values'!$G$7:$G$42</c:f>
              <c:numCache>
                <c:formatCode>0</c:formatCode>
                <c:ptCount val="36"/>
                <c:pt idx="0">
                  <c:v>0</c:v>
                </c:pt>
                <c:pt idx="1">
                  <c:v>65.594032081968592</c:v>
                </c:pt>
                <c:pt idx="2">
                  <c:v>198.07791719156796</c:v>
                </c:pt>
                <c:pt idx="3">
                  <c:v>268.84252792475007</c:v>
                </c:pt>
                <c:pt idx="4">
                  <c:v>286.43267993617201</c:v>
                </c:pt>
                <c:pt idx="5">
                  <c:v>303.77999999999997</c:v>
                </c:pt>
                <c:pt idx="6">
                  <c:v>320.2873469387755</c:v>
                </c:pt>
                <c:pt idx="7">
                  <c:v>334.25510204081633</c:v>
                </c:pt>
                <c:pt idx="8">
                  <c:v>345.68326530612245</c:v>
                </c:pt>
                <c:pt idx="9">
                  <c:v>354.57183673469387</c:v>
                </c:pt>
                <c:pt idx="10">
                  <c:v>360.9208163265306</c:v>
                </c:pt>
                <c:pt idx="11">
                  <c:v>364.73020408163262</c:v>
                </c:pt>
                <c:pt idx="12">
                  <c:v>366</c:v>
                </c:pt>
                <c:pt idx="13">
                  <c:v>361.40352941176468</c:v>
                </c:pt>
                <c:pt idx="14">
                  <c:v>355.27490196078435</c:v>
                </c:pt>
                <c:pt idx="15">
                  <c:v>347.61411764705883</c:v>
                </c:pt>
                <c:pt idx="16">
                  <c:v>338.42117647058825</c:v>
                </c:pt>
                <c:pt idx="17">
                  <c:v>327.69607843137254</c:v>
                </c:pt>
                <c:pt idx="18">
                  <c:v>310.4069184491978</c:v>
                </c:pt>
                <c:pt idx="19">
                  <c:v>290.04156010230173</c:v>
                </c:pt>
                <c:pt idx="20">
                  <c:v>242.73862745517255</c:v>
                </c:pt>
                <c:pt idx="21">
                  <c:v>57.094595048925981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52432"/>
        <c:axId val="376552040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Values'!$H$7:$H$42</c:f>
              <c:numCache>
                <c:formatCode>0.0</c:formatCode>
                <c:ptCount val="36"/>
                <c:pt idx="0">
                  <c:v>0</c:v>
                </c:pt>
                <c:pt idx="1">
                  <c:v>0.93411396472751085</c:v>
                </c:pt>
                <c:pt idx="2">
                  <c:v>11.283181879812876</c:v>
                </c:pt>
                <c:pt idx="3">
                  <c:v>26.799799642341583</c:v>
                </c:pt>
                <c:pt idx="4">
                  <c:v>32.632330447178546</c:v>
                </c:pt>
                <c:pt idx="5">
                  <c:v>38.934735078534025</c:v>
                </c:pt>
                <c:pt idx="6">
                  <c:v>45.61160123944866</c:v>
                </c:pt>
                <c:pt idx="7">
                  <c:v>52.360799230687043</c:v>
                </c:pt>
                <c:pt idx="8">
                  <c:v>59.073831306763559</c:v>
                </c:pt>
                <c:pt idx="9">
                  <c:v>65.642199722192544</c:v>
                </c:pt>
                <c:pt idx="10">
                  <c:v>71.957406731488419</c:v>
                </c:pt>
                <c:pt idx="11">
                  <c:v>77.910954589165499</c:v>
                </c:pt>
                <c:pt idx="12">
                  <c:v>83.394345549738219</c:v>
                </c:pt>
                <c:pt idx="13">
                  <c:v>87.493713089005226</c:v>
                </c:pt>
                <c:pt idx="14">
                  <c:v>91.069419895287965</c:v>
                </c:pt>
                <c:pt idx="15">
                  <c:v>94.056008376963348</c:v>
                </c:pt>
                <c:pt idx="16">
                  <c:v>96.388020942408389</c:v>
                </c:pt>
                <c:pt idx="17">
                  <c:v>98</c:v>
                </c:pt>
                <c:pt idx="18">
                  <c:v>97.249999999999986</c:v>
                </c:pt>
                <c:pt idx="19">
                  <c:v>94.999999999999972</c:v>
                </c:pt>
                <c:pt idx="20" formatCode="0">
                  <c:v>82.963233509286212</c:v>
                </c:pt>
                <c:pt idx="21" formatCode="0">
                  <c:v>20.326871535743283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Values'!$I$7:$I$42</c:f>
              <c:numCache>
                <c:formatCode>0.0</c:formatCode>
                <c:ptCount val="36"/>
                <c:pt idx="0">
                  <c:v>0</c:v>
                </c:pt>
                <c:pt idx="1">
                  <c:v>0.93411396472751085</c:v>
                </c:pt>
                <c:pt idx="2">
                  <c:v>11.283181879812876</c:v>
                </c:pt>
                <c:pt idx="3">
                  <c:v>26.799799642341583</c:v>
                </c:pt>
                <c:pt idx="4">
                  <c:v>32.632330447178546</c:v>
                </c:pt>
                <c:pt idx="5">
                  <c:v>38.934735078534025</c:v>
                </c:pt>
                <c:pt idx="6">
                  <c:v>45.61160123944866</c:v>
                </c:pt>
                <c:pt idx="7">
                  <c:v>52.360799230687043</c:v>
                </c:pt>
                <c:pt idx="8">
                  <c:v>59.073831306763559</c:v>
                </c:pt>
                <c:pt idx="9">
                  <c:v>65.642199722192544</c:v>
                </c:pt>
                <c:pt idx="10">
                  <c:v>71.957406731488419</c:v>
                </c:pt>
                <c:pt idx="11">
                  <c:v>77.910954589165499</c:v>
                </c:pt>
                <c:pt idx="12">
                  <c:v>83.394345549738219</c:v>
                </c:pt>
                <c:pt idx="13">
                  <c:v>87.493713089005226</c:v>
                </c:pt>
                <c:pt idx="14">
                  <c:v>91.069419895287965</c:v>
                </c:pt>
                <c:pt idx="15">
                  <c:v>94.056008376963348</c:v>
                </c:pt>
                <c:pt idx="16">
                  <c:v>96.388020942408389</c:v>
                </c:pt>
                <c:pt idx="17">
                  <c:v>98</c:v>
                </c:pt>
                <c:pt idx="18">
                  <c:v>97.249999999999986</c:v>
                </c:pt>
                <c:pt idx="19">
                  <c:v>94.999999999999972</c:v>
                </c:pt>
                <c:pt idx="20" formatCode="0">
                  <c:v>82.963233509286212</c:v>
                </c:pt>
                <c:pt idx="21" formatCode="0">
                  <c:v>20.326871535743283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53216"/>
        <c:axId val="376548904"/>
      </c:scatterChart>
      <c:valAx>
        <c:axId val="376552432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2040"/>
        <c:crosses val="autoZero"/>
        <c:crossBetween val="midCat"/>
        <c:majorUnit val="500"/>
      </c:valAx>
      <c:valAx>
        <c:axId val="3765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2432"/>
        <c:crosses val="autoZero"/>
        <c:crossBetween val="midCat"/>
      </c:valAx>
      <c:valAx>
        <c:axId val="37654890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3216"/>
        <c:crosses val="max"/>
        <c:crossBetween val="midCat"/>
      </c:valAx>
      <c:valAx>
        <c:axId val="37655321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7654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Values'!$J$7:$J$42</c:f>
              <c:numCache>
                <c:formatCode>0.0</c:formatCode>
                <c:ptCount val="36"/>
                <c:pt idx="0">
                  <c:v>279.95096371882079</c:v>
                </c:pt>
                <c:pt idx="1">
                  <c:v>271.35827664399085</c:v>
                </c:pt>
                <c:pt idx="2">
                  <c:v>249.23667800453509</c:v>
                </c:pt>
                <c:pt idx="3">
                  <c:v>232.59977324263036</c:v>
                </c:pt>
                <c:pt idx="4">
                  <c:v>228.27295918367346</c:v>
                </c:pt>
                <c:pt idx="5">
                  <c:v>224.55555555555554</c:v>
                </c:pt>
                <c:pt idx="6">
                  <c:v>221.44756235827663</c:v>
                </c:pt>
                <c:pt idx="7">
                  <c:v>218.94897959183672</c:v>
                </c:pt>
                <c:pt idx="8">
                  <c:v>217.05980725623581</c:v>
                </c:pt>
                <c:pt idx="9">
                  <c:v>215.78004535147392</c:v>
                </c:pt>
                <c:pt idx="10">
                  <c:v>215.10969387755102</c:v>
                </c:pt>
                <c:pt idx="11">
                  <c:v>215.05416981607459</c:v>
                </c:pt>
                <c:pt idx="12">
                  <c:v>215.66358024691357</c:v>
                </c:pt>
                <c:pt idx="13">
                  <c:v>216.95011337868482</c:v>
                </c:pt>
                <c:pt idx="14">
                  <c:v>218.91376921138826</c:v>
                </c:pt>
                <c:pt idx="15">
                  <c:v>221.55454774502394</c:v>
                </c:pt>
                <c:pt idx="16">
                  <c:v>224.87244897959184</c:v>
                </c:pt>
                <c:pt idx="17">
                  <c:v>228.86747291509195</c:v>
                </c:pt>
                <c:pt idx="18">
                  <c:v>233.53961955152431</c:v>
                </c:pt>
                <c:pt idx="19">
                  <c:v>238.88888888888889</c:v>
                </c:pt>
                <c:pt idx="20">
                  <c:v>272.16551203617928</c:v>
                </c:pt>
                <c:pt idx="21">
                  <c:v>427.12989594839519</c:v>
                </c:pt>
                <c:pt idx="22">
                  <c:v>477.77777777777777</c:v>
                </c:pt>
                <c:pt idx="23">
                  <c:v>477.77777777777777</c:v>
                </c:pt>
                <c:pt idx="24">
                  <c:v>477.77777777777777</c:v>
                </c:pt>
                <c:pt idx="25">
                  <c:v>477.77777777777777</c:v>
                </c:pt>
                <c:pt idx="26">
                  <c:v>477.77777777777777</c:v>
                </c:pt>
                <c:pt idx="27">
                  <c:v>477.77777777777777</c:v>
                </c:pt>
                <c:pt idx="28">
                  <c:v>477.77777777777777</c:v>
                </c:pt>
                <c:pt idx="29">
                  <c:v>477.77777777777777</c:v>
                </c:pt>
                <c:pt idx="30">
                  <c:v>477.77777777777777</c:v>
                </c:pt>
                <c:pt idx="31">
                  <c:v>477.77777777777777</c:v>
                </c:pt>
                <c:pt idx="32">
                  <c:v>477.77777777777777</c:v>
                </c:pt>
                <c:pt idx="33">
                  <c:v>477.77777777777777</c:v>
                </c:pt>
                <c:pt idx="34">
                  <c:v>477.77777777777777</c:v>
                </c:pt>
                <c:pt idx="35">
                  <c:v>477.77777777777777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48512"/>
        <c:axId val="376555176"/>
      </c:scatterChart>
      <c:valAx>
        <c:axId val="376548512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5176"/>
        <c:crosses val="autoZero"/>
        <c:crossBetween val="midCat"/>
        <c:majorUnit val="500"/>
      </c:valAx>
      <c:valAx>
        <c:axId val="376555176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48512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55960"/>
        <c:axId val="375547304"/>
      </c:scatterChart>
      <c:valAx>
        <c:axId val="376555960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47304"/>
        <c:crosses val="autoZero"/>
        <c:crossBetween val="midCat"/>
      </c:valAx>
      <c:valAx>
        <c:axId val="37554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41816"/>
        <c:axId val="375542992"/>
      </c:scatterChart>
      <c:valAx>
        <c:axId val="375541816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42992"/>
        <c:crosses val="autoZero"/>
        <c:crossBetween val="midCat"/>
      </c:valAx>
      <c:valAx>
        <c:axId val="3755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4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76201</xdr:colOff>
      <xdr:row>4</xdr:row>
      <xdr:rowOff>28575</xdr:rowOff>
    </xdr:from>
    <xdr:to>
      <xdr:col>47</xdr:col>
      <xdr:colOff>19051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45</xdr:col>
      <xdr:colOff>447675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42" totalsRowShown="0" headerRowDxfId="75" dataDxfId="74">
  <tableColumns count="22">
    <tableColumn id="1" name="rpm" dataDxfId="73"/>
    <tableColumn id="7" name="rawData" dataDxfId="72">
      <calculatedColumnFormula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71"/>
    <tableColumn id="12" name="rawDataEco" dataDxfId="70">
      <calculatedColumnFormula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69"/>
    <tableColumn id="4" name="motor" dataDxfId="68">
      <calculatedColumnFormula>Table36[Factor]*IF(Table15[[#This Row],[manualData]]&gt;0,Table15[[#This Row],[manualData]],Table15[[#This Row],[rawData]])</calculatedColumnFormula>
    </tableColumn>
    <tableColumn id="14" name="motorEco" dataDxfId="67">
      <calculatedColumnFormula>Table36[Factor]*IF(Table15[[#This Row],[manDataEco]]&gt;0,Table15[[#This Row],[manDataEco]],Table15[[#This Row],[rawDataEco]])</calculatedColumnFormula>
    </tableColumn>
    <tableColumn id="3" name="ps" dataDxfId="66">
      <calculatedColumnFormula>1.36*Table15[[#This Row],[rpm]]*Table15[[#This Row],[motor]]/9550</calculatedColumnFormula>
    </tableColumn>
    <tableColumn id="13" name="psEco" dataDxfId="65">
      <calculatedColumnFormula>1.36*Table15[[#This Row],[rpm]]*Table15[[#This Row],[motorEco]]/9550</calculatedColumnFormula>
    </tableColumn>
    <tableColumn id="10" name="fuelUsageRatio" dataDxfId="6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6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2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1">
      <calculatedColumnFormula>(1-(1-Table15[[#This Row],[rpm]]/Table36[idleRpm])^2)*Table7[idleT]</calculatedColumnFormula>
    </tableColumn>
    <tableColumn id="18" name="t2" dataDxfId="60">
      <calculatedColumnFormula>MAX(0,(1-Table7[f1]*(Table36[maxTRpm1]-Table15[[#This Row],[rpm]])^2)*Table36[maxT])</calculatedColumnFormula>
    </tableColumn>
    <tableColumn id="19" name="t3" dataDxfId="5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8">
      <calculatedColumnFormula>MAX(0,(Table36[maxPS]-Table7[f4]*(Table15[[#This Row],[rpm]]-Table36[maxPRpm])^2)/1.36*9550/MAX(1,Table15[[#This Row],[rpm]]))</calculatedColumnFormula>
    </tableColumn>
    <tableColumn id="17" name="t5" dataDxfId="5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6">
      <calculatedColumnFormula>(1-(1-Table15[[#This Row],[rpm]]/Table36[idleRpm])^2)*Table7[idleTEco]</calculatedColumnFormula>
    </tableColumn>
    <tableColumn id="22" name="t2E" dataDxfId="55">
      <calculatedColumnFormula>MAX(0,(1-Table7[f1]*(Table36[maxTRpm1]-Table15[[#This Row],[rpm]])^2)*Table36[maxTEco])</calculatedColumnFormula>
    </tableColumn>
    <tableColumn id="23" name="t3E" dataDxfId="5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3">
      <calculatedColumnFormula>MAX(0,(Table36[maxPSEco]-Table7[f4Eco]*(Table15[[#This Row],[rpm]]-Table36[maxPRpm])^2)/1.36*9550/MAX(1,Table15[[#This Row],[rpm]]))</calculatedColumnFormula>
    </tableColumn>
    <tableColumn id="25" name="t5E" dataDxfId="52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1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50"/>
    <tableColumn id="14" name="maxPS" dataDxfId="49"/>
    <tableColumn id="19" name="maxPSEco" dataDxfId="48">
      <calculatedColumnFormula>Table36[maxPsEcoRate]*Table36[maxPS]</calculatedColumnFormula>
    </tableColumn>
    <tableColumn id="2" name="ratedRpm"/>
    <tableColumn id="3" name="PS"/>
    <tableColumn id="20" name="PSEco" dataDxfId="47">
      <calculatedColumnFormula>Table36[PS]*Table36[PSEcoRate]</calculatedColumnFormula>
    </tableColumn>
    <tableColumn id="12" name="maxTRpm1" dataDxfId="46"/>
    <tableColumn id="4" name="maxTRpm" dataDxfId="45"/>
    <tableColumn id="5" name="maxT" dataDxfId="44"/>
    <tableColumn id="21" name="maxTEco" dataDxfId="43">
      <calculatedColumnFormula>Table36[NmEcoRate]*Table36[maxT]</calculatedColumnFormula>
    </tableColumn>
    <tableColumn id="6" name="idleRpm"/>
    <tableColumn id="7" name="idleRatio" dataCellStyle="Percent"/>
    <tableColumn id="11" name="fadeOut" dataDxfId="42"/>
    <tableColumn id="15" name="linearDown" dataDxfId="41"/>
    <tableColumn id="25" name="fadeOutExp" dataDxfId="40"/>
    <tableColumn id="22" name="Efficiency" dataDxfId="39"/>
    <tableColumn id="16" name="Factor" dataDxfId="38"/>
    <tableColumn id="13" name="fuelMinRate" dataDxfId="37"/>
    <tableColumn id="18" name="fuelRatedRate" dataDxfId="36">
      <calculatedColumnFormula>Table36[fuelMinRate]/0.9</calculatedColumnFormula>
    </tableColumn>
    <tableColumn id="9" name="fuelMinRpm" dataDxfId="35">
      <calculatedColumnFormula>ROUND(MIN(0.6*Table36[idleRpm]+0.4*Table36[ratedRpm],0.5*Table36[maxTRpm1]+0.5*Table36[maxTRpm]),-1)</calculatedColumnFormula>
    </tableColumn>
    <tableColumn id="17" name="fuelIdleRate" dataDxfId="34">
      <calculatedColumnFormula>0.94*Table36[fuelRatedRate]</calculatedColumnFormula>
    </tableColumn>
    <tableColumn id="1" name="normRpm" dataDxfId="33">
      <calculatedColumnFormula>ROUND(Table36[ratedRpm]+0.49*Table36[fadeOut],-2)</calculatedColumnFormula>
    </tableColumn>
    <tableColumn id="8" name="PSEcoRate" dataDxfId="32"/>
    <tableColumn id="23" name="NmEcoRate"/>
    <tableColumn id="24" name="maxPsEcoRate" dataDxfId="31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V4" totalsRowShown="0" headerRowDxfId="30" dataDxfId="29">
  <tableColumns count="22">
    <tableColumn id="1" name="f1" dataDxfId="28">
      <calculatedColumnFormula>(1-Table36[idleRatio])/((Table36[maxTRpm1]-Table36[idleRpm])^2)</calculatedColumnFormula>
    </tableColumn>
    <tableColumn id="2" name="f2" dataDxfId="27">
      <calculatedColumnFormula>(Table36[maxT]-Table7[Nm])/Table36[maxT]/(Table36[maxPRpm]-Table36[maxTRpm])</calculatedColumnFormula>
    </tableColumn>
    <tableColumn id="5" name="f3" dataDxfId="26">
      <calculatedColumnFormula>(Table36[maxT]-Table7[Nm])/Table36[maxT]/(Table36[maxPRpm]-Table36[maxTRpm])^2</calculatedColumnFormula>
    </tableColumn>
    <tableColumn id="6" name="f4" dataDxfId="25">
      <calculatedColumnFormula>(Table36[maxPS]-Table36[PS])/MAX(1,Table36[ratedRpm]-Table36[maxPRpm])^2</calculatedColumnFormula>
    </tableColumn>
    <tableColumn id="3" name="Nm" dataDxfId="24">
      <calculatedColumnFormula>Table36[maxPS]/1.36*9550/Table36[maxPRpm]</calculatedColumnFormula>
    </tableColumn>
    <tableColumn id="4" name="Nm2" dataDxfId="23">
      <calculatedColumnFormula>Table36[PS]/1.36*9550/Table36[ratedRpm]</calculatedColumnFormula>
    </tableColumn>
    <tableColumn id="7" name="Anfahrmoment" dataDxfId="22" dataCellStyle="Percent">
      <calculatedColumnFormula>Table7[Nm1000]/Table7[Nm2Eco]</calculatedColumnFormula>
    </tableColumn>
    <tableColumn id="17" name="AnstiegE" dataDxfId="21" dataCellStyle="Percent">
      <calculatedColumnFormula>Table36[maxTEco]/Table7[Nm2Eco]-1</calculatedColumnFormula>
    </tableColumn>
    <tableColumn id="14" name="Anstieg" dataDxfId="20" dataCellStyle="Percent">
      <calculatedColumnFormula>Table36[maxT]/Table7[Nm2]-1</calculatedColumnFormula>
    </tableColumn>
    <tableColumn id="15" name="Abfall" dataDxfId="19" dataCellStyle="Percent">
      <calculatedColumnFormula>1-Table36[maxTRpm]/Table36[ratedRpm]</calculatedColumnFormula>
    </tableColumn>
    <tableColumn id="20" name="max kW" dataDxfId="2" dataCellStyle="Percent">
      <calculatedColumnFormula>Table36[maxPS]/1.36</calculatedColumnFormula>
    </tableColumn>
    <tableColumn id="18" name="rated kW" dataDxfId="1" dataCellStyle="Percent">
      <calculatedColumnFormula>Table36[PS]/1.36</calculatedColumnFormula>
    </tableColumn>
    <tableColumn id="23" name="g/kWh" dataDxfId="0" dataCellStyle="Percent">
      <calculatedColumnFormula>Table36[fuelRatedRate]*1.1</calculatedColumnFormula>
    </tableColumn>
    <tableColumn id="16" name="Nm1000" dataDxfId="18" dataCellStyle="Percent">
      <calculatedColumnFormula>(1-Table7[f1]*(Table36[maxTRpm1]-1000)^2)*Table36[maxTEco]</calculatedColumnFormula>
    </tableColumn>
    <tableColumn id="8" name="NmEco" dataDxfId="17">
      <calculatedColumnFormula>Table36[maxPSEco]/1.36*9550/Table36[maxPRpm]</calculatedColumnFormula>
    </tableColumn>
    <tableColumn id="9" name="Nm2Eco" dataDxfId="16">
      <calculatedColumnFormula>Table36[PSEco]/1.36*9550/Table36[ratedRpm]</calculatedColumnFormula>
    </tableColumn>
    <tableColumn id="12" name="f2Eco" dataDxfId="15">
      <calculatedColumnFormula>(Table36[maxTEco]-Table7[NmEco])/Table36[maxTEco]/(Table36[maxPRpm]-Table36[maxTRpm])</calculatedColumnFormula>
    </tableColumn>
    <tableColumn id="10" name="f3Eco" dataDxfId="14">
      <calculatedColumnFormula>(Table36[maxTEco]-Table7[NmEco])/Table36[maxTEco]/(Table36[maxPRpm]-Table36[maxTRpm])^2</calculatedColumnFormula>
    </tableColumn>
    <tableColumn id="11" name="f4Eco" dataDxfId="13">
      <calculatedColumnFormula>(Table36[maxPSEco]-Table36[PSEco])/MAX(1,Table36[ratedRpm]-Table36[maxPRpm])^2</calculatedColumnFormula>
    </tableColumn>
    <tableColumn id="13" name="idleT" dataDxfId="12">
      <calculatedColumnFormula>(1-Table7[f1]*(Table36[maxTRpm1]-Table36[idleRpm])^2)*Table36[maxT]</calculatedColumnFormula>
    </tableColumn>
    <tableColumn id="19" name="idleTEco" dataDxfId="11">
      <calculatedColumnFormula>(1-Table7[f1]*(Table36[maxTRpm1]-Table36[idleRpm])^2)*Table36[maxTEco]</calculatedColumnFormula>
    </tableColumn>
    <tableColumn id="21" name="xmlComment" dataDxfId="10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9">
      <calculatedColumnFormula>A2*C2/9550</calculatedColumnFormula>
    </tableColumn>
    <tableColumn id="3" name="ps" dataDxfId="8">
      <calculatedColumnFormula>Table1[[#This Row],[kw_pto]]*1.36/0.94</calculatedColumnFormula>
    </tableColumn>
    <tableColumn id="4" name="motor"/>
    <tableColumn id="5" name="xml" dataDxfId="7">
      <calculatedColumnFormula>CONCATENATE("&lt;torque rpm=""",Table1[[#This Row],[rpm]],""" motorTorque=""",ROUND(Table1[[#This Row],[motor]],0),"""/&gt;")</calculatedColumnFormula>
    </tableColumn>
    <tableColumn id="8" name="xml2" dataDxfId="6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5">
      <calculatedColumnFormula>A2*C2/9550</calculatedColumnFormula>
    </tableColumn>
    <tableColumn id="3" name="ps" dataDxfId="4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3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L4" sqref="L4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2">
        <v>2100</v>
      </c>
      <c r="B2" s="13">
        <v>98</v>
      </c>
      <c r="C2" s="17">
        <f>Table36[maxPsEcoRate]*Table36[maxPS]</f>
        <v>98</v>
      </c>
      <c r="D2" s="7">
        <v>2300</v>
      </c>
      <c r="E2" s="8">
        <v>95</v>
      </c>
      <c r="F2" s="18">
        <f>Table36[PS]*Table36[PSEcoRate]</f>
        <v>95</v>
      </c>
      <c r="G2" s="12">
        <v>1600</v>
      </c>
      <c r="H2" s="13">
        <v>1600</v>
      </c>
      <c r="I2" s="13">
        <v>366</v>
      </c>
      <c r="J2" s="17">
        <f>Table36[NmEcoRate]*Table36[maxT]</f>
        <v>366</v>
      </c>
      <c r="K2" s="30">
        <v>900</v>
      </c>
      <c r="L2" s="31">
        <v>0.83</v>
      </c>
      <c r="M2" s="32">
        <v>220</v>
      </c>
      <c r="N2" s="12">
        <v>0.5</v>
      </c>
      <c r="O2" s="13">
        <v>2.2999999999999998</v>
      </c>
      <c r="P2" s="13">
        <v>0.94</v>
      </c>
      <c r="Q2" s="14">
        <v>1</v>
      </c>
      <c r="R2" s="29">
        <v>215</v>
      </c>
      <c r="S2" s="15">
        <f>Table36[fuelMinRate]/0.9</f>
        <v>238.88888888888889</v>
      </c>
      <c r="T2" s="16">
        <f>ROUND(MIN(0.6*Table36[idleRpm]+0.4*Table36[ratedRpm],0.5*Table36[maxTRpm1]+0.5*Table36[maxTRpm]),-1)</f>
        <v>1460</v>
      </c>
      <c r="U2" s="18">
        <f>0.94*Table36[fuelRatedRate]</f>
        <v>224.55555555555554</v>
      </c>
      <c r="V2" s="15">
        <f>ROUND(Table36[ratedRpm]+0.49*Table36[fadeOut],-2)</f>
        <v>2400</v>
      </c>
      <c r="W2" s="7">
        <v>1</v>
      </c>
      <c r="X2" s="9">
        <v>1</v>
      </c>
      <c r="Y2" s="27">
        <f>Table36[PSEcoRate]* (Table36[maxPRpm]-Table36[maxTRpm])/(Table36[ratedRpm]-Table36[maxTRpm]) + Table36[NmEcoRate]* (1- (Table36[maxPRpm]-Table36[maxTRpm])/(Table36[ratedRpm]-Table36[maxTRpm]))</f>
        <v>1</v>
      </c>
    </row>
    <row r="3" spans="1:25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4" t="s">
        <v>27</v>
      </c>
      <c r="H3" s="25" t="s">
        <v>66</v>
      </c>
      <c r="I3" s="25" t="s">
        <v>61</v>
      </c>
      <c r="J3" s="25" t="s">
        <v>62</v>
      </c>
      <c r="K3" s="24" t="s">
        <v>70</v>
      </c>
      <c r="L3" s="25" t="s">
        <v>71</v>
      </c>
      <c r="M3" s="26" t="s">
        <v>69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</row>
    <row r="4" spans="1:25" ht="15.75" thickBot="1" x14ac:dyDescent="0.3">
      <c r="A4" s="11">
        <f>(1-Table36[idleRatio])/((Table36[maxTRpm1]-Table36[idleRpm])^2)</f>
        <v>3.4693877551020417E-7</v>
      </c>
      <c r="B4" s="11">
        <f>(Table36[maxT]-Table7[Nm])/Table36[maxT]/(Table36[maxPRpm]-Table36[maxTRpm])</f>
        <v>2.0931104682310087E-4</v>
      </c>
      <c r="C4" s="11">
        <f>(Table36[maxT]-Table7[Nm])/Table36[maxT]/(Table36[maxPRpm]-Table36[maxTRpm])^2</f>
        <v>4.1862209364620175E-7</v>
      </c>
      <c r="D4" s="11">
        <f>(Table36[maxPS]-Table36[PS])/MAX(1,Table36[ratedRpm]-Table36[maxPRpm])^2</f>
        <v>7.4999999999999993E-5</v>
      </c>
      <c r="E4" s="11">
        <f>Table36[maxPS]/1.36*9550/Table36[maxPRpm]</f>
        <v>327.69607843137254</v>
      </c>
      <c r="F4" s="11">
        <f>Table36[PS]/1.36*9550/Table36[ratedRpm]</f>
        <v>290.04156010230173</v>
      </c>
      <c r="G4" s="22">
        <f>Table7[Nm1000]/Table7[Nm2Eco]</f>
        <v>1.1042808721129678</v>
      </c>
      <c r="H4" s="23">
        <f>Table36[maxTEco]/Table7[Nm2Eco]-1</f>
        <v>0.26188812344998658</v>
      </c>
      <c r="I4" s="23">
        <f>Table36[maxT]/Table7[Nm2]-1</f>
        <v>0.26188812344998658</v>
      </c>
      <c r="J4" s="23">
        <f>1-Table36[maxTRpm]/Table36[ratedRpm]</f>
        <v>0.30434782608695654</v>
      </c>
      <c r="K4" s="33">
        <f>Table36[maxPS]/1.36</f>
        <v>72.058823529411754</v>
      </c>
      <c r="L4" s="34">
        <f>Table36[PS]/1.36</f>
        <v>69.85294117647058</v>
      </c>
      <c r="M4" s="35">
        <f>Table36[fuelRatedRate]*1.1</f>
        <v>262.77777777777777</v>
      </c>
      <c r="N4" s="11">
        <f>(1-Table7[f1]*(Table36[maxTRpm1]-1000)^2)*Table36[maxTEco]</f>
        <v>320.2873469387755</v>
      </c>
      <c r="O4" s="11">
        <f>Table36[maxPSEco]/1.36*9550/Table36[maxPRpm]</f>
        <v>327.69607843137254</v>
      </c>
      <c r="P4" s="11">
        <f>Table36[PSEco]/1.36*9550/Table36[ratedRpm]</f>
        <v>290.04156010230173</v>
      </c>
      <c r="Q4" s="11">
        <f>(Table36[maxTEco]-Table7[NmEco])/Table36[maxTEco]/(Table36[maxPRpm]-Table36[maxTRpm])</f>
        <v>2.0931104682310087E-4</v>
      </c>
      <c r="R4" s="11">
        <f>(Table36[maxTEco]-Table7[NmEco])/Table36[maxTEco]/(Table36[maxPRpm]-Table36[maxTRpm])^2</f>
        <v>4.1862209364620175E-7</v>
      </c>
      <c r="S4" s="11">
        <f>(Table36[maxPSEco]-Table36[PSEco])/MAX(1,Table36[ratedRpm]-Table36[maxPRpm])^2</f>
        <v>7.4999999999999993E-5</v>
      </c>
      <c r="T4" s="11">
        <f>(1-Table7[f1]*(Table36[maxTRpm1]-Table36[idleRpm])^2)*Table36[maxT]</f>
        <v>303.77999999999997</v>
      </c>
      <c r="U4" s="11">
        <f>(1-Table7[f1]*(Table36[maxTRpm1]-Table36[idleRpm])^2)*Table36[maxTEco]</f>
        <v>303.77999999999997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&lt;!-- 2100: 98(98) | 2300: 95(95) | 1600..1600: 366(366) | 83 | 0.5 | 220 | 2.3 | 2400 | 1460: 215 --&gt;</v>
      </c>
    </row>
    <row r="6" spans="1:25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8">
        <f>1.36*Table15[[#This Row],[rpm]]*Table15[[#This Row],[motor]]/9550</f>
        <v>0</v>
      </c>
      <c r="I7" s="28">
        <f>1.36*Table15[[#This Row],[rpm]]*Table15[[#This Row],[motorEco]]/9550</f>
        <v>0</v>
      </c>
      <c r="J7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279.95096371882079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&lt;!-- 2100: 98(98) | 2300: 95(95) | 1600..1600: 366(366) | 83 | 0.5 | 220 | 2.3 | 2400 | 1460: 215 --&gt;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&lt;!-- 2100: 98(98) | 2300: 95(95) | 1600..1600: 366(366) | 83 | 0.5 | 220 | 2.3 | 2400 | 1460: 215 --&gt;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40.932244897959109</v>
      </c>
      <c r="O7" s="3">
        <f>MAX(0,(Table36[linearDown]*(1-Table7[f2]*(Table15[[#This Row],[rpm]]-Table36[maxTRpm]))+(1-Table36[linearDown])*(1-Table7[f3]*(Table15[[#This Row],[rpm]]-Table36[maxTRpm])^2))*Table36[maxT])</f>
        <v>231.17019607843136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290.04156010230173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40.932244897959109</v>
      </c>
      <c r="T7" s="3">
        <f>MAX(0,(Table36[linearDown]*(1-Table7[f2Eco]*(Table15[[#This Row],[rpm]]-Table36[maxTRpm]))+(1-Table36[linearDown])*(1-Table7[f3Eco]*(Table15[[#This Row],[rpm]]-Table36[maxTRpm])^2))*Table36[maxTEco])</f>
        <v>231.17019607843136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290.04156010230173</v>
      </c>
    </row>
    <row r="8" spans="1:25" x14ac:dyDescent="0.25">
      <c r="A8" s="3">
        <v>100</v>
      </c>
      <c r="B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65.594032081968592</v>
      </c>
      <c r="C8" s="20"/>
      <c r="D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65.594032081968592</v>
      </c>
      <c r="E8" s="20"/>
      <c r="F8" s="3">
        <f>Table36[Factor]*IF(Table15[[#This Row],[manualData]]&gt;0,Table15[[#This Row],[manualData]],Table15[[#This Row],[rawData]])</f>
        <v>65.594032081968592</v>
      </c>
      <c r="G8" s="3">
        <f>Table36[Factor]*IF(Table15[[#This Row],[manDataEco]]&gt;0,Table15[[#This Row],[manDataEco]],Table15[[#This Row],[rawDataEco]])</f>
        <v>65.594032081968592</v>
      </c>
      <c r="H8" s="28">
        <f>1.36*Table15[[#This Row],[rpm]]*Table15[[#This Row],[motor]]/9550</f>
        <v>0.93411396472751085</v>
      </c>
      <c r="I8" s="28">
        <f>1.36*Table15[[#This Row],[rpm]]*Table15[[#This Row],[motorEco]]/9550</f>
        <v>0.93411396472751085</v>
      </c>
      <c r="J8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271.35827664399085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rpm="100" motorTorque="66" fuelUsageRatio="271.4"/&gt;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normRpm="0.042" torque="0.179"/&gt;</v>
      </c>
      <c r="M8" s="3">
        <f>(1-(1-Table15[[#This Row],[rpm]]/Table36[idleRpm])^2)*Table7[idleT]</f>
        <v>63.756296296296306</v>
      </c>
      <c r="N8" s="3">
        <f>MAX(0,(1-Table7[f1]*(Table36[maxTRpm1]-Table15[[#This Row],[rpm]])^2)*Table36[maxT])</f>
        <v>80.295918367346886</v>
      </c>
      <c r="O8" s="3">
        <f>MAX(0,(Table36[linearDown]*(1-Table7[f2]*(Table15[[#This Row],[rpm]]-Table36[maxTRpm]))+(1-Table36[linearDown])*(1-Table7[f3]*(Table15[[#This Row],[rpm]]-Table36[maxTRpm])^2))*Table36[maxT])</f>
        <v>251.0882352941176</v>
      </c>
      <c r="P8" s="3">
        <f>MAX(0,(Table36[maxPS]-Table7[f4]*(Table15[[#This Row],[rpm]]-Table36[maxPRpm])^2)/1.36*9550/MAX(1,Table15[[#This Row],[rpm]]))</f>
        <v>0</v>
      </c>
      <c r="Q8" s="3">
        <f>MAX(0,Table7[Nm2]*MIN(Table36[ratedRpm]/MAX(1,Table15[[#This Row],[rpm]]),1-(MAX(0,Table15[[#This Row],[rpm]]-Table36[ratedRpm])/Table36[fadeOut])^Table36[fadeOutExp]))</f>
        <v>290.04156010230173</v>
      </c>
      <c r="R8" s="3">
        <f>(1-(1-Table15[[#This Row],[rpm]]/Table36[idleRpm])^2)*Table7[idleTEco]</f>
        <v>63.756296296296306</v>
      </c>
      <c r="S8" s="3">
        <f>MAX(0,(1-Table7[f1]*(Table36[maxTRpm1]-Table15[[#This Row],[rpm]])^2)*Table36[maxTEco])</f>
        <v>80.295918367346886</v>
      </c>
      <c r="T8" s="3">
        <f>MAX(0,(Table36[linearDown]*(1-Table7[f2Eco]*(Table15[[#This Row],[rpm]]-Table36[maxTRpm]))+(1-Table36[linearDown])*(1-Table7[f3Eco]*(Table15[[#This Row],[rpm]]-Table36[maxTRpm])^2))*Table36[maxTEco])</f>
        <v>251.0882352941176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290.04156010230173</v>
      </c>
    </row>
    <row r="9" spans="1:25" x14ac:dyDescent="0.25">
      <c r="A9" s="3">
        <v>400</v>
      </c>
      <c r="B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198.07791719156796</v>
      </c>
      <c r="C9" s="20"/>
      <c r="D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198.07791719156796</v>
      </c>
      <c r="E9" s="20"/>
      <c r="F9" s="3">
        <f>Table36[Factor]*IF(Table15[[#This Row],[manualData]]&gt;0,Table15[[#This Row],[manualData]],Table15[[#This Row],[rawData]])</f>
        <v>198.07791719156796</v>
      </c>
      <c r="G9" s="3">
        <f>Table36[Factor]*IF(Table15[[#This Row],[manDataEco]]&gt;0,Table15[[#This Row],[manDataEco]],Table15[[#This Row],[rawDataEco]])</f>
        <v>198.07791719156796</v>
      </c>
      <c r="H9" s="28">
        <f>1.36*Table15[[#This Row],[rpm]]*Table15[[#This Row],[motor]]/9550</f>
        <v>11.283181879812876</v>
      </c>
      <c r="I9" s="28">
        <f>1.36*Table15[[#This Row],[rpm]]*Table15[[#This Row],[motorEco]]/9550</f>
        <v>11.283181879812876</v>
      </c>
      <c r="J9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249.23667800453509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rpm="400" motorTorque="198" fuelUsageRatio="249.2"/&gt;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normRpm="0.167" torque="0.541"/&gt;</v>
      </c>
      <c r="M9" s="3">
        <f>(1-(1-Table15[[#This Row],[rpm]]/Table36[idleRpm])^2)*Table7[idleT]</f>
        <v>210.02074074074071</v>
      </c>
      <c r="N9" s="3">
        <f>MAX(0,(1-Table7[f1]*(Table36[maxTRpm1]-Table15[[#This Row],[rpm]])^2)*Table36[maxT])</f>
        <v>183.149387755102</v>
      </c>
      <c r="O9" s="3">
        <f>MAX(0,(Table36[linearDown]*(1-Table7[f2]*(Table15[[#This Row],[rpm]]-Table36[maxTRpm]))+(1-Table36[linearDown])*(1-Table7[f3]*(Table15[[#This Row],[rpm]]-Table36[maxTRpm])^2))*Table36[maxT])</f>
        <v>301.64941176470586</v>
      </c>
      <c r="P9" s="3">
        <f>MAX(0,(Table36[maxPS]-Table7[f4]*(Table15[[#This Row],[rpm]]-Table36[maxPRpm])^2)/1.36*9550/MAX(1,Table15[[#This Row],[rpm]]))</f>
        <v>0</v>
      </c>
      <c r="Q9" s="3">
        <f>MAX(0,Table7[Nm2]*MIN(Table36[ratedRpm]/MAX(1,Table15[[#This Row],[rpm]]),1-(MAX(0,Table15[[#This Row],[rpm]]-Table36[ratedRpm])/Table36[fadeOut])^Table36[fadeOutExp]))</f>
        <v>290.04156010230173</v>
      </c>
      <c r="R9" s="3">
        <f>(1-(1-Table15[[#This Row],[rpm]]/Table36[idleRpm])^2)*Table7[idleTEco]</f>
        <v>210.02074074074071</v>
      </c>
      <c r="S9" s="3">
        <f>MAX(0,(1-Table7[f1]*(Table36[maxTRpm1]-Table15[[#This Row],[rpm]])^2)*Table36[maxTEco])</f>
        <v>183.149387755102</v>
      </c>
      <c r="T9" s="3">
        <f>MAX(0,(Table36[linearDown]*(1-Table7[f2Eco]*(Table15[[#This Row],[rpm]]-Table36[maxTRpm]))+(1-Table36[linearDown])*(1-Table7[f3Eco]*(Table15[[#This Row],[rpm]]-Table36[maxTRpm])^2))*Table36[maxTEco])</f>
        <v>301.64941176470586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290.04156010230173</v>
      </c>
    </row>
    <row r="10" spans="1:25" x14ac:dyDescent="0.25">
      <c r="A10" s="3">
        <v>700</v>
      </c>
      <c r="B1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268.84252792475007</v>
      </c>
      <c r="C10" s="20"/>
      <c r="D1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268.84252792475007</v>
      </c>
      <c r="E10" s="20"/>
      <c r="F10" s="3">
        <f>Table36[Factor]*IF(Table15[[#This Row],[manualData]]&gt;0,Table15[[#This Row],[manualData]],Table15[[#This Row],[rawData]])</f>
        <v>268.84252792475007</v>
      </c>
      <c r="G10" s="3">
        <f>Table36[Factor]*IF(Table15[[#This Row],[manDataEco]]&gt;0,Table15[[#This Row],[manDataEco]],Table15[[#This Row],[rawDataEco]])</f>
        <v>268.84252792475007</v>
      </c>
      <c r="H10" s="28">
        <f>1.36*Table15[[#This Row],[rpm]]*Table15[[#This Row],[motor]]/9550</f>
        <v>26.799799642341583</v>
      </c>
      <c r="I10" s="28">
        <f>1.36*Table15[[#This Row],[rpm]]*Table15[[#This Row],[motorEco]]/9550</f>
        <v>26.799799642341583</v>
      </c>
      <c r="J10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232.59977324263036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motorTorque="269" fuelUsageRatio="232.6"/&gt;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normRpm="0.292" torque="0.735"/&gt;</v>
      </c>
      <c r="M10" s="3">
        <f>(1-(1-Table15[[#This Row],[rpm]]/Table36[idleRpm])^2)*Table7[idleT]</f>
        <v>288.77851851851847</v>
      </c>
      <c r="N10" s="3">
        <f>MAX(0,(1-Table7[f1]*(Table36[maxTRpm1]-Table15[[#This Row],[rpm]])^2)*Table36[maxT])</f>
        <v>263.14653061224482</v>
      </c>
      <c r="O10" s="3">
        <f>MAX(0,(Table36[linearDown]*(1-Table7[f2]*(Table15[[#This Row],[rpm]]-Table36[maxTRpm]))+(1-Table36[linearDown])*(1-Table7[f3]*(Table15[[#This Row],[rpm]]-Table36[maxTRpm])^2))*Table36[maxT])</f>
        <v>338.42117647058819</v>
      </c>
      <c r="P10" s="3">
        <f>MAX(0,(Table36[maxPS]-Table7[f4]*(Table15[[#This Row],[rpm]]-Table36[maxPRpm])^2)/1.36*9550/MAX(1,Table15[[#This Row],[rpm]]))</f>
        <v>0</v>
      </c>
      <c r="Q10" s="3">
        <f>MAX(0,Table7[Nm2]*MIN(Table36[ratedRpm]/MAX(1,Table15[[#This Row],[rpm]]),1-(MAX(0,Table15[[#This Row],[rpm]]-Table36[ratedRpm])/Table36[fadeOut])^Table36[fadeOutExp]))</f>
        <v>290.04156010230173</v>
      </c>
      <c r="R10" s="3">
        <f>(1-(1-Table15[[#This Row],[rpm]]/Table36[idleRpm])^2)*Table7[idleTEco]</f>
        <v>288.77851851851847</v>
      </c>
      <c r="S10" s="3">
        <f>MAX(0,(1-Table7[f1]*(Table36[maxTRpm1]-Table15[[#This Row],[rpm]])^2)*Table36[maxTEco])</f>
        <v>263.14653061224482</v>
      </c>
      <c r="T10" s="3">
        <f>MAX(0,(Table36[linearDown]*(1-Table7[f2Eco]*(Table15[[#This Row],[rpm]]-Table36[maxTRpm]))+(1-Table36[linearDown])*(1-Table7[f3Eco]*(Table15[[#This Row],[rpm]]-Table36[maxTRpm])^2))*Table36[maxTEco])</f>
        <v>338.42117647058819</v>
      </c>
      <c r="U10" s="3">
        <f>MAX(0,(Table36[maxPSEco]-Table7[f4Eco]*(Table15[[#This Row],[rpm]]-Table36[maxPRpm])^2)/1.36*9550/MAX(1,Table15[[#This Row],[rpm]]))</f>
        <v>0</v>
      </c>
      <c r="V10" s="3">
        <f>MAX(0,Table7[Nm2Eco]*MIN(Table36[ratedRpm]/MAX(1,Table15[[#This Row],[rpm]]),1-(MAX(0,Table15[[#This Row],[rpm]]-Table36[ratedRpm])/Table36[fadeOut])^Table36[fadeOutExp]))</f>
        <v>290.04156010230173</v>
      </c>
    </row>
    <row r="11" spans="1:25" x14ac:dyDescent="0.25">
      <c r="A11" s="3">
        <v>800</v>
      </c>
      <c r="B1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286.43267993617201</v>
      </c>
      <c r="C11" s="20"/>
      <c r="D1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286.43267993617201</v>
      </c>
      <c r="E11" s="20"/>
      <c r="F11" s="3">
        <f>Table36[Factor]*IF(Table15[[#This Row],[manualData]]&gt;0,Table15[[#This Row],[manualData]],Table15[[#This Row],[rawData]])</f>
        <v>286.43267993617201</v>
      </c>
      <c r="G11" s="3">
        <f>Table36[Factor]*IF(Table15[[#This Row],[manDataEco]]&gt;0,Table15[[#This Row],[manDataEco]],Table15[[#This Row],[rawDataEco]])</f>
        <v>286.43267993617201</v>
      </c>
      <c r="H11" s="28">
        <f>1.36*Table15[[#This Row],[rpm]]*Table15[[#This Row],[motor]]/9550</f>
        <v>32.632330447178546</v>
      </c>
      <c r="I11" s="28">
        <f>1.36*Table15[[#This Row],[rpm]]*Table15[[#This Row],[motorEco]]/9550</f>
        <v>32.632330447178546</v>
      </c>
      <c r="J11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228.27295918367346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rpm="800" motorTorque="286" fuelUsageRatio="228.3"/&gt;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normRpm="0.333" torque="0.783"/&gt;</v>
      </c>
      <c r="M11" s="3">
        <f>(1-(1-Table15[[#This Row],[rpm]]/Table36[idleRpm])^2)*Table7[idleT]</f>
        <v>300.0296296296296</v>
      </c>
      <c r="N11" s="3">
        <f>MAX(0,(1-Table7[f1]*(Table36[maxTRpm1]-Table15[[#This Row],[rpm]])^2)*Table36[maxT])</f>
        <v>284.7330612244898</v>
      </c>
      <c r="O11" s="3">
        <f>MAX(0,(Table36[linearDown]*(1-Table7[f2]*(Table15[[#This Row],[rpm]]-Table36[maxTRpm]))+(1-Table36[linearDown])*(1-Table7[f3]*(Table15[[#This Row],[rpm]]-Table36[maxTRpm])^2))*Table36[maxT])</f>
        <v>347.61411764705883</v>
      </c>
      <c r="P11" s="3">
        <f>MAX(0,(Table36[maxPS]-Table7[f4]*(Table15[[#This Row],[rpm]]-Table36[maxPRpm])^2)/1.36*9550/MAX(1,Table15[[#This Row],[rpm]]))</f>
        <v>0</v>
      </c>
      <c r="Q11" s="3">
        <f>MAX(0,Table7[Nm2]*MIN(Table36[ratedRpm]/MAX(1,Table15[[#This Row],[rpm]]),1-(MAX(0,Table15[[#This Row],[rpm]]-Table36[ratedRpm])/Table36[fadeOut])^Table36[fadeOutExp]))</f>
        <v>290.04156010230173</v>
      </c>
      <c r="R11" s="3">
        <f>(1-(1-Table15[[#This Row],[rpm]]/Table36[idleRpm])^2)*Table7[idleTEco]</f>
        <v>300.0296296296296</v>
      </c>
      <c r="S11" s="3">
        <f>MAX(0,(1-Table7[f1]*(Table36[maxTRpm1]-Table15[[#This Row],[rpm]])^2)*Table36[maxTEco])</f>
        <v>284.7330612244898</v>
      </c>
      <c r="T11" s="3">
        <f>MAX(0,(Table36[linearDown]*(1-Table7[f2Eco]*(Table15[[#This Row],[rpm]]-Table36[maxTRpm]))+(1-Table36[linearDown])*(1-Table7[f3Eco]*(Table15[[#This Row],[rpm]]-Table36[maxTRpm])^2))*Table36[maxTEco])</f>
        <v>347.61411764705883</v>
      </c>
      <c r="U11" s="3">
        <f>MAX(0,(Table36[maxPSEco]-Table7[f4Eco]*(Table15[[#This Row],[rpm]]-Table36[maxPRpm])^2)/1.36*9550/MAX(1,Table15[[#This Row],[rpm]]))</f>
        <v>0</v>
      </c>
      <c r="V11" s="3">
        <f>MAX(0,Table7[Nm2Eco]*MIN(Table36[ratedRpm]/MAX(1,Table15[[#This Row],[rpm]]),1-(MAX(0,Table15[[#This Row],[rpm]]-Table36[ratedRpm])/Table36[fadeOut])^Table36[fadeOutExp]))</f>
        <v>290.04156010230173</v>
      </c>
    </row>
    <row r="12" spans="1:25" x14ac:dyDescent="0.25">
      <c r="A12" s="3">
        <v>900</v>
      </c>
      <c r="B1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303.77999999999997</v>
      </c>
      <c r="C12" s="20"/>
      <c r="D1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303.77999999999997</v>
      </c>
      <c r="E12" s="20"/>
      <c r="F12" s="3">
        <f>Table36[Factor]*IF(Table15[[#This Row],[manualData]]&gt;0,Table15[[#This Row],[manualData]],Table15[[#This Row],[rawData]])</f>
        <v>303.77999999999997</v>
      </c>
      <c r="G12" s="3">
        <f>Table36[Factor]*IF(Table15[[#This Row],[manDataEco]]&gt;0,Table15[[#This Row],[manDataEco]],Table15[[#This Row],[rawDataEco]])</f>
        <v>303.77999999999997</v>
      </c>
      <c r="H12" s="28">
        <f>1.36*Table15[[#This Row],[rpm]]*Table15[[#This Row],[motor]]/9550</f>
        <v>38.934735078534025</v>
      </c>
      <c r="I12" s="28">
        <f>1.36*Table15[[#This Row],[rpm]]*Table15[[#This Row],[motorEco]]/9550</f>
        <v>38.934735078534025</v>
      </c>
      <c r="J12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224.55555555555554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motorTorque="304" fuelUsageRatio="224.6"/&gt;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normRpm="0.375" torque="0.83"/&gt;</v>
      </c>
      <c r="M12" s="3">
        <f>(1-(1-Table15[[#This Row],[rpm]]/Table36[idleRpm])^2)*Table7[idleT]</f>
        <v>303.77999999999997</v>
      </c>
      <c r="N12" s="3">
        <f>MAX(0,(1-Table7[f1]*(Table36[maxTRpm1]-Table15[[#This Row],[rpm]])^2)*Table36[maxT])</f>
        <v>303.77999999999997</v>
      </c>
      <c r="O12" s="3">
        <f>MAX(0,(Table36[linearDown]*(1-Table7[f2]*(Table15[[#This Row],[rpm]]-Table36[maxTRpm]))+(1-Table36[linearDown])*(1-Table7[f3]*(Table15[[#This Row],[rpm]]-Table36[maxTRpm])^2))*Table36[maxT])</f>
        <v>355.27490196078435</v>
      </c>
      <c r="P12" s="3">
        <f>MAX(0,(Table36[maxPS]-Table7[f4]*(Table15[[#This Row],[rpm]]-Table36[maxPRpm])^2)/1.36*9550/MAX(1,Table15[[#This Row],[rpm]]))</f>
        <v>0</v>
      </c>
      <c r="Q12" s="3">
        <f>MAX(0,Table7[Nm2]*MIN(Table36[ratedRpm]/MAX(1,Table15[[#This Row],[rpm]]),1-(MAX(0,Table15[[#This Row],[rpm]]-Table36[ratedRpm])/Table36[fadeOut])^Table36[fadeOutExp]))</f>
        <v>290.04156010230173</v>
      </c>
      <c r="R12" s="3">
        <f>(1-(1-Table15[[#This Row],[rpm]]/Table36[idleRpm])^2)*Table7[idleTEco]</f>
        <v>303.77999999999997</v>
      </c>
      <c r="S12" s="3">
        <f>MAX(0,(1-Table7[f1]*(Table36[maxTRpm1]-Table15[[#This Row],[rpm]])^2)*Table36[maxTEco])</f>
        <v>303.77999999999997</v>
      </c>
      <c r="T12" s="3">
        <f>MAX(0,(Table36[linearDown]*(1-Table7[f2Eco]*(Table15[[#This Row],[rpm]]-Table36[maxTRpm]))+(1-Table36[linearDown])*(1-Table7[f3Eco]*(Table15[[#This Row],[rpm]]-Table36[maxTRpm])^2))*Table36[maxTEco])</f>
        <v>355.27490196078435</v>
      </c>
      <c r="U12" s="3">
        <f>MAX(0,(Table36[maxPSEco]-Table7[f4Eco]*(Table15[[#This Row],[rpm]]-Table36[maxPRpm])^2)/1.36*9550/MAX(1,Table15[[#This Row],[rpm]]))</f>
        <v>0</v>
      </c>
      <c r="V12" s="3">
        <f>MAX(0,Table7[Nm2Eco]*MIN(Table36[ratedRpm]/MAX(1,Table15[[#This Row],[rpm]]),1-(MAX(0,Table15[[#This Row],[rpm]]-Table36[ratedRpm])/Table36[fadeOut])^Table36[fadeOutExp]))</f>
        <v>290.04156010230173</v>
      </c>
    </row>
    <row r="13" spans="1:25" x14ac:dyDescent="0.25">
      <c r="A13" s="3">
        <v>1000</v>
      </c>
      <c r="B1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320.2873469387755</v>
      </c>
      <c r="C13" s="20"/>
      <c r="D1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320.2873469387755</v>
      </c>
      <c r="E13" s="20"/>
      <c r="F13" s="3">
        <f>Table36[Factor]*IF(Table15[[#This Row],[manualData]]&gt;0,Table15[[#This Row],[manualData]],Table15[[#This Row],[rawData]])</f>
        <v>320.2873469387755</v>
      </c>
      <c r="G13" s="3">
        <f>Table36[Factor]*IF(Table15[[#This Row],[manDataEco]]&gt;0,Table15[[#This Row],[manDataEco]],Table15[[#This Row],[rawDataEco]])</f>
        <v>320.2873469387755</v>
      </c>
      <c r="H13" s="28">
        <f>1.36*Table15[[#This Row],[rpm]]*Table15[[#This Row],[motor]]/9550</f>
        <v>45.61160123944866</v>
      </c>
      <c r="I13" s="28">
        <f>1.36*Table15[[#This Row],[rpm]]*Table15[[#This Row],[motorEco]]/9550</f>
        <v>45.61160123944866</v>
      </c>
      <c r="J13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221.44756235827663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motorTorque="320" fuelUsageRatio="221.4"/&gt;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normRpm="0.417" torque="0.875"/&gt;</v>
      </c>
      <c r="M13" s="3">
        <f>(1-(1-Table15[[#This Row],[rpm]]/Table36[idleRpm])^2)*Table7[idleT]</f>
        <v>300.0296296296296</v>
      </c>
      <c r="N13" s="3">
        <f>MAX(0,(1-Table7[f1]*(Table36[maxTRpm1]-Table15[[#This Row],[rpm]])^2)*Table36[maxT])</f>
        <v>320.2873469387755</v>
      </c>
      <c r="O13" s="3">
        <f>MAX(0,(Table36[linearDown]*(1-Table7[f2]*(Table15[[#This Row],[rpm]]-Table36[maxTRpm]))+(1-Table36[linearDown])*(1-Table7[f3]*(Table15[[#This Row],[rpm]]-Table36[maxTRpm])^2))*Table36[maxT])</f>
        <v>361.40352941176468</v>
      </c>
      <c r="P13" s="3">
        <f>MAX(0,(Table36[maxPS]-Table7[f4]*(Table15[[#This Row],[rpm]]-Table36[maxPRpm])^2)/1.36*9550/MAX(1,Table15[[#This Row],[rpm]]))</f>
        <v>50.909926470588331</v>
      </c>
      <c r="Q13" s="3">
        <f>MAX(0,Table7[Nm2]*MIN(Table36[ratedRpm]/MAX(1,Table15[[#This Row],[rpm]]),1-(MAX(0,Table15[[#This Row],[rpm]]-Table36[ratedRpm])/Table36[fadeOut])^Table36[fadeOutExp]))</f>
        <v>290.04156010230173</v>
      </c>
      <c r="R13" s="3">
        <f>(1-(1-Table15[[#This Row],[rpm]]/Table36[idleRpm])^2)*Table7[idleTEco]</f>
        <v>300.0296296296296</v>
      </c>
      <c r="S13" s="3">
        <f>MAX(0,(1-Table7[f1]*(Table36[maxTRpm1]-Table15[[#This Row],[rpm]])^2)*Table36[maxTEco])</f>
        <v>320.2873469387755</v>
      </c>
      <c r="T13" s="3">
        <f>MAX(0,(Table36[linearDown]*(1-Table7[f2Eco]*(Table15[[#This Row],[rpm]]-Table36[maxTRpm]))+(1-Table36[linearDown])*(1-Table7[f3Eco]*(Table15[[#This Row],[rpm]]-Table36[maxTRpm])^2))*Table36[maxTEco])</f>
        <v>361.40352941176468</v>
      </c>
      <c r="U13" s="3">
        <f>MAX(0,(Table36[maxPSEco]-Table7[f4Eco]*(Table15[[#This Row],[rpm]]-Table36[maxPRpm])^2)/1.36*9550/MAX(1,Table15[[#This Row],[rpm]]))</f>
        <v>50.909926470588331</v>
      </c>
      <c r="V13" s="3">
        <f>MAX(0,Table7[Nm2Eco]*MIN(Table36[ratedRpm]/MAX(1,Table15[[#This Row],[rpm]]),1-(MAX(0,Table15[[#This Row],[rpm]]-Table36[ratedRpm])/Table36[fadeOut])^Table36[fadeOutExp]))</f>
        <v>290.04156010230173</v>
      </c>
    </row>
    <row r="14" spans="1:25" x14ac:dyDescent="0.25">
      <c r="A14" s="3">
        <v>1100</v>
      </c>
      <c r="B1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334.25510204081633</v>
      </c>
      <c r="C14" s="20"/>
      <c r="D1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334.25510204081633</v>
      </c>
      <c r="E14" s="20"/>
      <c r="F14" s="3">
        <f>Table36[Factor]*IF(Table15[[#This Row],[manualData]]&gt;0,Table15[[#This Row],[manualData]],Table15[[#This Row],[rawData]])</f>
        <v>334.25510204081633</v>
      </c>
      <c r="G14" s="3">
        <f>Table36[Factor]*IF(Table15[[#This Row],[manDataEco]]&gt;0,Table15[[#This Row],[manDataEco]],Table15[[#This Row],[rawDataEco]])</f>
        <v>334.25510204081633</v>
      </c>
      <c r="H14" s="28">
        <f>1.36*Table15[[#This Row],[rpm]]*Table15[[#This Row],[motor]]/9550</f>
        <v>52.360799230687043</v>
      </c>
      <c r="I14" s="28">
        <f>1.36*Table15[[#This Row],[rpm]]*Table15[[#This Row],[motorEco]]/9550</f>
        <v>52.360799230687043</v>
      </c>
      <c r="J14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218.94897959183672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motorTorque="334" fuelUsageRatio="218.9"/&gt;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normRpm="0.458" torque="0.913"/&gt;</v>
      </c>
      <c r="M14" s="3">
        <f>(1-(1-Table15[[#This Row],[rpm]]/Table36[idleRpm])^2)*Table7[idleT]</f>
        <v>288.77851851851847</v>
      </c>
      <c r="N14" s="3">
        <f>MAX(0,(1-Table7[f1]*(Table36[maxTRpm1]-Table15[[#This Row],[rpm]])^2)*Table36[maxT])</f>
        <v>334.25510204081633</v>
      </c>
      <c r="O14" s="3">
        <f>MAX(0,(Table36[linearDown]*(1-Table7[f2]*(Table15[[#This Row],[rpm]]-Table36[maxTRpm]))+(1-Table36[linearDown])*(1-Table7[f3]*(Table15[[#This Row],[rpm]]-Table36[maxTRpm])^2))*Table36[maxT])</f>
        <v>366</v>
      </c>
      <c r="P14" s="3">
        <f>MAX(0,(Table36[maxPS]-Table7[f4]*(Table15[[#This Row],[rpm]]-Table36[maxPRpm])^2)/1.36*9550/MAX(1,Table15[[#This Row],[rpm]]))</f>
        <v>146.82486631016042</v>
      </c>
      <c r="Q14" s="3">
        <f>MAX(0,Table7[Nm2]*MIN(Table36[ratedRpm]/MAX(1,Table15[[#This Row],[rpm]]),1-(MAX(0,Table15[[#This Row],[rpm]]-Table36[ratedRpm])/Table36[fadeOut])^Table36[fadeOutExp]))</f>
        <v>290.04156010230173</v>
      </c>
      <c r="R14" s="3">
        <f>(1-(1-Table15[[#This Row],[rpm]]/Table36[idleRpm])^2)*Table7[idleTEco]</f>
        <v>288.77851851851847</v>
      </c>
      <c r="S14" s="3">
        <f>MAX(0,(1-Table7[f1]*(Table36[maxTRpm1]-Table15[[#This Row],[rpm]])^2)*Table36[maxTEco])</f>
        <v>334.25510204081633</v>
      </c>
      <c r="T14" s="3">
        <f>MAX(0,(Table36[linearDown]*(1-Table7[f2Eco]*(Table15[[#This Row],[rpm]]-Table36[maxTRpm]))+(1-Table36[linearDown])*(1-Table7[f3Eco]*(Table15[[#This Row],[rpm]]-Table36[maxTRpm])^2))*Table36[maxTEco])</f>
        <v>366</v>
      </c>
      <c r="U14" s="3">
        <f>MAX(0,(Table36[maxPSEco]-Table7[f4Eco]*(Table15[[#This Row],[rpm]]-Table36[maxPRpm])^2)/1.36*9550/MAX(1,Table15[[#This Row],[rpm]]))</f>
        <v>146.82486631016042</v>
      </c>
      <c r="V14" s="3">
        <f>MAX(0,Table7[Nm2Eco]*MIN(Table36[ratedRpm]/MAX(1,Table15[[#This Row],[rpm]]),1-(MAX(0,Table15[[#This Row],[rpm]]-Table36[ratedRpm])/Table36[fadeOut])^Table36[fadeOutExp]))</f>
        <v>290.04156010230173</v>
      </c>
    </row>
    <row r="15" spans="1:25" x14ac:dyDescent="0.25">
      <c r="A15" s="3">
        <v>1200</v>
      </c>
      <c r="B1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345.68326530612245</v>
      </c>
      <c r="C15" s="20"/>
      <c r="D1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345.68326530612245</v>
      </c>
      <c r="E15" s="20"/>
      <c r="F15" s="3">
        <f>Table36[Factor]*IF(Table15[[#This Row],[manualData]]&gt;0,Table15[[#This Row],[manualData]],Table15[[#This Row],[rawData]])</f>
        <v>345.68326530612245</v>
      </c>
      <c r="G15" s="3">
        <f>Table36[Factor]*IF(Table15[[#This Row],[manDataEco]]&gt;0,Table15[[#This Row],[manDataEco]],Table15[[#This Row],[rawDataEco]])</f>
        <v>345.68326530612245</v>
      </c>
      <c r="H15" s="28">
        <f>1.36*Table15[[#This Row],[rpm]]*Table15[[#This Row],[motor]]/9550</f>
        <v>59.073831306763559</v>
      </c>
      <c r="I15" s="28">
        <f>1.36*Table15[[#This Row],[rpm]]*Table15[[#This Row],[motorEco]]/9550</f>
        <v>59.073831306763559</v>
      </c>
      <c r="J15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217.05980725623581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motorTorque="346" fuelUsageRatio="217.1"/&gt;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torque="0.944"/&gt;</v>
      </c>
      <c r="M15" s="3">
        <f>(1-(1-Table15[[#This Row],[rpm]]/Table36[idleRpm])^2)*Table7[idleT]</f>
        <v>270.02666666666664</v>
      </c>
      <c r="N15" s="3">
        <f>MAX(0,(1-Table7[f1]*(Table36[maxTRpm1]-Table15[[#This Row],[rpm]])^2)*Table36[maxT])</f>
        <v>345.68326530612245</v>
      </c>
      <c r="O15" s="3">
        <f>MAX(0,(Table36[linearDown]*(1-Table7[f2]*(Table15[[#This Row],[rpm]]-Table36[maxTRpm]))+(1-Table36[linearDown])*(1-Table7[f3]*(Table15[[#This Row],[rpm]]-Table36[maxTRpm])^2))*Table36[maxT])</f>
        <v>369.06431372549019</v>
      </c>
      <c r="P15" s="3">
        <f>MAX(0,(Table36[maxPS]-Table7[f4]*(Table15[[#This Row],[rpm]]-Table36[maxPRpm])^2)/1.36*9550/MAX(1,Table15[[#This Row],[rpm]]))</f>
        <v>217.97640931372553</v>
      </c>
      <c r="Q15" s="3">
        <f>MAX(0,Table7[Nm2]*MIN(Table36[ratedRpm]/MAX(1,Table15[[#This Row],[rpm]]),1-(MAX(0,Table15[[#This Row],[rpm]]-Table36[ratedRpm])/Table36[fadeOut])^Table36[fadeOutExp]))</f>
        <v>290.04156010230173</v>
      </c>
      <c r="R15" s="3">
        <f>(1-(1-Table15[[#This Row],[rpm]]/Table36[idleRpm])^2)*Table7[idleTEco]</f>
        <v>270.02666666666664</v>
      </c>
      <c r="S15" s="3">
        <f>MAX(0,(1-Table7[f1]*(Table36[maxTRpm1]-Table15[[#This Row],[rpm]])^2)*Table36[maxTEco])</f>
        <v>345.68326530612245</v>
      </c>
      <c r="T15" s="3">
        <f>MAX(0,(Table36[linearDown]*(1-Table7[f2Eco]*(Table15[[#This Row],[rpm]]-Table36[maxTRpm]))+(1-Table36[linearDown])*(1-Table7[f3Eco]*(Table15[[#This Row],[rpm]]-Table36[maxTRpm])^2))*Table36[maxTEco])</f>
        <v>369.06431372549019</v>
      </c>
      <c r="U15" s="3">
        <f>MAX(0,(Table36[maxPSEco]-Table7[f4Eco]*(Table15[[#This Row],[rpm]]-Table36[maxPRpm])^2)/1.36*9550/MAX(1,Table15[[#This Row],[rpm]]))</f>
        <v>217.97640931372553</v>
      </c>
      <c r="V15" s="3">
        <f>MAX(0,Table7[Nm2Eco]*MIN(Table36[ratedRpm]/MAX(1,Table15[[#This Row],[rpm]]),1-(MAX(0,Table15[[#This Row],[rpm]]-Table36[ratedRpm])/Table36[fadeOut])^Table36[fadeOutExp]))</f>
        <v>290.04156010230173</v>
      </c>
    </row>
    <row r="16" spans="1:25" x14ac:dyDescent="0.25">
      <c r="A16" s="3">
        <v>1300</v>
      </c>
      <c r="B1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354.57183673469387</v>
      </c>
      <c r="C16" s="20"/>
      <c r="D1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354.57183673469387</v>
      </c>
      <c r="E16" s="20"/>
      <c r="F16" s="3">
        <f>Table36[Factor]*IF(Table15[[#This Row],[manualData]]&gt;0,Table15[[#This Row],[manualData]],Table15[[#This Row],[rawData]])</f>
        <v>354.57183673469387</v>
      </c>
      <c r="G16" s="3">
        <f>Table36[Factor]*IF(Table15[[#This Row],[manDataEco]]&gt;0,Table15[[#This Row],[manDataEco]],Table15[[#This Row],[rawDataEco]])</f>
        <v>354.57183673469387</v>
      </c>
      <c r="H16" s="28">
        <f>1.36*Table15[[#This Row],[rpm]]*Table15[[#This Row],[motor]]/9550</f>
        <v>65.642199722192544</v>
      </c>
      <c r="I16" s="28">
        <f>1.36*Table15[[#This Row],[rpm]]*Table15[[#This Row],[motorEco]]/9550</f>
        <v>65.642199722192544</v>
      </c>
      <c r="J16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215.78004535147392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motorTorque="355" fuelUsageRatio="215.8"/&gt;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normRpm="0.542" torque="0.969"/&gt;</v>
      </c>
      <c r="M16" s="3">
        <f>(1-(1-Table15[[#This Row],[rpm]]/Table36[idleRpm])^2)*Table7[idleT]</f>
        <v>243.77407407407406</v>
      </c>
      <c r="N16" s="3">
        <f>MAX(0,(1-Table7[f1]*(Table36[maxTRpm1]-Table15[[#This Row],[rpm]])^2)*Table36[maxT])</f>
        <v>354.57183673469387</v>
      </c>
      <c r="O16" s="3">
        <f>MAX(0,(Table36[linearDown]*(1-Table7[f2]*(Table15[[#This Row],[rpm]]-Table36[maxTRpm]))+(1-Table36[linearDown])*(1-Table7[f3]*(Table15[[#This Row],[rpm]]-Table36[maxTRpm])^2))*Table36[maxT])</f>
        <v>370.59647058823532</v>
      </c>
      <c r="P16" s="3">
        <f>MAX(0,(Table36[maxPS]-Table7[f4]*(Table15[[#This Row],[rpm]]-Table36[maxPRpm])^2)/1.36*9550/MAX(1,Table15[[#This Row],[rpm]]))</f>
        <v>270.07918552036199</v>
      </c>
      <c r="Q16" s="3">
        <f>MAX(0,Table7[Nm2]*MIN(Table36[ratedRpm]/MAX(1,Table15[[#This Row],[rpm]]),1-(MAX(0,Table15[[#This Row],[rpm]]-Table36[ratedRpm])/Table36[fadeOut])^Table36[fadeOutExp]))</f>
        <v>290.04156010230173</v>
      </c>
      <c r="R16" s="3">
        <f>(1-(1-Table15[[#This Row],[rpm]]/Table36[idleRpm])^2)*Table7[idleTEco]</f>
        <v>243.77407407407406</v>
      </c>
      <c r="S16" s="3">
        <f>MAX(0,(1-Table7[f1]*(Table36[maxTRpm1]-Table15[[#This Row],[rpm]])^2)*Table36[maxTEco])</f>
        <v>354.57183673469387</v>
      </c>
      <c r="T16" s="3">
        <f>MAX(0,(Table36[linearDown]*(1-Table7[f2Eco]*(Table15[[#This Row],[rpm]]-Table36[maxTRpm]))+(1-Table36[linearDown])*(1-Table7[f3Eco]*(Table15[[#This Row],[rpm]]-Table36[maxTRpm])^2))*Table36[maxTEco])</f>
        <v>370.59647058823532</v>
      </c>
      <c r="U16" s="3">
        <f>MAX(0,(Table36[maxPSEco]-Table7[f4Eco]*(Table15[[#This Row],[rpm]]-Table36[maxPRpm])^2)/1.36*9550/MAX(1,Table15[[#This Row],[rpm]]))</f>
        <v>270.07918552036199</v>
      </c>
      <c r="V16" s="3">
        <f>MAX(0,Table7[Nm2Eco]*MIN(Table36[ratedRpm]/MAX(1,Table15[[#This Row],[rpm]]),1-(MAX(0,Table15[[#This Row],[rpm]]-Table36[ratedRpm])/Table36[fadeOut])^Table36[fadeOutExp]))</f>
        <v>290.04156010230173</v>
      </c>
    </row>
    <row r="17" spans="1:22" x14ac:dyDescent="0.25">
      <c r="A17" s="3">
        <v>1400</v>
      </c>
      <c r="B1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360.9208163265306</v>
      </c>
      <c r="C17" s="20"/>
      <c r="D1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360.9208163265306</v>
      </c>
      <c r="E17" s="20"/>
      <c r="F17" s="3">
        <f>Table36[Factor]*IF(Table15[[#This Row],[manualData]]&gt;0,Table15[[#This Row],[manualData]],Table15[[#This Row],[rawData]])</f>
        <v>360.9208163265306</v>
      </c>
      <c r="G17" s="3">
        <f>Table36[Factor]*IF(Table15[[#This Row],[manDataEco]]&gt;0,Table15[[#This Row],[manDataEco]],Table15[[#This Row],[rawDataEco]])</f>
        <v>360.9208163265306</v>
      </c>
      <c r="H17" s="28">
        <f>1.36*Table15[[#This Row],[rpm]]*Table15[[#This Row],[motor]]/9550</f>
        <v>71.957406731488419</v>
      </c>
      <c r="I17" s="28">
        <f>1.36*Table15[[#This Row],[rpm]]*Table15[[#This Row],[motorEco]]/9550</f>
        <v>71.957406731488419</v>
      </c>
      <c r="J17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215.10969387755102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motorTorque="361" fuelUsageRatio="215.1"/&gt;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normRpm="0.583" torque="0.986"/&gt;</v>
      </c>
      <c r="M17" s="3">
        <f>(1-(1-Table15[[#This Row],[rpm]]/Table36[idleRpm])^2)*Table7[idleT]</f>
        <v>210.02074074074071</v>
      </c>
      <c r="N17" s="3">
        <f>MAX(0,(1-Table7[f1]*(Table36[maxTRpm1]-Table15[[#This Row],[rpm]])^2)*Table36[maxT])</f>
        <v>360.9208163265306</v>
      </c>
      <c r="O17" s="3">
        <f>MAX(0,(Table36[linearDown]*(1-Table7[f2]*(Table15[[#This Row],[rpm]]-Table36[maxTRpm]))+(1-Table36[linearDown])*(1-Table7[f3]*(Table15[[#This Row],[rpm]]-Table36[maxTRpm])^2))*Table36[maxT])</f>
        <v>370.59647058823532</v>
      </c>
      <c r="P17" s="3">
        <f>MAX(0,(Table36[maxPS]-Table7[f4]*(Table15[[#This Row],[rpm]]-Table36[maxPRpm])^2)/1.36*9550/MAX(1,Table15[[#This Row],[rpm]]))</f>
        <v>307.21507352941177</v>
      </c>
      <c r="Q17" s="3">
        <f>MAX(0,Table7[Nm2]*MIN(Table36[ratedRpm]/MAX(1,Table15[[#This Row],[rpm]]),1-(MAX(0,Table15[[#This Row],[rpm]]-Table36[ratedRpm])/Table36[fadeOut])^Table36[fadeOutExp]))</f>
        <v>290.04156010230173</v>
      </c>
      <c r="R17" s="3">
        <f>(1-(1-Table15[[#This Row],[rpm]]/Table36[idleRpm])^2)*Table7[idleTEco]</f>
        <v>210.02074074074071</v>
      </c>
      <c r="S17" s="3">
        <f>MAX(0,(1-Table7[f1]*(Table36[maxTRpm1]-Table15[[#This Row],[rpm]])^2)*Table36[maxTEco])</f>
        <v>360.9208163265306</v>
      </c>
      <c r="T17" s="3">
        <f>MAX(0,(Table36[linearDown]*(1-Table7[f2Eco]*(Table15[[#This Row],[rpm]]-Table36[maxTRpm]))+(1-Table36[linearDown])*(1-Table7[f3Eco]*(Table15[[#This Row],[rpm]]-Table36[maxTRpm])^2))*Table36[maxTEco])</f>
        <v>370.59647058823532</v>
      </c>
      <c r="U17" s="3">
        <f>MAX(0,(Table36[maxPSEco]-Table7[f4Eco]*(Table15[[#This Row],[rpm]]-Table36[maxPRpm])^2)/1.36*9550/MAX(1,Table15[[#This Row],[rpm]]))</f>
        <v>307.21507352941177</v>
      </c>
      <c r="V17" s="3">
        <f>MAX(0,Table7[Nm2Eco]*MIN(Table36[ratedRpm]/MAX(1,Table15[[#This Row],[rpm]]),1-(MAX(0,Table15[[#This Row],[rpm]]-Table36[ratedRpm])/Table36[fadeOut])^Table36[fadeOutExp]))</f>
        <v>290.04156010230173</v>
      </c>
    </row>
    <row r="18" spans="1:22" x14ac:dyDescent="0.25">
      <c r="A18" s="3">
        <v>1500</v>
      </c>
      <c r="B1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364.73020408163262</v>
      </c>
      <c r="C18" s="20"/>
      <c r="D1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364.73020408163262</v>
      </c>
      <c r="E18" s="20"/>
      <c r="F18" s="3">
        <f>Table36[Factor]*IF(Table15[[#This Row],[manualData]]&gt;0,Table15[[#This Row],[manualData]],Table15[[#This Row],[rawData]])</f>
        <v>364.73020408163262</v>
      </c>
      <c r="G18" s="3">
        <f>Table36[Factor]*IF(Table15[[#This Row],[manDataEco]]&gt;0,Table15[[#This Row],[manDataEco]],Table15[[#This Row],[rawDataEco]])</f>
        <v>364.73020408163262</v>
      </c>
      <c r="H18" s="28">
        <f>1.36*Table15[[#This Row],[rpm]]*Table15[[#This Row],[motor]]/9550</f>
        <v>77.910954589165499</v>
      </c>
      <c r="I18" s="28">
        <f>1.36*Table15[[#This Row],[rpm]]*Table15[[#This Row],[motorEco]]/9550</f>
        <v>77.910954589165499</v>
      </c>
      <c r="J18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215.05416981607459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motorTorque="365" fuelUsageRatio="215.1"/&gt;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normRpm="0.625" torque="0.997"/&gt;</v>
      </c>
      <c r="M18" s="3">
        <f>(1-(1-Table15[[#This Row],[rpm]]/Table36[idleRpm])^2)*Table7[idleT]</f>
        <v>168.76666666666662</v>
      </c>
      <c r="N18" s="3">
        <f>MAX(0,(1-Table7[f1]*(Table36[maxTRpm1]-Table15[[#This Row],[rpm]])^2)*Table36[maxT])</f>
        <v>364.73020408163262</v>
      </c>
      <c r="O18" s="3">
        <f>MAX(0,(Table36[linearDown]*(1-Table7[f2]*(Table15[[#This Row],[rpm]]-Table36[maxTRpm]))+(1-Table36[linearDown])*(1-Table7[f3]*(Table15[[#This Row],[rpm]]-Table36[maxTRpm])^2))*Table36[maxT])</f>
        <v>369.06431372549019</v>
      </c>
      <c r="P18" s="3">
        <f>MAX(0,(Table36[maxPS]-Table7[f4]*(Table15[[#This Row],[rpm]]-Table36[maxPRpm])^2)/1.36*9550/MAX(1,Table15[[#This Row],[rpm]]))</f>
        <v>332.37745098039215</v>
      </c>
      <c r="Q18" s="3">
        <f>MAX(0,Table7[Nm2]*MIN(Table36[ratedRpm]/MAX(1,Table15[[#This Row],[rpm]]),1-(MAX(0,Table15[[#This Row],[rpm]]-Table36[ratedRpm])/Table36[fadeOut])^Table36[fadeOutExp]))</f>
        <v>290.04156010230173</v>
      </c>
      <c r="R18" s="3">
        <f>(1-(1-Table15[[#This Row],[rpm]]/Table36[idleRpm])^2)*Table7[idleTEco]</f>
        <v>168.76666666666662</v>
      </c>
      <c r="S18" s="3">
        <f>MAX(0,(1-Table7[f1]*(Table36[maxTRpm1]-Table15[[#This Row],[rpm]])^2)*Table36[maxTEco])</f>
        <v>364.73020408163262</v>
      </c>
      <c r="T18" s="3">
        <f>MAX(0,(Table36[linearDown]*(1-Table7[f2Eco]*(Table15[[#This Row],[rpm]]-Table36[maxTRpm]))+(1-Table36[linearDown])*(1-Table7[f3Eco]*(Table15[[#This Row],[rpm]]-Table36[maxTRpm])^2))*Table36[maxTEco])</f>
        <v>369.06431372549019</v>
      </c>
      <c r="U18" s="3">
        <f>MAX(0,(Table36[maxPSEco]-Table7[f4Eco]*(Table15[[#This Row],[rpm]]-Table36[maxPRpm])^2)/1.36*9550/MAX(1,Table15[[#This Row],[rpm]]))</f>
        <v>332.37745098039215</v>
      </c>
      <c r="V18" s="3">
        <f>MAX(0,Table7[Nm2Eco]*MIN(Table36[ratedRpm]/MAX(1,Table15[[#This Row],[rpm]]),1-(MAX(0,Table15[[#This Row],[rpm]]-Table36[ratedRpm])/Table36[fadeOut])^Table36[fadeOutExp]))</f>
        <v>290.04156010230173</v>
      </c>
    </row>
    <row r="19" spans="1:22" x14ac:dyDescent="0.25">
      <c r="A19" s="3">
        <v>1600</v>
      </c>
      <c r="B1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366</v>
      </c>
      <c r="C19" s="20"/>
      <c r="D1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366</v>
      </c>
      <c r="E19" s="20"/>
      <c r="F19" s="3">
        <f>Table36[Factor]*IF(Table15[[#This Row],[manualData]]&gt;0,Table15[[#This Row],[manualData]],Table15[[#This Row],[rawData]])</f>
        <v>366</v>
      </c>
      <c r="G19" s="3">
        <f>Table36[Factor]*IF(Table15[[#This Row],[manDataEco]]&gt;0,Table15[[#This Row],[manDataEco]],Table15[[#This Row],[rawDataEco]])</f>
        <v>366</v>
      </c>
      <c r="H19" s="28">
        <f>1.36*Table15[[#This Row],[rpm]]*Table15[[#This Row],[motor]]/9550</f>
        <v>83.394345549738219</v>
      </c>
      <c r="I19" s="28">
        <f>1.36*Table15[[#This Row],[rpm]]*Table15[[#This Row],[motorEco]]/9550</f>
        <v>83.394345549738219</v>
      </c>
      <c r="J19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215.66358024691357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motorTorque="366" fuelUsageRatio="215.7"/&gt;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normRpm="0.667" torque="1"/&gt;</v>
      </c>
      <c r="M19" s="3">
        <f>(1-(1-Table15[[#This Row],[rpm]]/Table36[idleRpm])^2)*Table7[idleT]</f>
        <v>120.0118518518519</v>
      </c>
      <c r="N19" s="3">
        <f>MAX(0,(1-Table7[f1]*(Table36[maxTRpm1]-Table15[[#This Row],[rpm]])^2)*Table36[maxT])</f>
        <v>366</v>
      </c>
      <c r="O19" s="3">
        <f>MAX(0,(Table36[linearDown]*(1-Table7[f2]*(Table15[[#This Row],[rpm]]-Table36[maxTRpm]))+(1-Table36[linearDown])*(1-Table7[f3]*(Table15[[#This Row],[rpm]]-Table36[maxTRpm])^2))*Table36[maxT])</f>
        <v>366</v>
      </c>
      <c r="P19" s="3">
        <f>MAX(0,(Table36[maxPS]-Table7[f4]*(Table15[[#This Row],[rpm]]-Table36[maxPRpm])^2)/1.36*9550/MAX(1,Table15[[#This Row],[rpm]]))</f>
        <v>347.8113511029411</v>
      </c>
      <c r="Q19" s="3">
        <f>MAX(0,Table7[Nm2]*MIN(Table36[ratedRpm]/MAX(1,Table15[[#This Row],[rpm]]),1-(MAX(0,Table15[[#This Row],[rpm]]-Table36[ratedRpm])/Table36[fadeOut])^Table36[fadeOutExp]))</f>
        <v>290.04156010230173</v>
      </c>
      <c r="R19" s="3">
        <f>(1-(1-Table15[[#This Row],[rpm]]/Table36[idleRpm])^2)*Table7[idleTEco]</f>
        <v>120.0118518518519</v>
      </c>
      <c r="S19" s="3">
        <f>MAX(0,(1-Table7[f1]*(Table36[maxTRpm1]-Table15[[#This Row],[rpm]])^2)*Table36[maxTEco])</f>
        <v>366</v>
      </c>
      <c r="T19" s="3">
        <f>MAX(0,(Table36[linearDown]*(1-Table7[f2Eco]*(Table15[[#This Row],[rpm]]-Table36[maxTRpm]))+(1-Table36[linearDown])*(1-Table7[f3Eco]*(Table15[[#This Row],[rpm]]-Table36[maxTRpm])^2))*Table36[maxTEco])</f>
        <v>366</v>
      </c>
      <c r="U19" s="3">
        <f>MAX(0,(Table36[maxPSEco]-Table7[f4Eco]*(Table15[[#This Row],[rpm]]-Table36[maxPRpm])^2)/1.36*9550/MAX(1,Table15[[#This Row],[rpm]]))</f>
        <v>347.8113511029411</v>
      </c>
      <c r="V19" s="3">
        <f>MAX(0,Table7[Nm2Eco]*MIN(Table36[ratedRpm]/MAX(1,Table15[[#This Row],[rpm]]),1-(MAX(0,Table15[[#This Row],[rpm]]-Table36[ratedRpm])/Table36[fadeOut])^Table36[fadeOutExp]))</f>
        <v>290.04156010230173</v>
      </c>
    </row>
    <row r="20" spans="1:22" x14ac:dyDescent="0.25">
      <c r="A20" s="3">
        <v>1700</v>
      </c>
      <c r="B2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361.40352941176468</v>
      </c>
      <c r="C20" s="20"/>
      <c r="D2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361.40352941176468</v>
      </c>
      <c r="E20" s="20"/>
      <c r="F20" s="3">
        <f>Table36[Factor]*IF(Table15[[#This Row],[manualData]]&gt;0,Table15[[#This Row],[manualData]],Table15[[#This Row],[rawData]])</f>
        <v>361.40352941176468</v>
      </c>
      <c r="G20" s="3">
        <f>Table36[Factor]*IF(Table15[[#This Row],[manDataEco]]&gt;0,Table15[[#This Row],[manDataEco]],Table15[[#This Row],[rawDataEco]])</f>
        <v>361.40352941176468</v>
      </c>
      <c r="H20" s="28">
        <f>1.36*Table15[[#This Row],[rpm]]*Table15[[#This Row],[motor]]/9550</f>
        <v>87.493713089005226</v>
      </c>
      <c r="I20" s="28">
        <f>1.36*Table15[[#This Row],[rpm]]*Table15[[#This Row],[motorEco]]/9550</f>
        <v>87.493713089005226</v>
      </c>
      <c r="J20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216.95011337868482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motorTorque="361" fuelUsageRatio="217"/&gt;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normRpm="0.708" torque="0.987"/&gt;</v>
      </c>
      <c r="M20" s="3">
        <f>(1-(1-Table15[[#This Row],[rpm]]/Table36[idleRpm])^2)*Table7[idleT]</f>
        <v>63.756296296296306</v>
      </c>
      <c r="N20" s="3">
        <f>MAX(0,(1-Table7[f1]*(Table36[maxTRpm1]-Table15[[#This Row],[rpm]])^2)*Table36[maxT])</f>
        <v>364.73020408163262</v>
      </c>
      <c r="O20" s="3">
        <f>MAX(0,(Table36[linearDown]*(1-Table7[f2]*(Table15[[#This Row],[rpm]]-Table36[maxTRpm]))+(1-Table36[linearDown])*(1-Table7[f3]*(Table15[[#This Row],[rpm]]-Table36[maxTRpm])^2))*Table36[maxT])</f>
        <v>361.40352941176468</v>
      </c>
      <c r="P20" s="3">
        <f>MAX(0,(Table36[maxPS]-Table7[f4]*(Table15[[#This Row],[rpm]]-Table36[maxPRpm])^2)/1.36*9550/MAX(1,Table15[[#This Row],[rpm]]))</f>
        <v>355.23356401384075</v>
      </c>
      <c r="Q20" s="3">
        <f>MAX(0,Table7[Nm2]*MIN(Table36[ratedRpm]/MAX(1,Table15[[#This Row],[rpm]]),1-(MAX(0,Table15[[#This Row],[rpm]]-Table36[ratedRpm])/Table36[fadeOut])^Table36[fadeOutExp]))</f>
        <v>290.04156010230173</v>
      </c>
      <c r="R20" s="3">
        <f>(1-(1-Table15[[#This Row],[rpm]]/Table36[idleRpm])^2)*Table7[idleTEco]</f>
        <v>63.756296296296306</v>
      </c>
      <c r="S20" s="3">
        <f>MAX(0,(1-Table7[f1]*(Table36[maxTRpm1]-Table15[[#This Row],[rpm]])^2)*Table36[maxTEco])</f>
        <v>364.73020408163262</v>
      </c>
      <c r="T20" s="3">
        <f>MAX(0,(Table36[linearDown]*(1-Table7[f2Eco]*(Table15[[#This Row],[rpm]]-Table36[maxTRpm]))+(1-Table36[linearDown])*(1-Table7[f3Eco]*(Table15[[#This Row],[rpm]]-Table36[maxTRpm])^2))*Table36[maxTEco])</f>
        <v>361.40352941176468</v>
      </c>
      <c r="U20" s="3">
        <f>MAX(0,(Table36[maxPSEco]-Table7[f4Eco]*(Table15[[#This Row],[rpm]]-Table36[maxPRpm])^2)/1.36*9550/MAX(1,Table15[[#This Row],[rpm]]))</f>
        <v>355.23356401384075</v>
      </c>
      <c r="V20" s="3">
        <f>MAX(0,Table7[Nm2Eco]*MIN(Table36[ratedRpm]/MAX(1,Table15[[#This Row],[rpm]]),1-(MAX(0,Table15[[#This Row],[rpm]]-Table36[ratedRpm])/Table36[fadeOut])^Table36[fadeOutExp]))</f>
        <v>290.04156010230173</v>
      </c>
    </row>
    <row r="21" spans="1:22" x14ac:dyDescent="0.25">
      <c r="A21" s="3">
        <v>1800</v>
      </c>
      <c r="B2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355.27490196078435</v>
      </c>
      <c r="C21" s="20"/>
      <c r="D2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355.27490196078435</v>
      </c>
      <c r="E21" s="20"/>
      <c r="F21" s="3">
        <f>Table36[Factor]*IF(Table15[[#This Row],[manualData]]&gt;0,Table15[[#This Row],[manualData]],Table15[[#This Row],[rawData]])</f>
        <v>355.27490196078435</v>
      </c>
      <c r="G21" s="3">
        <f>Table36[Factor]*IF(Table15[[#This Row],[manDataEco]]&gt;0,Table15[[#This Row],[manDataEco]],Table15[[#This Row],[rawDataEco]])</f>
        <v>355.27490196078435</v>
      </c>
      <c r="H21" s="28">
        <f>1.36*Table15[[#This Row],[rpm]]*Table15[[#This Row],[motor]]/9550</f>
        <v>91.069419895287965</v>
      </c>
      <c r="I21" s="28">
        <f>1.36*Table15[[#This Row],[rpm]]*Table15[[#This Row],[motorEco]]/9550</f>
        <v>91.069419895287965</v>
      </c>
      <c r="J21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218.91376921138826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motorTorque="355" fuelUsageRatio="218.9"/&gt;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normRpm="0.75" torque="0.971"/&gt;</v>
      </c>
      <c r="M21" s="3">
        <f>(1-(1-Table15[[#This Row],[rpm]]/Table36[idleRpm])^2)*Table7[idleT]</f>
        <v>0</v>
      </c>
      <c r="N21" s="3">
        <f>MAX(0,(1-Table7[f1]*(Table36[maxTRpm1]-Table15[[#This Row],[rpm]])^2)*Table36[maxT])</f>
        <v>360.9208163265306</v>
      </c>
      <c r="O21" s="3">
        <f>MAX(0,(Table36[linearDown]*(1-Table7[f2]*(Table15[[#This Row],[rpm]]-Table36[maxTRpm]))+(1-Table36[linearDown])*(1-Table7[f3]*(Table15[[#This Row],[rpm]]-Table36[maxTRpm])^2))*Table36[maxT])</f>
        <v>355.27490196078435</v>
      </c>
      <c r="P21" s="3">
        <f>MAX(0,(Table36[maxPS]-Table7[f4]*(Table15[[#This Row],[rpm]]-Table36[maxPRpm])^2)/1.36*9550/MAX(1,Table15[[#This Row],[rpm]]))</f>
        <v>355.97937091503269</v>
      </c>
      <c r="Q21" s="3">
        <f>MAX(0,Table7[Nm2]*MIN(Table36[ratedRpm]/MAX(1,Table15[[#This Row],[rpm]]),1-(MAX(0,Table15[[#This Row],[rpm]]-Table36[ratedRpm])/Table36[fadeOut])^Table36[fadeOutExp]))</f>
        <v>290.04156010230173</v>
      </c>
      <c r="R21" s="3">
        <f>(1-(1-Table15[[#This Row],[rpm]]/Table36[idleRpm])^2)*Table7[idleTEco]</f>
        <v>0</v>
      </c>
      <c r="S21" s="3">
        <f>MAX(0,(1-Table7[f1]*(Table36[maxTRpm1]-Table15[[#This Row],[rpm]])^2)*Table36[maxTEco])</f>
        <v>360.9208163265306</v>
      </c>
      <c r="T21" s="3">
        <f>MAX(0,(Table36[linearDown]*(1-Table7[f2Eco]*(Table15[[#This Row],[rpm]]-Table36[maxTRpm]))+(1-Table36[linearDown])*(1-Table7[f3Eco]*(Table15[[#This Row],[rpm]]-Table36[maxTRpm])^2))*Table36[maxTEco])</f>
        <v>355.27490196078435</v>
      </c>
      <c r="U21" s="3">
        <f>MAX(0,(Table36[maxPSEco]-Table7[f4Eco]*(Table15[[#This Row],[rpm]]-Table36[maxPRpm])^2)/1.36*9550/MAX(1,Table15[[#This Row],[rpm]]))</f>
        <v>355.97937091503269</v>
      </c>
      <c r="V21" s="3">
        <f>MAX(0,Table7[Nm2Eco]*MIN(Table36[ratedRpm]/MAX(1,Table15[[#This Row],[rpm]]),1-(MAX(0,Table15[[#This Row],[rpm]]-Table36[ratedRpm])/Table36[fadeOut])^Table36[fadeOutExp]))</f>
        <v>290.04156010230173</v>
      </c>
    </row>
    <row r="22" spans="1:22" x14ac:dyDescent="0.25">
      <c r="A22" s="3">
        <v>1900</v>
      </c>
      <c r="B2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347.61411764705883</v>
      </c>
      <c r="C22" s="20"/>
      <c r="D2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347.61411764705883</v>
      </c>
      <c r="E22" s="20"/>
      <c r="F22" s="3">
        <f>Table36[Factor]*IF(Table15[[#This Row],[manualData]]&gt;0,Table15[[#This Row],[manualData]],Table15[[#This Row],[rawData]])</f>
        <v>347.61411764705883</v>
      </c>
      <c r="G22" s="3">
        <f>Table36[Factor]*IF(Table15[[#This Row],[manDataEco]]&gt;0,Table15[[#This Row],[manDataEco]],Table15[[#This Row],[rawDataEco]])</f>
        <v>347.61411764705883</v>
      </c>
      <c r="H22" s="28">
        <f>1.36*Table15[[#This Row],[rpm]]*Table15[[#This Row],[motor]]/9550</f>
        <v>94.056008376963348</v>
      </c>
      <c r="I22" s="28">
        <f>1.36*Table15[[#This Row],[rpm]]*Table15[[#This Row],[motorEco]]/9550</f>
        <v>94.056008376963348</v>
      </c>
      <c r="J22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221.55454774502394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motorTorque="348" fuelUsageRatio="221.6"/&gt;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normRpm="0.792" torque="0.95"/&gt;</v>
      </c>
      <c r="M22" s="3">
        <f>(1-(1-Table15[[#This Row],[rpm]]/Table36[idleRpm])^2)*Table7[idleT]</f>
        <v>-71.25703703703708</v>
      </c>
      <c r="N22" s="3">
        <f>MAX(0,(1-Table7[f1]*(Table36[maxTRpm1]-Table15[[#This Row],[rpm]])^2)*Table36[maxT])</f>
        <v>354.57183673469387</v>
      </c>
      <c r="O22" s="3">
        <f>MAX(0,(Table36[linearDown]*(1-Table7[f2]*(Table15[[#This Row],[rpm]]-Table36[maxTRpm]))+(1-Table36[linearDown])*(1-Table7[f3]*(Table15[[#This Row],[rpm]]-Table36[maxTRpm])^2))*Table36[maxT])</f>
        <v>347.61411764705883</v>
      </c>
      <c r="P22" s="3">
        <f>MAX(0,(Table36[maxPS]-Table7[f4]*(Table15[[#This Row],[rpm]]-Table36[maxPRpm])^2)/1.36*9550/MAX(1,Table15[[#This Row],[rpm]]))</f>
        <v>351.10294117647049</v>
      </c>
      <c r="Q22" s="3">
        <f>MAX(0,Table7[Nm2]*MIN(Table36[ratedRpm]/MAX(1,Table15[[#This Row],[rpm]]),1-(MAX(0,Table15[[#This Row],[rpm]]-Table36[ratedRpm])/Table36[fadeOut])^Table36[fadeOutExp]))</f>
        <v>290.04156010230173</v>
      </c>
      <c r="R22" s="3">
        <f>(1-(1-Table15[[#This Row],[rpm]]/Table36[idleRpm])^2)*Table7[idleTEco]</f>
        <v>-71.25703703703708</v>
      </c>
      <c r="S22" s="3">
        <f>MAX(0,(1-Table7[f1]*(Table36[maxTRpm1]-Table15[[#This Row],[rpm]])^2)*Table36[maxTEco])</f>
        <v>354.57183673469387</v>
      </c>
      <c r="T22" s="3">
        <f>MAX(0,(Table36[linearDown]*(1-Table7[f2Eco]*(Table15[[#This Row],[rpm]]-Table36[maxTRpm]))+(1-Table36[linearDown])*(1-Table7[f3Eco]*(Table15[[#This Row],[rpm]]-Table36[maxTRpm])^2))*Table36[maxTEco])</f>
        <v>347.61411764705883</v>
      </c>
      <c r="U22" s="3">
        <f>MAX(0,(Table36[maxPSEco]-Table7[f4Eco]*(Table15[[#This Row],[rpm]]-Table36[maxPRpm])^2)/1.36*9550/MAX(1,Table15[[#This Row],[rpm]]))</f>
        <v>351.10294117647049</v>
      </c>
      <c r="V22" s="3">
        <f>MAX(0,Table7[Nm2Eco]*MIN(Table36[ratedRpm]/MAX(1,Table15[[#This Row],[rpm]]),1-(MAX(0,Table15[[#This Row],[rpm]]-Table36[ratedRpm])/Table36[fadeOut])^Table36[fadeOutExp]))</f>
        <v>290.04156010230173</v>
      </c>
    </row>
    <row r="23" spans="1:22" x14ac:dyDescent="0.25">
      <c r="A23" s="3">
        <v>2000</v>
      </c>
      <c r="B2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338.42117647058825</v>
      </c>
      <c r="C23" s="20"/>
      <c r="D2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338.42117647058825</v>
      </c>
      <c r="E23" s="20"/>
      <c r="F23" s="3">
        <f>Table36[Factor]*IF(Table15[[#This Row],[manualData]]&gt;0,Table15[[#This Row],[manualData]],Table15[[#This Row],[rawData]])</f>
        <v>338.42117647058825</v>
      </c>
      <c r="G23" s="3">
        <f>Table36[Factor]*IF(Table15[[#This Row],[manDataEco]]&gt;0,Table15[[#This Row],[manDataEco]],Table15[[#This Row],[rawDataEco]])</f>
        <v>338.42117647058825</v>
      </c>
      <c r="H23" s="28">
        <f>1.36*Table15[[#This Row],[rpm]]*Table15[[#This Row],[motor]]/9550</f>
        <v>96.388020942408389</v>
      </c>
      <c r="I23" s="28">
        <f>1.36*Table15[[#This Row],[rpm]]*Table15[[#This Row],[motorEco]]/9550</f>
        <v>96.388020942408389</v>
      </c>
      <c r="J23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224.87244897959184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motorTorque="338" fuelUsageRatio="224.9"/&gt;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normRpm="0.833" torque="0.925"/&gt;</v>
      </c>
      <c r="M23" s="3">
        <f>(1-(1-Table15[[#This Row],[rpm]]/Table36[idleRpm])^2)*Table7[idleT]</f>
        <v>-150.01481481481486</v>
      </c>
      <c r="N23" s="3">
        <f>MAX(0,(1-Table7[f1]*(Table36[maxTRpm1]-Table15[[#This Row],[rpm]])^2)*Table36[maxT])</f>
        <v>345.68326530612245</v>
      </c>
      <c r="O23" s="3">
        <f>MAX(0,(Table36[linearDown]*(1-Table7[f2]*(Table15[[#This Row],[rpm]]-Table36[maxTRpm]))+(1-Table36[linearDown])*(1-Table7[f3]*(Table15[[#This Row],[rpm]]-Table36[maxTRpm])^2))*Table36[maxT])</f>
        <v>338.42117647058825</v>
      </c>
      <c r="P23" s="3">
        <f>MAX(0,(Table36[maxPS]-Table7[f4]*(Table15[[#This Row],[rpm]]-Table36[maxPRpm])^2)/1.36*9550/MAX(1,Table15[[#This Row],[rpm]]))</f>
        <v>341.44761029411757</v>
      </c>
      <c r="Q23" s="3">
        <f>MAX(0,Table7[Nm2]*MIN(Table36[ratedRpm]/MAX(1,Table15[[#This Row],[rpm]]),1-(MAX(0,Table15[[#This Row],[rpm]]-Table36[ratedRpm])/Table36[fadeOut])^Table36[fadeOutExp]))</f>
        <v>290.04156010230173</v>
      </c>
      <c r="R23" s="3">
        <f>(1-(1-Table15[[#This Row],[rpm]]/Table36[idleRpm])^2)*Table7[idleTEco]</f>
        <v>-150.01481481481486</v>
      </c>
      <c r="S23" s="3">
        <f>MAX(0,(1-Table7[f1]*(Table36[maxTRpm1]-Table15[[#This Row],[rpm]])^2)*Table36[maxTEco])</f>
        <v>345.68326530612245</v>
      </c>
      <c r="T23" s="3">
        <f>MAX(0,(Table36[linearDown]*(1-Table7[f2Eco]*(Table15[[#This Row],[rpm]]-Table36[maxTRpm]))+(1-Table36[linearDown])*(1-Table7[f3Eco]*(Table15[[#This Row],[rpm]]-Table36[maxTRpm])^2))*Table36[maxTEco])</f>
        <v>338.42117647058825</v>
      </c>
      <c r="U23" s="3">
        <f>MAX(0,(Table36[maxPSEco]-Table7[f4Eco]*(Table15[[#This Row],[rpm]]-Table36[maxPRpm])^2)/1.36*9550/MAX(1,Table15[[#This Row],[rpm]]))</f>
        <v>341.44761029411757</v>
      </c>
      <c r="V23" s="3">
        <f>MAX(0,Table7[Nm2Eco]*MIN(Table36[ratedRpm]/MAX(1,Table15[[#This Row],[rpm]]),1-(MAX(0,Table15[[#This Row],[rpm]]-Table36[ratedRpm])/Table36[fadeOut])^Table36[fadeOutExp]))</f>
        <v>290.04156010230173</v>
      </c>
    </row>
    <row r="24" spans="1:22" x14ac:dyDescent="0.25">
      <c r="A24" s="3">
        <v>2100</v>
      </c>
      <c r="B2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327.69607843137254</v>
      </c>
      <c r="C24" s="20"/>
      <c r="D2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327.69607843137254</v>
      </c>
      <c r="E24" s="20"/>
      <c r="F24" s="3">
        <f>Table36[Factor]*IF(Table15[[#This Row],[manualData]]&gt;0,Table15[[#This Row],[manualData]],Table15[[#This Row],[rawData]])</f>
        <v>327.69607843137254</v>
      </c>
      <c r="G24" s="3">
        <f>Table36[Factor]*IF(Table15[[#This Row],[manDataEco]]&gt;0,Table15[[#This Row],[manDataEco]],Table15[[#This Row],[rawDataEco]])</f>
        <v>327.69607843137254</v>
      </c>
      <c r="H24" s="28">
        <f>1.36*Table15[[#This Row],[rpm]]*Table15[[#This Row],[motor]]/9550</f>
        <v>98</v>
      </c>
      <c r="I24" s="28">
        <f>1.36*Table15[[#This Row],[rpm]]*Table15[[#This Row],[motorEco]]/9550</f>
        <v>98</v>
      </c>
      <c r="J24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228.86747291509195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motorTorque="328" fuelUsageRatio="228.9"/&gt;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normRpm="0.875" torque="0.895"/&gt;</v>
      </c>
      <c r="M24" s="3">
        <f>(1-(1-Table15[[#This Row],[rpm]]/Table36[idleRpm])^2)*Table7[idleT]</f>
        <v>-236.27333333333343</v>
      </c>
      <c r="N24" s="3">
        <f>MAX(0,(1-Table7[f1]*(Table36[maxTRpm1]-Table15[[#This Row],[rpm]])^2)*Table36[maxT])</f>
        <v>334.25510204081633</v>
      </c>
      <c r="O24" s="3">
        <f>MAX(0,(Table36[linearDown]*(1-Table7[f2]*(Table15[[#This Row],[rpm]]-Table36[maxTRpm]))+(1-Table36[linearDown])*(1-Table7[f3]*(Table15[[#This Row],[rpm]]-Table36[maxTRpm])^2))*Table36[maxT])</f>
        <v>327.69607843137254</v>
      </c>
      <c r="P24" s="3">
        <f>MAX(0,(Table36[maxPS]-Table7[f4]*(Table15[[#This Row],[rpm]]-Table36[maxPRpm])^2)/1.36*9550/MAX(1,Table15[[#This Row],[rpm]]))</f>
        <v>327.69607843137254</v>
      </c>
      <c r="Q24" s="3">
        <f>MAX(0,Table7[Nm2]*MIN(Table36[ratedRpm]/MAX(1,Table15[[#This Row],[rpm]]),1-(MAX(0,Table15[[#This Row],[rpm]]-Table36[ratedRpm])/Table36[fadeOut])^Table36[fadeOutExp]))</f>
        <v>290.04156010230173</v>
      </c>
      <c r="R24" s="3">
        <f>(1-(1-Table15[[#This Row],[rpm]]/Table36[idleRpm])^2)*Table7[idleTEco]</f>
        <v>-236.27333333333343</v>
      </c>
      <c r="S24" s="3">
        <f>MAX(0,(1-Table7[f1]*(Table36[maxTRpm1]-Table15[[#This Row],[rpm]])^2)*Table36[maxTEco])</f>
        <v>334.25510204081633</v>
      </c>
      <c r="T24" s="3">
        <f>MAX(0,(Table36[linearDown]*(1-Table7[f2Eco]*(Table15[[#This Row],[rpm]]-Table36[maxTRpm]))+(1-Table36[linearDown])*(1-Table7[f3Eco]*(Table15[[#This Row],[rpm]]-Table36[maxTRpm])^2))*Table36[maxTEco])</f>
        <v>327.69607843137254</v>
      </c>
      <c r="U24" s="3">
        <f>MAX(0,(Table36[maxPSEco]-Table7[f4Eco]*(Table15[[#This Row],[rpm]]-Table36[maxPRpm])^2)/1.36*9550/MAX(1,Table15[[#This Row],[rpm]]))</f>
        <v>327.69607843137254</v>
      </c>
      <c r="V24" s="3">
        <f>MAX(0,Table7[Nm2Eco]*MIN(Table36[ratedRpm]/MAX(1,Table15[[#This Row],[rpm]]),1-(MAX(0,Table15[[#This Row],[rpm]]-Table36[ratedRpm])/Table36[fadeOut])^Table36[fadeOutExp]))</f>
        <v>290.04156010230173</v>
      </c>
    </row>
    <row r="25" spans="1:22" x14ac:dyDescent="0.25">
      <c r="A25" s="3">
        <v>2200</v>
      </c>
      <c r="B2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310.4069184491978</v>
      </c>
      <c r="C25" s="20"/>
      <c r="D2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310.4069184491978</v>
      </c>
      <c r="E25" s="20"/>
      <c r="F25" s="3">
        <f>Table36[Factor]*IF(Table15[[#This Row],[manualData]]&gt;0,Table15[[#This Row],[manualData]],Table15[[#This Row],[rawData]])</f>
        <v>310.4069184491978</v>
      </c>
      <c r="G25" s="3">
        <f>Table36[Factor]*IF(Table15[[#This Row],[manDataEco]]&gt;0,Table15[[#This Row],[manDataEco]],Table15[[#This Row],[rawDataEco]])</f>
        <v>310.4069184491978</v>
      </c>
      <c r="H25" s="28">
        <f>1.36*Table15[[#This Row],[rpm]]*Table15[[#This Row],[motor]]/9550</f>
        <v>97.249999999999986</v>
      </c>
      <c r="I25" s="28">
        <f>1.36*Table15[[#This Row],[rpm]]*Table15[[#This Row],[motorEco]]/9550</f>
        <v>97.249999999999986</v>
      </c>
      <c r="J25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233.53961955152431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motorTorque="310" fuelUsageRatio="233.5"/&gt;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normRpm="0.917" torque="0.848"/&gt;</v>
      </c>
      <c r="M25" s="3">
        <f>(1-(1-Table15[[#This Row],[rpm]]/Table36[idleRpm])^2)*Table7[idleT]</f>
        <v>-330.03259259259266</v>
      </c>
      <c r="N25" s="3">
        <f>MAX(0,(1-Table7[f1]*(Table36[maxTRpm1]-Table15[[#This Row],[rpm]])^2)*Table36[maxT])</f>
        <v>320.2873469387755</v>
      </c>
      <c r="O25" s="3">
        <f>MAX(0,(Table36[linearDown]*(1-Table7[f2]*(Table15[[#This Row],[rpm]]-Table36[maxTRpm]))+(1-Table36[linearDown])*(1-Table7[f3]*(Table15[[#This Row],[rpm]]-Table36[maxTRpm])^2))*Table36[maxT])</f>
        <v>315.43882352941176</v>
      </c>
      <c r="P25" s="3">
        <f>MAX(0,(Table36[maxPS]-Table7[f4]*(Table15[[#This Row],[rpm]]-Table36[maxPRpm])^2)/1.36*9550/MAX(1,Table15[[#This Row],[rpm]]))</f>
        <v>310.4069184491978</v>
      </c>
      <c r="Q25" s="3">
        <f>MAX(0,Table7[Nm2]*MIN(Table36[ratedRpm]/MAX(1,Table15[[#This Row],[rpm]]),1-(MAX(0,Table15[[#This Row],[rpm]]-Table36[ratedRpm])/Table36[fadeOut])^Table36[fadeOutExp]))</f>
        <v>290.04156010230173</v>
      </c>
      <c r="R25" s="3">
        <f>(1-(1-Table15[[#This Row],[rpm]]/Table36[idleRpm])^2)*Table7[idleTEco]</f>
        <v>-330.03259259259266</v>
      </c>
      <c r="S25" s="3">
        <f>MAX(0,(1-Table7[f1]*(Table36[maxTRpm1]-Table15[[#This Row],[rpm]])^2)*Table36[maxTEco])</f>
        <v>320.2873469387755</v>
      </c>
      <c r="T25" s="3">
        <f>MAX(0,(Table36[linearDown]*(1-Table7[f2Eco]*(Table15[[#This Row],[rpm]]-Table36[maxTRpm]))+(1-Table36[linearDown])*(1-Table7[f3Eco]*(Table15[[#This Row],[rpm]]-Table36[maxTRpm])^2))*Table36[maxTEco])</f>
        <v>315.43882352941176</v>
      </c>
      <c r="U25" s="3">
        <f>MAX(0,(Table36[maxPSEco]-Table7[f4Eco]*(Table15[[#This Row],[rpm]]-Table36[maxPRpm])^2)/1.36*9550/MAX(1,Table15[[#This Row],[rpm]]))</f>
        <v>310.4069184491978</v>
      </c>
      <c r="V25" s="3">
        <f>MAX(0,Table7[Nm2Eco]*MIN(Table36[ratedRpm]/MAX(1,Table15[[#This Row],[rpm]]),1-(MAX(0,Table15[[#This Row],[rpm]]-Table36[ratedRpm])/Table36[fadeOut])^Table36[fadeOutExp]))</f>
        <v>290.04156010230173</v>
      </c>
    </row>
    <row r="26" spans="1:22" x14ac:dyDescent="0.25">
      <c r="A26" s="3">
        <v>2300</v>
      </c>
      <c r="B2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290.04156010230173</v>
      </c>
      <c r="C26" s="20"/>
      <c r="D2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290.04156010230173</v>
      </c>
      <c r="E26" s="20"/>
      <c r="F26" s="3">
        <f>Table36[Factor]*IF(Table15[[#This Row],[manualData]]&gt;0,Table15[[#This Row],[manualData]],Table15[[#This Row],[rawData]])</f>
        <v>290.04156010230173</v>
      </c>
      <c r="G26" s="3">
        <f>Table36[Factor]*IF(Table15[[#This Row],[manDataEco]]&gt;0,Table15[[#This Row],[manDataEco]],Table15[[#This Row],[rawDataEco]])</f>
        <v>290.04156010230173</v>
      </c>
      <c r="H26" s="28">
        <f>1.36*Table15[[#This Row],[rpm]]*Table15[[#This Row],[motor]]/9550</f>
        <v>94.999999999999972</v>
      </c>
      <c r="I26" s="28">
        <f>1.36*Table15[[#This Row],[rpm]]*Table15[[#This Row],[motorEco]]/9550</f>
        <v>94.999999999999972</v>
      </c>
      <c r="J26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238.88888888888889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motorTorque="290" fuelUsageRatio="238.9"/&gt;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normRpm="0.958" torque="0.792"/&gt;</v>
      </c>
      <c r="M26" s="3">
        <f>(1-(1-Table15[[#This Row],[rpm]]/Table36[idleRpm])^2)*Table7[idleT]</f>
        <v>-431.29259259259231</v>
      </c>
      <c r="N26" s="3">
        <f>MAX(0,(1-Table7[f1]*(Table36[maxTRpm1]-Table15[[#This Row],[rpm]])^2)*Table36[maxT])</f>
        <v>303.77999999999997</v>
      </c>
      <c r="O26" s="3">
        <f>MAX(0,(Table36[linearDown]*(1-Table7[f2]*(Table15[[#This Row],[rpm]]-Table36[maxTRpm]))+(1-Table36[linearDown])*(1-Table7[f3]*(Table15[[#This Row],[rpm]]-Table36[maxTRpm])^2))*Table36[maxT])</f>
        <v>301.64941176470586</v>
      </c>
      <c r="P26" s="3">
        <f>MAX(0,(Table36[maxPS]-Table7[f4]*(Table15[[#This Row],[rpm]]-Table36[maxPRpm])^2)/1.36*9550/MAX(1,Table15[[#This Row],[rpm]]))</f>
        <v>290.04156010230173</v>
      </c>
      <c r="Q26" s="3">
        <f>MAX(0,Table7[Nm2]*MIN(Table36[ratedRpm]/MAX(1,Table15[[#This Row],[rpm]]),1-(MAX(0,Table15[[#This Row],[rpm]]-Table36[ratedRpm])/Table36[fadeOut])^Table36[fadeOutExp]))</f>
        <v>290.04156010230173</v>
      </c>
      <c r="R26" s="3">
        <f>(1-(1-Table15[[#This Row],[rpm]]/Table36[idleRpm])^2)*Table7[idleTEco]</f>
        <v>-431.29259259259231</v>
      </c>
      <c r="S26" s="3">
        <f>MAX(0,(1-Table7[f1]*(Table36[maxTRpm1]-Table15[[#This Row],[rpm]])^2)*Table36[maxTEco])</f>
        <v>303.77999999999997</v>
      </c>
      <c r="T26" s="3">
        <f>MAX(0,(Table36[linearDown]*(1-Table7[f2Eco]*(Table15[[#This Row],[rpm]]-Table36[maxTRpm]))+(1-Table36[linearDown])*(1-Table7[f3Eco]*(Table15[[#This Row],[rpm]]-Table36[maxTRpm])^2))*Table36[maxTEco])</f>
        <v>301.64941176470586</v>
      </c>
      <c r="U26" s="3">
        <f>MAX(0,(Table36[maxPSEco]-Table7[f4Eco]*(Table15[[#This Row],[rpm]]-Table36[maxPRpm])^2)/1.36*9550/MAX(1,Table15[[#This Row],[rpm]]))</f>
        <v>290.04156010230173</v>
      </c>
      <c r="V26" s="3">
        <f>MAX(0,Table7[Nm2Eco]*MIN(Table36[ratedRpm]/MAX(1,Table15[[#This Row],[rpm]]),1-(MAX(0,Table15[[#This Row],[rpm]]-Table36[ratedRpm])/Table36[fadeOut])^Table36[fadeOutExp]))</f>
        <v>290.04156010230173</v>
      </c>
    </row>
    <row r="27" spans="1:22" x14ac:dyDescent="0.25">
      <c r="A27" s="3">
        <v>2400</v>
      </c>
      <c r="B2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242.73862745517255</v>
      </c>
      <c r="C27" s="20"/>
      <c r="D2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242.73862745517255</v>
      </c>
      <c r="E27" s="20"/>
      <c r="F27" s="3">
        <f>Table36[Factor]*IF(Table15[[#This Row],[manualData]]&gt;0,Table15[[#This Row],[manualData]],Table15[[#This Row],[rawData]])</f>
        <v>242.73862745517255</v>
      </c>
      <c r="G27" s="3">
        <f>Table36[Factor]*IF(Table15[[#This Row],[manDataEco]]&gt;0,Table15[[#This Row],[manDataEco]],Table15[[#This Row],[rawDataEco]])</f>
        <v>242.73862745517255</v>
      </c>
      <c r="H27" s="3">
        <f>1.36*Table15[[#This Row],[rpm]]*Table15[[#This Row],[motor]]/9550</f>
        <v>82.963233509286212</v>
      </c>
      <c r="I27" s="3">
        <f>1.36*Table15[[#This Row],[rpm]]*Table15[[#This Row],[motorEco]]/9550</f>
        <v>82.963233509286212</v>
      </c>
      <c r="J27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272.16551203617928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motorTorque="243" fuelUsageRatio="272.2"/&gt;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torque="0.663"/&gt;</v>
      </c>
      <c r="M27" s="3">
        <f>(1-(1-Table15[[#This Row],[rpm]]/Table36[idleRpm])^2)*Table7[idleT]</f>
        <v>-540.05333333333317</v>
      </c>
      <c r="N27" s="3">
        <f>MAX(0,(1-Table7[f1]*(Table36[maxTRpm1]-Table15[[#This Row],[rpm]])^2)*Table36[maxT])</f>
        <v>284.7330612244898</v>
      </c>
      <c r="O27" s="3">
        <f>MAX(0,(Table36[linearDown]*(1-Table7[f2]*(Table15[[#This Row],[rpm]]-Table36[maxTRpm]))+(1-Table36[linearDown])*(1-Table7[f3]*(Table15[[#This Row],[rpm]]-Table36[maxTRpm])^2))*Table36[maxT])</f>
        <v>286.32784313725489</v>
      </c>
      <c r="P27" s="3">
        <f>MAX(0,(Table36[maxPS]-Table7[f4]*(Table15[[#This Row],[rpm]]-Table36[maxPRpm])^2)/1.36*9550/MAX(1,Table15[[#This Row],[rpm]]))</f>
        <v>266.98452818627447</v>
      </c>
      <c r="Q27" s="3">
        <f>MAX(0,Table7[Nm2]*MIN(Table36[ratedRpm]/MAX(1,Table15[[#This Row],[rpm]]),1-(MAX(0,Table15[[#This Row],[rpm]]-Table36[ratedRpm])/Table36[fadeOut])^Table36[fadeOutExp]))</f>
        <v>242.73862745517255</v>
      </c>
      <c r="R27" s="3">
        <f>(1-(1-Table15[[#This Row],[rpm]]/Table36[idleRpm])^2)*Table7[idleTEco]</f>
        <v>-540.05333333333317</v>
      </c>
      <c r="S27" s="3">
        <f>MAX(0,(1-Table7[f1]*(Table36[maxTRpm1]-Table15[[#This Row],[rpm]])^2)*Table36[maxTEco])</f>
        <v>284.7330612244898</v>
      </c>
      <c r="T27" s="3">
        <f>MAX(0,(Table36[linearDown]*(1-Table7[f2Eco]*(Table15[[#This Row],[rpm]]-Table36[maxTRpm]))+(1-Table36[linearDown])*(1-Table7[f3Eco]*(Table15[[#This Row],[rpm]]-Table36[maxTRpm])^2))*Table36[maxTEco])</f>
        <v>286.32784313725489</v>
      </c>
      <c r="U27" s="3">
        <f>MAX(0,(Table36[maxPSEco]-Table7[f4Eco]*(Table15[[#This Row],[rpm]]-Table36[maxPRpm])^2)/1.36*9550/MAX(1,Table15[[#This Row],[rpm]]))</f>
        <v>266.98452818627447</v>
      </c>
      <c r="V27" s="3">
        <f>MAX(0,Table7[Nm2Eco]*MIN(Table36[ratedRpm]/MAX(1,Table15[[#This Row],[rpm]]),1-(MAX(0,Table15[[#This Row],[rpm]]-Table36[ratedRpm])/Table36[fadeOut])^Table36[fadeOutExp]))</f>
        <v>242.73862745517255</v>
      </c>
    </row>
    <row r="28" spans="1:22" x14ac:dyDescent="0.25">
      <c r="A28" s="3">
        <v>2500</v>
      </c>
      <c r="B2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57.094595048925981</v>
      </c>
      <c r="C28" s="20"/>
      <c r="D2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57.094595048925981</v>
      </c>
      <c r="E28" s="20"/>
      <c r="F28" s="3">
        <f>Table36[Factor]*IF(Table15[[#This Row],[manualData]]&gt;0,Table15[[#This Row],[manualData]],Table15[[#This Row],[rawData]])</f>
        <v>57.094595048925981</v>
      </c>
      <c r="G28" s="3">
        <f>Table36[Factor]*IF(Table15[[#This Row],[manDataEco]]&gt;0,Table15[[#This Row],[manDataEco]],Table15[[#This Row],[rawDataEco]])</f>
        <v>57.094595048925981</v>
      </c>
      <c r="H28" s="3">
        <f>1.36*Table15[[#This Row],[rpm]]*Table15[[#This Row],[motor]]/9550</f>
        <v>20.326871535743283</v>
      </c>
      <c r="I28" s="3">
        <f>1.36*Table15[[#This Row],[rpm]]*Table15[[#This Row],[motorEco]]/9550</f>
        <v>20.326871535743283</v>
      </c>
      <c r="J28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427.12989594839519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rpm="2500" motorTorque="57" fuelUsageRatio="427.1"/&gt;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-656.31481481481467</v>
      </c>
      <c r="N28" s="3">
        <f>MAX(0,(1-Table7[f1]*(Table36[maxTRpm1]-Table15[[#This Row],[rpm]])^2)*Table36[maxT])</f>
        <v>263.14653061224482</v>
      </c>
      <c r="O28" s="3">
        <f>MAX(0,(Table36[linearDown]*(1-Table7[f2]*(Table15[[#This Row],[rpm]]-Table36[maxTRpm]))+(1-Table36[linearDown])*(1-Table7[f3]*(Table15[[#This Row],[rpm]]-Table36[maxTRpm])^2))*Table36[maxT])</f>
        <v>269.47411764705879</v>
      </c>
      <c r="P28" s="3">
        <f>MAX(0,(Table36[maxPS]-Table7[f4]*(Table15[[#This Row],[rpm]]-Table36[maxPRpm])^2)/1.36*9550/MAX(1,Table15[[#This Row],[rpm]]))</f>
        <v>241.55882352941171</v>
      </c>
      <c r="Q28" s="3">
        <f>MAX(0,Table7[Nm2]*MIN(Table36[ratedRpm]/MAX(1,Table15[[#This Row],[rpm]]),1-(MAX(0,Table15[[#This Row],[rpm]]-Table36[ratedRpm])/Table36[fadeOut])^Table36[fadeOutExp]))</f>
        <v>57.094595048925981</v>
      </c>
      <c r="R28" s="3">
        <f>(1-(1-Table15[[#This Row],[rpm]]/Table36[idleRpm])^2)*Table7[idleTEco]</f>
        <v>-656.31481481481467</v>
      </c>
      <c r="S28" s="3">
        <f>MAX(0,(1-Table7[f1]*(Table36[maxTRpm1]-Table15[[#This Row],[rpm]])^2)*Table36[maxTEco])</f>
        <v>263.14653061224482</v>
      </c>
      <c r="T28" s="3">
        <f>MAX(0,(Table36[linearDown]*(1-Table7[f2Eco]*(Table15[[#This Row],[rpm]]-Table36[maxTRpm]))+(1-Table36[linearDown])*(1-Table7[f3Eco]*(Table15[[#This Row],[rpm]]-Table36[maxTRpm])^2))*Table36[maxTEco])</f>
        <v>269.47411764705879</v>
      </c>
      <c r="U28" s="3">
        <f>MAX(0,(Table36[maxPSEco]-Table7[f4Eco]*(Table15[[#This Row],[rpm]]-Table36[maxPRpm])^2)/1.36*9550/MAX(1,Table15[[#This Row],[rpm]]))</f>
        <v>241.55882352941171</v>
      </c>
      <c r="V28" s="3">
        <f>MAX(0,Table7[Nm2Eco]*MIN(Table36[ratedRpm]/MAX(1,Table15[[#This Row],[rpm]]),1-(MAX(0,Table15[[#This Row],[rpm]]-Table36[ratedRpm])/Table36[fadeOut])^Table36[fadeOutExp]))</f>
        <v>57.094595048925981</v>
      </c>
    </row>
    <row r="29" spans="1:22" x14ac:dyDescent="0.25">
      <c r="A29" s="3">
        <v>2750</v>
      </c>
      <c r="B2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20"/>
      <c r="D2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20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-979.78425925925887</v>
      </c>
      <c r="N29" s="3">
        <f>MAX(0,(1-Table7[f1]*(Table36[maxTRpm1]-Table15[[#This Row],[rpm]])^2)*Table36[maxT])</f>
        <v>198.06948979591834</v>
      </c>
      <c r="O29" s="3">
        <f>MAX(0,(Table36[linearDown]*(1-Table7[f2]*(Table15[[#This Row],[rpm]]-Table36[maxTRpm]))+(1-Table36[linearDown])*(1-Table7[f3]*(Table15[[#This Row],[rpm]]-Table36[maxTRpm])^2))*Table36[maxT])</f>
        <v>220.63661764705878</v>
      </c>
      <c r="P29" s="3">
        <f>MAX(0,(Table36[maxPS]-Table7[f4]*(Table15[[#This Row],[rpm]]-Table36[maxPRpm])^2)/1.36*9550/MAX(1,Table15[[#This Row],[rpm]]))</f>
        <v>169.32737299465239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-979.78425925925887</v>
      </c>
      <c r="S29" s="3">
        <f>MAX(0,(1-Table7[f1]*(Table36[maxTRpm1]-Table15[[#This Row],[rpm]])^2)*Table36[maxTEco])</f>
        <v>198.06948979591834</v>
      </c>
      <c r="T29" s="3">
        <f>MAX(0,(Table36[linearDown]*(1-Table7[f2Eco]*(Table15[[#This Row],[rpm]]-Table36[maxTRpm]))+(1-Table36[linearDown])*(1-Table7[f3Eco]*(Table15[[#This Row],[rpm]]-Table36[maxTRpm])^2))*Table36[maxTEco])</f>
        <v>220.63661764705878</v>
      </c>
      <c r="U29" s="3">
        <f>MAX(0,(Table36[maxPSEco]-Table7[f4Eco]*(Table15[[#This Row],[rpm]]-Table36[maxPRpm])^2)/1.36*9550/MAX(1,Table15[[#This Row],[rpm]]))</f>
        <v>169.32737299465239</v>
      </c>
      <c r="V29" s="3">
        <f>MAX(0,Table7[Nm2Eco]*MIN(Table36[ratedRpm]/MAX(1,Table15[[#This Row],[rpm]]),1-(MAX(0,Table15[[#This Row],[rpm]]-Table36[ratedRpm])/Table36[fadeOut])^Table36[fadeOutExp]))</f>
        <v>0</v>
      </c>
    </row>
    <row r="30" spans="1:22" x14ac:dyDescent="0.25">
      <c r="A30" s="3">
        <v>3000</v>
      </c>
      <c r="B3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-1350.1333333333334</v>
      </c>
      <c r="N30" s="3">
        <f>MAX(0,(1-Table7[f1]*(Table36[maxTRpm1]-Table15[[#This Row],[rpm]])^2)*Table36[maxT])</f>
        <v>117.11999999999995</v>
      </c>
      <c r="O30" s="3">
        <f>MAX(0,(Table36[linearDown]*(1-Table7[f2]*(Table15[[#This Row],[rpm]]-Table36[maxTRpm]))+(1-Table36[linearDown])*(1-Table7[f3]*(Table15[[#This Row],[rpm]]-Table36[maxTRpm])^2))*Table36[maxT])</f>
        <v>162.2231372549019</v>
      </c>
      <c r="P30" s="3">
        <f>MAX(0,(Table36[maxPS]-Table7[f4]*(Table15[[#This Row],[rpm]]-Table36[maxPRpm])^2)/1.36*9550/MAX(1,Table15[[#This Row],[rpm]]))</f>
        <v>87.190563725490208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-1350.1333333333334</v>
      </c>
      <c r="S30" s="3">
        <f>MAX(0,(1-Table7[f1]*(Table36[maxTRpm1]-Table15[[#This Row],[rpm]])^2)*Table36[maxTEco])</f>
        <v>117.11999999999995</v>
      </c>
      <c r="T30" s="3">
        <f>MAX(0,(Table36[linearDown]*(1-Table7[f2Eco]*(Table15[[#This Row],[rpm]]-Table36[maxTRpm]))+(1-Table36[linearDown])*(1-Table7[f3Eco]*(Table15[[#This Row],[rpm]]-Table36[maxTRpm])^2))*Table36[maxTEco])</f>
        <v>162.2231372549019</v>
      </c>
      <c r="U30" s="3">
        <f>MAX(0,(Table36[maxPSEco]-Table7[f4Eco]*(Table15[[#This Row],[rpm]]-Table36[maxPRpm])^2)/1.36*9550/MAX(1,Table15[[#This Row],[rpm]]))</f>
        <v>87.190563725490208</v>
      </c>
      <c r="V30" s="3">
        <f>MAX(0,Table7[Nm2Eco]*MIN(Table36[ratedRpm]/MAX(1,Table15[[#This Row],[rpm]]),1-(MAX(0,Table15[[#This Row],[rpm]]-Table36[ratedRpm])/Table36[fadeOut])^Table36[fadeOutExp]))</f>
        <v>0</v>
      </c>
    </row>
    <row r="31" spans="1:22" x14ac:dyDescent="0.25">
      <c r="A31" s="3">
        <v>3250</v>
      </c>
      <c r="B3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-1767.3620370370368</v>
      </c>
      <c r="N31" s="3">
        <f>MAX(0,(1-Table7[f1]*(Table36[maxTRpm1]-Table15[[#This Row],[rpm]])^2)*Table36[maxT])</f>
        <v>20.298061224489704</v>
      </c>
      <c r="O31" s="3">
        <f>MAX(0,(Table36[linearDown]*(1-Table7[f2]*(Table15[[#This Row],[rpm]]-Table36[maxTRpm]))+(1-Table36[linearDown])*(1-Table7[f3]*(Table15[[#This Row],[rpm]]-Table36[maxTRpm])^2))*Table36[maxT])</f>
        <v>94.233676470588179</v>
      </c>
      <c r="P31" s="3">
        <f>MAX(0,(Table36[maxPS]-Table7[f4]*(Table15[[#This Row],[rpm]]-Table36[maxPRpm])^2)/1.36*9550/MAX(1,Table15[[#This Row],[rpm]]))</f>
        <v>0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-1767.3620370370368</v>
      </c>
      <c r="S31" s="3">
        <f>MAX(0,(1-Table7[f1]*(Table36[maxTRpm1]-Table15[[#This Row],[rpm]])^2)*Table36[maxTEco])</f>
        <v>20.298061224489704</v>
      </c>
      <c r="T31" s="3">
        <f>MAX(0,(Table36[linearDown]*(1-Table7[f2Eco]*(Table15[[#This Row],[rpm]]-Table36[maxTRpm]))+(1-Table36[linearDown])*(1-Table7[f3Eco]*(Table15[[#This Row],[rpm]]-Table36[maxTRpm])^2))*Table36[maxTEco])</f>
        <v>94.233676470588179</v>
      </c>
      <c r="U31" s="3">
        <f>MAX(0,(Table36[maxPSEco]-Table7[f4Eco]*(Table15[[#This Row],[rpm]]-Table36[maxPRpm])^2)/1.36*9550/MAX(1,Table15[[#This Row],[rpm]]))</f>
        <v>0</v>
      </c>
      <c r="V31" s="3">
        <f>MAX(0,Table7[Nm2Eco]*MIN(Table36[ratedRpm]/MAX(1,Table15[[#This Row],[rpm]]),1-(MAX(0,Table15[[#This Row],[rpm]]-Table36[ratedRpm])/Table36[fadeOut])^Table36[fadeOutExp]))</f>
        <v>0</v>
      </c>
    </row>
    <row r="32" spans="1:22" x14ac:dyDescent="0.25">
      <c r="A32" s="3">
        <v>3500</v>
      </c>
      <c r="B3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-2231.4703703703699</v>
      </c>
      <c r="N32" s="3">
        <f>MAX(0,(1-Table7[f1]*(Table36[maxTRpm1]-Table15[[#This Row],[rpm]])^2)*Table36[maxT])</f>
        <v>0</v>
      </c>
      <c r="O32" s="3">
        <f>MAX(0,(Table36[linearDown]*(1-Table7[f2]*(Table15[[#This Row],[rpm]]-Table36[maxTRpm]))+(1-Table36[linearDown])*(1-Table7[f3]*(Table15[[#This Row],[rpm]]-Table36[maxTRpm])^2))*Table36[maxT])</f>
        <v>16.668235294117558</v>
      </c>
      <c r="P32" s="3">
        <f>MAX(0,(Table36[maxPS]-Table7[f4]*(Table15[[#This Row],[rpm]]-Table36[maxPRpm])^2)/1.36*9550/MAX(1,Table15[[#This Row],[rpm]]))</f>
        <v>0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-2231.4703703703699</v>
      </c>
      <c r="S32" s="3">
        <f>MAX(0,(1-Table7[f1]*(Table36[maxTRpm1]-Table15[[#This Row],[rpm]])^2)*Table36[maxTEco])</f>
        <v>0</v>
      </c>
      <c r="T32" s="3">
        <f>MAX(0,(Table36[linearDown]*(1-Table7[f2Eco]*(Table15[[#This Row],[rpm]]-Table36[maxTRpm]))+(1-Table36[linearDown])*(1-Table7[f3Eco]*(Table15[[#This Row],[rpm]]-Table36[maxTRpm])^2))*Table36[maxTEco])</f>
        <v>16.668235294117558</v>
      </c>
      <c r="U32" s="3">
        <f>MAX(0,(Table36[maxPSEco]-Table7[f4Eco]*(Table15[[#This Row],[rpm]]-Table36[maxPRpm])^2)/1.36*9550/MAX(1,Table15[[#This Row],[rpm]]))</f>
        <v>0</v>
      </c>
      <c r="V32" s="3">
        <f>MAX(0,Table7[Nm2Eco]*MIN(Table36[ratedRpm]/MAX(1,Table15[[#This Row],[rpm]]),1-(MAX(0,Table15[[#This Row],[rpm]]-Table36[ratedRpm])/Table36[fadeOut])^Table36[fadeOutExp]))</f>
        <v>0</v>
      </c>
    </row>
    <row r="33" spans="1:22" x14ac:dyDescent="0.25">
      <c r="A33" s="3">
        <v>3750</v>
      </c>
      <c r="B3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-2742.4583333333339</v>
      </c>
      <c r="N33" s="3">
        <f>MAX(0,(1-Table7[f1]*(Table36[maxTRpm1]-Table15[[#This Row],[rpm]])^2)*Table36[maxT])</f>
        <v>0</v>
      </c>
      <c r="O33" s="3">
        <f>MAX(0,(Table36[linearDown]*(1-Table7[f2]*(Table15[[#This Row],[rpm]]-Table36[maxTRpm]))+(1-Table36[linearDown])*(1-Table7[f3]*(Table15[[#This Row],[rpm]]-Table36[maxTRpm])^2))*Table36[maxT])</f>
        <v>0</v>
      </c>
      <c r="P33" s="3">
        <f>MAX(0,(Table36[maxPS]-Table7[f4]*(Table15[[#This Row],[rpm]]-Table36[maxPRpm])^2)/1.36*9550/MAX(1,Table15[[#This Row],[rpm]]))</f>
        <v>0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-2742.4583333333339</v>
      </c>
      <c r="S33" s="3">
        <f>MAX(0,(1-Table7[f1]*(Table36[maxTRpm1]-Table15[[#This Row],[rpm]])^2)*Table36[maxTEco])</f>
        <v>0</v>
      </c>
      <c r="T33" s="3">
        <f>MAX(0,(Table36[linearDown]*(1-Table7[f2Eco]*(Table15[[#This Row],[rpm]]-Table36[maxTRpm]))+(1-Table36[linearDown])*(1-Table7[f3Eco]*(Table15[[#This Row],[rpm]]-Table36[maxTRpm])^2))*Table36[maxTEco])</f>
        <v>0</v>
      </c>
      <c r="U33" s="3">
        <f>MAX(0,(Table36[maxPSEco]-Table7[f4Eco]*(Table15[[#This Row],[rpm]]-Table36[maxPRpm])^2)/1.36*9550/MAX(1,Table15[[#This Row],[rpm]]))</f>
        <v>0</v>
      </c>
      <c r="V33" s="3">
        <f>MAX(0,Table7[Nm2Eco]*MIN(Table36[ratedRpm]/MAX(1,Table15[[#This Row],[rpm]]),1-(MAX(0,Table15[[#This Row],[rpm]]-Table36[ratedRpm])/Table36[fadeOut])^Table36[fadeOutExp]))</f>
        <v>0</v>
      </c>
    </row>
    <row r="34" spans="1:22" x14ac:dyDescent="0.25">
      <c r="A34" s="3">
        <v>4000</v>
      </c>
      <c r="B3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-3300.3259259259262</v>
      </c>
      <c r="N34" s="3">
        <f>MAX(0,(1-Table7[f1]*(Table36[maxTRpm1]-Table15[[#This Row],[rpm]])^2)*Table36[maxT])</f>
        <v>0</v>
      </c>
      <c r="O34" s="3">
        <f>MAX(0,(Table36[linearDown]*(1-Table7[f2]*(Table15[[#This Row],[rpm]]-Table36[maxTRpm]))+(1-Table36[linearDown])*(1-Table7[f3]*(Table15[[#This Row],[rpm]]-Table36[maxTRpm])^2))*Table36[maxT])</f>
        <v>0</v>
      </c>
      <c r="P34" s="3">
        <f>MAX(0,(Table36[maxPS]-Table7[f4]*(Table15[[#This Row],[rpm]]-Table36[maxPRpm])^2)/1.36*9550/MAX(1,Table15[[#This Row],[rpm]]))</f>
        <v>0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-3300.3259259259262</v>
      </c>
      <c r="S34" s="3">
        <f>MAX(0,(1-Table7[f1]*(Table36[maxTRpm1]-Table15[[#This Row],[rpm]])^2)*Table36[maxTEco])</f>
        <v>0</v>
      </c>
      <c r="T34" s="3">
        <f>MAX(0,(Table36[linearDown]*(1-Table7[f2Eco]*(Table15[[#This Row],[rpm]]-Table36[maxTRpm]))+(1-Table36[linearDown])*(1-Table7[f3Eco]*(Table15[[#This Row],[rpm]]-Table36[maxTRpm])^2))*Table36[maxTEco])</f>
        <v>0</v>
      </c>
      <c r="U34" s="3">
        <f>MAX(0,(Table36[maxPSEco]-Table7[f4Eco]*(Table15[[#This Row],[rpm]]-Table36[maxPRpm])^2)/1.36*9550/MAX(1,Table15[[#This Row],[rpm]]))</f>
        <v>0</v>
      </c>
      <c r="V34" s="3">
        <f>MAX(0,Table7[Nm2Eco]*MIN(Table36[ratedRpm]/MAX(1,Table15[[#This Row],[rpm]]),1-(MAX(0,Table15[[#This Row],[rpm]]-Table36[ratedRpm])/Table36[fadeOut])^Table36[fadeOutExp]))</f>
        <v>0</v>
      </c>
    </row>
    <row r="35" spans="1:22" x14ac:dyDescent="0.25">
      <c r="A35" s="3">
        <v>4250</v>
      </c>
      <c r="B3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-3905.073148148148</v>
      </c>
      <c r="N35" s="3">
        <f>MAX(0,(1-Table7[f1]*(Table36[maxTRpm1]-Table15[[#This Row],[rpm]])^2)*Table36[maxT])</f>
        <v>0</v>
      </c>
      <c r="O35" s="3">
        <f>MAX(0,(Table36[linearDown]*(1-Table7[f2]*(Table15[[#This Row],[rpm]]-Table36[maxTRpm]))+(1-Table36[linearDown])*(1-Table7[f3]*(Table15[[#This Row],[rpm]]-Table36[maxTRpm])^2))*Table36[maxT])</f>
        <v>0</v>
      </c>
      <c r="P35" s="3">
        <f>MAX(0,(Table36[maxPS]-Table7[f4]*(Table15[[#This Row],[rpm]]-Table36[maxPRpm])^2)/1.36*9550/MAX(1,Table15[[#This Row],[rpm]]))</f>
        <v>0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-3905.073148148148</v>
      </c>
      <c r="S35" s="3">
        <f>MAX(0,(1-Table7[f1]*(Table36[maxTRpm1]-Table15[[#This Row],[rpm]])^2)*Table36[maxTEco])</f>
        <v>0</v>
      </c>
      <c r="T35" s="3">
        <f>MAX(0,(Table36[linearDown]*(1-Table7[f2Eco]*(Table15[[#This Row],[rpm]]-Table36[maxTRpm]))+(1-Table36[linearDown])*(1-Table7[f3Eco]*(Table15[[#This Row],[rpm]]-Table36[maxTRpm])^2))*Table36[maxTEco])</f>
        <v>0</v>
      </c>
      <c r="U35" s="3">
        <f>MAX(0,(Table36[maxPSEco]-Table7[f4Eco]*(Table15[[#This Row],[rpm]]-Table36[maxPRpm])^2)/1.36*9550/MAX(1,Table15[[#This Row],[rpm]]))</f>
        <v>0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4500</v>
      </c>
      <c r="B3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-4556.7</v>
      </c>
      <c r="N36" s="3">
        <f>MAX(0,(1-Table7[f1]*(Table36[maxTRpm1]-Table15[[#This Row],[rpm]])^2)*Table36[maxT])</f>
        <v>0</v>
      </c>
      <c r="O36" s="3">
        <f>MAX(0,(Table36[linearDown]*(1-Table7[f2]*(Table15[[#This Row],[rpm]]-Table36[maxTRpm]))+(1-Table36[linearDown])*(1-Table7[f3]*(Table15[[#This Row],[rpm]]-Table36[maxTRpm])^2))*Table36[maxT])</f>
        <v>0</v>
      </c>
      <c r="P36" s="3">
        <f>MAX(0,(Table36[maxPS]-Table7[f4]*(Table15[[#This Row],[rpm]]-Table36[maxPRpm])^2)/1.36*9550/MAX(1,Table15[[#This Row],[rpm]]))</f>
        <v>0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-4556.7</v>
      </c>
      <c r="S36" s="3">
        <f>MAX(0,(1-Table7[f1]*(Table36[maxTRpm1]-Table15[[#This Row],[rpm]])^2)*Table36[maxTEco])</f>
        <v>0</v>
      </c>
      <c r="T36" s="3">
        <f>MAX(0,(Table36[linearDown]*(1-Table7[f2Eco]*(Table15[[#This Row],[rpm]]-Table36[maxTRpm]))+(1-Table36[linearDown])*(1-Table7[f3Eco]*(Table15[[#This Row],[rpm]]-Table36[maxTRpm])^2))*Table36[maxTEco])</f>
        <v>0</v>
      </c>
      <c r="U36" s="3">
        <f>MAX(0,(Table36[maxPSEco]-Table7[f4Eco]*(Table15[[#This Row],[rpm]]-Table36[maxPRpm])^2)/1.36*9550/MAX(1,Table15[[#This Row],[rpm]]))</f>
        <v>0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4750</v>
      </c>
      <c r="B3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-5255.2064814814812</v>
      </c>
      <c r="N37" s="3">
        <f>MAX(0,(1-Table7[f1]*(Table36[maxTRpm1]-Table15[[#This Row],[rpm]])^2)*Table36[maxT])</f>
        <v>0</v>
      </c>
      <c r="O37" s="3">
        <f>MAX(0,(Table36[linearDown]*(1-Table7[f2]*(Table15[[#This Row],[rpm]]-Table36[maxTRpm]))+(1-Table36[linearDown])*(1-Table7[f3]*(Table15[[#This Row],[rpm]]-Table36[maxTRpm])^2))*Table36[maxT])</f>
        <v>0</v>
      </c>
      <c r="P37" s="3">
        <f>MAX(0,(Table36[maxPS]-Table7[f4]*(Table15[[#This Row],[rpm]]-Table36[maxPRpm])^2)/1.36*9550/MAX(1,Table15[[#This Row],[rpm]]))</f>
        <v>0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-5255.2064814814812</v>
      </c>
      <c r="S37" s="3">
        <f>MAX(0,(1-Table7[f1]*(Table36[maxTRpm1]-Table15[[#This Row],[rpm]])^2)*Table36[maxTEco])</f>
        <v>0</v>
      </c>
      <c r="T37" s="3">
        <f>MAX(0,(Table36[linearDown]*(1-Table7[f2Eco]*(Table15[[#This Row],[rpm]]-Table36[maxTRpm]))+(1-Table36[linearDown])*(1-Table7[f3Eco]*(Table15[[#This Row],[rpm]]-Table36[maxTRpm])^2))*Table36[maxTEco])</f>
        <v>0</v>
      </c>
      <c r="U37" s="3">
        <f>MAX(0,(Table36[maxPSEco]-Table7[f4Eco]*(Table15[[#This Row],[rpm]]-Table36[maxPRpm])^2)/1.36*9550/MAX(1,Table15[[#This Row],[rpm]]))</f>
        <v>0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5000</v>
      </c>
      <c r="B3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-6000.5925925925922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0</v>
      </c>
      <c r="P38" s="3">
        <f>MAX(0,(Table36[maxPS]-Table7[f4]*(Table15[[#This Row],[rpm]]-Table36[maxPRpm])^2)/1.36*9550/MAX(1,Table15[[#This Row],[rpm]]))</f>
        <v>0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-6000.5925925925922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0</v>
      </c>
      <c r="U38" s="3">
        <f>MAX(0,(Table36[maxPSEco]-Table7[f4Eco]*(Table15[[#This Row],[rpm]]-Table36[maxPRpm])^2)/1.36*9550/MAX(1,Table15[[#This Row],[rpm]]))</f>
        <v>0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5250</v>
      </c>
      <c r="B3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-6792.8583333333318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0</v>
      </c>
      <c r="P39" s="3">
        <f>MAX(0,(Table36[maxPS]-Table7[f4]*(Table15[[#This Row],[rpm]]-Table36[maxPRpm])^2)/1.36*9550/MAX(1,Table15[[#This Row],[rpm]]))</f>
        <v>0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-6792.8583333333318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5500</v>
      </c>
      <c r="B4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-7632.0037037037018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0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-7632.0037037037018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5750</v>
      </c>
      <c r="B4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-8518.0287037037033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-8518.0287037037033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ht="15.75" thickBot="1" x14ac:dyDescent="0.3">
      <c r="A42" s="3">
        <v>6000</v>
      </c>
      <c r="B4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1"/>
      <c r="D4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1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 Table15[[#This Row],[motorEco]] &lt; Table15[[#This Row],[motor]],CONCATENATE("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-9450.9333333333343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-9450.9333333333343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42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4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H7:H42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H7:I42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F7:G42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2015-12-14T08:14:49Z</dcterms:modified>
</cp:coreProperties>
</file>