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0370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A11" i="4"/>
  <c r="C5" i="4"/>
  <c r="A10" i="4" l="1"/>
  <c r="A9" i="4"/>
  <c r="B8" i="4"/>
  <c r="A8" i="4"/>
  <c r="L2" i="4"/>
  <c r="B10" i="4" s="1"/>
  <c r="C10" i="4" s="1"/>
  <c r="K2" i="4"/>
  <c r="B9" i="4" s="1"/>
  <c r="C9" i="4" s="1"/>
  <c r="G4" i="3"/>
  <c r="B7" i="4"/>
  <c r="A7" i="4"/>
  <c r="C7" i="4" l="1"/>
  <c r="C8" i="4"/>
  <c r="B6" i="4"/>
  <c r="C6" i="4" s="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4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J2" i="3" l="1"/>
  <c r="F2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K9" i="3" s="1"/>
  <c r="J41" i="3"/>
  <c r="J37" i="3"/>
  <c r="J29" i="3"/>
  <c r="K29" i="3" s="1"/>
  <c r="J20" i="3"/>
  <c r="K20" i="3" s="1"/>
  <c r="J8" i="3"/>
  <c r="K8" i="3" s="1"/>
  <c r="J40" i="3"/>
  <c r="J36" i="3"/>
  <c r="J32" i="3"/>
  <c r="J28" i="3"/>
  <c r="K28" i="3" s="1"/>
  <c r="J23" i="3"/>
  <c r="K23" i="3" s="1"/>
  <c r="J19" i="3"/>
  <c r="K19" i="3" s="1"/>
  <c r="J15" i="3"/>
  <c r="K15" i="3" s="1"/>
  <c r="J11" i="3"/>
  <c r="K11" i="3" s="1"/>
  <c r="J7" i="3"/>
  <c r="J39" i="3"/>
  <c r="J35" i="3"/>
  <c r="J31" i="3"/>
  <c r="J27" i="3"/>
  <c r="K27" i="3" s="1"/>
  <c r="J22" i="3"/>
  <c r="K22" i="3" s="1"/>
  <c r="J18" i="3"/>
  <c r="K18" i="3" s="1"/>
  <c r="J14" i="3"/>
  <c r="K14" i="3" s="1"/>
  <c r="J10" i="3"/>
  <c r="K10" i="3" s="1"/>
  <c r="J25" i="3"/>
  <c r="K25" i="3" s="1"/>
  <c r="J33" i="3"/>
  <c r="J24" i="3"/>
  <c r="K24" i="3" s="1"/>
  <c r="J16" i="3"/>
  <c r="K16" i="3" s="1"/>
  <c r="J12" i="3"/>
  <c r="K12" i="3" s="1"/>
  <c r="J42" i="3"/>
  <c r="J38" i="3"/>
  <c r="J34" i="3"/>
  <c r="J30" i="3"/>
  <c r="J26" i="3"/>
  <c r="K26" i="3" s="1"/>
  <c r="J21" i="3"/>
  <c r="K21" i="3" s="1"/>
  <c r="J17" i="3"/>
  <c r="K17" i="3" s="1"/>
  <c r="J13" i="3"/>
  <c r="K13" i="3" s="1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K7" i="3" s="1"/>
  <c r="O4" i="3"/>
  <c r="P4" i="3"/>
  <c r="H4" i="3" s="1"/>
  <c r="L7" i="3" l="1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D27" i="3" s="1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D26" i="3" s="1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D25" i="3" s="1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D16" i="3" s="1"/>
  <c r="T20" i="3"/>
  <c r="D20" i="3" s="1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1" i="3" l="1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s="1"/>
  <c r="N61" i="3" l="1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Q62" i="3"/>
  <c r="B62" i="3" s="1"/>
  <c r="Q55" i="3"/>
  <c r="Q56" i="3"/>
  <c r="Q59" i="3"/>
  <c r="B59" i="3" s="1"/>
  <c r="Q60" i="3"/>
  <c r="Q57" i="3"/>
  <c r="B57" i="3" s="1"/>
  <c r="F57" i="3" s="1"/>
  <c r="Q61" i="3"/>
  <c r="F59" i="3"/>
  <c r="F62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Y52" i="3" s="1"/>
  <c r="P45" i="3"/>
  <c r="P49" i="3"/>
  <c r="P53" i="3"/>
  <c r="P46" i="3"/>
  <c r="P50" i="3"/>
  <c r="P54" i="3"/>
  <c r="P44" i="3"/>
  <c r="P52" i="3"/>
  <c r="P47" i="3"/>
  <c r="P51" i="3"/>
  <c r="F51" i="3" s="1"/>
  <c r="Y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B25" i="3" s="1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B26" i="3" s="1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G16" i="3" s="1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D10" i="3" s="1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B10" i="3" s="1"/>
  <c r="N26" i="3"/>
  <c r="N42" i="3"/>
  <c r="S34" i="3"/>
  <c r="N30" i="3"/>
  <c r="B4" i="3"/>
  <c r="N4" i="3"/>
  <c r="U4" i="3"/>
  <c r="T4" i="3"/>
  <c r="C4" i="3"/>
  <c r="B13" i="1"/>
  <c r="B14" i="1"/>
  <c r="B15" i="1"/>
  <c r="A22" i="1"/>
  <c r="H57" i="3" l="1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B56" i="3"/>
  <c r="F56" i="3" s="1"/>
  <c r="B55" i="3"/>
  <c r="F55" i="3" s="1"/>
  <c r="B60" i="3"/>
  <c r="F60" i="3" s="1"/>
  <c r="B61" i="3"/>
  <c r="F61" i="3" s="1"/>
  <c r="B53" i="3"/>
  <c r="F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Y44" i="3" s="1"/>
  <c r="O48" i="3"/>
  <c r="F48" i="3" s="1"/>
  <c r="Y48" i="3" s="1"/>
  <c r="O52" i="3"/>
  <c r="O51" i="3"/>
  <c r="O45" i="3"/>
  <c r="F45" i="3" s="1"/>
  <c r="Y45" i="3" s="1"/>
  <c r="O49" i="3"/>
  <c r="F49" i="3" s="1"/>
  <c r="Y49" i="3" s="1"/>
  <c r="O53" i="3"/>
  <c r="O43" i="3"/>
  <c r="F43" i="3" s="1"/>
  <c r="Y43" i="3" s="1"/>
  <c r="O46" i="3"/>
  <c r="F46" i="3" s="1"/>
  <c r="Y46" i="3" s="1"/>
  <c r="O50" i="3"/>
  <c r="F50" i="3" s="1"/>
  <c r="Y50" i="3" s="1"/>
  <c r="O54" i="3"/>
  <c r="O47" i="3"/>
  <c r="F47" i="3" s="1"/>
  <c r="Y47" i="3" s="1"/>
  <c r="M10" i="3"/>
  <c r="F10" i="3" s="1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O31" i="3"/>
  <c r="F31" i="3" s="1"/>
  <c r="O35" i="3"/>
  <c r="F35" i="3" s="1"/>
  <c r="O39" i="3"/>
  <c r="F39" i="3" s="1"/>
  <c r="Y39" i="3" s="1"/>
  <c r="O8" i="3"/>
  <c r="O12" i="3"/>
  <c r="O16" i="3"/>
  <c r="O20" i="3"/>
  <c r="B20" i="3" s="1"/>
  <c r="O24" i="3"/>
  <c r="O28" i="3"/>
  <c r="F28" i="3" s="1"/>
  <c r="O32" i="3"/>
  <c r="F32" i="3" s="1"/>
  <c r="O36" i="3"/>
  <c r="F36" i="3" s="1"/>
  <c r="O40" i="3"/>
  <c r="F40" i="3" s="1"/>
  <c r="Y40" i="3" s="1"/>
  <c r="O9" i="3"/>
  <c r="O13" i="3"/>
  <c r="O17" i="3"/>
  <c r="O21" i="3"/>
  <c r="B21" i="3" s="1"/>
  <c r="O25" i="3"/>
  <c r="F25" i="3" s="1"/>
  <c r="O29" i="3"/>
  <c r="F29" i="3" s="1"/>
  <c r="O33" i="3"/>
  <c r="F33" i="3" s="1"/>
  <c r="O37" i="3"/>
  <c r="F37" i="3" s="1"/>
  <c r="O41" i="3"/>
  <c r="F41" i="3" s="1"/>
  <c r="Y41" i="3" s="1"/>
  <c r="O22" i="3"/>
  <c r="O38" i="3"/>
  <c r="F38" i="3" s="1"/>
  <c r="Y38" i="3" s="1"/>
  <c r="O34" i="3"/>
  <c r="F34" i="3" s="1"/>
  <c r="O10" i="3"/>
  <c r="O26" i="3"/>
  <c r="F26" i="3" s="1"/>
  <c r="O42" i="3"/>
  <c r="F42" i="3" s="1"/>
  <c r="Y42" i="3" s="1"/>
  <c r="O14" i="3"/>
  <c r="O30" i="3"/>
  <c r="F30" i="3" s="1"/>
  <c r="O18" i="3"/>
  <c r="I18" i="3"/>
  <c r="I16" i="3"/>
  <c r="I19" i="3"/>
  <c r="I17" i="3"/>
  <c r="G12" i="3"/>
  <c r="F12" i="3"/>
  <c r="Y12" i="3" s="1"/>
  <c r="F13" i="3"/>
  <c r="Y13" i="3" s="1"/>
  <c r="D22" i="1"/>
  <c r="Y34" i="3" l="1"/>
  <c r="Y11" i="3"/>
  <c r="Y33" i="3"/>
  <c r="Y36" i="3"/>
  <c r="Y10" i="3"/>
  <c r="H61" i="3"/>
  <c r="Y61" i="3"/>
  <c r="H54" i="3"/>
  <c r="Y54" i="3"/>
  <c r="Y37" i="3"/>
  <c r="H56" i="3"/>
  <c r="Y56" i="3"/>
  <c r="Y26" i="3"/>
  <c r="Y29" i="3"/>
  <c r="Y32" i="3"/>
  <c r="Y35" i="3"/>
  <c r="H60" i="3"/>
  <c r="Y60" i="3"/>
  <c r="Y27" i="3"/>
  <c r="H53" i="3"/>
  <c r="Y53" i="3"/>
  <c r="Y30" i="3"/>
  <c r="Y25" i="3"/>
  <c r="Y28" i="3"/>
  <c r="Y31" i="3"/>
  <c r="H55" i="3"/>
  <c r="Y55" i="3"/>
  <c r="D9" i="3"/>
  <c r="G9" i="3" s="1"/>
  <c r="I9" i="3" s="1"/>
  <c r="B24" i="3"/>
  <c r="F24" i="3" s="1"/>
  <c r="Y24" i="3" s="1"/>
  <c r="B23" i="3"/>
  <c r="F23" i="3" s="1"/>
  <c r="Y23" i="3" s="1"/>
  <c r="B15" i="3"/>
  <c r="F15" i="3" s="1"/>
  <c r="Y15" i="3" s="1"/>
  <c r="B14" i="3"/>
  <c r="F14" i="3" s="1"/>
  <c r="Y14" i="3" s="1"/>
  <c r="B17" i="3"/>
  <c r="F17" i="3" s="1"/>
  <c r="Y17" i="3" s="1"/>
  <c r="B22" i="3"/>
  <c r="F22" i="3" s="1"/>
  <c r="Y22" i="3" s="1"/>
  <c r="B16" i="3"/>
  <c r="F16" i="3" s="1"/>
  <c r="Y16" i="3" s="1"/>
  <c r="D7" i="3"/>
  <c r="G7" i="3" s="1"/>
  <c r="I7" i="3" s="1"/>
  <c r="B18" i="3"/>
  <c r="F18" i="3" s="1"/>
  <c r="Y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26" i="3"/>
  <c r="H41" i="3"/>
  <c r="H11" i="3"/>
  <c r="H40" i="3"/>
  <c r="H25" i="3"/>
  <c r="H38" i="3"/>
  <c r="H13" i="3"/>
  <c r="H10" i="3"/>
  <c r="H12" i="3"/>
  <c r="H28" i="3"/>
  <c r="H36" i="3"/>
  <c r="H32" i="3"/>
  <c r="H42" i="3"/>
  <c r="H35" i="3"/>
  <c r="H37" i="3"/>
  <c r="H29" i="3"/>
  <c r="H31" i="3"/>
  <c r="H27" i="3"/>
  <c r="H30" i="3"/>
  <c r="F8" i="3"/>
  <c r="Y8" i="3" s="1"/>
  <c r="F9" i="3"/>
  <c r="Y9" i="3" s="1"/>
  <c r="F7" i="3"/>
  <c r="Y7" i="3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Y19" i="3" l="1"/>
  <c r="Y20" i="3"/>
  <c r="Y21" i="3"/>
  <c r="H24" i="3"/>
  <c r="H23" i="3"/>
  <c r="H14" i="3"/>
  <c r="H15" i="3"/>
  <c r="H22" i="3"/>
  <c r="H16" i="3"/>
  <c r="H18" i="3"/>
  <c r="H17" i="3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G2" i="1" l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<sst xmlns="http://schemas.openxmlformats.org/spreadsheetml/2006/main" count="103" uniqueCount="81">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</sst>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scheme val="minor"/>
    </font>
    <font>
      <sz val="11"/>
      <color theme="0" tint="-0.34998626667073579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0" borderId="1" xfId="0" applyFont="1" applyBorder="1"/>
    <xf numFmtId="0" fontId="5" fillId="0" borderId="2" xfId="0" applyFont="1" applyBorder="1"/>
    <xf numFmtId="0" fontId="5" fillId="3" borderId="3" xfId="0" applyFont="1" applyFill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12" xfId="0" applyBorder="1"/>
    <xf numFmtId="0" fontId="0" fillId="0" borderId="6" xfId="0" applyBorder="1"/>
    <xf numFmtId="9" fontId="0" fillId="0" borderId="7" xfId="1" applyFont="1" applyBorder="1"/>
    <xf numFmtId="0" fontId="0" fillId="0" borderId="8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5" fillId="0" borderId="12" xfId="0" applyFont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</cellXfs>
  <cellStyles count="2">
    <cellStyle name="Normal" xfId="0" builtinId="0"/>
    <cellStyle name="Percent" xfId="1" builtinId="5"/>
  </cellStyles>
  <dxfs count="88"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886.50239214473925</c:v>
                </c:pt>
                <c:pt idx="2">
                  <c:v>1237.857330575074</c:v>
                </c:pt>
                <c:pt idx="3">
                  <c:v>1372.8242603550295</c:v>
                </c:pt>
                <c:pt idx="4">
                  <c:v>1427.4278106508875</c:v>
                </c:pt>
                <c:pt idx="5">
                  <c:v>1471.1106508875739</c:v>
                </c:pt>
                <c:pt idx="6">
                  <c:v>1503.8727810650887</c:v>
                </c:pt>
                <c:pt idx="7">
                  <c:v>1525.7142011834319</c:v>
                </c:pt>
                <c:pt idx="8">
                  <c:v>1536.6349112426035</c:v>
                </c:pt>
                <c:pt idx="9">
                  <c:v>1533.4040056568438</c:v>
                </c:pt>
                <c:pt idx="10">
                  <c:v>1521.4544203646369</c:v>
                </c:pt>
                <c:pt idx="11">
                  <c:v>1505.8280395979054</c:v>
                </c:pt>
                <c:pt idx="12">
                  <c:v>1486.5248633566487</c:v>
                </c:pt>
                <c:pt idx="13">
                  <c:v>1475.4944769330734</c:v>
                </c:pt>
                <c:pt idx="14">
                  <c:v>1463.5448916408668</c:v>
                </c:pt>
                <c:pt idx="15">
                  <c:v>1424.6677036199094</c:v>
                </c:pt>
                <c:pt idx="16">
                  <c:v>1385.1011029411764</c:v>
                </c:pt>
                <c:pt idx="17">
                  <c:v>1344.8955344332855</c:v>
                </c:pt>
                <c:pt idx="18">
                  <c:v>1304.0966386554621</c:v>
                </c:pt>
                <c:pt idx="19">
                  <c:v>1157.2455239922192</c:v>
                </c:pt>
                <c:pt idx="20">
                  <c:v>716.69218000249055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886.50239214473925</c:v>
                </c:pt>
                <c:pt idx="2">
                  <c:v>1237.857330575074</c:v>
                </c:pt>
                <c:pt idx="3">
                  <c:v>1372.8242603550295</c:v>
                </c:pt>
                <c:pt idx="4">
                  <c:v>1427.4278106508875</c:v>
                </c:pt>
                <c:pt idx="5">
                  <c:v>1471.1106508875739</c:v>
                </c:pt>
                <c:pt idx="6">
                  <c:v>1503.8727810650887</c:v>
                </c:pt>
                <c:pt idx="7">
                  <c:v>1525.7142011834319</c:v>
                </c:pt>
                <c:pt idx="8">
                  <c:v>1536.6349112426035</c:v>
                </c:pt>
                <c:pt idx="9">
                  <c:v>1533.4040056568438</c:v>
                </c:pt>
                <c:pt idx="10">
                  <c:v>1521.4544203646369</c:v>
                </c:pt>
                <c:pt idx="11">
                  <c:v>1505.8280395979054</c:v>
                </c:pt>
                <c:pt idx="12">
                  <c:v>1486.5248633566487</c:v>
                </c:pt>
                <c:pt idx="13">
                  <c:v>1475.4944769330734</c:v>
                </c:pt>
                <c:pt idx="14">
                  <c:v>1463.5448916408668</c:v>
                </c:pt>
                <c:pt idx="15">
                  <c:v>1424.6677036199094</c:v>
                </c:pt>
                <c:pt idx="16">
                  <c:v>1385.1011029411764</c:v>
                </c:pt>
                <c:pt idx="17">
                  <c:v>1344.8955344332855</c:v>
                </c:pt>
                <c:pt idx="18">
                  <c:v>1304.0966386554621</c:v>
                </c:pt>
                <c:pt idx="19">
                  <c:v>1157.2455239922192</c:v>
                </c:pt>
                <c:pt idx="20">
                  <c:v>716.69218000249055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89432"/>
        <c:axId val="4739882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44.185878393811095</c:v>
                </c:pt>
                <c:pt idx="2">
                  <c:v>123.39687735156761</c:v>
                </c:pt>
                <c:pt idx="3">
                  <c:v>175.95150729576503</c:v>
                </c:pt>
                <c:pt idx="4">
                  <c:v>203.27767774714209</c:v>
                </c:pt>
                <c:pt idx="5">
                  <c:v>230.44832813903778</c:v>
                </c:pt>
                <c:pt idx="6">
                  <c:v>256.99689829300786</c:v>
                </c:pt>
                <c:pt idx="7">
                  <c:v>282.45682803060816</c:v>
                </c:pt>
                <c:pt idx="8">
                  <c:v>306.36155717339449</c:v>
                </c:pt>
                <c:pt idx="9">
                  <c:v>327.55436351203787</c:v>
                </c:pt>
                <c:pt idx="10">
                  <c:v>346.66856740454972</c:v>
                </c:pt>
                <c:pt idx="11">
                  <c:v>364.55229607857143</c:v>
                </c:pt>
                <c:pt idx="12">
                  <c:v>381.04846759131686</c:v>
                </c:pt>
                <c:pt idx="13">
                  <c:v>388.72713130509032</c:v>
                </c:pt>
                <c:pt idx="14">
                  <c:v>396</c:v>
                </c:pt>
                <c:pt idx="15">
                  <c:v>395.62499999999994</c:v>
                </c:pt>
                <c:pt idx="16">
                  <c:v>394.49999999999994</c:v>
                </c:pt>
                <c:pt idx="17">
                  <c:v>392.625</c:v>
                </c:pt>
                <c:pt idx="18">
                  <c:v>390</c:v>
                </c:pt>
                <c:pt idx="19">
                  <c:v>354.3231321626439</c:v>
                </c:pt>
                <c:pt idx="20" formatCode="0">
                  <c:v>224.53853430025674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44.185878393811095</c:v>
                </c:pt>
                <c:pt idx="2">
                  <c:v>123.39687735156761</c:v>
                </c:pt>
                <c:pt idx="3">
                  <c:v>175.95150729576503</c:v>
                </c:pt>
                <c:pt idx="4">
                  <c:v>203.27767774714209</c:v>
                </c:pt>
                <c:pt idx="5">
                  <c:v>230.44832813903778</c:v>
                </c:pt>
                <c:pt idx="6">
                  <c:v>256.99689829300786</c:v>
                </c:pt>
                <c:pt idx="7">
                  <c:v>282.45682803060816</c:v>
                </c:pt>
                <c:pt idx="8">
                  <c:v>306.36155717339449</c:v>
                </c:pt>
                <c:pt idx="9">
                  <c:v>327.55436351203787</c:v>
                </c:pt>
                <c:pt idx="10">
                  <c:v>346.66856740454972</c:v>
                </c:pt>
                <c:pt idx="11">
                  <c:v>364.55229607857143</c:v>
                </c:pt>
                <c:pt idx="12">
                  <c:v>381.04846759131686</c:v>
                </c:pt>
                <c:pt idx="13">
                  <c:v>388.72713130509032</c:v>
                </c:pt>
                <c:pt idx="14">
                  <c:v>396</c:v>
                </c:pt>
                <c:pt idx="15">
                  <c:v>395.62499999999994</c:v>
                </c:pt>
                <c:pt idx="16">
                  <c:v>394.49999999999994</c:v>
                </c:pt>
                <c:pt idx="17">
                  <c:v>392.625</c:v>
                </c:pt>
                <c:pt idx="18">
                  <c:v>390</c:v>
                </c:pt>
                <c:pt idx="19">
                  <c:v>354.3231321626439</c:v>
                </c:pt>
                <c:pt idx="20" formatCode="0">
                  <c:v>224.53853430025674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76888"/>
        <c:axId val="473989824"/>
      </c:scatterChart>
      <c:valAx>
        <c:axId val="473989432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8256"/>
        <c:crosses val="autoZero"/>
        <c:crossBetween val="midCat"/>
        <c:majorUnit val="250"/>
      </c:valAx>
      <c:valAx>
        <c:axId val="4739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9432"/>
        <c:crosses val="autoZero"/>
        <c:crossBetween val="midCat"/>
      </c:valAx>
      <c:valAx>
        <c:axId val="4739898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6888"/>
        <c:crosses val="max"/>
        <c:crossBetween val="midCat"/>
      </c:valAx>
      <c:valAx>
        <c:axId val="473976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739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270.14201183431942</c:v>
                </c:pt>
                <c:pt idx="1">
                  <c:v>242.47682445759364</c:v>
                </c:pt>
                <c:pt idx="2">
                  <c:v>223.26824457593685</c:v>
                </c:pt>
                <c:pt idx="3">
                  <c:v>216.08875739644969</c:v>
                </c:pt>
                <c:pt idx="4">
                  <c:v>213.53451676528599</c:v>
                </c:pt>
                <c:pt idx="5">
                  <c:v>211.67061143984222</c:v>
                </c:pt>
                <c:pt idx="6">
                  <c:v>210.49704142011834</c:v>
                </c:pt>
                <c:pt idx="7">
                  <c:v>210.01380670611439</c:v>
                </c:pt>
                <c:pt idx="8">
                  <c:v>210.24545255314487</c:v>
                </c:pt>
                <c:pt idx="9">
                  <c:v>211.24260355029585</c:v>
                </c:pt>
                <c:pt idx="10">
                  <c:v>213.00679377602455</c:v>
                </c:pt>
                <c:pt idx="11">
                  <c:v>215.53802323033091</c:v>
                </c:pt>
                <c:pt idx="12">
                  <c:v>218.83629191321498</c:v>
                </c:pt>
                <c:pt idx="13">
                  <c:v>220.77306596537366</c:v>
                </c:pt>
                <c:pt idx="14">
                  <c:v>222.90159982467674</c:v>
                </c:pt>
                <c:pt idx="15">
                  <c:v>225.22189349112426</c:v>
                </c:pt>
                <c:pt idx="16">
                  <c:v>227.73394696471618</c:v>
                </c:pt>
                <c:pt idx="17">
                  <c:v>230.43776024545252</c:v>
                </c:pt>
                <c:pt idx="18">
                  <c:v>233.33333333333331</c:v>
                </c:pt>
                <c:pt idx="19">
                  <c:v>248.55408586904659</c:v>
                </c:pt>
                <c:pt idx="20">
                  <c:v>319.43491199545491</c:v>
                </c:pt>
                <c:pt idx="21">
                  <c:v>466.66666666666663</c:v>
                </c:pt>
                <c:pt idx="22">
                  <c:v>466.66666666666663</c:v>
                </c:pt>
                <c:pt idx="23">
                  <c:v>466.66666666666663</c:v>
                </c:pt>
                <c:pt idx="24">
                  <c:v>466.66666666666663</c:v>
                </c:pt>
                <c:pt idx="25">
                  <c:v>466.66666666666663</c:v>
                </c:pt>
                <c:pt idx="26">
                  <c:v>466.66666666666663</c:v>
                </c:pt>
                <c:pt idx="27">
                  <c:v>466.66666666666663</c:v>
                </c:pt>
                <c:pt idx="28">
                  <c:v>466.66666666666663</c:v>
                </c:pt>
                <c:pt idx="29">
                  <c:v>466.66666666666663</c:v>
                </c:pt>
                <c:pt idx="30">
                  <c:v>466.66666666666663</c:v>
                </c:pt>
                <c:pt idx="31">
                  <c:v>466.66666666666663</c:v>
                </c:pt>
                <c:pt idx="32">
                  <c:v>466.66666666666663</c:v>
                </c:pt>
                <c:pt idx="33">
                  <c:v>466.66666666666663</c:v>
                </c:pt>
                <c:pt idx="34">
                  <c:v>466.66666666666663</c:v>
                </c:pt>
                <c:pt idx="35">
                  <c:v>466.66666666666663</c:v>
                </c:pt>
                <c:pt idx="36">
                  <c:v>466.66666666666663</c:v>
                </c:pt>
                <c:pt idx="37">
                  <c:v>466.66666666666663</c:v>
                </c:pt>
                <c:pt idx="38">
                  <c:v>466.66666666666663</c:v>
                </c:pt>
                <c:pt idx="39">
                  <c:v>466.66666666666663</c:v>
                </c:pt>
                <c:pt idx="40">
                  <c:v>466.66666666666663</c:v>
                </c:pt>
                <c:pt idx="41">
                  <c:v>466.66666666666663</c:v>
                </c:pt>
                <c:pt idx="42">
                  <c:v>466.66666666666663</c:v>
                </c:pt>
                <c:pt idx="43">
                  <c:v>466.66666666666663</c:v>
                </c:pt>
                <c:pt idx="44">
                  <c:v>466.66666666666663</c:v>
                </c:pt>
                <c:pt idx="45">
                  <c:v>466.66666666666663</c:v>
                </c:pt>
                <c:pt idx="46">
                  <c:v>466.66666666666663</c:v>
                </c:pt>
                <c:pt idx="47">
                  <c:v>466.66666666666663</c:v>
                </c:pt>
                <c:pt idx="48">
                  <c:v>466.66666666666663</c:v>
                </c:pt>
                <c:pt idx="49">
                  <c:v>466.66666666666663</c:v>
                </c:pt>
                <c:pt idx="50">
                  <c:v>466.66666666666663</c:v>
                </c:pt>
                <c:pt idx="51">
                  <c:v>466.66666666666663</c:v>
                </c:pt>
                <c:pt idx="52">
                  <c:v>466.66666666666663</c:v>
                </c:pt>
                <c:pt idx="53">
                  <c:v>466.66666666666663</c:v>
                </c:pt>
                <c:pt idx="54">
                  <c:v>466.66666666666663</c:v>
                </c:pt>
                <c:pt idx="55">
                  <c:v>466.66666666666663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84336"/>
        <c:axId val="473985120"/>
      </c:scatterChart>
      <c:valAx>
        <c:axId val="473984336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5120"/>
        <c:crosses val="autoZero"/>
        <c:crossBetween val="midCat"/>
        <c:majorUnit val="250"/>
      </c:valAx>
      <c:valAx>
        <c:axId val="473985120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4336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81200"/>
        <c:axId val="473984728"/>
      </c:scatterChart>
      <c:valAx>
        <c:axId val="473981200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4728"/>
        <c:crosses val="autoZero"/>
        <c:crossBetween val="midCat"/>
      </c:valAx>
      <c:valAx>
        <c:axId val="4739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78456"/>
        <c:axId val="473986688"/>
      </c:scatterChart>
      <c:valAx>
        <c:axId val="47397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6688"/>
        <c:crosses val="autoZero"/>
        <c:crossBetween val="midCat"/>
      </c:valAx>
      <c:valAx>
        <c:axId val="4739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86296"/>
        <c:axId val="473974928"/>
      </c:scatterChart>
      <c:valAx>
        <c:axId val="47398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4928"/>
        <c:crosses val="autoZero"/>
        <c:crossBetween val="midCat"/>
      </c:valAx>
      <c:valAx>
        <c:axId val="4739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30</xdr:row>
      <xdr:rowOff>66676</xdr:rowOff>
    </xdr:from>
    <xdr:to>
      <xdr:col>65</xdr:col>
      <xdr:colOff>276226</xdr:colOff>
      <xdr:row>43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87" dataDxfId="86">
  <tableColumns count="25">
    <tableColumn id="1" name="rpm" dataDxfId="85"/>
    <tableColumn id="7" name="rawData" dataDxfId="84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83"/>
    <tableColumn id="12" name="rawDataEco" dataDxfId="82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1"/>
    <tableColumn id="4" name="motor" dataDxfId="80">
      <calculatedColumnFormula>Table36[Factor]*IF(Table15[[#This Row],[manualData]]&gt;0,Table15[[#This Row],[manualData]],Table15[[#This Row],[rawData]])</calculatedColumnFormula>
    </tableColumn>
    <tableColumn id="14" name="motorEco" dataDxfId="79">
      <calculatedColumnFormula>Table36[Factor]*IF(Table15[[#This Row],[manDataEco]]&gt;0,Table15[[#This Row],[manDataEco]],Table15[[#This Row],[rawDataEco]])</calculatedColumnFormula>
    </tableColumn>
    <tableColumn id="3" name="ps" dataDxfId="78">
      <calculatedColumnFormula>1.36*Table15[[#This Row],[rpm]]*Table15[[#This Row],[motor]]/9550</calculatedColumnFormula>
    </tableColumn>
    <tableColumn id="13" name="psEco" dataDxfId="77">
      <calculatedColumnFormula>1.36*Table15[[#This Row],[rpm]]*Table15[[#This Row],[motorEco]]/9550</calculatedColumnFormula>
    </tableColumn>
    <tableColumn id="10" name="fuelUsageRatio" dataDxfId="76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75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74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73">
      <calculatedColumnFormula>(1-(1-Table15[[#This Row],[rpm]]/Table36[idleRpm])^2)*Table7[idleT]</calculatedColumnFormula>
    </tableColumn>
    <tableColumn id="18" name="t2" dataDxfId="72">
      <calculatedColumnFormula>MAX(0,(1-Table7[f1]*(Table36[maxTRpm1]-Table15[[#This Row],[rpm]])^2)*Table36[maxT])</calculatedColumnFormula>
    </tableColumn>
    <tableColumn id="19" name="t3" dataDxfId="71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0">
      <calculatedColumnFormula>MAX(0,(Table36[maxPS]-Table7[f4]*(Table15[[#This Row],[rpm]]-Table36[maxPRpm])^2)/1.36*9550/MAX(1,Table15[[#This Row],[rpm]]))</calculatedColumnFormula>
    </tableColumn>
    <tableColumn id="17" name="t5" dataDxfId="69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68">
      <calculatedColumnFormula>(1-(1-Table15[[#This Row],[rpm]]/Table36[idleRpm])^2)*Table7[idleTEco]</calculatedColumnFormula>
    </tableColumn>
    <tableColumn id="22" name="t2E" dataDxfId="67">
      <calculatedColumnFormula>MAX(0,(1-Table7[f1]*(Table36[maxTRpm1]-Table15[[#This Row],[rpm]])^2)*Table36[maxTEco])</calculatedColumnFormula>
    </tableColumn>
    <tableColumn id="23" name="t3E" dataDxfId="66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65">
      <calculatedColumnFormula>MAX(0,(Table36[maxPSEco]-Table7[f4Eco]*(Table15[[#This Row],[rpm]]-Table36[maxPRpm])^2)/1.36*9550/MAX(1,Table15[[#This Row],[rpm]]))</calculatedColumnFormula>
    </tableColumn>
    <tableColumn id="25" name="t5E" dataDxfId="64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63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62"/>
    <tableColumn id="20" name="deltaEco" dataDxfId="61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Z2" totalsRowShown="0" headerRowDxfId="60">
  <autoFilter ref="A1:Z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6">
    <tableColumn id="10" name="maxPRpm" dataDxfId="59"/>
    <tableColumn id="14" name="maxPS" dataDxfId="58"/>
    <tableColumn id="19" name="maxPSEco" dataDxfId="57">
      <calculatedColumnFormula>Table36[maxPS]*Table36[maxPsEcoRate]</calculatedColumnFormula>
    </tableColumn>
    <tableColumn id="2" name="ratedRpm"/>
    <tableColumn id="3" name="PS"/>
    <tableColumn id="20" name="PSEco" dataDxfId="56">
      <calculatedColumnFormula>Table36[PS]*Table36[PSEcoRate]</calculatedColumnFormula>
    </tableColumn>
    <tableColumn id="12" name="maxTRpm1" dataDxfId="55"/>
    <tableColumn id="4" name="maxTRpm" dataDxfId="54"/>
    <tableColumn id="5" name="maxT" dataDxfId="53"/>
    <tableColumn id="21" name="maxTEco" dataDxfId="52">
      <calculatedColumnFormula>Table36[maxT]*Table36[NmEcoRate]</calculatedColumnFormula>
    </tableColumn>
    <tableColumn id="6" name="idleRpm"/>
    <tableColumn id="7" name="idleRatio" dataCellStyle="Percent"/>
    <tableColumn id="11" name="fadeOut" dataDxfId="51"/>
    <tableColumn id="15" name="linearDown" dataDxfId="50"/>
    <tableColumn id="25" name="fadeOutExp" dataDxfId="49"/>
    <tableColumn id="22" name="Efficiency" dataDxfId="48"/>
    <tableColumn id="16" name="Factor" dataDxfId="47"/>
    <tableColumn id="13" name="fuelMinRate" dataDxfId="46"/>
    <tableColumn id="18" name="fuelRatedRate" dataDxfId="45">
      <calculatedColumnFormula>Table36[fuelMinRate]/0.9</calculatedColumnFormula>
    </tableColumn>
    <tableColumn id="9" name="fuelMinRpm" dataDxfId="44">
      <calculatedColumnFormula>ROUND(MIN(0.6*Table36[idleRpm]+0.4*Table36[ratedRpm],0.5*Table36[maxTRpm1]+0.5*Table36[maxTRpm]),-1)</calculatedColumnFormula>
    </tableColumn>
    <tableColumn id="17" name="fuelIdleRate" dataDxfId="43">
      <calculatedColumnFormula>0.94*Table36[fuelRatedRate]</calculatedColumnFormula>
    </tableColumn>
    <tableColumn id="1" name="normRpm" dataDxfId="42">
      <calculatedColumnFormula>ROUND(Table36[ratedRpm]+0.49*Table36[fadeOut],-2)</calculatedColumnFormula>
    </tableColumn>
    <tableColumn id="8" name="PSEcoRate" dataDxfId="41"/>
    <tableColumn id="23" name="NmEcoRate"/>
    <tableColumn id="24" name="maxPsEcoRate" dataDxfId="40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38" dataDxfId="37">
  <tableColumns count="23">
    <tableColumn id="1" name="f1" dataDxfId="36">
      <calculatedColumnFormula>(1-Table36[idleRatio])/((Table36[maxTRpm1]-Table36[idleRpm])^2)</calculatedColumnFormula>
    </tableColumn>
    <tableColumn id="2" name="f2" dataDxfId="35">
      <calculatedColumnFormula>(Table36[maxT]-Table7[Nm])/Table36[maxT]/(Table36[maxPRpm]-Table36[maxTRpm])</calculatedColumnFormula>
    </tableColumn>
    <tableColumn id="5" name="f3" dataDxfId="34">
      <calculatedColumnFormula>(Table36[maxT]-Table7[Nm])/Table36[maxT]/(Table36[maxPRpm]-Table36[maxTRpm])^2</calculatedColumnFormula>
    </tableColumn>
    <tableColumn id="6" name="f4" dataDxfId="33">
      <calculatedColumnFormula>(Table36[maxPS]-Table36[PS])/MAX(1,Table36[ratedRpm]-Table36[maxPRpm])^2</calculatedColumnFormula>
    </tableColumn>
    <tableColumn id="3" name="Nm" dataDxfId="32">
      <calculatedColumnFormula>Table36[maxPS]/1.36*9550/Table36[maxPRpm]</calculatedColumnFormula>
    </tableColumn>
    <tableColumn id="4" name="Nm2" dataDxfId="31">
      <calculatedColumnFormula>Table36[PS]/1.36*9550/Table36[ratedRpm]</calculatedColumnFormula>
    </tableColumn>
    <tableColumn id="7" name="Anfahrmoment" dataDxfId="30" dataCellStyle="Percent">
      <calculatedColumnFormula>Table7[Nm1000]/Table7[Nm2]</calculatedColumnFormula>
    </tableColumn>
    <tableColumn id="17" name="AnstiegE" dataDxfId="29" dataCellStyle="Percent">
      <calculatedColumnFormula>Table36[maxTEco]/Table7[Nm2Eco]-1</calculatedColumnFormula>
    </tableColumn>
    <tableColumn id="14" name="Anstieg" dataDxfId="28" dataCellStyle="Percent">
      <calculatedColumnFormula>Table36[maxT]/Table7[Nm2]-1</calculatedColumnFormula>
    </tableColumn>
    <tableColumn id="15" name="Abfall" dataDxfId="27" dataCellStyle="Percent">
      <calculatedColumnFormula>1-Table36[maxTRpm]/Table36[ratedRpm]</calculatedColumnFormula>
    </tableColumn>
    <tableColumn id="20" name="max kW" dataDxfId="26" dataCellStyle="Percent">
      <calculatedColumnFormula>Table36[maxPS]/1.36</calculatedColumnFormula>
    </tableColumn>
    <tableColumn id="18" name="rated kW" dataDxfId="25" dataCellStyle="Percent">
      <calculatedColumnFormula>Table36[PS]/1.36</calculatedColumnFormula>
    </tableColumn>
    <tableColumn id="23" name="max g/kWh" dataDxfId="24" dataCellStyle="Percent">
      <calculatedColumnFormula>Table36[fuelRatedRate]*1.1</calculatedColumnFormula>
    </tableColumn>
    <tableColumn id="16" name="Nm1000" dataDxfId="23" dataCellStyle="Percent">
      <calculatedColumnFormula>(1-Table7[f1]*(Table36[maxTRpm1]-1000)^2)*Table36[maxTEco]</calculatedColumnFormula>
    </tableColumn>
    <tableColumn id="8" name="NmEco" dataDxfId="22">
      <calculatedColumnFormula>Table36[maxPSEco]/1.36*9550/Table36[maxPRpm]</calculatedColumnFormula>
    </tableColumn>
    <tableColumn id="9" name="Nm2Eco" dataDxfId="21">
      <calculatedColumnFormula>Table36[PSEco]/1.36*9550/Table36[ratedRpm]</calculatedColumnFormula>
    </tableColumn>
    <tableColumn id="12" name="f2Eco" dataDxfId="20">
      <calculatedColumnFormula>(Table36[maxTEco]-Table7[NmEco])/Table36[maxTEco]/(Table36[maxPRpm]-Table36[maxTRpm])</calculatedColumnFormula>
    </tableColumn>
    <tableColumn id="10" name="f3Eco" dataDxfId="19">
      <calculatedColumnFormula>(Table36[maxTEco]-Table7[NmEco])/Table36[maxTEco]/(Table36[maxPRpm]-Table36[maxTRpm])^2</calculatedColumnFormula>
    </tableColumn>
    <tableColumn id="11" name="f4Eco" dataDxfId="18">
      <calculatedColumnFormula>(Table36[maxPSEco]-Table36[PSEco])/MAX(1,Table36[ratedRpm]-Table36[maxPRpm])^2</calculatedColumnFormula>
    </tableColumn>
    <tableColumn id="13" name="idleT" dataDxfId="17">
      <calculatedColumnFormula>(1-Table7[f1]*(Table36[maxTRpm1]-Table36[idleRpm])^2)*Table36[maxT]</calculatedColumnFormula>
    </tableColumn>
    <tableColumn id="19" name="idleTEco" dataDxfId="16">
      <calculatedColumnFormula>(1-Table7[f1]*(Table36[maxTRpm1]-Table36[idleRpm])^2)*Table36[maxTEco]</calculatedColumnFormula>
    </tableColumn>
    <tableColumn id="21" name="xmlComment" dataDxfId="1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3">
      <calculatedColumnFormula>A2*C2/9550</calculatedColumnFormula>
    </tableColumn>
    <tableColumn id="3" name="ps" dataDxfId="12">
      <calculatedColumnFormula>Table1[[#This Row],[kw_pto]]*1.36/0.94</calculatedColumnFormula>
    </tableColumn>
    <tableColumn id="4" name="motor"/>
    <tableColumn id="5" name="xml" dataDxfId="11">
      <calculatedColumnFormula>CONCATENATE("&lt;torque rpm=""",Table1[[#This Row],[rpm]],""" motorTorque=""",ROUND(Table1[[#This Row],[motor]],0),"""/&gt;")</calculatedColumnFormula>
    </tableColumn>
    <tableColumn id="8" name="xml2" dataDxfId="1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9" tableBorderDxfId="8">
  <tableColumns count="9">
    <tableColumn id="1" name="maxPRpm" dataDxfId="7"/>
    <tableColumn id="2" name="maxPS" dataDxfId="6"/>
    <tableColumn id="4" name="ratedRpm" dataDxfId="5"/>
    <tableColumn id="5" name="PS" dataDxfId="4"/>
    <tableColumn id="7" name="maxTRpm1" dataDxfId="3"/>
    <tableColumn id="8" name="maxTRpm" dataDxfId="2"/>
    <tableColumn id="9" name="maxT" dataDxfId="1"/>
    <tableColumn id="11" name="idleRpm" dataDxfId="0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62"/>
  <sheetViews>
    <sheetView tabSelected="1" workbookViewId="0">
      <selection activeCell="B2" sqref="B2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6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  <c r="Z1" s="4" t="s">
        <v>74</v>
      </c>
    </row>
    <row r="2" spans="1:26" ht="15.75" thickBot="1" x14ac:dyDescent="0.3">
      <c r="A2" s="12">
        <v>1900</v>
      </c>
      <c r="B2" s="13">
        <v>396</v>
      </c>
      <c r="C2" s="17">
        <f>Table36[maxPS]*Table36[maxPsEcoRate]</f>
        <v>396</v>
      </c>
      <c r="D2" s="7">
        <v>2100</v>
      </c>
      <c r="E2" s="8">
        <v>390</v>
      </c>
      <c r="F2" s="18">
        <f>Table36[PS]*Table36[PSEcoRate]</f>
        <v>390</v>
      </c>
      <c r="G2" s="12">
        <v>1450</v>
      </c>
      <c r="H2" s="13">
        <v>1450</v>
      </c>
      <c r="I2" s="13">
        <v>1538</v>
      </c>
      <c r="J2" s="17">
        <f>Table36[maxT]*Table36[NmEcoRate]</f>
        <v>1538</v>
      </c>
      <c r="K2" s="27">
        <v>800</v>
      </c>
      <c r="L2" s="28">
        <v>0.85</v>
      </c>
      <c r="M2" s="29">
        <v>149</v>
      </c>
      <c r="N2" s="12">
        <v>0.5</v>
      </c>
      <c r="O2" s="13">
        <v>2</v>
      </c>
      <c r="P2" s="13">
        <v>0.98</v>
      </c>
      <c r="Q2" s="14">
        <v>1</v>
      </c>
      <c r="R2" s="26">
        <v>210</v>
      </c>
      <c r="S2" s="15">
        <f>Table36[fuelMinRate]/0.9</f>
        <v>233.33333333333331</v>
      </c>
      <c r="T2" s="16">
        <f>ROUND(MIN(0.6*Table36[idleRpm]+0.4*Table36[ratedRpm],0.5*Table36[maxTRpm1]+0.5*Table36[maxTRpm]),-1)</f>
        <v>1320</v>
      </c>
      <c r="U2" s="18">
        <f>0.94*Table36[fuelRatedRate]</f>
        <v>219.33333333333331</v>
      </c>
      <c r="V2" s="15">
        <f>ROUND(Table36[ratedRpm]+0.49*Table36[fadeOut],-2)</f>
        <v>2200</v>
      </c>
      <c r="W2" s="7">
        <v>1</v>
      </c>
      <c r="X2" s="9">
        <v>1</v>
      </c>
      <c r="Y2" s="35">
        <f>Table36[PSEcoRate]* (Table36[maxPRpm]-Table36[maxTRpm])/(Table36[ratedRpm]-Table36[maxTRpm]) + Table36[NmEcoRate]* (1- (Table36[maxPRpm]-Table36[maxTRpm])/(Table36[ratedRpm]-Table36[maxTRpm]))</f>
        <v>1</v>
      </c>
      <c r="Z2" s="26">
        <v>0.02</v>
      </c>
    </row>
    <row r="3" spans="1:26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69</v>
      </c>
      <c r="L3" s="23" t="s">
        <v>70</v>
      </c>
      <c r="M3" s="24" t="s">
        <v>71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  <c r="W3" s="36" t="s">
        <v>76</v>
      </c>
    </row>
    <row r="4" spans="1:26" ht="15.75" thickBot="1" x14ac:dyDescent="0.3">
      <c r="A4" s="11">
        <f>(1-Table36[idleRatio])/((Table36[maxTRpm1]-Table36[idleRpm])^2)</f>
        <v>3.550295857988166E-7</v>
      </c>
      <c r="B4" s="11">
        <f>(Table36[maxT]-Table7[Nm])/Table36[maxT]/(Table36[maxPRpm]-Table36[maxTRpm])</f>
        <v>1.0757854119221671E-4</v>
      </c>
      <c r="C4" s="11">
        <f>(Table36[maxT]-Table7[Nm])/Table36[maxT]/(Table36[maxPRpm]-Table36[maxTRpm])^2</f>
        <v>2.3906342487159272E-7</v>
      </c>
      <c r="D4" s="11">
        <f>(Table36[maxPS]-Table36[PS])/MAX(1,Table36[ratedRpm]-Table36[maxPRpm])^2</f>
        <v>1.4999999999999999E-4</v>
      </c>
      <c r="E4" s="11">
        <f>Table36[maxPS]/1.36*9550/Table36[maxPRpm]</f>
        <v>1463.5448916408668</v>
      </c>
      <c r="F4" s="11">
        <f>Table36[PS]/1.36*9550/Table36[ratedRpm]</f>
        <v>1304.0966386554621</v>
      </c>
      <c r="G4" s="21">
        <f>Table7[Nm1000]/Table7[Nm2]</f>
        <v>1.0945721109461497</v>
      </c>
      <c r="H4" s="34">
        <f>Table36[maxTEco]/Table7[Nm2Eco]-1</f>
        <v>0.17936045106725751</v>
      </c>
      <c r="I4" s="34">
        <f>Table36[maxT]/Table7[Nm2]-1</f>
        <v>0.17936045106725751</v>
      </c>
      <c r="J4" s="34">
        <f>1-Table36[maxTRpm]/Table36[ratedRpm]</f>
        <v>0.30952380952380953</v>
      </c>
      <c r="K4" s="30">
        <f>Table36[maxPS]/1.36</f>
        <v>291.17647058823525</v>
      </c>
      <c r="L4" s="31">
        <f>Table36[PS]/1.36</f>
        <v>286.76470588235293</v>
      </c>
      <c r="M4" s="32">
        <f>Table36[fuelRatedRate]*1.1</f>
        <v>256.66666666666669</v>
      </c>
      <c r="N4" s="11">
        <f>(1-Table7[f1]*(Table36[maxTRpm1]-1000)^2)*Table36[maxTEco]</f>
        <v>1427.4278106508875</v>
      </c>
      <c r="O4" s="11">
        <f>Table36[maxPSEco]/1.36*9550/Table36[maxPRpm]</f>
        <v>1463.5448916408668</v>
      </c>
      <c r="P4" s="11">
        <f>Table36[PSEco]/1.36*9550/Table36[ratedRpm]</f>
        <v>1304.0966386554621</v>
      </c>
      <c r="Q4" s="11">
        <f>(Table36[maxTEco]-Table7[NmEco])/Table36[maxTEco]/(Table36[maxPRpm]-Table36[maxTRpm])</f>
        <v>1.0757854119221671E-4</v>
      </c>
      <c r="R4" s="11">
        <f>(Table36[maxTEco]-Table7[NmEco])/Table36[maxTEco]/(Table36[maxPRpm]-Table36[maxTRpm])^2</f>
        <v>2.3906342487159272E-7</v>
      </c>
      <c r="S4" s="11">
        <f>(Table36[maxPSEco]-Table36[PSEco])/MAX(1,Table36[ratedRpm]-Table36[maxPRpm])^2</f>
        <v>1.4999999999999999E-4</v>
      </c>
      <c r="T4" s="11">
        <f>(1-Table7[f1]*(Table36[maxTRpm1]-Table36[idleRpm])^2)*Table36[maxT]</f>
        <v>1307.3</v>
      </c>
      <c r="U4" s="11">
        <f>(1-Table7[f1]*(Table36[maxTRpm1]-Table36[idleRpm])^2)*Table36[maxTEco]</f>
        <v>1307.3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&lt;!-- 1900: 396(396) | 2100: 390(390) | 1450..1450: 1538(1538) | 85 | 0.5 | 149 | 2 | 2200 | 1320: 210 --&gt;</v>
      </c>
      <c r="W4" s="36">
        <f>MAX(Table15[deltaEco])</f>
        <v>0</v>
      </c>
    </row>
    <row r="6" spans="1:26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6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5">
        <f>1.36*Table15[[#This Row],[rpm]]*Table15[[#This Row],[motor]]/9550</f>
        <v>0</v>
      </c>
      <c r="I7" s="25">
        <f>1.36*Table15[[#This Row],[rpm]]*Table15[[#This Row],[motorEco]]/9550</f>
        <v>0</v>
      </c>
      <c r="J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270.14201183431942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&lt;!-- 1900: 396(396) | 2100: 390(390) | 1450..1450: 1538(1538) | 85 | 0.5 | 149 | 2 | 2200 | 1320: 210 --&gt;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&lt;!-- 1900: 396(396) | 2100: 390(390) | 1450..1450: 1538(1538) | 85 | 0.5 | 149 | 2 | 2200 | 1320: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389.96035502958563</v>
      </c>
      <c r="O7" s="3">
        <f>MAX(0,(Table36[linearDown]*(1-Table7[f2]*(Table15[[#This Row],[rpm]]-Table36[maxTRpm]))+(1-Table36[linearDown])*(1-Table7[f3]*(Table15[[#This Row],[rpm]]-Table36[maxTRpm])^2))*Table36[maxT])</f>
        <v>1271.4323280969306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1304.0966386554621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389.96035502958563</v>
      </c>
      <c r="T7" s="3">
        <f>MAX(0,(Table36[linearDown]*(1-Table7[f2Eco]*(Table15[[#This Row],[rpm]]-Table36[maxTRpm]))+(1-Table36[linearDown])*(1-Table7[f3Eco]*(Table15[[#This Row],[rpm]]-Table36[maxTRpm])^2))*Table36[maxTEco])</f>
        <v>1271.4323280969306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1304.0966386554621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6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886.50239214473925</v>
      </c>
      <c r="C8" s="20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886.50239214473925</v>
      </c>
      <c r="E8" s="20"/>
      <c r="F8" s="3">
        <f>Table36[Factor]*IF(Table15[[#This Row],[manualData]]&gt;0,Table15[[#This Row],[manualData]],Table15[[#This Row],[rawData]])</f>
        <v>886.50239214473925</v>
      </c>
      <c r="G8" s="3">
        <f>Table36[Factor]*IF(Table15[[#This Row],[manDataEco]]&gt;0,Table15[[#This Row],[manDataEco]],Table15[[#This Row],[rawDataEco]])</f>
        <v>886.50239214473925</v>
      </c>
      <c r="H8" s="25">
        <f>1.36*Table15[[#This Row],[rpm]]*Table15[[#This Row],[motor]]/9550</f>
        <v>44.185878393811095</v>
      </c>
      <c r="I8" s="25">
        <f>1.36*Table15[[#This Row],[rpm]]*Table15[[#This Row],[motorEco]]/9550</f>
        <v>44.185878393811095</v>
      </c>
      <c r="J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242.47682445759364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motorTorque="887" fuelUsageRatio="242.5"/&gt;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normRpm="0.159" torque="0.577"/&gt;</v>
      </c>
      <c r="M8" s="3">
        <f>(1-(1-Table15[[#This Row],[rpm]]/Table36[idleRpm])^2)*Table7[idleT]</f>
        <v>893.662109375</v>
      </c>
      <c r="N8" s="3">
        <f>MAX(0,(1-Table7[f1]*(Table36[maxTRpm1]-Table15[[#This Row],[rpm]])^2)*Table36[maxT])</f>
        <v>877.29704142011826</v>
      </c>
      <c r="O8" s="3">
        <f>MAX(0,(Table36[linearDown]*(1-Table7[f2]*(Table15[[#This Row],[rpm]]-Table36[maxTRpm]))+(1-Table36[linearDown])*(1-Table7[f3]*(Table15[[#This Row],[rpm]]-Table36[maxTRpm])^2))*Table36[maxT])</f>
        <v>1406.5545617857279</v>
      </c>
      <c r="P8" s="3">
        <f>MAX(0,(Table36[maxPS]-Table7[f4]*(Table15[[#This Row],[rpm]]-Table36[maxPRpm])^2)/1.36*9550/MAX(1,Table15[[#This Row],[rpm]]))</f>
        <v>714.74527310924475</v>
      </c>
      <c r="Q8" s="3">
        <f>MAX(0,Table7[Nm2]*MIN(Table36[ratedRpm]/MAX(1,Table15[[#This Row],[rpm]]),1-(MAX(0,Table15[[#This Row],[rpm]]-Table36[ratedRpm])/Table36[fadeOut])^Table36[fadeOutExp]))</f>
        <v>1304.0966386554621</v>
      </c>
      <c r="R8" s="3">
        <f>(1-(1-Table15[[#This Row],[rpm]]/Table36[idleRpm])^2)*Table7[idleTEco]</f>
        <v>893.662109375</v>
      </c>
      <c r="S8" s="3">
        <f>MAX(0,(1-Table7[f1]*(Table36[maxTRpm1]-Table15[[#This Row],[rpm]])^2)*Table36[maxTEco])</f>
        <v>877.29704142011826</v>
      </c>
      <c r="T8" s="3">
        <f>MAX(0,(Table36[linearDown]*(1-Table7[f2Eco]*(Table15[[#This Row],[rpm]]-Table36[maxTRpm]))+(1-Table36[linearDown])*(1-Table7[f3Eco]*(Table15[[#This Row],[rpm]]-Table36[maxTRpm])^2))*Table36[maxTEco])</f>
        <v>1406.5545617857279</v>
      </c>
      <c r="U8" s="3">
        <f>MAX(0,(Table36[maxPSEco]-Table7[f4Eco]*(Table15[[#This Row],[rpm]]-Table36[maxPRpm])^2)/1.36*9550/MAX(1,Table15[[#This Row],[rpm]]))</f>
        <v>714.74527310924475</v>
      </c>
      <c r="V8" s="3">
        <f>MAX(0,Table7[Nm2Eco]*MIN(Table36[ratedRpm]/MAX(1,Table15[[#This Row],[rpm]]),1-(MAX(0,Table15[[#This Row],[rpm]]-Table36[ratedRpm])/Table36[fadeOut])^Table36[fadeOutExp]))</f>
        <v>1304.0966386554621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7815.3297213622272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7815.3297213622272</v>
      </c>
      <c r="Y8" s="3">
        <f>ABS(Table15[[#This Row],[motor]]-Table15[[#This Row],[motorEco]])</f>
        <v>0</v>
      </c>
    </row>
    <row r="9" spans="1:26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1237.857330575074</v>
      </c>
      <c r="C9" s="20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1237.857330575074</v>
      </c>
      <c r="E9" s="20"/>
      <c r="F9" s="3">
        <f>Table36[Factor]*IF(Table15[[#This Row],[manualData]]&gt;0,Table15[[#This Row],[manualData]],Table15[[#This Row],[rawData]])</f>
        <v>1237.857330575074</v>
      </c>
      <c r="G9" s="3">
        <f>Table36[Factor]*IF(Table15[[#This Row],[manDataEco]]&gt;0,Table15[[#This Row],[manDataEco]],Table15[[#This Row],[rawDataEco]])</f>
        <v>1237.857330575074</v>
      </c>
      <c r="H9" s="25">
        <f>1.36*Table15[[#This Row],[rpm]]*Table15[[#This Row],[motor]]/9550</f>
        <v>123.39687735156761</v>
      </c>
      <c r="I9" s="25">
        <f>1.36*Table15[[#This Row],[rpm]]*Table15[[#This Row],[motorEco]]/9550</f>
        <v>123.39687735156761</v>
      </c>
      <c r="J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223.26824457593685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motorTorque="1238" fuelUsageRatio="223.3"/&gt;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normRpm="0.318" torque="0.806"/&gt;</v>
      </c>
      <c r="M9" s="3">
        <f>(1-(1-Table15[[#This Row],[rpm]]/Table36[idleRpm])^2)*Table7[idleT]</f>
        <v>1286.8734374999999</v>
      </c>
      <c r="N9" s="3">
        <f>MAX(0,(1-Table7[f1]*(Table36[maxTRpm1]-Table15[[#This Row],[rpm]])^2)*Table36[maxT])</f>
        <v>1230.8550295857988</v>
      </c>
      <c r="O9" s="3">
        <f>MAX(0,(Table36[linearDown]*(1-Table7[f2]*(Table15[[#This Row],[rpm]]-Table36[maxTRpm]))+(1-Table36[linearDown])*(1-Table7[f3]*(Table15[[#This Row],[rpm]]-Table36[maxTRpm])^2))*Table36[maxT])</f>
        <v>1496.6360509115927</v>
      </c>
      <c r="P9" s="3">
        <f>MAX(0,(Table36[maxPS]-Table7[f4]*(Table15[[#This Row],[rpm]]-Table36[maxPRpm])^2)/1.36*9550/MAX(1,Table15[[#This Row],[rpm]]))</f>
        <v>1805.6722689075632</v>
      </c>
      <c r="Q9" s="3">
        <f>MAX(0,Table7[Nm2]*MIN(Table36[ratedRpm]/MAX(1,Table15[[#This Row],[rpm]]),1-(MAX(0,Table15[[#This Row],[rpm]]-Table36[ratedRpm])/Table36[fadeOut])^Table36[fadeOutExp]))</f>
        <v>1304.0966386554621</v>
      </c>
      <c r="R9" s="3">
        <f>(1-(1-Table15[[#This Row],[rpm]]/Table36[idleRpm])^2)*Table7[idleTEco]</f>
        <v>1286.8734374999999</v>
      </c>
      <c r="S9" s="3">
        <f>MAX(0,(1-Table7[f1]*(Table36[maxTRpm1]-Table15[[#This Row],[rpm]])^2)*Table36[maxTEco])</f>
        <v>1230.8550295857988</v>
      </c>
      <c r="T9" s="3">
        <f>MAX(0,(Table36[linearDown]*(1-Table7[f2Eco]*(Table15[[#This Row],[rpm]]-Table36[maxTRpm]))+(1-Table36[linearDown])*(1-Table7[f3Eco]*(Table15[[#This Row],[rpm]]-Table36[maxTRpm])^2))*Table36[maxTEco])</f>
        <v>1496.6360509115927</v>
      </c>
      <c r="U9" s="3">
        <f>MAX(0,(Table36[maxPSEco]-Table7[f4Eco]*(Table15[[#This Row],[rpm]]-Table36[maxPRpm])^2)/1.36*9550/MAX(1,Table15[[#This Row],[rpm]]))</f>
        <v>1805.6722689075632</v>
      </c>
      <c r="V9" s="3">
        <f>MAX(0,Table7[Nm2Eco]*MIN(Table36[ratedRpm]/MAX(1,Table15[[#This Row],[rpm]]),1-(MAX(0,Table15[[#This Row],[rpm]]-Table36[ratedRpm])/Table36[fadeOut])^Table36[fadeOutExp]))</f>
        <v>1304.0966386554621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3922.3003095975223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3922.3003095975223</v>
      </c>
      <c r="Y9" s="3">
        <f>ABS(Table15[[#This Row],[motor]]-Table15[[#This Row],[motorEco]])</f>
        <v>0</v>
      </c>
    </row>
    <row r="10" spans="1:26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1372.8242603550295</v>
      </c>
      <c r="C10" s="20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1372.8242603550295</v>
      </c>
      <c r="E10" s="20"/>
      <c r="F10" s="3">
        <f>Table36[Factor]*IF(Table15[[#This Row],[manualData]]&gt;0,Table15[[#This Row],[manualData]],Table15[[#This Row],[rawData]])</f>
        <v>1372.8242603550295</v>
      </c>
      <c r="G10" s="3">
        <f>Table36[Factor]*IF(Table15[[#This Row],[manDataEco]]&gt;0,Table15[[#This Row],[manDataEco]],Table15[[#This Row],[rawDataEco]])</f>
        <v>1372.8242603550295</v>
      </c>
      <c r="H10" s="25">
        <f>1.36*Table15[[#This Row],[rpm]]*Table15[[#This Row],[motor]]/9550</f>
        <v>175.95150729576503</v>
      </c>
      <c r="I10" s="25">
        <f>1.36*Table15[[#This Row],[rpm]]*Table15[[#This Row],[motorEco]]/9550</f>
        <v>175.95150729576503</v>
      </c>
      <c r="J1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216.08875739644969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motorTorque="1373" fuelUsageRatio="216.1"/&gt;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normRpm="0.409" torque="0.893"/&gt;</v>
      </c>
      <c r="M10" s="3">
        <f>(1-(1-Table15[[#This Row],[rpm]]/Table36[idleRpm])^2)*Table7[idleT]</f>
        <v>1286.8734374999999</v>
      </c>
      <c r="N10" s="3">
        <f>MAX(0,(1-Table7[f1]*(Table36[maxTRpm1]-Table15[[#This Row],[rpm]])^2)*Table36[maxT])</f>
        <v>1372.8242603550295</v>
      </c>
      <c r="O10" s="3">
        <f>MAX(0,(Table36[linearDown]*(1-Table7[f2]*(Table15[[#This Row],[rpm]]-Table36[maxTRpm]))+(1-Table36[linearDown])*(1-Table7[f3]*(Table15[[#This Row],[rpm]]-Table36[maxTRpm])^2))*Table36[maxT])</f>
        <v>1527.8888124450559</v>
      </c>
      <c r="P10" s="3">
        <f>MAX(0,(Table36[maxPS]-Table7[f4]*(Table15[[#This Row],[rpm]]-Table36[maxPRpm])^2)/1.36*9550/MAX(1,Table15[[#This Row],[rpm]]))</f>
        <v>1919.3627450980391</v>
      </c>
      <c r="Q10" s="3">
        <f>MAX(0,Table7[Nm2]*MIN(Table36[ratedRpm]/MAX(1,Table15[[#This Row],[rpm]]),1-(MAX(0,Table15[[#This Row],[rpm]]-Table36[ratedRpm])/Table36[fadeOut])^Table36[fadeOutExp]))</f>
        <v>1304.0966386554621</v>
      </c>
      <c r="R10" s="3">
        <f>(1-(1-Table15[[#This Row],[rpm]]/Table36[idleRpm])^2)*Table7[idleTEco]</f>
        <v>1286.8734374999999</v>
      </c>
      <c r="S10" s="3">
        <f>MAX(0,(1-Table7[f1]*(Table36[maxTRpm1]-Table15[[#This Row],[rpm]])^2)*Table36[maxTEco])</f>
        <v>1372.8242603550295</v>
      </c>
      <c r="T10" s="3">
        <f>MAX(0,(Table36[linearDown]*(1-Table7[f2Eco]*(Table15[[#This Row],[rpm]]-Table36[maxTRpm]))+(1-Table36[linearDown])*(1-Table7[f3Eco]*(Table15[[#This Row],[rpm]]-Table36[maxTRpm])^2))*Table36[maxTEco])</f>
        <v>1527.8888124450559</v>
      </c>
      <c r="U10" s="3">
        <f>MAX(0,(Table36[maxPSEco]-Table7[f4Eco]*(Table15[[#This Row],[rpm]]-Table36[maxPRpm])^2)/1.36*9550/MAX(1,Table15[[#This Row],[rpm]]))</f>
        <v>1919.3627450980391</v>
      </c>
      <c r="V10" s="3">
        <f>MAX(0,Table7[Nm2Eco]*MIN(Table36[ratedRpm]/MAX(1,Table15[[#This Row],[rpm]]),1-(MAX(0,Table15[[#This Row],[rpm]]-Table36[ratedRpm])/Table36[fadeOut])^Table36[fadeOutExp]))</f>
        <v>1304.0966386554621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3057.1826625386993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3057.1826625386993</v>
      </c>
      <c r="Y10" s="3">
        <f>ABS(Table15[[#This Row],[motor]]-Table15[[#This Row],[motorEco]])</f>
        <v>0</v>
      </c>
    </row>
    <row r="11" spans="1:26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1427.4278106508875</v>
      </c>
      <c r="C11" s="20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1427.4278106508875</v>
      </c>
      <c r="E11" s="20"/>
      <c r="F11" s="3">
        <f>Table36[Factor]*IF(Table15[[#This Row],[manualData]]&gt;0,Table15[[#This Row],[manualData]],Table15[[#This Row],[rawData]])</f>
        <v>1427.4278106508875</v>
      </c>
      <c r="G11" s="3">
        <f>Table36[Factor]*IF(Table15[[#This Row],[manDataEco]]&gt;0,Table15[[#This Row],[manDataEco]],Table15[[#This Row],[rawDataEco]])</f>
        <v>1427.4278106508875</v>
      </c>
      <c r="H11" s="25">
        <f>1.36*Table15[[#This Row],[rpm]]*Table15[[#This Row],[motor]]/9550</f>
        <v>203.27767774714209</v>
      </c>
      <c r="I11" s="25">
        <f>1.36*Table15[[#This Row],[rpm]]*Table15[[#This Row],[motorEco]]/9550</f>
        <v>203.27767774714209</v>
      </c>
      <c r="J1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213.53451676528599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motorTorque="1427" fuelUsageRatio="213.5"/&gt;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normRpm="0.455" torque="0.929"/&gt;</v>
      </c>
      <c r="M11" s="3">
        <f>(1-(1-Table15[[#This Row],[rpm]]/Table36[idleRpm])^2)*Table7[idleT]</f>
        <v>1225.59375</v>
      </c>
      <c r="N11" s="3">
        <f>MAX(0,(1-Table7[f1]*(Table36[maxTRpm1]-Table15[[#This Row],[rpm]])^2)*Table36[maxT])</f>
        <v>1427.4278106508875</v>
      </c>
      <c r="O11" s="3">
        <f>MAX(0,(Table36[linearDown]*(1-Table7[f2]*(Table15[[#This Row],[rpm]]-Table36[maxTRpm]))+(1-Table36[linearDown])*(1-Table7[f3]*(Table15[[#This Row],[rpm]]-Table36[maxTRpm])^2))*Table36[maxT])</f>
        <v>1538</v>
      </c>
      <c r="P11" s="3">
        <f>MAX(0,(Table36[maxPS]-Table7[f4]*(Table15[[#This Row],[rpm]]-Table36[maxPRpm])^2)/1.36*9550/MAX(1,Table15[[#This Row],[rpm]]))</f>
        <v>1927.5551470588234</v>
      </c>
      <c r="Q11" s="3">
        <f>MAX(0,Table7[Nm2]*MIN(Table36[ratedRpm]/MAX(1,Table15[[#This Row],[rpm]]),1-(MAX(0,Table15[[#This Row],[rpm]]-Table36[ratedRpm])/Table36[fadeOut])^Table36[fadeOutExp]))</f>
        <v>1304.0966386554621</v>
      </c>
      <c r="R11" s="3">
        <f>(1-(1-Table15[[#This Row],[rpm]]/Table36[idleRpm])^2)*Table7[idleTEco]</f>
        <v>1225.59375</v>
      </c>
      <c r="S11" s="3">
        <f>MAX(0,(1-Table7[f1]*(Table36[maxTRpm1]-Table15[[#This Row],[rpm]])^2)*Table36[maxTEco])</f>
        <v>1427.4278106508875</v>
      </c>
      <c r="T11" s="3">
        <f>MAX(0,(Table36[linearDown]*(1-Table7[f2Eco]*(Table15[[#This Row],[rpm]]-Table36[maxTRpm]))+(1-Table36[linearDown])*(1-Table7[f3Eco]*(Table15[[#This Row],[rpm]]-Table36[maxTRpm])^2))*Table36[maxTEco])</f>
        <v>1538</v>
      </c>
      <c r="U11" s="3">
        <f>MAX(0,(Table36[maxPSEco]-Table7[f4Eco]*(Table15[[#This Row],[rpm]]-Table36[maxPRpm])^2)/1.36*9550/MAX(1,Table15[[#This Row],[rpm]]))</f>
        <v>1927.5551470588234</v>
      </c>
      <c r="V11" s="3">
        <f>MAX(0,Table7[Nm2Eco]*MIN(Table36[ratedRpm]/MAX(1,Table15[[#This Row],[rpm]]),1-(MAX(0,Table15[[#This Row],[rpm]]-Table36[ratedRpm])/Table36[fadeOut])^Table36[fadeOutExp]))</f>
        <v>1304.0966386554621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2754.3914860681111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2754.3914860681111</v>
      </c>
      <c r="Y11" s="3">
        <f>ABS(Table15[[#This Row],[motor]]-Table15[[#This Row],[motorEco]])</f>
        <v>0</v>
      </c>
    </row>
    <row r="12" spans="1:26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1471.1106508875739</v>
      </c>
      <c r="C12" s="20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1471.1106508875739</v>
      </c>
      <c r="E12" s="20"/>
      <c r="F12" s="3">
        <f>Table36[Factor]*IF(Table15[[#This Row],[manualData]]&gt;0,Table15[[#This Row],[manualData]],Table15[[#This Row],[rawData]])</f>
        <v>1471.1106508875739</v>
      </c>
      <c r="G12" s="3">
        <f>Table36[Factor]*IF(Table15[[#This Row],[manDataEco]]&gt;0,Table15[[#This Row],[manDataEco]],Table15[[#This Row],[rawDataEco]])</f>
        <v>1471.1106508875739</v>
      </c>
      <c r="H12" s="25">
        <f>1.36*Table15[[#This Row],[rpm]]*Table15[[#This Row],[motor]]/9550</f>
        <v>230.44832813903778</v>
      </c>
      <c r="I12" s="25">
        <f>1.36*Table15[[#This Row],[rpm]]*Table15[[#This Row],[motorEco]]/9550</f>
        <v>230.44832813903778</v>
      </c>
      <c r="J1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211.67061143984222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motorTorque="1471" fuelUsageRatio="211.7"/&gt;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torque="0.957"/&gt;</v>
      </c>
      <c r="M12" s="3">
        <f>(1-(1-Table15[[#This Row],[rpm]]/Table36[idleRpm])^2)*Table7[idleT]</f>
        <v>1123.4609375</v>
      </c>
      <c r="N12" s="3">
        <f>MAX(0,(1-Table7[f1]*(Table36[maxTRpm1]-Table15[[#This Row],[rpm]])^2)*Table36[maxT])</f>
        <v>1471.1106508875739</v>
      </c>
      <c r="O12" s="3">
        <f>MAX(0,(Table36[linearDown]*(1-Table7[f2]*(Table15[[#This Row],[rpm]]-Table36[maxTRpm]))+(1-Table36[linearDown])*(1-Table7[f3]*(Table15[[#This Row],[rpm]]-Table36[maxTRpm])^2))*Table36[maxT])</f>
        <v>1544.4343920804188</v>
      </c>
      <c r="P12" s="3">
        <f>MAX(0,(Table36[maxPS]-Table7[f4]*(Table15[[#This Row],[rpm]]-Table36[maxPRpm])^2)/1.36*9550/MAX(1,Table15[[#This Row],[rpm]]))</f>
        <v>1915.1069518716574</v>
      </c>
      <c r="Q12" s="3">
        <f>MAX(0,Table7[Nm2]*MIN(Table36[ratedRpm]/MAX(1,Table15[[#This Row],[rpm]]),1-(MAX(0,Table15[[#This Row],[rpm]]-Table36[ratedRpm])/Table36[fadeOut])^Table36[fadeOutExp]))</f>
        <v>1304.0966386554621</v>
      </c>
      <c r="R12" s="3">
        <f>(1-(1-Table15[[#This Row],[rpm]]/Table36[idleRpm])^2)*Table7[idleTEco]</f>
        <v>1123.4609375</v>
      </c>
      <c r="S12" s="3">
        <f>MAX(0,(1-Table7[f1]*(Table36[maxTRpm1]-Table15[[#This Row],[rpm]])^2)*Table36[maxTEco])</f>
        <v>1471.1106508875739</v>
      </c>
      <c r="T12" s="3">
        <f>MAX(0,(Table36[linearDown]*(1-Table7[f2Eco]*(Table15[[#This Row],[rpm]]-Table36[maxTRpm]))+(1-Table36[linearDown])*(1-Table7[f3Eco]*(Table15[[#This Row],[rpm]]-Table36[maxTRpm])^2))*Table36[maxTEco])</f>
        <v>1544.4343920804188</v>
      </c>
      <c r="U12" s="3">
        <f>MAX(0,(Table36[maxPSEco]-Table7[f4Eco]*(Table15[[#This Row],[rpm]]-Table36[maxPRpm])^2)/1.36*9550/MAX(1,Table15[[#This Row],[rpm]]))</f>
        <v>1915.1069518716574</v>
      </c>
      <c r="V12" s="3">
        <f>MAX(0,Table7[Nm2Eco]*MIN(Table36[ratedRpm]/MAX(1,Table15[[#This Row],[rpm]]),1-(MAX(0,Table15[[#This Row],[rpm]]-Table36[ratedRpm])/Table36[fadeOut])^Table36[fadeOutExp]))</f>
        <v>1304.0966386554621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2506.6532507739935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2506.6532507739935</v>
      </c>
      <c r="Y12" s="3">
        <f>ABS(Table15[[#This Row],[motor]]-Table15[[#This Row],[motorEco]])</f>
        <v>0</v>
      </c>
    </row>
    <row r="13" spans="1:26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1503.8727810650887</v>
      </c>
      <c r="C13" s="20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1503.8727810650887</v>
      </c>
      <c r="E13" s="20"/>
      <c r="F13" s="3">
        <f>Table36[Factor]*IF(Table15[[#This Row],[manualData]]&gt;0,Table15[[#This Row],[manualData]],Table15[[#This Row],[rawData]])</f>
        <v>1503.8727810650887</v>
      </c>
      <c r="G13" s="3">
        <f>Table36[Factor]*IF(Table15[[#This Row],[manDataEco]]&gt;0,Table15[[#This Row],[manDataEco]],Table15[[#This Row],[rawDataEco]])</f>
        <v>1503.8727810650887</v>
      </c>
      <c r="H13" s="25">
        <f>1.36*Table15[[#This Row],[rpm]]*Table15[[#This Row],[motor]]/9550</f>
        <v>256.99689829300786</v>
      </c>
      <c r="I13" s="25">
        <f>1.36*Table15[[#This Row],[rpm]]*Table15[[#This Row],[motorEco]]/9550</f>
        <v>256.99689829300786</v>
      </c>
      <c r="J1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210.49704142011834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motorTorque="1504" fuelUsageRatio="210.5"/&gt;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normRpm="0.545" torque="0.979"/&gt;</v>
      </c>
      <c r="M13" s="3">
        <f>(1-(1-Table15[[#This Row],[rpm]]/Table36[idleRpm])^2)*Table7[idleT]</f>
        <v>980.47499999999991</v>
      </c>
      <c r="N13" s="3">
        <f>MAX(0,(1-Table7[f1]*(Table36[maxTRpm1]-Table15[[#This Row],[rpm]])^2)*Table36[maxT])</f>
        <v>1503.8727810650887</v>
      </c>
      <c r="O13" s="3">
        <f>MAX(0,(Table36[linearDown]*(1-Table7[f2]*(Table15[[#This Row],[rpm]]-Table36[maxTRpm]))+(1-Table36[linearDown])*(1-Table7[f3]*(Table15[[#This Row],[rpm]]-Table36[maxTRpm])^2))*Table36[maxT])</f>
        <v>1547.1919886863125</v>
      </c>
      <c r="P13" s="3">
        <f>MAX(0,(Table36[maxPS]-Table7[f4]*(Table15[[#This Row],[rpm]]-Table36[maxPRpm])^2)/1.36*9550/MAX(1,Table15[[#This Row],[rpm]]))</f>
        <v>1887.1783088235293</v>
      </c>
      <c r="Q13" s="3">
        <f>MAX(0,Table7[Nm2]*MIN(Table36[ratedRpm]/MAX(1,Table15[[#This Row],[rpm]]),1-(MAX(0,Table15[[#This Row],[rpm]]-Table36[ratedRpm])/Table36[fadeOut])^Table36[fadeOutExp]))</f>
        <v>1304.0966386554621</v>
      </c>
      <c r="R13" s="3">
        <f>(1-(1-Table15[[#This Row],[rpm]]/Table36[idleRpm])^2)*Table7[idleTEco]</f>
        <v>980.47499999999991</v>
      </c>
      <c r="S13" s="3">
        <f>MAX(0,(1-Table7[f1]*(Table36[maxTRpm1]-Table15[[#This Row],[rpm]])^2)*Table36[maxTEco])</f>
        <v>1503.8727810650887</v>
      </c>
      <c r="T13" s="3">
        <f>MAX(0,(Table36[linearDown]*(1-Table7[f2Eco]*(Table15[[#This Row],[rpm]]-Table36[maxTRpm]))+(1-Table36[linearDown])*(1-Table7[f3Eco]*(Table15[[#This Row],[rpm]]-Table36[maxTRpm])^2))*Table36[maxTEco])</f>
        <v>1547.1919886863125</v>
      </c>
      <c r="U13" s="3">
        <f>MAX(0,(Table36[maxPSEco]-Table7[f4Eco]*(Table15[[#This Row],[rpm]]-Table36[maxPRpm])^2)/1.36*9550/MAX(1,Table15[[#This Row],[rpm]]))</f>
        <v>1887.1783088235293</v>
      </c>
      <c r="V13" s="3">
        <f>MAX(0,Table7[Nm2Eco]*MIN(Table36[ratedRpm]/MAX(1,Table15[[#This Row],[rpm]]),1-(MAX(0,Table15[[#This Row],[rpm]]-Table36[ratedRpm])/Table36[fadeOut])^Table36[fadeOutExp]))</f>
        <v>1304.0966386554621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2300.2047213622286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2300.2047213622286</v>
      </c>
      <c r="Y13" s="3">
        <f>ABS(Table15[[#This Row],[motor]]-Table15[[#This Row],[motorEco]])</f>
        <v>0</v>
      </c>
    </row>
    <row r="14" spans="1:26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1525.7142011834319</v>
      </c>
      <c r="C14" s="20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1525.7142011834319</v>
      </c>
      <c r="E14" s="20"/>
      <c r="F14" s="3">
        <f>Table36[Factor]*IF(Table15[[#This Row],[manualData]]&gt;0,Table15[[#This Row],[manualData]],Table15[[#This Row],[rawData]])</f>
        <v>1525.7142011834319</v>
      </c>
      <c r="G14" s="3">
        <f>Table36[Factor]*IF(Table15[[#This Row],[manDataEco]]&gt;0,Table15[[#This Row],[manDataEco]],Table15[[#This Row],[rawDataEco]])</f>
        <v>1525.7142011834319</v>
      </c>
      <c r="H14" s="25">
        <f>1.36*Table15[[#This Row],[rpm]]*Table15[[#This Row],[motor]]/9550</f>
        <v>282.45682803060816</v>
      </c>
      <c r="I14" s="25">
        <f>1.36*Table15[[#This Row],[rpm]]*Table15[[#This Row],[motorEco]]/9550</f>
        <v>282.45682803060816</v>
      </c>
      <c r="J1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210.01380670611439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motorTorque="1526" fuelUsageRatio="210"/&gt;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normRpm="0.591" torque="0.993"/&gt;</v>
      </c>
      <c r="M14" s="3">
        <f>(1-(1-Table15[[#This Row],[rpm]]/Table36[idleRpm])^2)*Table7[idleT]</f>
        <v>796.63593749999995</v>
      </c>
      <c r="N14" s="3">
        <f>MAX(0,(1-Table7[f1]*(Table36[maxTRpm1]-Table15[[#This Row],[rpm]])^2)*Table36[maxT])</f>
        <v>1525.7142011834319</v>
      </c>
      <c r="O14" s="3">
        <f>MAX(0,(Table36[linearDown]*(1-Table7[f2]*(Table15[[#This Row],[rpm]]-Table36[maxTRpm]))+(1-Table36[linearDown])*(1-Table7[f3]*(Table15[[#This Row],[rpm]]-Table36[maxTRpm])^2))*Table36[maxT])</f>
        <v>1546.2727898176813</v>
      </c>
      <c r="P14" s="3">
        <f>MAX(0,(Table36[maxPS]-Table7[f4]*(Table15[[#This Row],[rpm]]-Table36[maxPRpm])^2)/1.36*9550/MAX(1,Table15[[#This Row],[rpm]]))</f>
        <v>1847.3416289592756</v>
      </c>
      <c r="Q14" s="3">
        <f>MAX(0,Table7[Nm2]*MIN(Table36[ratedRpm]/MAX(1,Table15[[#This Row],[rpm]]),1-(MAX(0,Table15[[#This Row],[rpm]]-Table36[ratedRpm])/Table36[fadeOut])^Table36[fadeOutExp]))</f>
        <v>1304.0966386554621</v>
      </c>
      <c r="R14" s="3">
        <f>(1-(1-Table15[[#This Row],[rpm]]/Table36[idleRpm])^2)*Table7[idleTEco]</f>
        <v>796.63593749999995</v>
      </c>
      <c r="S14" s="3">
        <f>MAX(0,(1-Table7[f1]*(Table36[maxTRpm1]-Table15[[#This Row],[rpm]])^2)*Table36[maxTEco])</f>
        <v>1525.7142011834319</v>
      </c>
      <c r="T14" s="3">
        <f>MAX(0,(Table36[linearDown]*(1-Table7[f2Eco]*(Table15[[#This Row],[rpm]]-Table36[maxTRpm]))+(1-Table36[linearDown])*(1-Table7[f3Eco]*(Table15[[#This Row],[rpm]]-Table36[maxTRpm])^2))*Table36[maxTEco])</f>
        <v>1546.2727898176813</v>
      </c>
      <c r="U14" s="3">
        <f>MAX(0,(Table36[maxPSEco]-Table7[f4Eco]*(Table15[[#This Row],[rpm]]-Table36[maxPRpm])^2)/1.36*9550/MAX(1,Table15[[#This Row],[rpm]]))</f>
        <v>1847.3416289592756</v>
      </c>
      <c r="V14" s="3">
        <f>MAX(0,Table7[Nm2Eco]*MIN(Table36[ratedRpm]/MAX(1,Table15[[#This Row],[rpm]]),1-(MAX(0,Table15[[#This Row],[rpm]]-Table36[ratedRpm])/Table36[fadeOut])^Table36[fadeOutExp]))</f>
        <v>1304.0966386554621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2125.5175041676584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2125.5175041676584</v>
      </c>
      <c r="Y14" s="3">
        <f>ABS(Table15[[#This Row],[motor]]-Table15[[#This Row],[motorEco]])</f>
        <v>0</v>
      </c>
    </row>
    <row r="15" spans="1:26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1536.6349112426035</v>
      </c>
      <c r="C15" s="20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1536.6349112426035</v>
      </c>
      <c r="E15" s="20"/>
      <c r="F15" s="3">
        <f>Table36[Factor]*IF(Table15[[#This Row],[manualData]]&gt;0,Table15[[#This Row],[manualData]],Table15[[#This Row],[rawData]])</f>
        <v>1536.6349112426035</v>
      </c>
      <c r="G15" s="3">
        <f>Table36[Factor]*IF(Table15[[#This Row],[manDataEco]]&gt;0,Table15[[#This Row],[manDataEco]],Table15[[#This Row],[rawDataEco]])</f>
        <v>1536.6349112426035</v>
      </c>
      <c r="H15" s="25">
        <f>1.36*Table15[[#This Row],[rpm]]*Table15[[#This Row],[motor]]/9550</f>
        <v>306.36155717339449</v>
      </c>
      <c r="I15" s="25">
        <f>1.36*Table15[[#This Row],[rpm]]*Table15[[#This Row],[motorEco]]/9550</f>
        <v>306.36155717339449</v>
      </c>
      <c r="J1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210.24545255314487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motorTorque="1537" fuelUsageRatio="210.2"/&gt;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normRpm="0.636" torque="1"/&gt;</v>
      </c>
      <c r="M15" s="3">
        <f>(1-(1-Table15[[#This Row],[rpm]]/Table36[idleRpm])^2)*Table7[idleT]</f>
        <v>571.94375000000002</v>
      </c>
      <c r="N15" s="3">
        <f>MAX(0,(1-Table7[f1]*(Table36[maxTRpm1]-Table15[[#This Row],[rpm]])^2)*Table36[maxT])</f>
        <v>1536.6349112426035</v>
      </c>
      <c r="O15" s="3">
        <f>MAX(0,(Table36[linearDown]*(1-Table7[f2]*(Table15[[#This Row],[rpm]]-Table36[maxTRpm]))+(1-Table36[linearDown])*(1-Table7[f3]*(Table15[[#This Row],[rpm]]-Table36[maxTRpm])^2))*Table36[maxT])</f>
        <v>1541.6767954745251</v>
      </c>
      <c r="P15" s="3">
        <f>MAX(0,(Table36[maxPS]-Table7[f4]*(Table15[[#This Row],[rpm]]-Table36[maxPRpm])^2)/1.36*9550/MAX(1,Table15[[#This Row],[rpm]]))</f>
        <v>1798.1486344537814</v>
      </c>
      <c r="Q15" s="3">
        <f>MAX(0,Table7[Nm2]*MIN(Table36[ratedRpm]/MAX(1,Table15[[#This Row],[rpm]]),1-(MAX(0,Table15[[#This Row],[rpm]]-Table36[ratedRpm])/Table36[fadeOut])^Table36[fadeOutExp]))</f>
        <v>1304.0966386554621</v>
      </c>
      <c r="R15" s="3">
        <f>(1-(1-Table15[[#This Row],[rpm]]/Table36[idleRpm])^2)*Table7[idleTEco]</f>
        <v>571.94375000000002</v>
      </c>
      <c r="S15" s="3">
        <f>MAX(0,(1-Table7[f1]*(Table36[maxTRpm1]-Table15[[#This Row],[rpm]])^2)*Table36[maxTEco])</f>
        <v>1536.6349112426035</v>
      </c>
      <c r="T15" s="3">
        <f>MAX(0,(Table36[linearDown]*(1-Table7[f2Eco]*(Table15[[#This Row],[rpm]]-Table36[maxTRpm]))+(1-Table36[linearDown])*(1-Table7[f3Eco]*(Table15[[#This Row],[rpm]]-Table36[maxTRpm])^2))*Table36[maxTEco])</f>
        <v>1541.6767954745251</v>
      </c>
      <c r="U15" s="3">
        <f>MAX(0,(Table36[maxPSEco]-Table7[f4Eco]*(Table15[[#This Row],[rpm]]-Table36[maxPRpm])^2)/1.36*9550/MAX(1,Table15[[#This Row],[rpm]]))</f>
        <v>1798.1486344537814</v>
      </c>
      <c r="V15" s="3">
        <f>MAX(0,Table7[Nm2Eco]*MIN(Table36[ratedRpm]/MAX(1,Table15[[#This Row],[rpm]]),1-(MAX(0,Table15[[#This Row],[rpm]]-Table36[ratedRpm])/Table36[fadeOut])^Table36[fadeOutExp]))</f>
        <v>1304.0966386554621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1975.7856037151698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1975.7856037151698</v>
      </c>
      <c r="Y15" s="3">
        <f>ABS(Table15[[#This Row],[motor]]-Table15[[#This Row],[motorEco]])</f>
        <v>0</v>
      </c>
    </row>
    <row r="16" spans="1:26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1533.4040056568438</v>
      </c>
      <c r="C16" s="20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1533.4040056568438</v>
      </c>
      <c r="E16" s="20"/>
      <c r="F16" s="3">
        <f>Table36[Factor]*IF(Table15[[#This Row],[manualData]]&gt;0,Table15[[#This Row],[manualData]],Table15[[#This Row],[rawData]])</f>
        <v>1533.4040056568438</v>
      </c>
      <c r="G16" s="3">
        <f>Table36[Factor]*IF(Table15[[#This Row],[manDataEco]]&gt;0,Table15[[#This Row],[manDataEco]],Table15[[#This Row],[rawDataEco]])</f>
        <v>1533.4040056568438</v>
      </c>
      <c r="H16" s="25">
        <f>1.36*Table15[[#This Row],[rpm]]*Table15[[#This Row],[motor]]/9550</f>
        <v>327.55436351203787</v>
      </c>
      <c r="I16" s="25">
        <f>1.36*Table15[[#This Row],[rpm]]*Table15[[#This Row],[motorEco]]/9550</f>
        <v>327.55436351203787</v>
      </c>
      <c r="J1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211.24260355029585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motorTorque="1533" fuelUsageRatio="211.2"/&gt;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normRpm="0.682" torque="0.998"/&gt;</v>
      </c>
      <c r="M16" s="3">
        <f>(1-(1-Table15[[#This Row],[rpm]]/Table36[idleRpm])^2)*Table7[idleT]</f>
        <v>306.3984375</v>
      </c>
      <c r="N16" s="3">
        <f>MAX(0,(1-Table7[f1]*(Table36[maxTRpm1]-Table15[[#This Row],[rpm]])^2)*Table36[maxT])</f>
        <v>1536.6349112426035</v>
      </c>
      <c r="O16" s="3">
        <f>MAX(0,(Table36[linearDown]*(1-Table7[f2]*(Table15[[#This Row],[rpm]]-Table36[maxTRpm]))+(1-Table36[linearDown])*(1-Table7[f3]*(Table15[[#This Row],[rpm]]-Table36[maxTRpm])^2))*Table36[maxT])</f>
        <v>1533.4040056568438</v>
      </c>
      <c r="P16" s="3">
        <f>MAX(0,(Table36[maxPS]-Table7[f4]*(Table15[[#This Row],[rpm]]-Table36[maxPRpm])^2)/1.36*9550/MAX(1,Table15[[#This Row],[rpm]]))</f>
        <v>1741.4705882352939</v>
      </c>
      <c r="Q16" s="3">
        <f>MAX(0,Table7[Nm2]*MIN(Table36[ratedRpm]/MAX(1,Table15[[#This Row],[rpm]]),1-(MAX(0,Table15[[#This Row],[rpm]]-Table36[ratedRpm])/Table36[fadeOut])^Table36[fadeOutExp]))</f>
        <v>1304.0966386554621</v>
      </c>
      <c r="R16" s="3">
        <f>(1-(1-Table15[[#This Row],[rpm]]/Table36[idleRpm])^2)*Table7[idleTEco]</f>
        <v>306.3984375</v>
      </c>
      <c r="S16" s="3">
        <f>MAX(0,(1-Table7[f1]*(Table36[maxTRpm1]-Table15[[#This Row],[rpm]])^2)*Table36[maxTEco])</f>
        <v>1536.6349112426035</v>
      </c>
      <c r="T16" s="3">
        <f>MAX(0,(Table36[linearDown]*(1-Table7[f2Eco]*(Table15[[#This Row],[rpm]]-Table36[maxTRpm]))+(1-Table36[linearDown])*(1-Table7[f3Eco]*(Table15[[#This Row],[rpm]]-Table36[maxTRpm])^2))*Table36[maxTEco])</f>
        <v>1533.4040056568438</v>
      </c>
      <c r="U16" s="3">
        <f>MAX(0,(Table36[maxPSEco]-Table7[f4Eco]*(Table15[[#This Row],[rpm]]-Table36[maxPRpm])^2)/1.36*9550/MAX(1,Table15[[#This Row],[rpm]]))</f>
        <v>1741.4705882352939</v>
      </c>
      <c r="V16" s="3">
        <f>MAX(0,Table7[Nm2Eco]*MIN(Table36[ratedRpm]/MAX(1,Table15[[#This Row],[rpm]]),1-(MAX(0,Table15[[#This Row],[rpm]]-Table36[ratedRpm])/Table36[fadeOut])^Table36[fadeOutExp]))</f>
        <v>1304.0966386554621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1846.0179566563465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1846.0179566563465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1521.4544203646369</v>
      </c>
      <c r="C17" s="20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1521.4544203646369</v>
      </c>
      <c r="E17" s="20"/>
      <c r="F17" s="3">
        <f>Table36[Factor]*IF(Table15[[#This Row],[manualData]]&gt;0,Table15[[#This Row],[manualData]],Table15[[#This Row],[rawData]])</f>
        <v>1521.4544203646369</v>
      </c>
      <c r="G17" s="3">
        <f>Table36[Factor]*IF(Table15[[#This Row],[manDataEco]]&gt;0,Table15[[#This Row],[manDataEco]],Table15[[#This Row],[rawDataEco]])</f>
        <v>1521.4544203646369</v>
      </c>
      <c r="H17" s="25">
        <f>1.36*Table15[[#This Row],[rpm]]*Table15[[#This Row],[motor]]/9550</f>
        <v>346.66856740454972</v>
      </c>
      <c r="I17" s="25">
        <f>1.36*Table15[[#This Row],[rpm]]*Table15[[#This Row],[motorEco]]/9550</f>
        <v>346.66856740454972</v>
      </c>
      <c r="J1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213.00679377602455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motorTorque="1521" fuelUsageRatio="213"/&gt;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normRpm="0.727" torque="0.99"/&gt;</v>
      </c>
      <c r="M17" s="3">
        <f>(1-(1-Table15[[#This Row],[rpm]]/Table36[idleRpm])^2)*Table7[idleT]</f>
        <v>0</v>
      </c>
      <c r="N17" s="3">
        <f>MAX(0,(1-Table7[f1]*(Table36[maxTRpm1]-Table15[[#This Row],[rpm]])^2)*Table36[maxT])</f>
        <v>1525.7142011834319</v>
      </c>
      <c r="O17" s="3">
        <f>MAX(0,(Table36[linearDown]*(1-Table7[f2]*(Table15[[#This Row],[rpm]]-Table36[maxTRpm]))+(1-Table36[linearDown])*(1-Table7[f3]*(Table15[[#This Row],[rpm]]-Table36[maxTRpm])^2))*Table36[maxT])</f>
        <v>1521.4544203646369</v>
      </c>
      <c r="P17" s="3">
        <f>MAX(0,(Table36[maxPS]-Table7[f4]*(Table15[[#This Row],[rpm]]-Table36[maxPRpm])^2)/1.36*9550/MAX(1,Table15[[#This Row],[rpm]]))</f>
        <v>1678.7109375</v>
      </c>
      <c r="Q17" s="3">
        <f>MAX(0,Table7[Nm2]*MIN(Table36[ratedRpm]/MAX(1,Table15[[#This Row],[rpm]]),1-(MAX(0,Table15[[#This Row],[rpm]]-Table36[ratedRpm])/Table36[fadeOut])^Table36[fadeOutExp]))</f>
        <v>1304.0966386554621</v>
      </c>
      <c r="R17" s="3">
        <f>(1-(1-Table15[[#This Row],[rpm]]/Table36[idleRpm])^2)*Table7[idleTEco]</f>
        <v>0</v>
      </c>
      <c r="S17" s="3">
        <f>MAX(0,(1-Table7[f1]*(Table36[maxTRpm1]-Table15[[#This Row],[rpm]])^2)*Table36[maxTEco])</f>
        <v>1525.7142011834319</v>
      </c>
      <c r="T17" s="3">
        <f>MAX(0,(Table36[linearDown]*(1-Table7[f2Eco]*(Table15[[#This Row],[rpm]]-Table36[maxTRpm]))+(1-Table36[linearDown])*(1-Table7[f3Eco]*(Table15[[#This Row],[rpm]]-Table36[maxTRpm])^2))*Table36[maxTEco])</f>
        <v>1521.4544203646369</v>
      </c>
      <c r="U17" s="3">
        <f>MAX(0,(Table36[maxPSEco]-Table7[f4Eco]*(Table15[[#This Row],[rpm]]-Table36[maxPRpm])^2)/1.36*9550/MAX(1,Table15[[#This Row],[rpm]]))</f>
        <v>1678.7109375</v>
      </c>
      <c r="V17" s="3">
        <f>MAX(0,Table7[Nm2Eco]*MIN(Table36[ratedRpm]/MAX(1,Table15[[#This Row],[rpm]]),1-(MAX(0,Table15[[#This Row],[rpm]]-Table36[ratedRpm])/Table36[fadeOut])^Table36[fadeOutExp]))</f>
        <v>1304.0966386554621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1732.4712654798761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1732.4712654798761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1505.8280395979054</v>
      </c>
      <c r="C18" s="20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1505.8280395979054</v>
      </c>
      <c r="E18" s="20"/>
      <c r="F18" s="3">
        <f>Table36[Factor]*IF(Table15[[#This Row],[manualData]]&gt;0,Table15[[#This Row],[manualData]],Table15[[#This Row],[rawData]])</f>
        <v>1505.8280395979054</v>
      </c>
      <c r="G18" s="3">
        <f>Table36[Factor]*IF(Table15[[#This Row],[manDataEco]]&gt;0,Table15[[#This Row],[manDataEco]],Table15[[#This Row],[rawDataEco]])</f>
        <v>1505.8280395979054</v>
      </c>
      <c r="H18" s="25">
        <f>1.36*Table15[[#This Row],[rpm]]*Table15[[#This Row],[motor]]/9550</f>
        <v>364.55229607857143</v>
      </c>
      <c r="I18" s="25">
        <f>1.36*Table15[[#This Row],[rpm]]*Table15[[#This Row],[motorEco]]/9550</f>
        <v>364.55229607857143</v>
      </c>
      <c r="J1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215.53802323033091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motorTorque="1506" fuelUsageRatio="215.5"/&gt;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normRpm="0.773" torque="0.98"/&gt;</v>
      </c>
      <c r="M18" s="3">
        <f>(1-(1-Table15[[#This Row],[rpm]]/Table36[idleRpm])^2)*Table7[idleT]</f>
        <v>-347.25156249999998</v>
      </c>
      <c r="N18" s="3">
        <f>MAX(0,(1-Table7[f1]*(Table36[maxTRpm1]-Table15[[#This Row],[rpm]])^2)*Table36[maxT])</f>
        <v>1503.8727810650887</v>
      </c>
      <c r="O18" s="3">
        <f>MAX(0,(Table36[linearDown]*(1-Table7[f2]*(Table15[[#This Row],[rpm]]-Table36[maxTRpm]))+(1-Table36[linearDown])*(1-Table7[f3]*(Table15[[#This Row],[rpm]]-Table36[maxTRpm])^2))*Table36[maxT])</f>
        <v>1505.8280395979054</v>
      </c>
      <c r="P18" s="3">
        <f>MAX(0,(Table36[maxPS]-Table7[f4]*(Table15[[#This Row],[rpm]]-Table36[maxPRpm])^2)/1.36*9550/MAX(1,Table15[[#This Row],[rpm]]))</f>
        <v>1610.9429065743943</v>
      </c>
      <c r="Q18" s="3">
        <f>MAX(0,Table7[Nm2]*MIN(Table36[ratedRpm]/MAX(1,Table15[[#This Row],[rpm]]),1-(MAX(0,Table15[[#This Row],[rpm]]-Table36[ratedRpm])/Table36[fadeOut])^Table36[fadeOutExp]))</f>
        <v>1304.0966386554621</v>
      </c>
      <c r="R18" s="3">
        <f>(1-(1-Table15[[#This Row],[rpm]]/Table36[idleRpm])^2)*Table7[idleTEco]</f>
        <v>-347.25156249999998</v>
      </c>
      <c r="S18" s="3">
        <f>MAX(0,(1-Table7[f1]*(Table36[maxTRpm1]-Table15[[#This Row],[rpm]])^2)*Table36[maxTEco])</f>
        <v>1503.8727810650887</v>
      </c>
      <c r="T18" s="3">
        <f>MAX(0,(Table36[linearDown]*(1-Table7[f2Eco]*(Table15[[#This Row],[rpm]]-Table36[maxTRpm]))+(1-Table36[linearDown])*(1-Table7[f3Eco]*(Table15[[#This Row],[rpm]]-Table36[maxTRpm])^2))*Table36[maxTEco])</f>
        <v>1505.8280395979054</v>
      </c>
      <c r="U18" s="3">
        <f>MAX(0,(Table36[maxPSEco]-Table7[f4Eco]*(Table15[[#This Row],[rpm]]-Table36[maxPRpm])^2)/1.36*9550/MAX(1,Table15[[#This Row],[rpm]]))</f>
        <v>1610.9429065743943</v>
      </c>
      <c r="V18" s="3">
        <f>MAX(0,Table7[Nm2Eco]*MIN(Table36[ratedRpm]/MAX(1,Table15[[#This Row],[rpm]]),1-(MAX(0,Table15[[#This Row],[rpm]]-Table36[ratedRpm])/Table36[fadeOut])^Table36[fadeOutExp]))</f>
        <v>1304.0966386554621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1632.2830085594605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1632.2830085594605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1486.5248633566487</v>
      </c>
      <c r="C19" s="20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1486.5248633566487</v>
      </c>
      <c r="E19" s="20"/>
      <c r="F19" s="3">
        <f>Table36[Factor]*IF(Table15[[#This Row],[manualData]]&gt;0,Table15[[#This Row],[manualData]],Table15[[#This Row],[rawData]])</f>
        <v>1486.5248633566487</v>
      </c>
      <c r="G19" s="3">
        <f>Table36[Factor]*IF(Table15[[#This Row],[manDataEco]]&gt;0,Table15[[#This Row],[manDataEco]],Table15[[#This Row],[rawDataEco]])</f>
        <v>1486.5248633566487</v>
      </c>
      <c r="H19" s="25">
        <f>1.36*Table15[[#This Row],[rpm]]*Table15[[#This Row],[motor]]/9550</f>
        <v>381.04846759131686</v>
      </c>
      <c r="I19" s="25">
        <f>1.36*Table15[[#This Row],[rpm]]*Table15[[#This Row],[motorEco]]/9550</f>
        <v>381.04846759131686</v>
      </c>
      <c r="J1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218.83629191321498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motorTorque="1487" fuelUsageRatio="218.8"/&gt;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normRpm="0.818" torque="0.967"/&gt;</v>
      </c>
      <c r="M19" s="3">
        <f>(1-(1-Table15[[#This Row],[rpm]]/Table36[idleRpm])^2)*Table7[idleT]</f>
        <v>-735.35624999999993</v>
      </c>
      <c r="N19" s="3">
        <f>MAX(0,(1-Table7[f1]*(Table36[maxTRpm1]-Table15[[#This Row],[rpm]])^2)*Table36[maxT])</f>
        <v>1471.1106508875739</v>
      </c>
      <c r="O19" s="3">
        <f>MAX(0,(Table36[linearDown]*(1-Table7[f2]*(Table15[[#This Row],[rpm]]-Table36[maxTRpm]))+(1-Table36[linearDown])*(1-Table7[f3]*(Table15[[#This Row],[rpm]]-Table36[maxTRpm])^2))*Table36[maxT])</f>
        <v>1486.5248633566487</v>
      </c>
      <c r="P19" s="3">
        <f>MAX(0,(Table36[maxPS]-Table7[f4]*(Table15[[#This Row],[rpm]]-Table36[maxPRpm])^2)/1.36*9550/MAX(1,Table15[[#This Row],[rpm]]))</f>
        <v>1539.001225490196</v>
      </c>
      <c r="Q19" s="3">
        <f>MAX(0,Table7[Nm2]*MIN(Table36[ratedRpm]/MAX(1,Table15[[#This Row],[rpm]]),1-(MAX(0,Table15[[#This Row],[rpm]]-Table36[ratedRpm])/Table36[fadeOut])^Table36[fadeOutExp]))</f>
        <v>1304.0966386554621</v>
      </c>
      <c r="R19" s="3">
        <f>(1-(1-Table15[[#This Row],[rpm]]/Table36[idleRpm])^2)*Table7[idleTEco]</f>
        <v>-735.35624999999993</v>
      </c>
      <c r="S19" s="3">
        <f>MAX(0,(1-Table7[f1]*(Table36[maxTRpm1]-Table15[[#This Row],[rpm]])^2)*Table36[maxTEco])</f>
        <v>1471.1106508875739</v>
      </c>
      <c r="T19" s="3">
        <f>MAX(0,(Table36[linearDown]*(1-Table7[f2Eco]*(Table15[[#This Row],[rpm]]-Table36[maxTRpm]))+(1-Table36[linearDown])*(1-Table7[f3Eco]*(Table15[[#This Row],[rpm]]-Table36[maxTRpm])^2))*Table36[maxTEco])</f>
        <v>1486.5248633566487</v>
      </c>
      <c r="U19" s="3">
        <f>MAX(0,(Table36[maxPSEco]-Table7[f4Eco]*(Table15[[#This Row],[rpm]]-Table36[maxPRpm])^2)/1.36*9550/MAX(1,Table15[[#This Row],[rpm]]))</f>
        <v>1539.001225490196</v>
      </c>
      <c r="V19" s="3">
        <f>MAX(0,Table7[Nm2Eco]*MIN(Table36[ratedRpm]/MAX(1,Table15[[#This Row],[rpm]]),1-(MAX(0,Table15[[#This Row],[rpm]]-Table36[ratedRpm])/Table36[fadeOut])^Table36[fadeOutExp]))</f>
        <v>1304.0966386554621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1543.2267801857583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1543.2267801857583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1475.4944769330734</v>
      </c>
      <c r="C20" s="20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1475.4944769330734</v>
      </c>
      <c r="E20" s="20"/>
      <c r="F20" s="3">
        <f>Table36[Factor]*IF(Table15[[#This Row],[manualData]]&gt;0,Table15[[#This Row],[manualData]],Table15[[#This Row],[rawData]])</f>
        <v>1475.4944769330734</v>
      </c>
      <c r="G20" s="3">
        <f>Table36[Factor]*IF(Table15[[#This Row],[manDataEco]]&gt;0,Table15[[#This Row],[manDataEco]],Table15[[#This Row],[rawDataEco]])</f>
        <v>1475.4944769330734</v>
      </c>
      <c r="H20" s="25">
        <f>1.36*Table15[[#This Row],[rpm]]*Table15[[#This Row],[motor]]/9550</f>
        <v>388.72713130509032</v>
      </c>
      <c r="I20" s="25">
        <f>1.36*Table15[[#This Row],[rpm]]*Table15[[#This Row],[motorEco]]/9550</f>
        <v>388.72713130509032</v>
      </c>
      <c r="J2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220.77306596537366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motorTorque="1475" fuelUsageRatio="220.8"/&gt;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normRpm="0.841" torque="0.96"/&gt;</v>
      </c>
      <c r="M20" s="3">
        <f>(1-(1-Table15[[#This Row],[rpm]]/Table36[idleRpm])^2)*Table7[idleT]</f>
        <v>-944.728515625</v>
      </c>
      <c r="N20" s="3">
        <f>MAX(0,(1-Table7[f1]*(Table36[maxTRpm1]-Table15[[#This Row],[rpm]])^2)*Table36[maxT])</f>
        <v>1450.6343195266272</v>
      </c>
      <c r="O20" s="3">
        <f>MAX(0,(Table36[linearDown]*(1-Table7[f2]*(Table15[[#This Row],[rpm]]-Table36[maxTRpm]))+(1-Table36[linearDown])*(1-Table7[f3]*(Table15[[#This Row],[rpm]]-Table36[maxTRpm])^2))*Table36[maxT])</f>
        <v>1475.4944769330734</v>
      </c>
      <c r="P20" s="3">
        <f>MAX(0,(Table36[maxPS]-Table7[f4]*(Table15[[#This Row],[rpm]]-Table36[maxPRpm])^2)/1.36*9550/MAX(1,Table15[[#This Row],[rpm]]))</f>
        <v>1501.6767686804449</v>
      </c>
      <c r="Q20" s="3">
        <f>MAX(0,Table7[Nm2]*MIN(Table36[ratedRpm]/MAX(1,Table15[[#This Row],[rpm]]),1-(MAX(0,Table15[[#This Row],[rpm]]-Table36[ratedRpm])/Table36[fadeOut])^Table36[fadeOutExp]))</f>
        <v>1304.0966386554621</v>
      </c>
      <c r="R20" s="3">
        <f>(1-(1-Table15[[#This Row],[rpm]]/Table36[idleRpm])^2)*Table7[idleTEco]</f>
        <v>-944.728515625</v>
      </c>
      <c r="S20" s="3">
        <f>MAX(0,(1-Table7[f1]*(Table36[maxTRpm1]-Table15[[#This Row],[rpm]])^2)*Table36[maxTEco])</f>
        <v>1450.6343195266272</v>
      </c>
      <c r="T20" s="3">
        <f>MAX(0,(Table36[linearDown]*(1-Table7[f2Eco]*(Table15[[#This Row],[rpm]]-Table36[maxTRpm]))+(1-Table36[linearDown])*(1-Table7[f3Eco]*(Table15[[#This Row],[rpm]]-Table36[maxTRpm])^2))*Table36[maxTEco])</f>
        <v>1475.4944769330734</v>
      </c>
      <c r="U20" s="3">
        <f>MAX(0,(Table36[maxPSEco]-Table7[f4Eco]*(Table15[[#This Row],[rpm]]-Table36[maxPRpm])^2)/1.36*9550/MAX(1,Table15[[#This Row],[rpm]]))</f>
        <v>1501.6767686804449</v>
      </c>
      <c r="V20" s="3">
        <f>MAX(0,Table7[Nm2Eco]*MIN(Table36[ratedRpm]/MAX(1,Table15[[#This Row],[rpm]]),1-(MAX(0,Table15[[#This Row],[rpm]]-Table36[ratedRpm])/Table36[fadeOut])^Table36[fadeOutExp]))</f>
        <v>1304.0966386554621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1502.309053635679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1502.309053635679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1463.5448916408668</v>
      </c>
      <c r="C21" s="20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1463.5448916408668</v>
      </c>
      <c r="E21" s="20"/>
      <c r="F21" s="3">
        <f>Table36[Factor]*IF(Table15[[#This Row],[manualData]]&gt;0,Table15[[#This Row],[manualData]],Table15[[#This Row],[rawData]])</f>
        <v>1463.5448916408668</v>
      </c>
      <c r="G21" s="3">
        <f>Table36[Factor]*IF(Table15[[#This Row],[manDataEco]]&gt;0,Table15[[#This Row],[manDataEco]],Table15[[#This Row],[rawDataEco]])</f>
        <v>1463.5448916408668</v>
      </c>
      <c r="H21" s="25">
        <f>1.36*Table15[[#This Row],[rpm]]*Table15[[#This Row],[motor]]/9550</f>
        <v>396</v>
      </c>
      <c r="I21" s="25">
        <f>1.36*Table15[[#This Row],[rpm]]*Table15[[#This Row],[motorEco]]/9550</f>
        <v>396</v>
      </c>
      <c r="J2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222.90159982467674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motorTorque="1464" fuelUsageRatio="222.9"/&gt;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normRpm="0.864" torque="0.952"/&gt;</v>
      </c>
      <c r="M21" s="3">
        <f>(1-(1-Table15[[#This Row],[rpm]]/Table36[idleRpm])^2)*Table7[idleT]</f>
        <v>-1164.3140624999999</v>
      </c>
      <c r="N21" s="3">
        <f>MAX(0,(1-Table7[f1]*(Table36[maxTRpm1]-Table15[[#This Row],[rpm]])^2)*Table36[maxT])</f>
        <v>1427.4278106508875</v>
      </c>
      <c r="O21" s="3">
        <f>MAX(0,(Table36[linearDown]*(1-Table7[f2]*(Table15[[#This Row],[rpm]]-Table36[maxTRpm]))+(1-Table36[linearDown])*(1-Table7[f3]*(Table15[[#This Row],[rpm]]-Table36[maxTRpm])^2))*Table36[maxT])</f>
        <v>1463.5448916408668</v>
      </c>
      <c r="P21" s="3">
        <f>MAX(0,(Table36[maxPS]-Table7[f4]*(Table15[[#This Row],[rpm]]-Table36[maxPRpm])^2)/1.36*9550/MAX(1,Table15[[#This Row],[rpm]]))</f>
        <v>1463.5448916408668</v>
      </c>
      <c r="Q21" s="3">
        <f>MAX(0,Table7[Nm2]*MIN(Table36[ratedRpm]/MAX(1,Table15[[#This Row],[rpm]]),1-(MAX(0,Table15[[#This Row],[rpm]]-Table36[ratedRpm])/Table36[fadeOut])^Table36[fadeOutExp]))</f>
        <v>1304.0966386554621</v>
      </c>
      <c r="R21" s="3">
        <f>(1-(1-Table15[[#This Row],[rpm]]/Table36[idleRpm])^2)*Table7[idleTEco]</f>
        <v>-1164.3140624999999</v>
      </c>
      <c r="S21" s="3">
        <f>MAX(0,(1-Table7[f1]*(Table36[maxTRpm1]-Table15[[#This Row],[rpm]])^2)*Table36[maxTEco])</f>
        <v>1427.4278106508875</v>
      </c>
      <c r="T21" s="3">
        <f>MAX(0,(Table36[linearDown]*(1-Table7[f2Eco]*(Table15[[#This Row],[rpm]]-Table36[maxTRpm]))+(1-Table36[linearDown])*(1-Table7[f3Eco]*(Table15[[#This Row],[rpm]]-Table36[maxTRpm])^2))*Table36[maxTEco])</f>
        <v>1463.5448916408668</v>
      </c>
      <c r="U21" s="3">
        <f>MAX(0,(Table36[maxPSEco]-Table7[f4Eco]*(Table15[[#This Row],[rpm]]-Table36[maxPRpm])^2)/1.36*9550/MAX(1,Table15[[#This Row],[rpm]]))</f>
        <v>1463.5448916408668</v>
      </c>
      <c r="V21" s="3">
        <f>MAX(0,Table7[Nm2Eco]*MIN(Table36[ratedRpm]/MAX(1,Table15[[#This Row],[rpm]]),1-(MAX(0,Table15[[#This Row],[rpm]]-Table36[ratedRpm])/Table36[fadeOut])^Table36[fadeOutExp]))</f>
        <v>1304.0966386554621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1463.5448916408668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1463.5448916408668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1424.6677036199094</v>
      </c>
      <c r="C22" s="20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1424.6677036199094</v>
      </c>
      <c r="E22" s="20"/>
      <c r="F22" s="3">
        <f>Table36[Factor]*IF(Table15[[#This Row],[manualData]]&gt;0,Table15[[#This Row],[manualData]],Table15[[#This Row],[rawData]])</f>
        <v>1424.6677036199094</v>
      </c>
      <c r="G22" s="3">
        <f>Table36[Factor]*IF(Table15[[#This Row],[manDataEco]]&gt;0,Table15[[#This Row],[manDataEco]],Table15[[#This Row],[rawDataEco]])</f>
        <v>1424.6677036199094</v>
      </c>
      <c r="H22" s="25">
        <f>1.36*Table15[[#This Row],[rpm]]*Table15[[#This Row],[motor]]/9550</f>
        <v>395.62499999999994</v>
      </c>
      <c r="I22" s="25">
        <f>1.36*Table15[[#This Row],[rpm]]*Table15[[#This Row],[motorEco]]/9550</f>
        <v>395.62499999999994</v>
      </c>
      <c r="J2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225.22189349112426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motorTorque="1425" fuelUsageRatio="225.2"/&gt;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normRpm="0.886" torque="0.927"/&gt;</v>
      </c>
      <c r="M22" s="3">
        <f>(1-(1-Table15[[#This Row],[rpm]]/Table36[idleRpm])^2)*Table7[idleT]</f>
        <v>-1394.1128906249999</v>
      </c>
      <c r="N22" s="3">
        <f>MAX(0,(1-Table7[f1]*(Table36[maxTRpm1]-Table15[[#This Row],[rpm]])^2)*Table36[maxT])</f>
        <v>1401.491124260355</v>
      </c>
      <c r="O22" s="3">
        <f>MAX(0,(Table36[linearDown]*(1-Table7[f2]*(Table15[[#This Row],[rpm]]-Table36[maxTRpm]))+(1-Table36[linearDown])*(1-Table7[f3]*(Table15[[#This Row],[rpm]]-Table36[maxTRpm])^2))*Table36[maxT])</f>
        <v>1450.6761074800288</v>
      </c>
      <c r="P22" s="3">
        <f>MAX(0,(Table36[maxPS]-Table7[f4]*(Table15[[#This Row],[rpm]]-Table36[maxPRpm])^2)/1.36*9550/MAX(1,Table15[[#This Row],[rpm]]))</f>
        <v>1424.6677036199094</v>
      </c>
      <c r="Q22" s="3">
        <f>MAX(0,Table7[Nm2]*MIN(Table36[ratedRpm]/MAX(1,Table15[[#This Row],[rpm]]),1-(MAX(0,Table15[[#This Row],[rpm]]-Table36[ratedRpm])/Table36[fadeOut])^Table36[fadeOutExp]))</f>
        <v>1304.0966386554621</v>
      </c>
      <c r="R22" s="3">
        <f>(1-(1-Table15[[#This Row],[rpm]]/Table36[idleRpm])^2)*Table7[idleTEco]</f>
        <v>-1394.1128906249999</v>
      </c>
      <c r="S22" s="3">
        <f>MAX(0,(1-Table7[f1]*(Table36[maxTRpm1]-Table15[[#This Row],[rpm]])^2)*Table36[maxTEco])</f>
        <v>1401.491124260355</v>
      </c>
      <c r="T22" s="3">
        <f>MAX(0,(Table36[linearDown]*(1-Table7[f2Eco]*(Table15[[#This Row],[rpm]]-Table36[maxTRpm]))+(1-Table36[linearDown])*(1-Table7[f3Eco]*(Table15[[#This Row],[rpm]]-Table36[maxTRpm])^2))*Table36[maxTEco])</f>
        <v>1450.6761074800288</v>
      </c>
      <c r="U22" s="3">
        <f>MAX(0,(Table36[maxPSEco]-Table7[f4Eco]*(Table15[[#This Row],[rpm]]-Table36[maxPRpm])^2)/1.36*9550/MAX(1,Table15[[#This Row],[rpm]]))</f>
        <v>1424.6677036199094</v>
      </c>
      <c r="V22" s="3">
        <f>MAX(0,Table7[Nm2Eco]*MIN(Table36[ratedRpm]/MAX(1,Table15[[#This Row],[rpm]]),1-(MAX(0,Table15[[#This Row],[rpm]]-Table36[ratedRpm])/Table36[fadeOut])^Table36[fadeOutExp]))</f>
        <v>1304.0966386554621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1426.0180995475112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1426.0180995475112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1385.1011029411764</v>
      </c>
      <c r="C23" s="20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1385.1011029411764</v>
      </c>
      <c r="E23" s="20"/>
      <c r="F23" s="3">
        <f>Table36[Factor]*IF(Table15[[#This Row],[manualData]]&gt;0,Table15[[#This Row],[manualData]],Table15[[#This Row],[rawData]])</f>
        <v>1385.1011029411764</v>
      </c>
      <c r="G23" s="3">
        <f>Table36[Factor]*IF(Table15[[#This Row],[manDataEco]]&gt;0,Table15[[#This Row],[manDataEco]],Table15[[#This Row],[rawDataEco]])</f>
        <v>1385.1011029411764</v>
      </c>
      <c r="H23" s="25">
        <f>1.36*Table15[[#This Row],[rpm]]*Table15[[#This Row],[motor]]/9550</f>
        <v>394.49999999999994</v>
      </c>
      <c r="I23" s="25">
        <f>1.36*Table15[[#This Row],[rpm]]*Table15[[#This Row],[motorEco]]/9550</f>
        <v>394.49999999999994</v>
      </c>
      <c r="J2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227.73394696471618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motorTorque="1385" fuelUsageRatio="227.7"/&gt;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normRpm="0.909" torque="0.901"/&gt;</v>
      </c>
      <c r="M23" s="3">
        <f>(1-(1-Table15[[#This Row],[rpm]]/Table36[idleRpm])^2)*Table7[idleT]</f>
        <v>-1634.125</v>
      </c>
      <c r="N23" s="3">
        <f>MAX(0,(1-Table7[f1]*(Table36[maxTRpm1]-Table15[[#This Row],[rpm]])^2)*Table36[maxT])</f>
        <v>1372.8242603550295</v>
      </c>
      <c r="O23" s="3">
        <f>MAX(0,(Table36[linearDown]*(1-Table7[f2]*(Table15[[#This Row],[rpm]]-Table36[maxTRpm]))+(1-Table36[linearDown])*(1-Table7[f3]*(Table15[[#This Row],[rpm]]-Table36[maxTRpm])^2))*Table36[maxT])</f>
        <v>1436.8881244505599</v>
      </c>
      <c r="P23" s="3">
        <f>MAX(0,(Table36[maxPS]-Table7[f4]*(Table15[[#This Row],[rpm]]-Table36[maxPRpm])^2)/1.36*9550/MAX(1,Table15[[#This Row],[rpm]]))</f>
        <v>1385.1011029411764</v>
      </c>
      <c r="Q23" s="3">
        <f>MAX(0,Table7[Nm2]*MIN(Table36[ratedRpm]/MAX(1,Table15[[#This Row],[rpm]]),1-(MAX(0,Table15[[#This Row],[rpm]]-Table36[ratedRpm])/Table36[fadeOut])^Table36[fadeOutExp]))</f>
        <v>1304.0966386554621</v>
      </c>
      <c r="R23" s="3">
        <f>(1-(1-Table15[[#This Row],[rpm]]/Table36[idleRpm])^2)*Table7[idleTEco]</f>
        <v>-1634.125</v>
      </c>
      <c r="S23" s="3">
        <f>MAX(0,(1-Table7[f1]*(Table36[maxTRpm1]-Table15[[#This Row],[rpm]])^2)*Table36[maxTEco])</f>
        <v>1372.8242603550295</v>
      </c>
      <c r="T23" s="3">
        <f>MAX(0,(Table36[linearDown]*(1-Table7[f2Eco]*(Table15[[#This Row],[rpm]]-Table36[maxTRpm]))+(1-Table36[linearDown])*(1-Table7[f3Eco]*(Table15[[#This Row],[rpm]]-Table36[maxTRpm])^2))*Table36[maxTEco])</f>
        <v>1436.8881244505599</v>
      </c>
      <c r="U23" s="3">
        <f>MAX(0,(Table36[maxPSEco]-Table7[f4Eco]*(Table15[[#This Row],[rpm]]-Table36[maxPRpm])^2)/1.36*9550/MAX(1,Table15[[#This Row],[rpm]]))</f>
        <v>1385.1011029411764</v>
      </c>
      <c r="V23" s="3">
        <f>MAX(0,Table7[Nm2Eco]*MIN(Table36[ratedRpm]/MAX(1,Table15[[#This Row],[rpm]]),1-(MAX(0,Table15[[#This Row],[rpm]]-Table36[ratedRpm])/Table36[fadeOut])^Table36[fadeOutExp]))</f>
        <v>1304.0966386554621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1390.3676470588234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1390.3676470588234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1344.8955344332855</v>
      </c>
      <c r="C24" s="20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1344.8955344332855</v>
      </c>
      <c r="E24" s="20"/>
      <c r="F24" s="3">
        <f>Table36[Factor]*IF(Table15[[#This Row],[manualData]]&gt;0,Table15[[#This Row],[manualData]],Table15[[#This Row],[rawData]])</f>
        <v>1344.8955344332855</v>
      </c>
      <c r="G24" s="3">
        <f>Table36[Factor]*IF(Table15[[#This Row],[manDataEco]]&gt;0,Table15[[#This Row],[manDataEco]],Table15[[#This Row],[rawDataEco]])</f>
        <v>1344.8955344332855</v>
      </c>
      <c r="H24" s="25">
        <f>1.36*Table15[[#This Row],[rpm]]*Table15[[#This Row],[motor]]/9550</f>
        <v>392.625</v>
      </c>
      <c r="I24" s="25">
        <f>1.36*Table15[[#This Row],[rpm]]*Table15[[#This Row],[motorEco]]/9550</f>
        <v>392.625</v>
      </c>
      <c r="J2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230.43776024545252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motorTorque="1345" fuelUsageRatio="230.4"/&gt;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normRpm="0.932" torque="0.875"/&gt;</v>
      </c>
      <c r="M24" s="3">
        <f>(1-(1-Table15[[#This Row],[rpm]]/Table36[idleRpm])^2)*Table7[idleT]</f>
        <v>-1884.350390625</v>
      </c>
      <c r="N24" s="3">
        <f>MAX(0,(1-Table7[f1]*(Table36[maxTRpm1]-Table15[[#This Row],[rpm]])^2)*Table36[maxT])</f>
        <v>1341.427218934911</v>
      </c>
      <c r="O24" s="3">
        <f>MAX(0,(Table36[linearDown]*(1-Table7[f2]*(Table15[[#This Row],[rpm]]-Table36[maxTRpm]))+(1-Table36[linearDown])*(1-Table7[f3]*(Table15[[#This Row],[rpm]]-Table36[maxTRpm])^2))*Table36[maxT])</f>
        <v>1422.1809425524596</v>
      </c>
      <c r="P24" s="3">
        <f>MAX(0,(Table36[maxPS]-Table7[f4]*(Table15[[#This Row],[rpm]]-Table36[maxPRpm])^2)/1.36*9550/MAX(1,Table15[[#This Row],[rpm]]))</f>
        <v>1344.8955344332855</v>
      </c>
      <c r="Q24" s="3">
        <f>MAX(0,Table7[Nm2]*MIN(Table36[ratedRpm]/MAX(1,Table15[[#This Row],[rpm]]),1-(MAX(0,Table15[[#This Row],[rpm]]-Table36[ratedRpm])/Table36[fadeOut])^Table36[fadeOutExp]))</f>
        <v>1304.0966386554621</v>
      </c>
      <c r="R24" s="3">
        <f>(1-(1-Table15[[#This Row],[rpm]]/Table36[idleRpm])^2)*Table7[idleTEco]</f>
        <v>-1884.350390625</v>
      </c>
      <c r="S24" s="3">
        <f>MAX(0,(1-Table7[f1]*(Table36[maxTRpm1]-Table15[[#This Row],[rpm]])^2)*Table36[maxTEco])</f>
        <v>1341.427218934911</v>
      </c>
      <c r="T24" s="3">
        <f>MAX(0,(Table36[linearDown]*(1-Table7[f2Eco]*(Table15[[#This Row],[rpm]]-Table36[maxTRpm]))+(1-Table36[linearDown])*(1-Table7[f3Eco]*(Table15[[#This Row],[rpm]]-Table36[maxTRpm])^2))*Table36[maxTEco])</f>
        <v>1422.1809425524596</v>
      </c>
      <c r="U24" s="3">
        <f>MAX(0,(Table36[maxPSEco]-Table7[f4Eco]*(Table15[[#This Row],[rpm]]-Table36[maxPRpm])^2)/1.36*9550/MAX(1,Table15[[#This Row],[rpm]]))</f>
        <v>1344.8955344332855</v>
      </c>
      <c r="V24" s="3">
        <f>MAX(0,Table7[Nm2Eco]*MIN(Table36[ratedRpm]/MAX(1,Table15[[#This Row],[rpm]]),1-(MAX(0,Table15[[#This Row],[rpm]]-Table36[ratedRpm])/Table36[fadeOut])^Table36[fadeOutExp]))</f>
        <v>1304.0966386554621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1356.4562410329984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1356.4562410329984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1304.0966386554621</v>
      </c>
      <c r="C25" s="20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1304.0966386554621</v>
      </c>
      <c r="E25" s="20"/>
      <c r="F25" s="3">
        <f>Table36[Factor]*IF(Table15[[#This Row],[manualData]]&gt;0,Table15[[#This Row],[manualData]],Table15[[#This Row],[rawData]])</f>
        <v>1304.0966386554621</v>
      </c>
      <c r="G25" s="3">
        <f>Table36[Factor]*IF(Table15[[#This Row],[manDataEco]]&gt;0,Table15[[#This Row],[manDataEco]],Table15[[#This Row],[rawDataEco]])</f>
        <v>1304.0966386554621</v>
      </c>
      <c r="H25" s="25">
        <f>1.36*Table15[[#This Row],[rpm]]*Table15[[#This Row],[motor]]/9550</f>
        <v>390</v>
      </c>
      <c r="I25" s="25">
        <f>1.36*Table15[[#This Row],[rpm]]*Table15[[#This Row],[motorEco]]/9550</f>
        <v>390</v>
      </c>
      <c r="J2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233.33333333333331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motorTorque="1304" fuelUsageRatio="233.3"/&gt;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normRpm="0.955" torque="0.849"/&gt;</v>
      </c>
      <c r="M25" s="3">
        <f>(1-(1-Table15[[#This Row],[rpm]]/Table36[idleRpm])^2)*Table7[idleT]</f>
        <v>-2144.7890625</v>
      </c>
      <c r="N25" s="3">
        <f>MAX(0,(1-Table7[f1]*(Table36[maxTRpm1]-Table15[[#This Row],[rpm]])^2)*Table36[maxT])</f>
        <v>1307.3</v>
      </c>
      <c r="O25" s="3">
        <f>MAX(0,(Table36[linearDown]*(1-Table7[f2]*(Table15[[#This Row],[rpm]]-Table36[maxTRpm]))+(1-Table36[linearDown])*(1-Table7[f3]*(Table15[[#This Row],[rpm]]-Table36[maxTRpm])^2))*Table36[maxT])</f>
        <v>1406.5545617857279</v>
      </c>
      <c r="P25" s="3">
        <f>MAX(0,(Table36[maxPS]-Table7[f4]*(Table15[[#This Row],[rpm]]-Table36[maxPRpm])^2)/1.36*9550/MAX(1,Table15[[#This Row],[rpm]]))</f>
        <v>1304.0966386554621</v>
      </c>
      <c r="Q25" s="3">
        <f>MAX(0,Table7[Nm2]*MIN(Table36[ratedRpm]/MAX(1,Table15[[#This Row],[rpm]]),1-(MAX(0,Table15[[#This Row],[rpm]]-Table36[ratedRpm])/Table36[fadeOut])^Table36[fadeOutExp]))</f>
        <v>1304.0966386554621</v>
      </c>
      <c r="R25" s="3">
        <f>(1-(1-Table15[[#This Row],[rpm]]/Table36[idleRpm])^2)*Table7[idleTEco]</f>
        <v>-2144.7890625</v>
      </c>
      <c r="S25" s="3">
        <f>MAX(0,(1-Table7[f1]*(Table36[maxTRpm1]-Table15[[#This Row],[rpm]])^2)*Table36[maxTEco])</f>
        <v>1307.3</v>
      </c>
      <c r="T25" s="3">
        <f>MAX(0,(Table36[linearDown]*(1-Table7[f2Eco]*(Table15[[#This Row],[rpm]]-Table36[maxTRpm]))+(1-Table36[linearDown])*(1-Table7[f3Eco]*(Table15[[#This Row],[rpm]]-Table36[maxTRpm])^2))*Table36[maxTEco])</f>
        <v>1406.5545617857279</v>
      </c>
      <c r="U25" s="3">
        <f>MAX(0,(Table36[maxPSEco]-Table7[f4Eco]*(Table15[[#This Row],[rpm]]-Table36[maxPRpm])^2)/1.36*9550/MAX(1,Table15[[#This Row],[rpm]]))</f>
        <v>1304.0966386554621</v>
      </c>
      <c r="V25" s="3">
        <f>MAX(0,Table7[Nm2Eco]*MIN(Table36[ratedRpm]/MAX(1,Table15[[#This Row],[rpm]]),1-(MAX(0,Table15[[#This Row],[rpm]]-Table36[ratedRpm])/Table36[fadeOut])^Table36[fadeOutExp]))</f>
        <v>1304.0966386554621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1324.159663865546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1324.159663865546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1157.2455239922192</v>
      </c>
      <c r="C26" s="20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1157.2455239922192</v>
      </c>
      <c r="E26" s="20"/>
      <c r="F26" s="3">
        <f>Table36[Factor]*IF(Table15[[#This Row],[manualData]]&gt;0,Table15[[#This Row],[manualData]],Table15[[#This Row],[rawData]])</f>
        <v>1157.2455239922192</v>
      </c>
      <c r="G26" s="3">
        <f>Table36[Factor]*IF(Table15[[#This Row],[manDataEco]]&gt;0,Table15[[#This Row],[manDataEco]],Table15[[#This Row],[rawDataEco]])</f>
        <v>1157.2455239922192</v>
      </c>
      <c r="H26" s="25">
        <f>1.36*Table15[[#This Row],[rpm]]*Table15[[#This Row],[motor]]/9550</f>
        <v>354.3231321626439</v>
      </c>
      <c r="I26" s="25">
        <f>1.36*Table15[[#This Row],[rpm]]*Table15[[#This Row],[motorEco]]/9550</f>
        <v>354.3231321626439</v>
      </c>
      <c r="J2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248.55408586904659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motorTorque="1157" fuelUsageRatio="248.6"/&gt;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normRpm="0.977" torque="0.753"/&gt;</v>
      </c>
      <c r="M26" s="3">
        <f>(1-(1-Table15[[#This Row],[rpm]]/Table36[idleRpm])^2)*Table7[idleT]</f>
        <v>-2415.4410156250001</v>
      </c>
      <c r="N26" s="3">
        <f>MAX(0,(1-Table7[f1]*(Table36[maxTRpm1]-Table15[[#This Row],[rpm]])^2)*Table36[maxT])</f>
        <v>1270.4426035502959</v>
      </c>
      <c r="O26" s="3">
        <f>MAX(0,(Table36[linearDown]*(1-Table7[f2]*(Table15[[#This Row],[rpm]]-Table36[maxTRpm]))+(1-Table36[linearDown])*(1-Table7[f3]*(Table15[[#This Row],[rpm]]-Table36[maxTRpm])^2))*Table36[maxT])</f>
        <v>1390.0089821503648</v>
      </c>
      <c r="P26" s="3">
        <f>MAX(0,(Table36[maxPS]-Table7[f4]*(Table15[[#This Row],[rpm]]-Table36[maxPRpm])^2)/1.36*9550/MAX(1,Table15[[#This Row],[rpm]]))</f>
        <v>1262.7458105335154</v>
      </c>
      <c r="Q26" s="3">
        <f>MAX(0,Table7[Nm2]*MIN(Table36[ratedRpm]/MAX(1,Table15[[#This Row],[rpm]]),1-(MAX(0,Table15[[#This Row],[rpm]]-Table36[ratedRpm])/Table36[fadeOut])^Table36[fadeOutExp]))</f>
        <v>1157.2455239922192</v>
      </c>
      <c r="R26" s="3">
        <f>(1-(1-Table15[[#This Row],[rpm]]/Table36[idleRpm])^2)*Table7[idleTEco]</f>
        <v>-2415.4410156250001</v>
      </c>
      <c r="S26" s="3">
        <f>MAX(0,(1-Table7[f1]*(Table36[maxTRpm1]-Table15[[#This Row],[rpm]])^2)*Table36[maxTEco])</f>
        <v>1270.4426035502959</v>
      </c>
      <c r="T26" s="3">
        <f>MAX(0,(Table36[linearDown]*(1-Table7[f2Eco]*(Table15[[#This Row],[rpm]]-Table36[maxTRpm]))+(1-Table36[linearDown])*(1-Table7[f3Eco]*(Table15[[#This Row],[rpm]]-Table36[maxTRpm])^2))*Table36[maxTEco])</f>
        <v>1390.0089821503648</v>
      </c>
      <c r="U26" s="3">
        <f>MAX(0,(Table36[maxPSEco]-Table7[f4Eco]*(Table15[[#This Row],[rpm]]-Table36[maxPRpm])^2)/1.36*9550/MAX(1,Table15[[#This Row],[rpm]]))</f>
        <v>1262.7458105335154</v>
      </c>
      <c r="V26" s="3">
        <f>MAX(0,Table7[Nm2Eco]*MIN(Table36[ratedRpm]/MAX(1,Table15[[#This Row],[rpm]]),1-(MAX(0,Table15[[#This Row],[rpm]]-Table36[ratedRpm])/Table36[fadeOut])^Table36[fadeOutExp]))</f>
        <v>1157.2455239922192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1293.3652530779752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1293.3652530779752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716.69218000249055</v>
      </c>
      <c r="C27" s="20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716.69218000249055</v>
      </c>
      <c r="E27" s="20"/>
      <c r="F27" s="3">
        <f>Table36[Factor]*IF(Table15[[#This Row],[manualData]]&gt;0,Table15[[#This Row],[manualData]],Table15[[#This Row],[rawData]])</f>
        <v>716.69218000249055</v>
      </c>
      <c r="G27" s="3">
        <f>Table36[Factor]*IF(Table15[[#This Row],[manDataEco]]&gt;0,Table15[[#This Row],[manDataEco]],Table15[[#This Row],[rawDataEco]])</f>
        <v>716.69218000249055</v>
      </c>
      <c r="H27" s="3">
        <f>1.36*Table15[[#This Row],[rpm]]*Table15[[#This Row],[motor]]/9550</f>
        <v>224.53853430025674</v>
      </c>
      <c r="I27" s="3">
        <f>1.36*Table15[[#This Row],[rpm]]*Table15[[#This Row],[motorEco]]/9550</f>
        <v>224.53853430025674</v>
      </c>
      <c r="J2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319.43491199545491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motorTorque="717" fuelUsageRatio="319.4"/&gt;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torque="0.466"/&gt;</v>
      </c>
      <c r="M27" s="3">
        <f>(1-(1-Table15[[#This Row],[rpm]]/Table36[idleRpm])^2)*Table7[idleT]</f>
        <v>-2696.3062500000001</v>
      </c>
      <c r="N27" s="3">
        <f>MAX(0,(1-Table7[f1]*(Table36[maxTRpm1]-Table15[[#This Row],[rpm]])^2)*Table36[maxT])</f>
        <v>1230.8550295857988</v>
      </c>
      <c r="O27" s="3">
        <f>MAX(0,(Table36[linearDown]*(1-Table7[f2]*(Table15[[#This Row],[rpm]]-Table36[maxTRpm]))+(1-Table36[linearDown])*(1-Table7[f3]*(Table15[[#This Row],[rpm]]-Table36[maxTRpm])^2))*Table36[maxT])</f>
        <v>1372.5442036463705</v>
      </c>
      <c r="P27" s="3">
        <f>MAX(0,(Table36[maxPS]-Table7[f4]*(Table15[[#This Row],[rpm]]-Table36[maxPRpm])^2)/1.36*9550/MAX(1,Table15[[#This Row],[rpm]]))</f>
        <v>1220.8806818181818</v>
      </c>
      <c r="Q27" s="3">
        <f>MAX(0,Table7[Nm2]*MIN(Table36[ratedRpm]/MAX(1,Table15[[#This Row],[rpm]]),1-(MAX(0,Table15[[#This Row],[rpm]]-Table36[ratedRpm])/Table36[fadeOut])^Table36[fadeOutExp]))</f>
        <v>716.69218000249055</v>
      </c>
      <c r="R27" s="3">
        <f>(1-(1-Table15[[#This Row],[rpm]]/Table36[idleRpm])^2)*Table7[idleTEco]</f>
        <v>-2696.3062500000001</v>
      </c>
      <c r="S27" s="3">
        <f>MAX(0,(1-Table7[f1]*(Table36[maxTRpm1]-Table15[[#This Row],[rpm]])^2)*Table36[maxTEco])</f>
        <v>1230.8550295857988</v>
      </c>
      <c r="T27" s="3">
        <f>MAX(0,(Table36[linearDown]*(1-Table7[f2Eco]*(Table15[[#This Row],[rpm]]-Table36[maxTRpm]))+(1-Table36[linearDown])*(1-Table7[f3Eco]*(Table15[[#This Row],[rpm]]-Table36[maxTRpm])^2))*Table36[maxTEco])</f>
        <v>1372.5442036463705</v>
      </c>
      <c r="U27" s="3">
        <f>MAX(0,(Table36[maxPSEco]-Table7[f4Eco]*(Table15[[#This Row],[rpm]]-Table36[maxPRpm])^2)/1.36*9550/MAX(1,Table15[[#This Row],[rpm]]))</f>
        <v>1220.8806818181818</v>
      </c>
      <c r="V27" s="3">
        <f>MAX(0,Table7[Nm2Eco]*MIN(Table36[ratedRpm]/MAX(1,Table15[[#This Row],[rpm]]),1-(MAX(0,Table15[[#This Row],[rpm]]-Table36[ratedRpm])/Table36[fadeOut])^Table36[fadeOutExp]))</f>
        <v>716.69218000249055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1263.9705882352939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1263.9705882352939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8" s="20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8" s="20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motorTorque="0" fuelUsageRatio="466.7"/&gt;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-2987.384765625</v>
      </c>
      <c r="N28" s="3">
        <f>MAX(0,(1-Table7[f1]*(Table36[maxTRpm1]-Table15[[#This Row],[rpm]])^2)*Table36[maxT])</f>
        <v>1188.5372781065089</v>
      </c>
      <c r="O28" s="3">
        <f>MAX(0,(Table36[linearDown]*(1-Table7[f2]*(Table15[[#This Row],[rpm]]-Table36[maxTRpm]))+(1-Table36[linearDown])*(1-Table7[f3]*(Table15[[#This Row],[rpm]]-Table36[maxTRpm])^2))*Table36[maxT])</f>
        <v>1354.1602262737451</v>
      </c>
      <c r="P28" s="3">
        <f>MAX(0,(Table36[maxPS]-Table7[f4]*(Table15[[#This Row],[rpm]]-Table36[maxPRpm])^2)/1.36*9550/MAX(1,Table15[[#This Row],[rpm]]))</f>
        <v>1178.5355392156862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-2987.384765625</v>
      </c>
      <c r="S28" s="3">
        <f>MAX(0,(1-Table7[f1]*(Table36[maxTRpm1]-Table15[[#This Row],[rpm]])^2)*Table36[maxTEco])</f>
        <v>1188.5372781065089</v>
      </c>
      <c r="T28" s="3">
        <f>MAX(0,(Table36[linearDown]*(1-Table7[f2Eco]*(Table15[[#This Row],[rpm]]-Table36[maxTRpm]))+(1-Table36[linearDown])*(1-Table7[f3Eco]*(Table15[[#This Row],[rpm]]-Table36[maxTRpm])^2))*Table36[maxTEco])</f>
        <v>1354.1602262737451</v>
      </c>
      <c r="U28" s="3">
        <f>MAX(0,(Table36[maxPSEco]-Table7[f4Eco]*(Table15[[#This Row],[rpm]]-Table36[maxPRpm])^2)/1.36*9550/MAX(1,Table15[[#This Row],[rpm]]))</f>
        <v>1178.5355392156862</v>
      </c>
      <c r="V28" s="3">
        <f>MAX(0,Table7[Nm2Eco]*MIN(Table36[ratedRpm]/MAX(1,Table15[[#This Row],[rpm]]),1-(MAX(0,Table15[[#This Row],[rpm]]-Table36[ratedRpm])/Table36[fadeOut])^Table36[fadeOutExp]))</f>
        <v>0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1235.8823529411764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1235.8823529411764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20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20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motorTorque="0" fuelUsageRatio="466.7"/&gt;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-3288.6765624999998</v>
      </c>
      <c r="N29" s="3">
        <f>MAX(0,(1-Table7[f1]*(Table36[maxTRpm1]-Table15[[#This Row],[rpm]])^2)*Table36[maxT])</f>
        <v>1143.489349112426</v>
      </c>
      <c r="O29" s="3">
        <f>MAX(0,(Table36[linearDown]*(1-Table7[f2]*(Table15[[#This Row],[rpm]]-Table36[maxTRpm]))+(1-Table36[linearDown])*(1-Table7[f3]*(Table15[[#This Row],[rpm]]-Table36[maxTRpm])^2))*Table36[maxT])</f>
        <v>1334.8570500324884</v>
      </c>
      <c r="P29" s="3">
        <f>MAX(0,(Table36[maxPS]-Table7[f4]*(Table15[[#This Row],[rpm]]-Table36[maxPRpm])^2)/1.36*9550/MAX(1,Table15[[#This Row],[rpm]]))</f>
        <v>1135.7416879795394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-3288.6765624999998</v>
      </c>
      <c r="S29" s="3">
        <f>MAX(0,(1-Table7[f1]*(Table36[maxTRpm1]-Table15[[#This Row],[rpm]])^2)*Table36[maxTEco])</f>
        <v>1143.489349112426</v>
      </c>
      <c r="T29" s="3">
        <f>MAX(0,(Table36[linearDown]*(1-Table7[f2Eco]*(Table15[[#This Row],[rpm]]-Table36[maxTRpm]))+(1-Table36[linearDown])*(1-Table7[f3Eco]*(Table15[[#This Row],[rpm]]-Table36[maxTRpm])^2))*Table36[maxTEco])</f>
        <v>1334.8570500324884</v>
      </c>
      <c r="U29" s="3">
        <f>MAX(0,(Table36[maxPSEco]-Table7[f4Eco]*(Table15[[#This Row],[rpm]]-Table36[maxPRpm])^2)/1.36*9550/MAX(1,Table15[[#This Row],[rpm]]))</f>
        <v>1135.7416879795394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1209.015345268542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1209.015345268542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20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20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-3600.181640625</v>
      </c>
      <c r="N30" s="3">
        <f>MAX(0,(1-Table7[f1]*(Table36[maxTRpm1]-Table15[[#This Row],[rpm]])^2)*Table36[maxT])</f>
        <v>1095.7112426035503</v>
      </c>
      <c r="O30" s="3">
        <f>MAX(0,(Table36[linearDown]*(1-Table7[f2]*(Table15[[#This Row],[rpm]]-Table36[maxTRpm]))+(1-Table36[linearDown])*(1-Table7[f3]*(Table15[[#This Row],[rpm]]-Table36[maxTRpm])^2))*Table36[maxT])</f>
        <v>1314.6346749226004</v>
      </c>
      <c r="P30" s="3">
        <f>MAX(0,(Table36[maxPS]-Table7[f4]*(Table15[[#This Row],[rpm]]-Table36[maxPRpm])^2)/1.36*9550/MAX(1,Table15[[#This Row],[rpm]]))</f>
        <v>1092.5277690863577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-3600.181640625</v>
      </c>
      <c r="S30" s="3">
        <f>MAX(0,(1-Table7[f1]*(Table36[maxTRpm1]-Table15[[#This Row],[rpm]])^2)*Table36[maxTEco])</f>
        <v>1095.7112426035503</v>
      </c>
      <c r="T30" s="3">
        <f>MAX(0,(Table36[linearDown]*(1-Table7[f2Eco]*(Table15[[#This Row],[rpm]]-Table36[maxTRpm]))+(1-Table36[linearDown])*(1-Table7[f3Eco]*(Table15[[#This Row],[rpm]]-Table36[maxTRpm])^2))*Table36[maxTEco])</f>
        <v>1314.6346749226004</v>
      </c>
      <c r="U30" s="3">
        <f>MAX(0,(Table36[maxPSEco]-Table7[f4Eco]*(Table15[[#This Row],[rpm]]-Table36[maxPRpm])^2)/1.36*9550/MAX(1,Table15[[#This Row],[rpm]]))</f>
        <v>1092.5277690863577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1183.2916145181475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1183.2916145181475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-3921.8999999999996</v>
      </c>
      <c r="N31" s="3">
        <f>MAX(0,(1-Table7[f1]*(Table36[maxTRpm1]-Table15[[#This Row],[rpm]])^2)*Table36[maxT])</f>
        <v>1045.2029585798816</v>
      </c>
      <c r="O31" s="3">
        <f>MAX(0,(Table36[linearDown]*(1-Table7[f2]*(Table15[[#This Row],[rpm]]-Table36[maxTRpm]))+(1-Table36[linearDown])*(1-Table7[f3]*(Table15[[#This Row],[rpm]]-Table36[maxTRpm])^2))*Table36[maxT])</f>
        <v>1293.4931009440811</v>
      </c>
      <c r="P31" s="3">
        <f>MAX(0,(Table36[maxPS]-Table7[f4]*(Table15[[#This Row],[rpm]]-Table36[maxPRpm])^2)/1.36*9550/MAX(1,Table15[[#This Row],[rpm]]))</f>
        <v>1048.9200367647059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-3921.8999999999996</v>
      </c>
      <c r="S31" s="3">
        <f>MAX(0,(1-Table7[f1]*(Table36[maxTRpm1]-Table15[[#This Row],[rpm]])^2)*Table36[maxTEco])</f>
        <v>1045.2029585798816</v>
      </c>
      <c r="T31" s="3">
        <f>MAX(0,(Table36[linearDown]*(1-Table7[f2Eco]*(Table15[[#This Row],[rpm]]-Table36[maxTRpm]))+(1-Table36[linearDown])*(1-Table7[f3Eco]*(Table15[[#This Row],[rpm]]-Table36[maxTRpm])^2))*Table36[maxTEco])</f>
        <v>1293.4931009440811</v>
      </c>
      <c r="U31" s="3">
        <f>MAX(0,(Table36[maxPSEco]-Table7[f4Eco]*(Table15[[#This Row],[rpm]]-Table36[maxPRpm])^2)/1.36*9550/MAX(1,Table15[[#This Row],[rpm]]))</f>
        <v>1048.9200367647059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1158.6397058823529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1158.6397058823529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-4253.8316406249996</v>
      </c>
      <c r="N32" s="3">
        <f>MAX(0,(1-Table7[f1]*(Table36[maxTRpm1]-Table15[[#This Row],[rpm]])^2)*Table36[maxT])</f>
        <v>991.96449704142003</v>
      </c>
      <c r="O32" s="3">
        <f>MAX(0,(Table36[linearDown]*(1-Table7[f2]*(Table15[[#This Row],[rpm]]-Table36[maxTRpm]))+(1-Table36[linearDown])*(1-Table7[f3]*(Table15[[#This Row],[rpm]]-Table36[maxTRpm])^2))*Table36[maxT])</f>
        <v>1271.4323280969306</v>
      </c>
      <c r="P32" s="3">
        <f>MAX(0,(Table36[maxPS]-Table7[f4]*(Table15[[#This Row],[rpm]]-Table36[maxPRpm])^2)/1.36*9550/MAX(1,Table15[[#This Row],[rpm]]))</f>
        <v>1004.9426020408164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-4253.8316406249996</v>
      </c>
      <c r="S32" s="3">
        <f>MAX(0,(1-Table7[f1]*(Table36[maxTRpm1]-Table15[[#This Row],[rpm]])^2)*Table36[maxTEco])</f>
        <v>991.96449704142003</v>
      </c>
      <c r="T32" s="3">
        <f>MAX(0,(Table36[linearDown]*(1-Table7[f2Eco]*(Table15[[#This Row],[rpm]]-Table36[maxTRpm]))+(1-Table36[linearDown])*(1-Table7[f3Eco]*(Table15[[#This Row],[rpm]]-Table36[maxTRpm])^2))*Table36[maxTEco])</f>
        <v>1271.4323280969306</v>
      </c>
      <c r="U32" s="3">
        <f>MAX(0,(Table36[maxPSEco]-Table7[f4Eco]*(Table15[[#This Row],[rpm]]-Table36[maxPRpm])^2)/1.36*9550/MAX(1,Table15[[#This Row],[rpm]]))</f>
        <v>1004.9426020408164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1134.9939975990394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1134.9939975990394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-4595.9765625</v>
      </c>
      <c r="N33" s="3">
        <f>MAX(0,(1-Table7[f1]*(Table36[maxTRpm1]-Table15[[#This Row],[rpm]])^2)*Table36[maxT])</f>
        <v>935.99585798816554</v>
      </c>
      <c r="O33" s="3">
        <f>MAX(0,(Table36[linearDown]*(1-Table7[f2]*(Table15[[#This Row],[rpm]]-Table36[maxTRpm]))+(1-Table36[linearDown])*(1-Table7[f3]*(Table15[[#This Row],[rpm]]-Table36[maxTRpm])^2))*Table36[maxT])</f>
        <v>1248.4523563811488</v>
      </c>
      <c r="P33" s="3">
        <f>MAX(0,(Table36[maxPS]-Table7[f4]*(Table15[[#This Row],[rpm]]-Table36[maxPRpm])^2)/1.36*9550/MAX(1,Table15[[#This Row],[rpm]]))</f>
        <v>960.61764705882331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-4595.9765625</v>
      </c>
      <c r="S33" s="3">
        <f>MAX(0,(1-Table7[f1]*(Table36[maxTRpm1]-Table15[[#This Row],[rpm]])^2)*Table36[maxTEco])</f>
        <v>935.99585798816554</v>
      </c>
      <c r="T33" s="3">
        <f>MAX(0,(Table36[linearDown]*(1-Table7[f2Eco]*(Table15[[#This Row],[rpm]]-Table36[maxTRpm]))+(1-Table36[linearDown])*(1-Table7[f3Eco]*(Table15[[#This Row],[rpm]]-Table36[maxTRpm])^2))*Table36[maxTEco])</f>
        <v>1248.4523563811488</v>
      </c>
      <c r="U33" s="3">
        <f>MAX(0,(Table36[maxPSEco]-Table7[f4Eco]*(Table15[[#This Row],[rpm]]-Table36[maxPRpm])^2)/1.36*9550/MAX(1,Table15[[#This Row],[rpm]]))</f>
        <v>960.61764705882331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1112.2941176470588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1112.2941176470588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-4948.3347656249998</v>
      </c>
      <c r="N34" s="3">
        <f>MAX(0,(1-Table7[f1]*(Table36[maxTRpm1]-Table15[[#This Row],[rpm]])^2)*Table36[maxT])</f>
        <v>877.29704142011826</v>
      </c>
      <c r="O34" s="3">
        <f>MAX(0,(Table36[linearDown]*(1-Table7[f2]*(Table15[[#This Row],[rpm]]-Table36[maxTRpm]))+(1-Table36[linearDown])*(1-Table7[f3]*(Table15[[#This Row],[rpm]]-Table36[maxTRpm])^2))*Table36[maxT])</f>
        <v>1224.5531857967355</v>
      </c>
      <c r="P34" s="3">
        <f>MAX(0,(Table36[maxPS]-Table7[f4]*(Table15[[#This Row],[rpm]]-Table36[maxPRpm])^2)/1.36*9550/MAX(1,Table15[[#This Row],[rpm]]))</f>
        <v>915.9656141868511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-4948.3347656249998</v>
      </c>
      <c r="S34" s="3">
        <f>MAX(0,(1-Table7[f1]*(Table36[maxTRpm1]-Table15[[#This Row],[rpm]])^2)*Table36[maxTEco])</f>
        <v>877.29704142011826</v>
      </c>
      <c r="T34" s="3">
        <f>MAX(0,(Table36[linearDown]*(1-Table7[f2Eco]*(Table15[[#This Row],[rpm]]-Table36[maxTRpm]))+(1-Table36[linearDown])*(1-Table7[f3Eco]*(Table15[[#This Row],[rpm]]-Table36[maxTRpm])^2))*Table36[maxTEco])</f>
        <v>1224.5531857967355</v>
      </c>
      <c r="U34" s="3">
        <f>MAX(0,(Table36[maxPSEco]-Table7[f4Eco]*(Table15[[#This Row],[rpm]]-Table36[maxPRpm])^2)/1.36*9550/MAX(1,Table15[[#This Row],[rpm]]))</f>
        <v>915.9656141868511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1090.4844290657438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1090.4844290657438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-5310.90625</v>
      </c>
      <c r="N35" s="3">
        <f>MAX(0,(1-Table7[f1]*(Table36[maxTRpm1]-Table15[[#This Row],[rpm]])^2)*Table36[maxT])</f>
        <v>815.86804733727809</v>
      </c>
      <c r="O35" s="3">
        <f>MAX(0,(Table36[linearDown]*(1-Table7[f2]*(Table15[[#This Row],[rpm]]-Table36[maxTRpm]))+(1-Table36[linearDown])*(1-Table7[f3]*(Table15[[#This Row],[rpm]]-Table36[maxTRpm])^2))*Table36[maxT])</f>
        <v>1199.7348163436911</v>
      </c>
      <c r="P35" s="3">
        <f>MAX(0,(Table36[maxPS]-Table7[f4]*(Table15[[#This Row],[rpm]]-Table36[maxPRpm])^2)/1.36*9550/MAX(1,Table15[[#This Row],[rpm]]))</f>
        <v>871.0053733031674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-5310.90625</v>
      </c>
      <c r="S35" s="3">
        <f>MAX(0,(1-Table7[f1]*(Table36[maxTRpm1]-Table15[[#This Row],[rpm]])^2)*Table36[maxTEco])</f>
        <v>815.86804733727809</v>
      </c>
      <c r="T35" s="3">
        <f>MAX(0,(Table36[linearDown]*(1-Table7[f2Eco]*(Table15[[#This Row],[rpm]]-Table36[maxTRpm]))+(1-Table36[linearDown])*(1-Table7[f3Eco]*(Table15[[#This Row],[rpm]]-Table36[maxTRpm])^2))*Table36[maxTEco])</f>
        <v>1199.7348163436911</v>
      </c>
      <c r="U35" s="3">
        <f>MAX(0,(Table36[maxPSEco]-Table7[f4Eco]*(Table15[[#This Row],[rpm]]-Table36[maxPRpm])^2)/1.36*9550/MAX(1,Table15[[#This Row],[rpm]]))</f>
        <v>871.0053733031674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1069.5135746606334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1069.5135746606334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-5683.6910156249996</v>
      </c>
      <c r="N36" s="3">
        <f>MAX(0,(1-Table7[f1]*(Table36[maxTRpm1]-Table15[[#This Row],[rpm]])^2)*Table36[maxT])</f>
        <v>751.7088757396449</v>
      </c>
      <c r="O36" s="3">
        <f>MAX(0,(Table36[linearDown]*(1-Table7[f2]*(Table15[[#This Row],[rpm]]-Table36[maxTRpm]))+(1-Table36[linearDown])*(1-Table7[f3]*(Table15[[#This Row],[rpm]]-Table36[maxTRpm])^2))*Table36[maxT])</f>
        <v>1173.9972480220156</v>
      </c>
      <c r="P36" s="3">
        <f>MAX(0,(Table36[maxPS]-Table7[f4]*(Table15[[#This Row],[rpm]]-Table36[maxPRpm])^2)/1.36*9550/MAX(1,Table15[[#This Row],[rpm]]))</f>
        <v>825.75437014428405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-5683.6910156249996</v>
      </c>
      <c r="S36" s="3">
        <f>MAX(0,(1-Table7[f1]*(Table36[maxTRpm1]-Table15[[#This Row],[rpm]])^2)*Table36[maxTEco])</f>
        <v>751.7088757396449</v>
      </c>
      <c r="T36" s="3">
        <f>MAX(0,(Table36[linearDown]*(1-Table7[f2Eco]*(Table15[[#This Row],[rpm]]-Table36[maxTRpm]))+(1-Table36[linearDown])*(1-Table7[f3Eco]*(Table15[[#This Row],[rpm]]-Table36[maxTRpm])^2))*Table36[maxTEco])</f>
        <v>1173.9972480220156</v>
      </c>
      <c r="U36" s="3">
        <f>MAX(0,(Table36[maxPSEco]-Table7[f4Eco]*(Table15[[#This Row],[rpm]]-Table36[maxPRpm])^2)/1.36*9550/MAX(1,Table15[[#This Row],[rpm]]))</f>
        <v>825.75437014428405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1049.3340732519421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1049.3340732519421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-6459.900390625</v>
      </c>
      <c r="N37" s="3">
        <f>MAX(0,(1-Table7[f1]*(Table36[maxTRpm1]-Table15[[#This Row],[rpm]])^2)*Table36[maxT])</f>
        <v>615.19999999999982</v>
      </c>
      <c r="O37" s="3">
        <f>MAX(0,(Table36[linearDown]*(1-Table7[f2]*(Table15[[#This Row],[rpm]]-Table36[maxTRpm]))+(1-Table36[linearDown])*(1-Table7[f3]*(Table15[[#This Row],[rpm]]-Table36[maxTRpm])^2))*Table36[maxT])</f>
        <v>1119.7645147727703</v>
      </c>
      <c r="P37" s="3">
        <f>MAX(0,(Table36[maxPS]-Table7[f4]*(Table15[[#This Row],[rpm]]-Table36[maxPRpm])^2)/1.36*9550/MAX(1,Table15[[#This Row],[rpm]]))</f>
        <v>734.44351604278074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-6459.900390625</v>
      </c>
      <c r="S37" s="3">
        <f>MAX(0,(1-Table7[f1]*(Table36[maxTRpm1]-Table15[[#This Row],[rpm]])^2)*Table36[maxTEco])</f>
        <v>615.19999999999982</v>
      </c>
      <c r="T37" s="3">
        <f>MAX(0,(Table36[linearDown]*(1-Table7[f2Eco]*(Table15[[#This Row],[rpm]]-Table36[maxTRpm]))+(1-Table36[linearDown])*(1-Table7[f3Eco]*(Table15[[#This Row],[rpm]]-Table36[maxTRpm])^2))*Table36[maxTEco])</f>
        <v>1119.7645147727703</v>
      </c>
      <c r="U37" s="3">
        <f>MAX(0,(Table36[maxPSEco]-Table7[f4Eco]*(Table15[[#This Row],[rpm]]-Table36[maxPRpm])^2)/1.36*9550/MAX(1,Table15[[#This Row],[rpm]]))</f>
        <v>734.44351604278074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1011.1764705882351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1011.1764705882351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-8579.15625</v>
      </c>
      <c r="N38" s="3">
        <f>MAX(0,(1-Table7[f1]*(Table36[maxTRpm1]-Table15[[#This Row],[rpm]])^2)*Table36[maxT])</f>
        <v>226.14970414201167</v>
      </c>
      <c r="O38" s="3">
        <f>MAX(0,(Table36[linearDown]*(1-Table7[f2]*(Table15[[#This Row],[rpm]]-Table36[maxTRpm]))+(1-Table36[linearDown])*(1-Table7[f3]*(Table15[[#This Row],[rpm]]-Table36[maxTRpm])^2))*Table36[maxT])</f>
        <v>968.09670144861025</v>
      </c>
      <c r="P38" s="3">
        <f>MAX(0,(Table36[maxPS]-Table7[f4]*(Table15[[#This Row],[rpm]]-Table36[maxPRpm])^2)/1.36*9550/MAX(1,Table15[[#This Row],[rpm]]))</f>
        <v>502.07720588235293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-8579.15625</v>
      </c>
      <c r="S38" s="3">
        <f>MAX(0,(1-Table7[f1]*(Table36[maxTRpm1]-Table15[[#This Row],[rpm]])^2)*Table36[maxTEco])</f>
        <v>226.14970414201167</v>
      </c>
      <c r="T38" s="3">
        <f>MAX(0,(Table36[linearDown]*(1-Table7[f2Eco]*(Table15[[#This Row],[rpm]]-Table36[maxTRpm]))+(1-Table36[linearDown])*(1-Table7[f3Eco]*(Table15[[#This Row],[rpm]]-Table36[maxTRpm])^2))*Table36[maxTEco])</f>
        <v>968.09670144861025</v>
      </c>
      <c r="U38" s="3">
        <f>MAX(0,(Table36[maxPSEco]-Table7[f4Eco]*(Table15[[#This Row],[rpm]]-Table36[maxPRpm])^2)/1.36*9550/MAX(1,Table15[[#This Row],[rpm]]))</f>
        <v>502.07720588235293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926.91176470588221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926.91176470588221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-10953.744140625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793.44891640866786</v>
      </c>
      <c r="P39" s="3">
        <f>MAX(0,(Table36[maxPS]-Table7[f4]*(Table15[[#This Row],[rpm]]-Table36[maxPRpm])^2)/1.36*9550/MAX(1,Table15[[#This Row],[rpm]]))</f>
        <v>264.94768099547508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-10953.744140625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793.44891640866786</v>
      </c>
      <c r="U39" s="3">
        <f>MAX(0,(Table36[maxPSEco]-Table7[f4Eco]*(Table15[[#This Row],[rpm]]-Table36[maxPRpm])^2)/1.36*9550/MAX(1,Table15[[#This Row],[rpm]]))</f>
        <v>264.94768099547508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855.61085972850674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855.61085972850674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-13583.6640625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595.82115965294417</v>
      </c>
      <c r="P40" s="3">
        <f>MAX(0,(Table36[maxPS]-Table7[f4]*(Table15[[#This Row],[rpm]]-Table36[maxPRpm])^2)/1.36*9550/MAX(1,Table15[[#This Row],[rpm]]))</f>
        <v>24.075630252100954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-13583.6640625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595.82115965294417</v>
      </c>
      <c r="U40" s="3">
        <f>MAX(0,(Table36[maxPSEco]-Table7[f4Eco]*(Table15[[#This Row],[rpm]]-Table36[maxPRpm])^2)/1.36*9550/MAX(1,Table15[[#This Row],[rpm]]))</f>
        <v>24.075630252100954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794.4957983193276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794.4957983193276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-16468.916015625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375.21343118143847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-16468.916015625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375.21343118143847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741.52941176470586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741.52941176470586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-19609.5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131.62573099415084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-19609.5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131.62573099415084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695.18382352941171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695.18382352941171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-23005.416015625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-23005.416015625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654.29065743944625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654.29065743944625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-26656.6640625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-26656.6640625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617.94117647058818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617.94117647058818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-30563.244140625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-30563.244140625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585.41795665634663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585.41795665634663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-34725.15625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-34725.15625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556.14705882352939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556.14705882352939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-39142.400390625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-39142.400390625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529.6638655462184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529.6638655462184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-43814.9765625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-43814.9765625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505.58823529411757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505.58823529411757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-48742.884765625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-48742.884765625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483.60613810741683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483.60613810741683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-53926.125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-53926.125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463.4558823529411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463.4558823529411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-59364.697265625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-59364.697265625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444.91764705882349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444.91764705882349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-65058.6015625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-65058.6015625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427.80542986425337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427.80542986425337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-71007.837890625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-71007.837890625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411.96078431372547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411.96078431372547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-77212.40625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-77212.40625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397.2478991596638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397.2478991596638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-83672.306640625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-83672.306640625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383.54969574036505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383.54969574036505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-90387.5390625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-90387.5390625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370.76470588235293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370.76470588235293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-97358.103515625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-97358.103515625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358.80455407969635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358.80455407969635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-104584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-104584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347.59191176470586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347.59191176470586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-112065.228515625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-112065.228515625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337.05882352941171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337.05882352941171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-119801.7890625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-119801.7890625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327.14532871972312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327.14532871972312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-127793.681640625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-127793.681640625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317.79831932773106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317.79831932773106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-136040.90625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-136040.90625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308.97058823529409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308.97058823529409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39" t="s">
        <v>18</v>
      </c>
      <c r="B1" s="40" t="s">
        <v>23</v>
      </c>
      <c r="C1" s="40" t="s">
        <v>8</v>
      </c>
      <c r="D1" s="40" t="s">
        <v>10</v>
      </c>
      <c r="E1" s="40" t="s">
        <v>22</v>
      </c>
      <c r="F1" s="40" t="s">
        <v>12</v>
      </c>
      <c r="G1" s="41" t="s">
        <v>13</v>
      </c>
      <c r="H1" s="46" t="s">
        <v>14</v>
      </c>
      <c r="I1" s="46" t="s">
        <v>27</v>
      </c>
      <c r="K1" s="37" t="s">
        <v>19</v>
      </c>
      <c r="L1" s="37" t="s">
        <v>20</v>
      </c>
    </row>
    <row r="2" spans="1:12" x14ac:dyDescent="0.25">
      <c r="A2" s="42">
        <v>1900</v>
      </c>
      <c r="B2" s="43">
        <v>396</v>
      </c>
      <c r="C2" s="44">
        <v>2100</v>
      </c>
      <c r="D2" s="45">
        <v>390</v>
      </c>
      <c r="E2" s="42">
        <v>1450</v>
      </c>
      <c r="F2" s="43">
        <v>1450</v>
      </c>
      <c r="G2" s="43">
        <v>1538</v>
      </c>
      <c r="H2" s="27">
        <v>800</v>
      </c>
      <c r="I2" s="47">
        <v>1.0900000000000001</v>
      </c>
      <c r="K2" s="38">
        <f>Table2[maxPS]/1.36*9550/Table2[maxPRpm]</f>
        <v>1463.5448916408668</v>
      </c>
      <c r="L2" s="38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2016-08-03T12:12:06Z</dcterms:modified>
</cp:coreProperties>
</file>