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bookViews>
    <workbookView xWindow="23280" yWindow="0" windowWidth="20400" windowHeight="9945"/>
  </bookViews>
  <sheets>
    <sheet name="Calculate from Values" sheetId="3" r:id="rId1"/>
    <sheet name="Sheet1" sheetId="1" r:id="rId2"/>
    <sheet name="Sheet2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4" l="1"/>
  <c r="A11" i="4"/>
  <c r="C5" i="4"/>
  <c r="A10" i="4" l="1"/>
  <c r="A9" i="4"/>
  <c r="B8" i="4"/>
  <c r="A8" i="4"/>
  <c r="L2" i="4"/>
  <c r="B10" i="4" s="1"/>
  <c r="C10" i="4" s="1"/>
  <c r="K2" i="4"/>
  <c r="B9" i="4" s="1"/>
  <c r="C9" i="4" s="1"/>
  <c r="B7" i="4"/>
  <c r="A7" i="4"/>
  <c r="C7" i="4" l="1"/>
  <c r="C8" i="4"/>
  <c r="B6" i="4"/>
  <c r="C6" i="4" s="1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W31" i="3" l="1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X7" i="3"/>
  <c r="W7" i="3"/>
  <c r="J2" i="3" l="1"/>
  <c r="F2" i="3"/>
  <c r="L4" i="3" l="1"/>
  <c r="K4" i="3"/>
  <c r="T2" i="3" l="1"/>
  <c r="S2" i="3"/>
  <c r="J58" i="3" l="1"/>
  <c r="J62" i="3"/>
  <c r="J55" i="3"/>
  <c r="J59" i="3"/>
  <c r="J56" i="3"/>
  <c r="J60" i="3"/>
  <c r="J57" i="3"/>
  <c r="J61" i="3"/>
  <c r="U2" i="3"/>
  <c r="M4" i="3"/>
  <c r="J44" i="3"/>
  <c r="J48" i="3"/>
  <c r="J52" i="3"/>
  <c r="J45" i="3"/>
  <c r="J49" i="3"/>
  <c r="J53" i="3"/>
  <c r="J46" i="3"/>
  <c r="J50" i="3"/>
  <c r="J54" i="3"/>
  <c r="J47" i="3"/>
  <c r="J51" i="3"/>
  <c r="J43" i="3"/>
  <c r="J9" i="3"/>
  <c r="J41" i="3"/>
  <c r="J37" i="3"/>
  <c r="J29" i="3"/>
  <c r="J20" i="3"/>
  <c r="J8" i="3"/>
  <c r="J40" i="3"/>
  <c r="J36" i="3"/>
  <c r="J32" i="3"/>
  <c r="J28" i="3"/>
  <c r="J23" i="3"/>
  <c r="J19" i="3"/>
  <c r="J15" i="3"/>
  <c r="J11" i="3"/>
  <c r="J7" i="3"/>
  <c r="J39" i="3"/>
  <c r="J35" i="3"/>
  <c r="J31" i="3"/>
  <c r="J27" i="3"/>
  <c r="J22" i="3"/>
  <c r="J18" i="3"/>
  <c r="J14" i="3"/>
  <c r="J10" i="3"/>
  <c r="J25" i="3"/>
  <c r="J33" i="3"/>
  <c r="J24" i="3"/>
  <c r="J16" i="3"/>
  <c r="J12" i="3"/>
  <c r="J42" i="3"/>
  <c r="J38" i="3"/>
  <c r="J34" i="3"/>
  <c r="J30" i="3"/>
  <c r="J26" i="3"/>
  <c r="J21" i="3"/>
  <c r="J17" i="3"/>
  <c r="J13" i="3"/>
  <c r="V2" i="3"/>
  <c r="L60" i="3" l="1"/>
  <c r="L56" i="3"/>
  <c r="L55" i="3"/>
  <c r="L61" i="3"/>
  <c r="L57" i="3"/>
  <c r="L59" i="3"/>
  <c r="L58" i="3"/>
  <c r="L62" i="3"/>
  <c r="L54" i="3"/>
  <c r="L53" i="3"/>
  <c r="Y2" i="3"/>
  <c r="C2" i="3" s="1"/>
  <c r="X54" i="3" l="1"/>
  <c r="X60" i="3"/>
  <c r="X9" i="3"/>
  <c r="X15" i="3"/>
  <c r="X21" i="3"/>
  <c r="X29" i="3"/>
  <c r="X31" i="3"/>
  <c r="X33" i="3"/>
  <c r="X35" i="3"/>
  <c r="X37" i="3"/>
  <c r="X39" i="3"/>
  <c r="X41" i="3"/>
  <c r="X43" i="3"/>
  <c r="X45" i="3"/>
  <c r="X47" i="3"/>
  <c r="X49" i="3"/>
  <c r="X51" i="3"/>
  <c r="X53" i="3"/>
  <c r="X55" i="3"/>
  <c r="X57" i="3"/>
  <c r="X59" i="3"/>
  <c r="X61" i="3"/>
  <c r="X8" i="3"/>
  <c r="X10" i="3"/>
  <c r="X12" i="3"/>
  <c r="X14" i="3"/>
  <c r="X16" i="3"/>
  <c r="X18" i="3"/>
  <c r="X20" i="3"/>
  <c r="X22" i="3"/>
  <c r="X24" i="3"/>
  <c r="X26" i="3"/>
  <c r="X28" i="3"/>
  <c r="X30" i="3"/>
  <c r="X34" i="3"/>
  <c r="X38" i="3"/>
  <c r="X42" i="3"/>
  <c r="X46" i="3"/>
  <c r="X50" i="3"/>
  <c r="X56" i="3"/>
  <c r="X62" i="3"/>
  <c r="X13" i="3"/>
  <c r="X17" i="3"/>
  <c r="X23" i="3"/>
  <c r="X27" i="3"/>
  <c r="X32" i="3"/>
  <c r="X36" i="3"/>
  <c r="X40" i="3"/>
  <c r="X44" i="3"/>
  <c r="X48" i="3"/>
  <c r="X52" i="3"/>
  <c r="X58" i="3"/>
  <c r="X11" i="3"/>
  <c r="X19" i="3"/>
  <c r="X25" i="3"/>
  <c r="J4" i="3"/>
  <c r="V4" i="3" l="1"/>
  <c r="K7" i="3" s="1"/>
  <c r="O4" i="3"/>
  <c r="P4" i="3"/>
  <c r="H4" i="3" s="1"/>
  <c r="L7" i="3" l="1"/>
  <c r="V59" i="3"/>
  <c r="D59" i="3" s="1"/>
  <c r="V58" i="3"/>
  <c r="V57" i="3"/>
  <c r="V60" i="3"/>
  <c r="V55" i="3"/>
  <c r="D55" i="3" s="1"/>
  <c r="G55" i="3" s="1"/>
  <c r="I55" i="3" s="1"/>
  <c r="V62" i="3"/>
  <c r="V61" i="3"/>
  <c r="V56" i="3"/>
  <c r="G59" i="3"/>
  <c r="I59" i="3" s="1"/>
  <c r="V44" i="3"/>
  <c r="D44" i="3" s="1"/>
  <c r="V48" i="3"/>
  <c r="D48" i="3" s="1"/>
  <c r="V52" i="3"/>
  <c r="V51" i="3"/>
  <c r="D51" i="3" s="1"/>
  <c r="V45" i="3"/>
  <c r="D45" i="3" s="1"/>
  <c r="V49" i="3"/>
  <c r="D49" i="3" s="1"/>
  <c r="V53" i="3"/>
  <c r="V43" i="3"/>
  <c r="D43" i="3" s="1"/>
  <c r="V46" i="3"/>
  <c r="D46" i="3" s="1"/>
  <c r="V50" i="3"/>
  <c r="D50" i="3" s="1"/>
  <c r="V54" i="3"/>
  <c r="V47" i="3"/>
  <c r="D47" i="3" s="1"/>
  <c r="R4" i="3"/>
  <c r="V9" i="3"/>
  <c r="V13" i="3"/>
  <c r="V17" i="3"/>
  <c r="V21" i="3"/>
  <c r="V25" i="3"/>
  <c r="V29" i="3"/>
  <c r="D29" i="3" s="1"/>
  <c r="V33" i="3"/>
  <c r="D33" i="3" s="1"/>
  <c r="V37" i="3"/>
  <c r="D37" i="3" s="1"/>
  <c r="V41" i="3"/>
  <c r="D41" i="3" s="1"/>
  <c r="V14" i="3"/>
  <c r="V22" i="3"/>
  <c r="V30" i="3"/>
  <c r="D30" i="3" s="1"/>
  <c r="V38" i="3"/>
  <c r="D38" i="3" s="1"/>
  <c r="V7" i="3"/>
  <c r="V11" i="3"/>
  <c r="V15" i="3"/>
  <c r="V19" i="3"/>
  <c r="V23" i="3"/>
  <c r="V27" i="3"/>
  <c r="D27" i="3" s="1"/>
  <c r="V31" i="3"/>
  <c r="D31" i="3" s="1"/>
  <c r="V35" i="3"/>
  <c r="D35" i="3" s="1"/>
  <c r="V39" i="3"/>
  <c r="D39" i="3" s="1"/>
  <c r="V8" i="3"/>
  <c r="V12" i="3"/>
  <c r="V16" i="3"/>
  <c r="V20" i="3"/>
  <c r="V24" i="3"/>
  <c r="V28" i="3"/>
  <c r="D28" i="3" s="1"/>
  <c r="V32" i="3"/>
  <c r="D32" i="3" s="1"/>
  <c r="V36" i="3"/>
  <c r="D36" i="3" s="1"/>
  <c r="V40" i="3"/>
  <c r="D40" i="3" s="1"/>
  <c r="V10" i="3"/>
  <c r="V18" i="3"/>
  <c r="V26" i="3"/>
  <c r="D26" i="3" s="1"/>
  <c r="V34" i="3"/>
  <c r="D34" i="3" s="1"/>
  <c r="V42" i="3"/>
  <c r="D42" i="3" s="1"/>
  <c r="Q4" i="3"/>
  <c r="S4" i="3"/>
  <c r="D61" i="3" l="1"/>
  <c r="G61" i="3" s="1"/>
  <c r="I61" i="3" s="1"/>
  <c r="D62" i="3"/>
  <c r="G62" i="3" s="1"/>
  <c r="I62" i="3" s="1"/>
  <c r="D58" i="3"/>
  <c r="G58" i="3" s="1"/>
  <c r="I58" i="3" s="1"/>
  <c r="D57" i="3"/>
  <c r="G57" i="3" s="1"/>
  <c r="I57" i="3" s="1"/>
  <c r="D54" i="3"/>
  <c r="G54" i="3" s="1"/>
  <c r="I54" i="3" s="1"/>
  <c r="D53" i="3"/>
  <c r="G53" i="3" s="1"/>
  <c r="I53" i="3" s="1"/>
  <c r="D52" i="3"/>
  <c r="G52" i="3" s="1"/>
  <c r="I52" i="3" s="1"/>
  <c r="D56" i="3"/>
  <c r="G56" i="3" s="1"/>
  <c r="I56" i="3" s="1"/>
  <c r="D60" i="3"/>
  <c r="G60" i="3" s="1"/>
  <c r="I60" i="3" s="1"/>
  <c r="U60" i="3"/>
  <c r="U56" i="3"/>
  <c r="U57" i="3"/>
  <c r="U58" i="3"/>
  <c r="U59" i="3"/>
  <c r="U62" i="3"/>
  <c r="U61" i="3"/>
  <c r="U55" i="3"/>
  <c r="T61" i="3"/>
  <c r="T56" i="3"/>
  <c r="T58" i="3"/>
  <c r="T62" i="3"/>
  <c r="T57" i="3"/>
  <c r="T60" i="3"/>
  <c r="T59" i="3"/>
  <c r="T55" i="3"/>
  <c r="U46" i="3"/>
  <c r="U51" i="3"/>
  <c r="G51" i="3" s="1"/>
  <c r="I51" i="3" s="1"/>
  <c r="U48" i="3"/>
  <c r="U50" i="3"/>
  <c r="U45" i="3"/>
  <c r="U52" i="3"/>
  <c r="U43" i="3"/>
  <c r="U54" i="3"/>
  <c r="U53" i="3"/>
  <c r="U49" i="3"/>
  <c r="U47" i="3"/>
  <c r="U44" i="3"/>
  <c r="T45" i="3"/>
  <c r="G45" i="3" s="1"/>
  <c r="I45" i="3" s="1"/>
  <c r="T49" i="3"/>
  <c r="G49" i="3" s="1"/>
  <c r="I49" i="3" s="1"/>
  <c r="T53" i="3"/>
  <c r="T43" i="3"/>
  <c r="G43" i="3" s="1"/>
  <c r="I43" i="3" s="1"/>
  <c r="T52" i="3"/>
  <c r="T46" i="3"/>
  <c r="G46" i="3" s="1"/>
  <c r="I46" i="3" s="1"/>
  <c r="T50" i="3"/>
  <c r="T54" i="3"/>
  <c r="T44" i="3"/>
  <c r="T47" i="3"/>
  <c r="T51" i="3"/>
  <c r="T48" i="3"/>
  <c r="G48" i="3" s="1"/>
  <c r="I48" i="3" s="1"/>
  <c r="U7" i="3"/>
  <c r="U23" i="3"/>
  <c r="U39" i="3"/>
  <c r="U20" i="3"/>
  <c r="U36" i="3"/>
  <c r="U17" i="3"/>
  <c r="U33" i="3"/>
  <c r="U26" i="3"/>
  <c r="U30" i="3"/>
  <c r="U11" i="3"/>
  <c r="U27" i="3"/>
  <c r="U8" i="3"/>
  <c r="U24" i="3"/>
  <c r="U40" i="3"/>
  <c r="U21" i="3"/>
  <c r="U37" i="3"/>
  <c r="U42" i="3"/>
  <c r="U38" i="3"/>
  <c r="U19" i="3"/>
  <c r="U16" i="3"/>
  <c r="U13" i="3"/>
  <c r="U10" i="3"/>
  <c r="U34" i="3"/>
  <c r="U15" i="3"/>
  <c r="U31" i="3"/>
  <c r="U12" i="3"/>
  <c r="U28" i="3"/>
  <c r="U9" i="3"/>
  <c r="U25" i="3"/>
  <c r="D25" i="3" s="1"/>
  <c r="U41" i="3"/>
  <c r="U22" i="3"/>
  <c r="U18" i="3"/>
  <c r="U35" i="3"/>
  <c r="U32" i="3"/>
  <c r="U29" i="3"/>
  <c r="U14" i="3"/>
  <c r="T7" i="3"/>
  <c r="T11" i="3"/>
  <c r="T15" i="3"/>
  <c r="T19" i="3"/>
  <c r="T23" i="3"/>
  <c r="T27" i="3"/>
  <c r="T31" i="3"/>
  <c r="T35" i="3"/>
  <c r="G35" i="3" s="1"/>
  <c r="I35" i="3" s="1"/>
  <c r="T39" i="3"/>
  <c r="T8" i="3"/>
  <c r="T12" i="3"/>
  <c r="T16" i="3"/>
  <c r="D16" i="3" s="1"/>
  <c r="T20" i="3"/>
  <c r="D20" i="3" s="1"/>
  <c r="T24" i="3"/>
  <c r="T28" i="3"/>
  <c r="T32" i="3"/>
  <c r="T36" i="3"/>
  <c r="G36" i="3" s="1"/>
  <c r="I36" i="3" s="1"/>
  <c r="T40" i="3"/>
  <c r="G40" i="3" s="1"/>
  <c r="I40" i="3" s="1"/>
  <c r="T9" i="3"/>
  <c r="T13" i="3"/>
  <c r="T17" i="3"/>
  <c r="D17" i="3" s="1"/>
  <c r="T21" i="3"/>
  <c r="T25" i="3"/>
  <c r="T29" i="3"/>
  <c r="T33" i="3"/>
  <c r="T37" i="3"/>
  <c r="T41" i="3"/>
  <c r="G41" i="3" s="1"/>
  <c r="I41" i="3" s="1"/>
  <c r="T10" i="3"/>
  <c r="T26" i="3"/>
  <c r="T42" i="3"/>
  <c r="G42" i="3" s="1"/>
  <c r="I42" i="3" s="1"/>
  <c r="T38" i="3"/>
  <c r="T14" i="3"/>
  <c r="T30" i="3"/>
  <c r="T18" i="3"/>
  <c r="D18" i="3" s="1"/>
  <c r="T34" i="3"/>
  <c r="G34" i="3" s="1"/>
  <c r="I34" i="3" s="1"/>
  <c r="T22" i="3"/>
  <c r="D21" i="3" l="1"/>
  <c r="D22" i="3"/>
  <c r="D19" i="3"/>
  <c r="D23" i="3"/>
  <c r="D24" i="3"/>
  <c r="G47" i="3"/>
  <c r="I47" i="3" s="1"/>
  <c r="G39" i="3"/>
  <c r="I39" i="3" s="1"/>
  <c r="G50" i="3"/>
  <c r="I50" i="3" s="1"/>
  <c r="G44" i="3"/>
  <c r="I44" i="3" s="1"/>
  <c r="D4" i="3"/>
  <c r="E4" i="3"/>
  <c r="A4" i="3"/>
  <c r="F4" i="3"/>
  <c r="I4" i="3" l="1"/>
  <c r="N61" i="3"/>
  <c r="N58" i="3"/>
  <c r="N62" i="3"/>
  <c r="N55" i="3"/>
  <c r="N56" i="3"/>
  <c r="N59" i="3"/>
  <c r="N60" i="3"/>
  <c r="N57" i="3"/>
  <c r="S58" i="3"/>
  <c r="S57" i="3"/>
  <c r="S56" i="3"/>
  <c r="S61" i="3"/>
  <c r="S62" i="3"/>
  <c r="S60" i="3"/>
  <c r="S59" i="3"/>
  <c r="S55" i="3"/>
  <c r="Q58" i="3"/>
  <c r="B58" i="3" s="1"/>
  <c r="F58" i="3" s="1"/>
  <c r="Q62" i="3"/>
  <c r="B62" i="3" s="1"/>
  <c r="F62" i="3" s="1"/>
  <c r="Q55" i="3"/>
  <c r="Q56" i="3"/>
  <c r="Q59" i="3"/>
  <c r="B59" i="3" s="1"/>
  <c r="Q60" i="3"/>
  <c r="Q57" i="3"/>
  <c r="B57" i="3" s="1"/>
  <c r="F57" i="3" s="1"/>
  <c r="Q61" i="3"/>
  <c r="F59" i="3"/>
  <c r="P61" i="3"/>
  <c r="P56" i="3"/>
  <c r="P58" i="3"/>
  <c r="P62" i="3"/>
  <c r="P57" i="3"/>
  <c r="P60" i="3"/>
  <c r="P59" i="3"/>
  <c r="P55" i="3"/>
  <c r="N47" i="3"/>
  <c r="N51" i="3"/>
  <c r="S45" i="3"/>
  <c r="S49" i="3"/>
  <c r="S53" i="3"/>
  <c r="N43" i="3"/>
  <c r="N44" i="3"/>
  <c r="N48" i="3"/>
  <c r="N52" i="3"/>
  <c r="S46" i="3"/>
  <c r="S50" i="3"/>
  <c r="S54" i="3"/>
  <c r="S43" i="3"/>
  <c r="N50" i="3"/>
  <c r="S44" i="3"/>
  <c r="S48" i="3"/>
  <c r="N45" i="3"/>
  <c r="N49" i="3"/>
  <c r="N53" i="3"/>
  <c r="S47" i="3"/>
  <c r="S51" i="3"/>
  <c r="N46" i="3"/>
  <c r="N54" i="3"/>
  <c r="S52" i="3"/>
  <c r="Q45" i="3"/>
  <c r="B45" i="3" s="1"/>
  <c r="Q49" i="3"/>
  <c r="B49" i="3" s="1"/>
  <c r="Q53" i="3"/>
  <c r="Q43" i="3"/>
  <c r="B43" i="3" s="1"/>
  <c r="Q52" i="3"/>
  <c r="B52" i="3" s="1"/>
  <c r="Q46" i="3"/>
  <c r="B46" i="3" s="1"/>
  <c r="Q50" i="3"/>
  <c r="B50" i="3" s="1"/>
  <c r="Q54" i="3"/>
  <c r="Q48" i="3"/>
  <c r="B48" i="3" s="1"/>
  <c r="Q47" i="3"/>
  <c r="B47" i="3" s="1"/>
  <c r="Q51" i="3"/>
  <c r="B51" i="3" s="1"/>
  <c r="Q44" i="3"/>
  <c r="B44" i="3" s="1"/>
  <c r="F52" i="3"/>
  <c r="Y52" i="3" s="1"/>
  <c r="P45" i="3"/>
  <c r="P49" i="3"/>
  <c r="P53" i="3"/>
  <c r="P46" i="3"/>
  <c r="P50" i="3"/>
  <c r="P54" i="3"/>
  <c r="P44" i="3"/>
  <c r="P52" i="3"/>
  <c r="P47" i="3"/>
  <c r="P51" i="3"/>
  <c r="F51" i="3" s="1"/>
  <c r="Y51" i="3" s="1"/>
  <c r="P43" i="3"/>
  <c r="P48" i="3"/>
  <c r="P7" i="3"/>
  <c r="P11" i="3"/>
  <c r="P15" i="3"/>
  <c r="P19" i="3"/>
  <c r="P23" i="3"/>
  <c r="P27" i="3"/>
  <c r="P31" i="3"/>
  <c r="P35" i="3"/>
  <c r="P39" i="3"/>
  <c r="P8" i="3"/>
  <c r="P12" i="3"/>
  <c r="P16" i="3"/>
  <c r="P20" i="3"/>
  <c r="P24" i="3"/>
  <c r="P28" i="3"/>
  <c r="P32" i="3"/>
  <c r="P36" i="3"/>
  <c r="P40" i="3"/>
  <c r="P9" i="3"/>
  <c r="P13" i="3"/>
  <c r="P17" i="3"/>
  <c r="P21" i="3"/>
  <c r="P25" i="3"/>
  <c r="P29" i="3"/>
  <c r="P33" i="3"/>
  <c r="P37" i="3"/>
  <c r="P41" i="3"/>
  <c r="P10" i="3"/>
  <c r="P26" i="3"/>
  <c r="P42" i="3"/>
  <c r="P22" i="3"/>
  <c r="P14" i="3"/>
  <c r="P30" i="3"/>
  <c r="P38" i="3"/>
  <c r="P18" i="3"/>
  <c r="P34" i="3"/>
  <c r="Q7" i="3"/>
  <c r="Q11" i="3"/>
  <c r="Q15" i="3"/>
  <c r="Q19" i="3"/>
  <c r="Q23" i="3"/>
  <c r="Q27" i="3"/>
  <c r="B27" i="3" s="1"/>
  <c r="Q31" i="3"/>
  <c r="B31" i="3" s="1"/>
  <c r="Q35" i="3"/>
  <c r="B35" i="3" s="1"/>
  <c r="Q39" i="3"/>
  <c r="B39" i="3" s="1"/>
  <c r="Q8" i="3"/>
  <c r="Q12" i="3"/>
  <c r="Q16" i="3"/>
  <c r="Q20" i="3"/>
  <c r="Q24" i="3"/>
  <c r="Q28" i="3"/>
  <c r="B28" i="3" s="1"/>
  <c r="Q32" i="3"/>
  <c r="B32" i="3" s="1"/>
  <c r="Q36" i="3"/>
  <c r="B36" i="3" s="1"/>
  <c r="Q40" i="3"/>
  <c r="B40" i="3" s="1"/>
  <c r="Q9" i="3"/>
  <c r="Q13" i="3"/>
  <c r="Q17" i="3"/>
  <c r="Q21" i="3"/>
  <c r="Q25" i="3"/>
  <c r="Q29" i="3"/>
  <c r="B29" i="3" s="1"/>
  <c r="Q33" i="3"/>
  <c r="B33" i="3" s="1"/>
  <c r="Q37" i="3"/>
  <c r="B37" i="3" s="1"/>
  <c r="Q41" i="3"/>
  <c r="B41" i="3" s="1"/>
  <c r="Q14" i="3"/>
  <c r="Q30" i="3"/>
  <c r="B30" i="3" s="1"/>
  <c r="Q10" i="3"/>
  <c r="Q18" i="3"/>
  <c r="Q34" i="3"/>
  <c r="B34" i="3" s="1"/>
  <c r="Q42" i="3"/>
  <c r="B42" i="3" s="1"/>
  <c r="Q22" i="3"/>
  <c r="Q38" i="3"/>
  <c r="B38" i="3" s="1"/>
  <c r="Q26" i="3"/>
  <c r="B26" i="3" s="1"/>
  <c r="S7" i="3"/>
  <c r="S11" i="3"/>
  <c r="D11" i="3" s="1"/>
  <c r="S15" i="3"/>
  <c r="S19" i="3"/>
  <c r="G19" i="3" s="1"/>
  <c r="S23" i="3"/>
  <c r="G23" i="3" s="1"/>
  <c r="I23" i="3" s="1"/>
  <c r="S27" i="3"/>
  <c r="G27" i="3" s="1"/>
  <c r="I27" i="3" s="1"/>
  <c r="S31" i="3"/>
  <c r="G31" i="3" s="1"/>
  <c r="I31" i="3" s="1"/>
  <c r="S35" i="3"/>
  <c r="S39" i="3"/>
  <c r="N7" i="3"/>
  <c r="N11" i="3"/>
  <c r="B11" i="3" s="1"/>
  <c r="N15" i="3"/>
  <c r="N19" i="3"/>
  <c r="N23" i="3"/>
  <c r="N27" i="3"/>
  <c r="N31" i="3"/>
  <c r="N35" i="3"/>
  <c r="N39" i="3"/>
  <c r="S8" i="3"/>
  <c r="S12" i="3"/>
  <c r="D12" i="3" s="1"/>
  <c r="S16" i="3"/>
  <c r="G16" i="3" s="1"/>
  <c r="S20" i="3"/>
  <c r="G20" i="3" s="1"/>
  <c r="I20" i="3" s="1"/>
  <c r="S24" i="3"/>
  <c r="G24" i="3" s="1"/>
  <c r="I24" i="3" s="1"/>
  <c r="S28" i="3"/>
  <c r="G28" i="3" s="1"/>
  <c r="I28" i="3" s="1"/>
  <c r="S32" i="3"/>
  <c r="G32" i="3" s="1"/>
  <c r="I32" i="3" s="1"/>
  <c r="S36" i="3"/>
  <c r="S40" i="3"/>
  <c r="N8" i="3"/>
  <c r="N12" i="3"/>
  <c r="B12" i="3" s="1"/>
  <c r="N16" i="3"/>
  <c r="N20" i="3"/>
  <c r="N24" i="3"/>
  <c r="N28" i="3"/>
  <c r="N32" i="3"/>
  <c r="N36" i="3"/>
  <c r="N40" i="3"/>
  <c r="S9" i="3"/>
  <c r="S13" i="3"/>
  <c r="S17" i="3"/>
  <c r="G17" i="3" s="1"/>
  <c r="S21" i="3"/>
  <c r="G21" i="3" s="1"/>
  <c r="I21" i="3" s="1"/>
  <c r="S25" i="3"/>
  <c r="G25" i="3" s="1"/>
  <c r="I25" i="3" s="1"/>
  <c r="S29" i="3"/>
  <c r="G29" i="3" s="1"/>
  <c r="I29" i="3" s="1"/>
  <c r="S33" i="3"/>
  <c r="G33" i="3" s="1"/>
  <c r="I33" i="3" s="1"/>
  <c r="S37" i="3"/>
  <c r="S41" i="3"/>
  <c r="N9" i="3"/>
  <c r="N13" i="3"/>
  <c r="B13" i="3" s="1"/>
  <c r="N17" i="3"/>
  <c r="N21" i="3"/>
  <c r="N25" i="3"/>
  <c r="N29" i="3"/>
  <c r="N33" i="3"/>
  <c r="N37" i="3"/>
  <c r="N41" i="3"/>
  <c r="S22" i="3"/>
  <c r="G22" i="3" s="1"/>
  <c r="I22" i="3" s="1"/>
  <c r="S38" i="3"/>
  <c r="N18" i="3"/>
  <c r="N34" i="3"/>
  <c r="S10" i="3"/>
  <c r="S26" i="3"/>
  <c r="G26" i="3" s="1"/>
  <c r="I26" i="3" s="1"/>
  <c r="S42" i="3"/>
  <c r="N22" i="3"/>
  <c r="N38" i="3"/>
  <c r="S18" i="3"/>
  <c r="G18" i="3" s="1"/>
  <c r="N14" i="3"/>
  <c r="S14" i="3"/>
  <c r="D14" i="3" s="1"/>
  <c r="S30" i="3"/>
  <c r="G30" i="3" s="1"/>
  <c r="I30" i="3" s="1"/>
  <c r="N10" i="3"/>
  <c r="N26" i="3"/>
  <c r="N42" i="3"/>
  <c r="S34" i="3"/>
  <c r="N30" i="3"/>
  <c r="B4" i="3"/>
  <c r="N4" i="3"/>
  <c r="G4" i="3" s="1"/>
  <c r="U4" i="3"/>
  <c r="T4" i="3"/>
  <c r="C4" i="3"/>
  <c r="B13" i="1"/>
  <c r="B14" i="1"/>
  <c r="B15" i="1"/>
  <c r="A22" i="1"/>
  <c r="B25" i="3" l="1"/>
  <c r="H57" i="3"/>
  <c r="Y57" i="3"/>
  <c r="H62" i="3"/>
  <c r="Y62" i="3"/>
  <c r="H59" i="3"/>
  <c r="Y59" i="3"/>
  <c r="H58" i="3"/>
  <c r="Y58" i="3"/>
  <c r="D15" i="3"/>
  <c r="G15" i="3" s="1"/>
  <c r="I15" i="3" s="1"/>
  <c r="D13" i="3"/>
  <c r="G13" i="3" s="1"/>
  <c r="I13" i="3" s="1"/>
  <c r="B54" i="3"/>
  <c r="F54" i="3" s="1"/>
  <c r="B56" i="3"/>
  <c r="F56" i="3" s="1"/>
  <c r="B55" i="3"/>
  <c r="F55" i="3" s="1"/>
  <c r="B60" i="3"/>
  <c r="F60" i="3" s="1"/>
  <c r="B61" i="3"/>
  <c r="F61" i="3" s="1"/>
  <c r="B53" i="3"/>
  <c r="F53" i="3" s="1"/>
  <c r="M61" i="3"/>
  <c r="M55" i="3"/>
  <c r="M58" i="3"/>
  <c r="M62" i="3"/>
  <c r="M56" i="3"/>
  <c r="M60" i="3"/>
  <c r="M59" i="3"/>
  <c r="M57" i="3"/>
  <c r="R59" i="3"/>
  <c r="R57" i="3"/>
  <c r="R62" i="3"/>
  <c r="R60" i="3"/>
  <c r="R58" i="3"/>
  <c r="R61" i="3"/>
  <c r="R55" i="3"/>
  <c r="R56" i="3"/>
  <c r="O58" i="3"/>
  <c r="O62" i="3"/>
  <c r="O55" i="3"/>
  <c r="O61" i="3"/>
  <c r="O59" i="3"/>
  <c r="O56" i="3"/>
  <c r="O60" i="3"/>
  <c r="O57" i="3"/>
  <c r="R44" i="3"/>
  <c r="R48" i="3"/>
  <c r="R52" i="3"/>
  <c r="R43" i="3"/>
  <c r="R51" i="3"/>
  <c r="R45" i="3"/>
  <c r="R49" i="3"/>
  <c r="R53" i="3"/>
  <c r="R46" i="3"/>
  <c r="R50" i="3"/>
  <c r="R54" i="3"/>
  <c r="R47" i="3"/>
  <c r="M46" i="3"/>
  <c r="M50" i="3"/>
  <c r="M54" i="3"/>
  <c r="M47" i="3"/>
  <c r="M51" i="3"/>
  <c r="M44" i="3"/>
  <c r="M48" i="3"/>
  <c r="M52" i="3"/>
  <c r="M43" i="3"/>
  <c r="M45" i="3"/>
  <c r="M49" i="3"/>
  <c r="M53" i="3"/>
  <c r="H51" i="3"/>
  <c r="H52" i="3"/>
  <c r="O44" i="3"/>
  <c r="F44" i="3" s="1"/>
  <c r="Y44" i="3" s="1"/>
  <c r="O48" i="3"/>
  <c r="F48" i="3" s="1"/>
  <c r="Y48" i="3" s="1"/>
  <c r="O52" i="3"/>
  <c r="O51" i="3"/>
  <c r="O45" i="3"/>
  <c r="F45" i="3" s="1"/>
  <c r="Y45" i="3" s="1"/>
  <c r="O49" i="3"/>
  <c r="F49" i="3" s="1"/>
  <c r="Y49" i="3" s="1"/>
  <c r="O53" i="3"/>
  <c r="O43" i="3"/>
  <c r="F43" i="3" s="1"/>
  <c r="Y43" i="3" s="1"/>
  <c r="O46" i="3"/>
  <c r="F46" i="3" s="1"/>
  <c r="Y46" i="3" s="1"/>
  <c r="O50" i="3"/>
  <c r="F50" i="3" s="1"/>
  <c r="Y50" i="3" s="1"/>
  <c r="O54" i="3"/>
  <c r="O47" i="3"/>
  <c r="F47" i="3" s="1"/>
  <c r="Y47" i="3" s="1"/>
  <c r="M10" i="3"/>
  <c r="M14" i="3"/>
  <c r="M18" i="3"/>
  <c r="M22" i="3"/>
  <c r="M26" i="3"/>
  <c r="M30" i="3"/>
  <c r="M34" i="3"/>
  <c r="M38" i="3"/>
  <c r="M42" i="3"/>
  <c r="M13" i="3"/>
  <c r="M25" i="3"/>
  <c r="M37" i="3"/>
  <c r="M7" i="3"/>
  <c r="B7" i="3" s="1"/>
  <c r="M11" i="3"/>
  <c r="F11" i="3" s="1"/>
  <c r="M15" i="3"/>
  <c r="M19" i="3"/>
  <c r="M23" i="3"/>
  <c r="M27" i="3"/>
  <c r="M31" i="3"/>
  <c r="M35" i="3"/>
  <c r="M39" i="3"/>
  <c r="M17" i="3"/>
  <c r="M29" i="3"/>
  <c r="M41" i="3"/>
  <c r="M8" i="3"/>
  <c r="B8" i="3" s="1"/>
  <c r="M12" i="3"/>
  <c r="M16" i="3"/>
  <c r="M20" i="3"/>
  <c r="M24" i="3"/>
  <c r="M28" i="3"/>
  <c r="M32" i="3"/>
  <c r="M36" i="3"/>
  <c r="M40" i="3"/>
  <c r="M9" i="3"/>
  <c r="B9" i="3" s="1"/>
  <c r="M21" i="3"/>
  <c r="M33" i="3"/>
  <c r="R7" i="3"/>
  <c r="R11" i="3"/>
  <c r="G11" i="3" s="1"/>
  <c r="R15" i="3"/>
  <c r="R19" i="3"/>
  <c r="R23" i="3"/>
  <c r="R27" i="3"/>
  <c r="R31" i="3"/>
  <c r="R35" i="3"/>
  <c r="R39" i="3"/>
  <c r="R8" i="3"/>
  <c r="D8" i="3" s="1"/>
  <c r="R12" i="3"/>
  <c r="R16" i="3"/>
  <c r="R20" i="3"/>
  <c r="R24" i="3"/>
  <c r="R28" i="3"/>
  <c r="R32" i="3"/>
  <c r="R36" i="3"/>
  <c r="R40" i="3"/>
  <c r="R9" i="3"/>
  <c r="R13" i="3"/>
  <c r="R17" i="3"/>
  <c r="R21" i="3"/>
  <c r="R25" i="3"/>
  <c r="R29" i="3"/>
  <c r="R33" i="3"/>
  <c r="R37" i="3"/>
  <c r="G37" i="3" s="1"/>
  <c r="I37" i="3" s="1"/>
  <c r="R41" i="3"/>
  <c r="R18" i="3"/>
  <c r="R34" i="3"/>
  <c r="R22" i="3"/>
  <c r="R38" i="3"/>
  <c r="G38" i="3" s="1"/>
  <c r="I38" i="3" s="1"/>
  <c r="R30" i="3"/>
  <c r="R10" i="3"/>
  <c r="D10" i="3" s="1"/>
  <c r="R26" i="3"/>
  <c r="R42" i="3"/>
  <c r="R14" i="3"/>
  <c r="G14" i="3" s="1"/>
  <c r="I14" i="3" s="1"/>
  <c r="O7" i="3"/>
  <c r="O11" i="3"/>
  <c r="O15" i="3"/>
  <c r="O19" i="3"/>
  <c r="B19" i="3" s="1"/>
  <c r="O23" i="3"/>
  <c r="O27" i="3"/>
  <c r="F27" i="3" s="1"/>
  <c r="O31" i="3"/>
  <c r="F31" i="3" s="1"/>
  <c r="O35" i="3"/>
  <c r="F35" i="3" s="1"/>
  <c r="O39" i="3"/>
  <c r="F39" i="3" s="1"/>
  <c r="Y39" i="3" s="1"/>
  <c r="O8" i="3"/>
  <c r="O12" i="3"/>
  <c r="O16" i="3"/>
  <c r="O20" i="3"/>
  <c r="B20" i="3" s="1"/>
  <c r="O24" i="3"/>
  <c r="O28" i="3"/>
  <c r="F28" i="3" s="1"/>
  <c r="O32" i="3"/>
  <c r="F32" i="3" s="1"/>
  <c r="O36" i="3"/>
  <c r="F36" i="3" s="1"/>
  <c r="O40" i="3"/>
  <c r="F40" i="3" s="1"/>
  <c r="Y40" i="3" s="1"/>
  <c r="O9" i="3"/>
  <c r="O13" i="3"/>
  <c r="O17" i="3"/>
  <c r="O21" i="3"/>
  <c r="B21" i="3" s="1"/>
  <c r="O25" i="3"/>
  <c r="F25" i="3" s="1"/>
  <c r="O29" i="3"/>
  <c r="F29" i="3" s="1"/>
  <c r="O33" i="3"/>
  <c r="F33" i="3" s="1"/>
  <c r="O37" i="3"/>
  <c r="F37" i="3" s="1"/>
  <c r="O41" i="3"/>
  <c r="F41" i="3" s="1"/>
  <c r="Y41" i="3" s="1"/>
  <c r="O22" i="3"/>
  <c r="O38" i="3"/>
  <c r="F38" i="3" s="1"/>
  <c r="O34" i="3"/>
  <c r="F34" i="3" s="1"/>
  <c r="O10" i="3"/>
  <c r="O26" i="3"/>
  <c r="F26" i="3" s="1"/>
  <c r="O42" i="3"/>
  <c r="F42" i="3" s="1"/>
  <c r="Y42" i="3" s="1"/>
  <c r="O14" i="3"/>
  <c r="O30" i="3"/>
  <c r="F30" i="3" s="1"/>
  <c r="O18" i="3"/>
  <c r="I18" i="3"/>
  <c r="I16" i="3"/>
  <c r="I19" i="3"/>
  <c r="I17" i="3"/>
  <c r="G12" i="3"/>
  <c r="F12" i="3"/>
  <c r="F13" i="3"/>
  <c r="D22" i="1"/>
  <c r="Y38" i="3" l="1"/>
  <c r="B10" i="3"/>
  <c r="F10" i="3" s="1"/>
  <c r="H10" i="3" s="1"/>
  <c r="Y12" i="3"/>
  <c r="Y13" i="3"/>
  <c r="Y34" i="3"/>
  <c r="Y11" i="3"/>
  <c r="Y33" i="3"/>
  <c r="Y36" i="3"/>
  <c r="H61" i="3"/>
  <c r="Y61" i="3"/>
  <c r="H54" i="3"/>
  <c r="Y54" i="3"/>
  <c r="Y37" i="3"/>
  <c r="H56" i="3"/>
  <c r="Y56" i="3"/>
  <c r="Y26" i="3"/>
  <c r="Y29" i="3"/>
  <c r="Y32" i="3"/>
  <c r="Y35" i="3"/>
  <c r="H60" i="3"/>
  <c r="Y60" i="3"/>
  <c r="Y27" i="3"/>
  <c r="H53" i="3"/>
  <c r="Y53" i="3"/>
  <c r="Y30" i="3"/>
  <c r="Y25" i="3"/>
  <c r="Y28" i="3"/>
  <c r="Y31" i="3"/>
  <c r="H55" i="3"/>
  <c r="Y55" i="3"/>
  <c r="D9" i="3"/>
  <c r="G9" i="3" s="1"/>
  <c r="I9" i="3" s="1"/>
  <c r="B24" i="3"/>
  <c r="F24" i="3" s="1"/>
  <c r="B23" i="3"/>
  <c r="F23" i="3" s="1"/>
  <c r="B15" i="3"/>
  <c r="F15" i="3" s="1"/>
  <c r="B14" i="3"/>
  <c r="F14" i="3" s="1"/>
  <c r="B17" i="3"/>
  <c r="F17" i="3" s="1"/>
  <c r="B22" i="3"/>
  <c r="F22" i="3" s="1"/>
  <c r="B16" i="3"/>
  <c r="F16" i="3" s="1"/>
  <c r="D7" i="3"/>
  <c r="G7" i="3" s="1"/>
  <c r="I7" i="3" s="1"/>
  <c r="B18" i="3"/>
  <c r="F18" i="3" s="1"/>
  <c r="H50" i="3"/>
  <c r="H49" i="3"/>
  <c r="H48" i="3"/>
  <c r="H46" i="3"/>
  <c r="H45" i="3"/>
  <c r="H44" i="3"/>
  <c r="H47" i="3"/>
  <c r="H43" i="3"/>
  <c r="G10" i="3"/>
  <c r="G8" i="3"/>
  <c r="I8" i="3" s="1"/>
  <c r="F19" i="3"/>
  <c r="F21" i="3"/>
  <c r="F20" i="3"/>
  <c r="I12" i="3"/>
  <c r="I11" i="3"/>
  <c r="H39" i="3"/>
  <c r="H34" i="3"/>
  <c r="H33" i="3"/>
  <c r="H26" i="3"/>
  <c r="H41" i="3"/>
  <c r="H11" i="3"/>
  <c r="H40" i="3"/>
  <c r="H25" i="3"/>
  <c r="H38" i="3"/>
  <c r="H13" i="3"/>
  <c r="H12" i="3"/>
  <c r="H28" i="3"/>
  <c r="H36" i="3"/>
  <c r="H32" i="3"/>
  <c r="H42" i="3"/>
  <c r="H35" i="3"/>
  <c r="H37" i="3"/>
  <c r="H29" i="3"/>
  <c r="H31" i="3"/>
  <c r="H27" i="3"/>
  <c r="H30" i="3"/>
  <c r="F8" i="3"/>
  <c r="F9" i="3"/>
  <c r="F7" i="3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F10" i="1" s="1"/>
  <c r="C11" i="1"/>
  <c r="D11" i="1" s="1"/>
  <c r="E11" i="1" s="1"/>
  <c r="C12" i="1"/>
  <c r="D12" i="1" s="1"/>
  <c r="E12" i="1" s="1"/>
  <c r="C13" i="1"/>
  <c r="D13" i="1" s="1"/>
  <c r="E13" i="1" s="1"/>
  <c r="C14" i="1"/>
  <c r="F14" i="1" s="1"/>
  <c r="C15" i="1"/>
  <c r="D15" i="1" s="1"/>
  <c r="E15" i="1" s="1"/>
  <c r="C16" i="1"/>
  <c r="D16" i="1" s="1"/>
  <c r="E16" i="1" s="1"/>
  <c r="C17" i="1"/>
  <c r="D17" i="1" s="1"/>
  <c r="E17" i="1" s="1"/>
  <c r="Y10" i="3" l="1"/>
  <c r="Y7" i="3"/>
  <c r="Y18" i="3"/>
  <c r="Y9" i="3"/>
  <c r="Y14" i="3"/>
  <c r="Y24" i="3"/>
  <c r="Y8" i="3"/>
  <c r="Y16" i="3"/>
  <c r="Y15" i="3"/>
  <c r="Y17" i="3"/>
  <c r="Y22" i="3"/>
  <c r="Y23" i="3"/>
  <c r="Y19" i="3"/>
  <c r="Y20" i="3"/>
  <c r="Y21" i="3"/>
  <c r="H24" i="3"/>
  <c r="H23" i="3"/>
  <c r="H14" i="3"/>
  <c r="H15" i="3"/>
  <c r="H22" i="3"/>
  <c r="H16" i="3"/>
  <c r="H18" i="3"/>
  <c r="H17" i="3"/>
  <c r="L50" i="3"/>
  <c r="L52" i="3"/>
  <c r="L28" i="3"/>
  <c r="L29" i="3"/>
  <c r="L44" i="3"/>
  <c r="L40" i="3"/>
  <c r="L34" i="3"/>
  <c r="L47" i="3"/>
  <c r="L39" i="3"/>
  <c r="L33" i="3"/>
  <c r="L30" i="3"/>
  <c r="L35" i="3"/>
  <c r="L26" i="3"/>
  <c r="L51" i="3"/>
  <c r="L43" i="3"/>
  <c r="L32" i="3"/>
  <c r="L42" i="3"/>
  <c r="L41" i="3"/>
  <c r="L46" i="3"/>
  <c r="L49" i="3"/>
  <c r="L37" i="3"/>
  <c r="L31" i="3"/>
  <c r="L45" i="3"/>
  <c r="L36" i="3"/>
  <c r="L38" i="3"/>
  <c r="L48" i="3"/>
  <c r="L27" i="3"/>
  <c r="I10" i="3"/>
  <c r="H20" i="3"/>
  <c r="H21" i="3"/>
  <c r="H19" i="3"/>
  <c r="L14" i="3"/>
  <c r="L11" i="3"/>
  <c r="L20" i="3"/>
  <c r="L8" i="3"/>
  <c r="L18" i="3"/>
  <c r="L23" i="3"/>
  <c r="L13" i="3"/>
  <c r="L22" i="3"/>
  <c r="L25" i="3"/>
  <c r="L9" i="3"/>
  <c r="L24" i="3"/>
  <c r="L12" i="3"/>
  <c r="L21" i="3"/>
  <c r="L15" i="3"/>
  <c r="L10" i="3"/>
  <c r="L16" i="3"/>
  <c r="L19" i="3"/>
  <c r="L17" i="3"/>
  <c r="H9" i="3"/>
  <c r="H8" i="3"/>
  <c r="H7" i="3"/>
  <c r="F16" i="1"/>
  <c r="G14" i="1"/>
  <c r="G10" i="1"/>
  <c r="D10" i="1"/>
  <c r="E10" i="1" s="1"/>
  <c r="F6" i="1"/>
  <c r="F8" i="1"/>
  <c r="D14" i="1"/>
  <c r="E14" i="1" s="1"/>
  <c r="F9" i="1"/>
  <c r="F17" i="1"/>
  <c r="F12" i="1"/>
  <c r="F13" i="1"/>
  <c r="F5" i="1"/>
  <c r="F4" i="1"/>
  <c r="F15" i="1"/>
  <c r="F11" i="1"/>
  <c r="F7" i="1"/>
  <c r="F3" i="1"/>
  <c r="C19" i="1"/>
  <c r="D19" i="1" s="1"/>
  <c r="E19" i="1" s="1"/>
  <c r="G19" i="1"/>
  <c r="C2" i="1"/>
  <c r="D2" i="1" s="1"/>
  <c r="E2" i="1" s="1"/>
  <c r="C18" i="1"/>
  <c r="W4" i="3" l="1"/>
  <c r="K11" i="3" s="1"/>
  <c r="K15" i="3"/>
  <c r="K18" i="3"/>
  <c r="K24" i="3"/>
  <c r="K16" i="3"/>
  <c r="K22" i="3"/>
  <c r="K23" i="3"/>
  <c r="K14" i="3"/>
  <c r="K17" i="3"/>
  <c r="K9" i="3"/>
  <c r="K8" i="3"/>
  <c r="K20" i="3"/>
  <c r="G15" i="1"/>
  <c r="G12" i="1"/>
  <c r="G8" i="1"/>
  <c r="G3" i="1"/>
  <c r="G4" i="1"/>
  <c r="G17" i="1"/>
  <c r="G6" i="1"/>
  <c r="G7" i="1"/>
  <c r="G5" i="1"/>
  <c r="G9" i="1"/>
  <c r="G11" i="1"/>
  <c r="G13" i="1"/>
  <c r="G16" i="1"/>
  <c r="F2" i="1"/>
  <c r="K21" i="3" l="1"/>
  <c r="K19" i="3"/>
  <c r="K28" i="3"/>
  <c r="K29" i="3"/>
  <c r="K27" i="3"/>
  <c r="K25" i="3"/>
  <c r="K26" i="3"/>
  <c r="K10" i="3"/>
  <c r="K30" i="3"/>
  <c r="K31" i="3"/>
  <c r="K12" i="3"/>
  <c r="K13" i="3"/>
  <c r="G2" i="1"/>
  <c r="D18" i="1"/>
  <c r="E18" i="1" s="1"/>
  <c r="F18" i="1" l="1"/>
  <c r="H18" i="1" l="1"/>
  <c r="H8" i="1"/>
  <c r="H6" i="1"/>
  <c r="H11" i="1"/>
  <c r="H2" i="1"/>
  <c r="H9" i="1"/>
  <c r="H15" i="1"/>
  <c r="H16" i="1"/>
  <c r="H5" i="1"/>
  <c r="H19" i="1"/>
  <c r="H12" i="1"/>
  <c r="H4" i="1"/>
  <c r="H3" i="1"/>
  <c r="H10" i="1"/>
  <c r="H14" i="1"/>
  <c r="H17" i="1"/>
  <c r="H13" i="1"/>
  <c r="H7" i="1"/>
  <c r="G18" i="1"/>
</calcChain>
</file>

<file path=xl/sharedStrings.xml><?xml version="1.0" encoding="utf-8"?>
<sst xmlns="http://schemas.openxmlformats.org/spreadsheetml/2006/main" count="103" uniqueCount="81">
  <si>
    <t>rpm</t>
  </si>
  <si>
    <t>ps</t>
  </si>
  <si>
    <t>pto</t>
  </si>
  <si>
    <t>xml</t>
  </si>
  <si>
    <t>motor</t>
  </si>
  <si>
    <t>rawData</t>
  </si>
  <si>
    <t>kw_pto</t>
  </si>
  <si>
    <t>Factor</t>
  </si>
  <si>
    <t>ratedRpm</t>
  </si>
  <si>
    <t>xml2</t>
  </si>
  <si>
    <t>PS</t>
  </si>
  <si>
    <t>Nm_rated</t>
  </si>
  <si>
    <t>maxTRpm</t>
  </si>
  <si>
    <t>maxT</t>
  </si>
  <si>
    <t>idleRpm</t>
  </si>
  <si>
    <t>idleRatio</t>
  </si>
  <si>
    <t>f1</t>
  </si>
  <si>
    <t>f2</t>
  </si>
  <si>
    <t>maxPRpm</t>
  </si>
  <si>
    <t>Nm</t>
  </si>
  <si>
    <t>Nm2</t>
  </si>
  <si>
    <t>fadeOut</t>
  </si>
  <si>
    <t>maxTRpm1</t>
  </si>
  <si>
    <t>maxPS</t>
  </si>
  <si>
    <t>f3</t>
  </si>
  <si>
    <t>linearDown</t>
  </si>
  <si>
    <t>f4</t>
  </si>
  <si>
    <t>Anfahrmoment</t>
  </si>
  <si>
    <t>xmlComment</t>
  </si>
  <si>
    <t>manualData</t>
  </si>
  <si>
    <t>fuelMinRpm</t>
  </si>
  <si>
    <t>fuelMinRate</t>
  </si>
  <si>
    <t>fuelIdleRate</t>
  </si>
  <si>
    <t>fuelRatedRate</t>
  </si>
  <si>
    <t>fuelUsageRatio</t>
  </si>
  <si>
    <t>maxPSEco</t>
  </si>
  <si>
    <t>PSEco</t>
  </si>
  <si>
    <t>NmEco</t>
  </si>
  <si>
    <t>Nm2Eco</t>
  </si>
  <si>
    <t>f3Eco</t>
  </si>
  <si>
    <t>f4Eco</t>
  </si>
  <si>
    <t>f2Eco</t>
  </si>
  <si>
    <t>idleT</t>
  </si>
  <si>
    <t>rawDataEco</t>
  </si>
  <si>
    <t>manDataEco</t>
  </si>
  <si>
    <t>psEco</t>
  </si>
  <si>
    <t>motorEco</t>
  </si>
  <si>
    <t>maxTEco</t>
  </si>
  <si>
    <t>idleTEco</t>
  </si>
  <si>
    <t>Efficiency</t>
  </si>
  <si>
    <t>t1</t>
  </si>
  <si>
    <t>t2</t>
  </si>
  <si>
    <t>t3</t>
  </si>
  <si>
    <t>t4</t>
  </si>
  <si>
    <t>t5</t>
  </si>
  <si>
    <t>t1E</t>
  </si>
  <si>
    <t>t2E</t>
  </si>
  <si>
    <t>t4E</t>
  </si>
  <si>
    <t>t5E</t>
  </si>
  <si>
    <t>t3E</t>
  </si>
  <si>
    <t>normRpm</t>
  </si>
  <si>
    <t>Anstieg</t>
  </si>
  <si>
    <t>Abfall</t>
  </si>
  <si>
    <t>PSEcoRate</t>
  </si>
  <si>
    <t>NmEcoRate</t>
  </si>
  <si>
    <t>Nm1000</t>
  </si>
  <si>
    <t>AnstiegE</t>
  </si>
  <si>
    <t>maxPsEcoRate</t>
  </si>
  <si>
    <t>fadeOutExp</t>
  </si>
  <si>
    <t>max kW</t>
  </si>
  <si>
    <t>rated kW</t>
  </si>
  <si>
    <t>max g/kWh</t>
  </si>
  <si>
    <t>t6</t>
  </si>
  <si>
    <t>t6E</t>
  </si>
  <si>
    <t>maxPSRpmRate</t>
  </si>
  <si>
    <t>deltaEco</t>
  </si>
  <si>
    <t>maxDeltaEco</t>
  </si>
  <si>
    <t>kW</t>
  </si>
  <si>
    <t>U/min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</si>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</sst>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textRotation="45"/>
    </xf>
    <xf numFmtId="49" fontId="0" fillId="0" borderId="0" xfId="0" applyNumberFormat="1" applyAlignment="1">
      <alignment textRotation="45"/>
    </xf>
    <xf numFmtId="0" fontId="0" fillId="0" borderId="0" xfId="0" applyNumberFormat="1" applyAlignment="1">
      <alignment textRotation="45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2" fillId="0" borderId="0" xfId="0" applyNumberFormat="1" applyFont="1"/>
    <xf numFmtId="0" fontId="3" fillId="2" borderId="0" xfId="0" applyFont="1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5" fillId="0" borderId="1" xfId="0" applyFont="1" applyBorder="1"/>
    <xf numFmtId="0" fontId="5" fillId="0" borderId="2" xfId="0" applyFont="1" applyBorder="1"/>
    <xf numFmtId="0" fontId="5" fillId="3" borderId="3" xfId="0" applyFont="1" applyFill="1" applyBorder="1"/>
    <xf numFmtId="0" fontId="5" fillId="0" borderId="3" xfId="0" applyFont="1" applyBorder="1"/>
    <xf numFmtId="1" fontId="0" fillId="0" borderId="4" xfId="0" applyNumberFormat="1" applyBorder="1"/>
    <xf numFmtId="1" fontId="0" fillId="0" borderId="5" xfId="0" applyNumberFormat="1" applyBorder="1"/>
    <xf numFmtId="9" fontId="4" fillId="2" borderId="9" xfId="1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164" fontId="0" fillId="0" borderId="0" xfId="0" applyNumberFormat="1"/>
    <xf numFmtId="0" fontId="0" fillId="0" borderId="12" xfId="0" applyBorder="1"/>
    <xf numFmtId="0" fontId="0" fillId="0" borderId="6" xfId="0" applyBorder="1"/>
    <xf numFmtId="9" fontId="0" fillId="0" borderId="7" xfId="1" applyFont="1" applyBorder="1"/>
    <xf numFmtId="0" fontId="0" fillId="0" borderId="8" xfId="0" applyBorder="1"/>
    <xf numFmtId="1" fontId="4" fillId="2" borderId="9" xfId="1" applyNumberFormat="1" applyFont="1" applyFill="1" applyBorder="1"/>
    <xf numFmtId="1" fontId="4" fillId="2" borderId="10" xfId="1" applyNumberFormat="1" applyFont="1" applyFill="1" applyBorder="1"/>
    <xf numFmtId="1" fontId="4" fillId="2" borderId="11" xfId="1" applyNumberFormat="1" applyFont="1" applyFill="1" applyBorder="1"/>
    <xf numFmtId="1" fontId="7" fillId="0" borderId="0" xfId="0" applyNumberFormat="1" applyFont="1"/>
    <xf numFmtId="165" fontId="4" fillId="2" borderId="10" xfId="1" applyNumberFormat="1" applyFont="1" applyFill="1" applyBorder="1"/>
    <xf numFmtId="0" fontId="5" fillId="0" borderId="12" xfId="0" applyFont="1" applyBorder="1"/>
    <xf numFmtId="0" fontId="8" fillId="2" borderId="0" xfId="0" applyFont="1" applyFill="1"/>
    <xf numFmtId="0" fontId="10" fillId="2" borderId="13" xfId="0" applyFont="1" applyFill="1" applyBorder="1"/>
    <xf numFmtId="0" fontId="3" fillId="2" borderId="14" xfId="0" applyFont="1" applyFill="1" applyBorder="1"/>
    <xf numFmtId="0" fontId="9" fillId="5" borderId="15" xfId="0" applyFont="1" applyFill="1" applyBorder="1" applyAlignment="1">
      <alignment textRotation="45"/>
    </xf>
    <xf numFmtId="0" fontId="9" fillId="5" borderId="0" xfId="0" applyFont="1" applyFill="1" applyBorder="1" applyAlignment="1">
      <alignment textRotation="45"/>
    </xf>
    <xf numFmtId="49" fontId="9" fillId="5" borderId="0" xfId="0" applyNumberFormat="1" applyFont="1" applyFill="1" applyBorder="1" applyAlignment="1">
      <alignment textRotation="45"/>
    </xf>
    <xf numFmtId="0" fontId="0" fillId="3" borderId="6" xfId="0" applyFont="1" applyFill="1" applyBorder="1"/>
    <xf numFmtId="0" fontId="0" fillId="3" borderId="7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11" fillId="5" borderId="0" xfId="0" applyFont="1" applyFill="1" applyAlignment="1">
      <alignment textRotation="45"/>
    </xf>
    <xf numFmtId="9" fontId="0" fillId="0" borderId="0" xfId="1" applyFont="1"/>
  </cellXfs>
  <cellStyles count="2">
    <cellStyle name="Normal" xfId="0" builtinId="0"/>
    <cellStyle name="Percent" xfId="1" builtinId="5"/>
  </cellStyles>
  <dxfs count="88">
    <dxf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outline="0">
        <top style="thin">
          <color theme="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bottom" textRotation="45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color theme="0" tint="-0.34998626667073579"/>
      </font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>
        <left/>
        <right style="medium">
          <color indexed="64"/>
        </right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</dxf>
    <dxf>
      <font>
        <i/>
        <color theme="0" tint="-0.34998626667073579"/>
      </font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indexed="64"/>
        </left>
        <right/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medium">
          <color indexed="64"/>
        </right>
        <top/>
        <bottom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 outline="0">
        <left/>
        <right style="medium">
          <color indexed="64"/>
        </right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general" vertical="bottom" textRotation="45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</dxf>
    <dxf>
      <numFmt numFmtId="1" formatCode="0"/>
    </dxf>
    <dxf>
      <alignment horizontal="general" vertical="bottom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202653051670501E-2"/>
          <c:y val="2.0063836607697848E-2"/>
          <c:w val="0.90235456715814155"/>
          <c:h val="0.89894519082618773"/>
        </c:manualLayout>
      </c:layout>
      <c:scatterChart>
        <c:scatterStyle val="lineMarker"/>
        <c:varyColors val="0"/>
        <c:ser>
          <c:idx val="1"/>
          <c:order val="1"/>
          <c:tx>
            <c:strRef>
              <c:f>'Calculate from Values'!$F$6</c:f>
              <c:strCache>
                <c:ptCount val="1"/>
                <c:pt idx="0">
                  <c:v>motor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Values'!$F$7:$F$62</c:f>
              <c:numCache>
                <c:formatCode>0</c:formatCode>
                <c:ptCount val="56"/>
                <c:pt idx="0">
                  <c:v>0</c:v>
                </c:pt>
                <c:pt idx="1">
                  <c:v>778.13929089427688</c:v>
                </c:pt>
                <c:pt idx="2">
                  <c:v>1086.5457713110206</c:v>
                </c:pt>
                <c:pt idx="3">
                  <c:v>1205.0147928994083</c:v>
                </c:pt>
                <c:pt idx="4">
                  <c:v>1252.9437869822484</c:v>
                </c:pt>
                <c:pt idx="5">
                  <c:v>1291.2869822485206</c:v>
                </c:pt>
                <c:pt idx="6">
                  <c:v>1320.0443786982248</c:v>
                </c:pt>
                <c:pt idx="7">
                  <c:v>1339.2159763313609</c:v>
                </c:pt>
                <c:pt idx="8">
                  <c:v>1348.801775147929</c:v>
                </c:pt>
                <c:pt idx="9">
                  <c:v>1342.6363089095287</c:v>
                </c:pt>
                <c:pt idx="10">
                  <c:v>1323.4907120743035</c:v>
                </c:pt>
                <c:pt idx="11">
                  <c:v>1298.454162366701</c:v>
                </c:pt>
                <c:pt idx="12">
                  <c:v>1267.5266597867217</c:v>
                </c:pt>
                <c:pt idx="13">
                  <c:v>1249.8538011695907</c:v>
                </c:pt>
                <c:pt idx="14">
                  <c:v>1230.7082043343653</c:v>
                </c:pt>
                <c:pt idx="15">
                  <c:v>1198.4763857466062</c:v>
                </c:pt>
                <c:pt idx="16">
                  <c:v>1166.5395220588234</c:v>
                </c:pt>
                <c:pt idx="17">
                  <c:v>1134.876031205165</c:v>
                </c:pt>
                <c:pt idx="18">
                  <c:v>1103.4663865546217</c:v>
                </c:pt>
                <c:pt idx="19">
                  <c:v>979.20775107033921</c:v>
                </c:pt>
                <c:pt idx="20">
                  <c:v>606.43184461749195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'Calculate from Values'!$G$6</c:f>
              <c:strCache>
                <c:ptCount val="1"/>
                <c:pt idx="0">
                  <c:v>motorEco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Values'!$G$7:$G$62</c:f>
              <c:numCache>
                <c:formatCode>0</c:formatCode>
                <c:ptCount val="56"/>
                <c:pt idx="0">
                  <c:v>0</c:v>
                </c:pt>
                <c:pt idx="1">
                  <c:v>778.13929089427688</c:v>
                </c:pt>
                <c:pt idx="2">
                  <c:v>1086.5457713110206</c:v>
                </c:pt>
                <c:pt idx="3">
                  <c:v>1205.0147928994083</c:v>
                </c:pt>
                <c:pt idx="4">
                  <c:v>1252.9437869822484</c:v>
                </c:pt>
                <c:pt idx="5">
                  <c:v>1291.2869822485206</c:v>
                </c:pt>
                <c:pt idx="6">
                  <c:v>1320.0443786982248</c:v>
                </c:pt>
                <c:pt idx="7">
                  <c:v>1339.2159763313609</c:v>
                </c:pt>
                <c:pt idx="8">
                  <c:v>1348.801775147929</c:v>
                </c:pt>
                <c:pt idx="9">
                  <c:v>1342.6363089095287</c:v>
                </c:pt>
                <c:pt idx="10">
                  <c:v>1323.4907120743035</c:v>
                </c:pt>
                <c:pt idx="11">
                  <c:v>1298.454162366701</c:v>
                </c:pt>
                <c:pt idx="12">
                  <c:v>1267.5266597867217</c:v>
                </c:pt>
                <c:pt idx="13">
                  <c:v>1249.8538011695907</c:v>
                </c:pt>
                <c:pt idx="14">
                  <c:v>1230.7082043343653</c:v>
                </c:pt>
                <c:pt idx="15">
                  <c:v>1198.4763857466062</c:v>
                </c:pt>
                <c:pt idx="16">
                  <c:v>1166.5395220588234</c:v>
                </c:pt>
                <c:pt idx="17">
                  <c:v>1134.876031205165</c:v>
                </c:pt>
                <c:pt idx="18">
                  <c:v>1103.4663865546217</c:v>
                </c:pt>
                <c:pt idx="19">
                  <c:v>979.20775107033921</c:v>
                </c:pt>
                <c:pt idx="20">
                  <c:v>606.43184461749195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5736"/>
        <c:axId val="521869856"/>
      </c:scatterChart>
      <c:scatterChart>
        <c:scatterStyle val="lineMarker"/>
        <c:varyColors val="0"/>
        <c:ser>
          <c:idx val="0"/>
          <c:order val="0"/>
          <c:tx>
            <c:strRef>
              <c:f>'Calculate from Values'!$H$6</c:f>
              <c:strCache>
                <c:ptCount val="1"/>
                <c:pt idx="0">
                  <c:v>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Values'!$H$7:$H$62</c:f>
              <c:numCache>
                <c:formatCode>0.0</c:formatCode>
                <c:ptCount val="56"/>
                <c:pt idx="0">
                  <c:v>0</c:v>
                </c:pt>
                <c:pt idx="1">
                  <c:v>38.784743713683334</c:v>
                </c:pt>
                <c:pt idx="2">
                  <c:v>108.31325385215621</c:v>
                </c:pt>
                <c:pt idx="3">
                  <c:v>154.44378078626971</c:v>
                </c:pt>
                <c:pt idx="4">
                  <c:v>178.42969113045632</c:v>
                </c:pt>
                <c:pt idx="5">
                  <c:v>202.27909166950647</c:v>
                </c:pt>
                <c:pt idx="6">
                  <c:v>225.58245298801083</c:v>
                </c:pt>
                <c:pt idx="7">
                  <c:v>247.93024567055983</c:v>
                </c:pt>
                <c:pt idx="8">
                  <c:v>268.91294030174419</c:v>
                </c:pt>
                <c:pt idx="9">
                  <c:v>286.80398640580512</c:v>
                </c:pt>
                <c:pt idx="10">
                  <c:v>301.56186277211356</c:v>
                </c:pt>
                <c:pt idx="11">
                  <c:v>314.34827470071338</c:v>
                </c:pt>
                <c:pt idx="12">
                  <c:v>324.91154588040786</c:v>
                </c:pt>
                <c:pt idx="13">
                  <c:v>329.28085484216655</c:v>
                </c:pt>
                <c:pt idx="14">
                  <c:v>333</c:v>
                </c:pt>
                <c:pt idx="15">
                  <c:v>332.81249999999994</c:v>
                </c:pt>
                <c:pt idx="16">
                  <c:v>332.24999999999994</c:v>
                </c:pt>
                <c:pt idx="17">
                  <c:v>331.3125</c:v>
                </c:pt>
                <c:pt idx="18">
                  <c:v>329.99999999999994</c:v>
                </c:pt>
                <c:pt idx="19">
                  <c:v>299.81188106069862</c:v>
                </c:pt>
                <c:pt idx="20" formatCode="0">
                  <c:v>189.99414440790952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'Calculate from Values'!$I$6</c:f>
              <c:strCache>
                <c:ptCount val="1"/>
                <c:pt idx="0">
                  <c:v>psEco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Values'!$I$7:$I$62</c:f>
              <c:numCache>
                <c:formatCode>0.0</c:formatCode>
                <c:ptCount val="56"/>
                <c:pt idx="0">
                  <c:v>0</c:v>
                </c:pt>
                <c:pt idx="1">
                  <c:v>38.784743713683334</c:v>
                </c:pt>
                <c:pt idx="2">
                  <c:v>108.31325385215621</c:v>
                </c:pt>
                <c:pt idx="3">
                  <c:v>154.44378078626971</c:v>
                </c:pt>
                <c:pt idx="4">
                  <c:v>178.42969113045632</c:v>
                </c:pt>
                <c:pt idx="5">
                  <c:v>202.27909166950647</c:v>
                </c:pt>
                <c:pt idx="6">
                  <c:v>225.58245298801083</c:v>
                </c:pt>
                <c:pt idx="7">
                  <c:v>247.93024567055983</c:v>
                </c:pt>
                <c:pt idx="8">
                  <c:v>268.91294030174419</c:v>
                </c:pt>
                <c:pt idx="9">
                  <c:v>286.80398640580512</c:v>
                </c:pt>
                <c:pt idx="10">
                  <c:v>301.56186277211356</c:v>
                </c:pt>
                <c:pt idx="11">
                  <c:v>314.34827470071338</c:v>
                </c:pt>
                <c:pt idx="12">
                  <c:v>324.91154588040786</c:v>
                </c:pt>
                <c:pt idx="13">
                  <c:v>329.28085484216655</c:v>
                </c:pt>
                <c:pt idx="14">
                  <c:v>333</c:v>
                </c:pt>
                <c:pt idx="15">
                  <c:v>332.81249999999994</c:v>
                </c:pt>
                <c:pt idx="16">
                  <c:v>332.24999999999994</c:v>
                </c:pt>
                <c:pt idx="17">
                  <c:v>331.3125</c:v>
                </c:pt>
                <c:pt idx="18">
                  <c:v>329.99999999999994</c:v>
                </c:pt>
                <c:pt idx="19">
                  <c:v>299.81188106069862</c:v>
                </c:pt>
                <c:pt idx="20" formatCode="0">
                  <c:v>189.99414440790952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4560"/>
        <c:axId val="521866720"/>
      </c:scatterChart>
      <c:valAx>
        <c:axId val="521875736"/>
        <c:scaling>
          <c:orientation val="minMax"/>
          <c:max val="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69856"/>
        <c:crosses val="autoZero"/>
        <c:crossBetween val="midCat"/>
        <c:majorUnit val="250"/>
      </c:valAx>
      <c:valAx>
        <c:axId val="52186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75736"/>
        <c:crosses val="autoZero"/>
        <c:crossBetween val="midCat"/>
      </c:valAx>
      <c:valAx>
        <c:axId val="52186672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74560"/>
        <c:crosses val="max"/>
        <c:crossBetween val="midCat"/>
      </c:valAx>
      <c:valAx>
        <c:axId val="52187456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52186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013718915204581E-2"/>
          <c:y val="3.5339353154546407E-2"/>
          <c:w val="6.0738902528053279E-2"/>
          <c:h val="0.12311985909068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56974962060876E-2"/>
          <c:y val="4.9052396878483832E-2"/>
          <c:w val="0.93796827046547449"/>
          <c:h val="0.75293954476426228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'Calculate from Values'!$J$6</c:f>
              <c:strCache>
                <c:ptCount val="1"/>
                <c:pt idx="0">
                  <c:v>fuelUsageRatio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Values'!$J$7:$J$62</c:f>
              <c:numCache>
                <c:formatCode>0.0</c:formatCode>
                <c:ptCount val="56"/>
                <c:pt idx="0">
                  <c:v>246.98698224852052</c:v>
                </c:pt>
                <c:pt idx="1">
                  <c:v>221.69309664694271</c:v>
                </c:pt>
                <c:pt idx="2">
                  <c:v>204.13096646942796</c:v>
                </c:pt>
                <c:pt idx="3">
                  <c:v>197.56686390532542</c:v>
                </c:pt>
                <c:pt idx="4">
                  <c:v>195.23155818540434</c:v>
                </c:pt>
                <c:pt idx="5">
                  <c:v>193.52741617357</c:v>
                </c:pt>
                <c:pt idx="6">
                  <c:v>192.45443786982247</c:v>
                </c:pt>
                <c:pt idx="7">
                  <c:v>192.01262327416174</c:v>
                </c:pt>
                <c:pt idx="8">
                  <c:v>192.22441376287532</c:v>
                </c:pt>
                <c:pt idx="9">
                  <c:v>193.1360946745562</c:v>
                </c:pt>
                <c:pt idx="10">
                  <c:v>194.74906859522244</c:v>
                </c:pt>
                <c:pt idx="11">
                  <c:v>197.06333552487399</c:v>
                </c:pt>
                <c:pt idx="12">
                  <c:v>200.07889546351083</c:v>
                </c:pt>
                <c:pt idx="13">
                  <c:v>201.84966031119876</c:v>
                </c:pt>
                <c:pt idx="14">
                  <c:v>203.79574841113302</c:v>
                </c:pt>
                <c:pt idx="15">
                  <c:v>205.91715976331361</c:v>
                </c:pt>
                <c:pt idx="16">
                  <c:v>208.21389436774052</c:v>
                </c:pt>
                <c:pt idx="17">
                  <c:v>210.68595222441374</c:v>
                </c:pt>
                <c:pt idx="18">
                  <c:v>213.33333333333331</c:v>
                </c:pt>
                <c:pt idx="19">
                  <c:v>227.24944993741403</c:v>
                </c:pt>
                <c:pt idx="20">
                  <c:v>292.05477668155874</c:v>
                </c:pt>
                <c:pt idx="21">
                  <c:v>426.66666666666663</c:v>
                </c:pt>
                <c:pt idx="22">
                  <c:v>426.66666666666663</c:v>
                </c:pt>
                <c:pt idx="23">
                  <c:v>426.66666666666663</c:v>
                </c:pt>
                <c:pt idx="24">
                  <c:v>426.66666666666663</c:v>
                </c:pt>
                <c:pt idx="25">
                  <c:v>426.66666666666663</c:v>
                </c:pt>
                <c:pt idx="26">
                  <c:v>426.66666666666663</c:v>
                </c:pt>
                <c:pt idx="27">
                  <c:v>426.66666666666663</c:v>
                </c:pt>
                <c:pt idx="28">
                  <c:v>426.66666666666663</c:v>
                </c:pt>
                <c:pt idx="29">
                  <c:v>426.66666666666663</c:v>
                </c:pt>
                <c:pt idx="30">
                  <c:v>426.66666666666663</c:v>
                </c:pt>
                <c:pt idx="31">
                  <c:v>426.66666666666663</c:v>
                </c:pt>
                <c:pt idx="32">
                  <c:v>426.66666666666663</c:v>
                </c:pt>
                <c:pt idx="33">
                  <c:v>426.66666666666663</c:v>
                </c:pt>
                <c:pt idx="34">
                  <c:v>426.66666666666663</c:v>
                </c:pt>
                <c:pt idx="35">
                  <c:v>426.66666666666663</c:v>
                </c:pt>
                <c:pt idx="36">
                  <c:v>426.66666666666663</c:v>
                </c:pt>
                <c:pt idx="37">
                  <c:v>426.66666666666663</c:v>
                </c:pt>
                <c:pt idx="38">
                  <c:v>426.66666666666663</c:v>
                </c:pt>
                <c:pt idx="39">
                  <c:v>426.66666666666663</c:v>
                </c:pt>
                <c:pt idx="40">
                  <c:v>426.66666666666663</c:v>
                </c:pt>
                <c:pt idx="41">
                  <c:v>426.66666666666663</c:v>
                </c:pt>
                <c:pt idx="42">
                  <c:v>426.66666666666663</c:v>
                </c:pt>
                <c:pt idx="43">
                  <c:v>426.66666666666663</c:v>
                </c:pt>
                <c:pt idx="44">
                  <c:v>426.66666666666663</c:v>
                </c:pt>
                <c:pt idx="45">
                  <c:v>426.66666666666663</c:v>
                </c:pt>
                <c:pt idx="46">
                  <c:v>426.66666666666663</c:v>
                </c:pt>
                <c:pt idx="47">
                  <c:v>426.66666666666663</c:v>
                </c:pt>
                <c:pt idx="48">
                  <c:v>426.66666666666663</c:v>
                </c:pt>
                <c:pt idx="49">
                  <c:v>426.66666666666663</c:v>
                </c:pt>
                <c:pt idx="50">
                  <c:v>426.66666666666663</c:v>
                </c:pt>
                <c:pt idx="51">
                  <c:v>426.66666666666663</c:v>
                </c:pt>
                <c:pt idx="52">
                  <c:v>426.66666666666663</c:v>
                </c:pt>
                <c:pt idx="53">
                  <c:v>426.66666666666663</c:v>
                </c:pt>
                <c:pt idx="54">
                  <c:v>426.66666666666663</c:v>
                </c:pt>
                <c:pt idx="55">
                  <c:v>426.66666666666663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4168"/>
        <c:axId val="521876520"/>
      </c:scatterChart>
      <c:valAx>
        <c:axId val="521874168"/>
        <c:scaling>
          <c:orientation val="minMax"/>
          <c:max val="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76520"/>
        <c:crosses val="autoZero"/>
        <c:crossBetween val="midCat"/>
        <c:majorUnit val="250"/>
      </c:valAx>
      <c:valAx>
        <c:axId val="521876520"/>
        <c:scaling>
          <c:orientation val="minMax"/>
          <c:max val="260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74168"/>
        <c:crosses val="autoZero"/>
        <c:crossBetween val="midCat"/>
        <c:majorUnit val="2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7522415150043117E-2"/>
          <c:y val="0.15468183533914445"/>
          <c:w val="8.1528476562206229E-2"/>
          <c:h val="7.5251362810417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  <c:pt idx="12">
                  <c:v>2000</c:v>
                </c:pt>
                <c:pt idx="13">
                  <c:v>2100</c:v>
                </c:pt>
                <c:pt idx="14">
                  <c:v>2200</c:v>
                </c:pt>
                <c:pt idx="15">
                  <c:v>2300</c:v>
                </c:pt>
                <c:pt idx="16">
                  <c:v>2400</c:v>
                </c:pt>
                <c:pt idx="17">
                  <c:v>2500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2444</c:v>
                </c:pt>
                <c:pt idx="1">
                  <c:v>2566.1999999999998</c:v>
                </c:pt>
                <c:pt idx="2">
                  <c:v>2632</c:v>
                </c:pt>
                <c:pt idx="3">
                  <c:v>2679</c:v>
                </c:pt>
                <c:pt idx="4">
                  <c:v>2716.6</c:v>
                </c:pt>
                <c:pt idx="5">
                  <c:v>2744.7999999999997</c:v>
                </c:pt>
                <c:pt idx="6">
                  <c:v>2764.54</c:v>
                </c:pt>
                <c:pt idx="7">
                  <c:v>2726</c:v>
                </c:pt>
                <c:pt idx="8">
                  <c:v>2660.2</c:v>
                </c:pt>
                <c:pt idx="9">
                  <c:v>2575.6</c:v>
                </c:pt>
                <c:pt idx="10">
                  <c:v>2491</c:v>
                </c:pt>
                <c:pt idx="11">
                  <c:v>2404.0572755417952</c:v>
                </c:pt>
                <c:pt idx="12">
                  <c:v>2283.8544117647057</c:v>
                </c:pt>
                <c:pt idx="13">
                  <c:v>2175.09943977591</c:v>
                </c:pt>
                <c:pt idx="14">
                  <c:v>1880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2208"/>
        <c:axId val="521874952"/>
      </c:scatterChart>
      <c:valAx>
        <c:axId val="521872208"/>
        <c:scaling>
          <c:orientation val="minMax"/>
          <c:max val="27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74952"/>
        <c:crosses val="autoZero"/>
        <c:crossBetween val="midCat"/>
      </c:valAx>
      <c:valAx>
        <c:axId val="52187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7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Sheet2!$A$5:$A$11</c:f>
              <c:numCache>
                <c:formatCode>General</c:formatCode>
                <c:ptCount val="7"/>
                <c:pt idx="0">
                  <c:v>0</c:v>
                </c:pt>
                <c:pt idx="1">
                  <c:v>1000</c:v>
                </c:pt>
                <c:pt idx="2">
                  <c:v>1450</c:v>
                </c:pt>
                <c:pt idx="3">
                  <c:v>1450</c:v>
                </c:pt>
                <c:pt idx="4">
                  <c:v>1900</c:v>
                </c:pt>
                <c:pt idx="5">
                  <c:v>2100</c:v>
                </c:pt>
                <c:pt idx="6">
                  <c:v>2300</c:v>
                </c:pt>
              </c:numCache>
            </c:numRef>
          </c:xVal>
          <c:yVal>
            <c:numRef>
              <c:f>Sheet2!$B$5:$B$11</c:f>
              <c:numCache>
                <c:formatCode>General</c:formatCode>
                <c:ptCount val="7"/>
                <c:pt idx="0">
                  <c:v>0</c:v>
                </c:pt>
                <c:pt idx="1">
                  <c:v>1421.4653361344538</c:v>
                </c:pt>
                <c:pt idx="2">
                  <c:v>1538</c:v>
                </c:pt>
                <c:pt idx="3">
                  <c:v>1538</c:v>
                </c:pt>
                <c:pt idx="4">
                  <c:v>1463.5448916408668</c:v>
                </c:pt>
                <c:pt idx="5">
                  <c:v>1304.0966386554621</c:v>
                </c:pt>
                <c:pt idx="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2600"/>
        <c:axId val="521869464"/>
      </c:scatterChart>
      <c:valAx>
        <c:axId val="52187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69464"/>
        <c:crosses val="autoZero"/>
        <c:crossBetween val="midCat"/>
      </c:valAx>
      <c:valAx>
        <c:axId val="52186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7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kW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Sheet2!$A$5:$A$11</c:f>
              <c:numCache>
                <c:formatCode>General</c:formatCode>
                <c:ptCount val="7"/>
                <c:pt idx="0">
                  <c:v>0</c:v>
                </c:pt>
                <c:pt idx="1">
                  <c:v>1000</c:v>
                </c:pt>
                <c:pt idx="2">
                  <c:v>1450</c:v>
                </c:pt>
                <c:pt idx="3">
                  <c:v>1450</c:v>
                </c:pt>
                <c:pt idx="4">
                  <c:v>1900</c:v>
                </c:pt>
                <c:pt idx="5">
                  <c:v>2100</c:v>
                </c:pt>
                <c:pt idx="6">
                  <c:v>2300</c:v>
                </c:pt>
              </c:numCache>
            </c:numRef>
          </c:xVal>
          <c:yVal>
            <c:numRef>
              <c:f>Sheet2!$C$5:$C$11</c:f>
              <c:numCache>
                <c:formatCode>General</c:formatCode>
                <c:ptCount val="7"/>
                <c:pt idx="0">
                  <c:v>0</c:v>
                </c:pt>
                <c:pt idx="1">
                  <c:v>148.84453781512605</c:v>
                </c:pt>
                <c:pt idx="2">
                  <c:v>233.51832460732984</c:v>
                </c:pt>
                <c:pt idx="3">
                  <c:v>233.51832460732984</c:v>
                </c:pt>
                <c:pt idx="4">
                  <c:v>291.17647058823525</c:v>
                </c:pt>
                <c:pt idx="5">
                  <c:v>286.76470588235293</c:v>
                </c:pt>
                <c:pt idx="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69072"/>
        <c:axId val="521871816"/>
      </c:scatterChart>
      <c:valAx>
        <c:axId val="52186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71816"/>
        <c:crosses val="autoZero"/>
        <c:crossBetween val="midCat"/>
      </c:valAx>
      <c:valAx>
        <c:axId val="52187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6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723900</xdr:colOff>
      <xdr:row>4</xdr:row>
      <xdr:rowOff>28575</xdr:rowOff>
    </xdr:from>
    <xdr:to>
      <xdr:col>67</xdr:col>
      <xdr:colOff>171449</xdr:colOff>
      <xdr:row>30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30</xdr:row>
      <xdr:rowOff>66676</xdr:rowOff>
    </xdr:from>
    <xdr:to>
      <xdr:col>65</xdr:col>
      <xdr:colOff>276226</xdr:colOff>
      <xdr:row>43</xdr:row>
      <xdr:rowOff>28576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47624</xdr:rowOff>
    </xdr:from>
    <xdr:to>
      <xdr:col>19</xdr:col>
      <xdr:colOff>590550</xdr:colOff>
      <xdr:row>46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100012</xdr:colOff>
      <xdr:row>12</xdr:row>
      <xdr:rowOff>114300</xdr:rowOff>
    </xdr:from>
    <xdr:to>
      <xdr:col>17</xdr:col>
      <xdr:colOff>338137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185737</xdr:colOff>
      <xdr:row>0</xdr:row>
      <xdr:rowOff>771525</xdr:rowOff>
    </xdr:from>
    <xdr:to>
      <xdr:col>23</xdr:col>
      <xdr:colOff>423862</xdr:colOff>
      <xdr:row>15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15" displayName="Table15" ref="A6:Y62" totalsRowShown="0" headerRowDxfId="87" dataDxfId="86">
  <tableColumns count="25">
    <tableColumn id="1" name="rpm" dataDxfId="85"/>
    <tableColumn id="7" name="rawData" dataDxfId="84">
      <calculatedColumnFormula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calculatedColumnFormula>
    </tableColumn>
    <tableColumn id="9" name="manualData" dataDxfId="83"/>
    <tableColumn id="12" name="rawDataEco" dataDxfId="82">
      <calculatedColumnFormula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calculatedColumnFormula>
    </tableColumn>
    <tableColumn id="11" name="manDataEco" dataDxfId="81"/>
    <tableColumn id="4" name="motor" dataDxfId="80">
      <calculatedColumnFormula>Table36[Factor]*IF(Table15[[#This Row],[manualData]]&gt;0,Table15[[#This Row],[manualData]],Table15[[#This Row],[rawData]])</calculatedColumnFormula>
    </tableColumn>
    <tableColumn id="14" name="motorEco" dataDxfId="79">
      <calculatedColumnFormula>Table36[Factor]*IF(Table15[[#This Row],[manDataEco]]&gt;0,Table15[[#This Row],[manDataEco]],Table15[[#This Row],[rawDataEco]])</calculatedColumnFormula>
    </tableColumn>
    <tableColumn id="3" name="ps" dataDxfId="78">
      <calculatedColumnFormula>1.36*Table15[[#This Row],[rpm]]*Table15[[#This Row],[motor]]/9550</calculatedColumnFormula>
    </tableColumn>
    <tableColumn id="13" name="psEco" dataDxfId="77">
      <calculatedColumnFormula>1.36*Table15[[#This Row],[rpm]]*Table15[[#This Row],[motorEco]]/9550</calculatedColumnFormula>
    </tableColumn>
    <tableColumn id="10" name="fuelUsageRatio" dataDxfId="76">
      <calculatedColumnFormula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calculatedColumnFormula>
    </tableColumn>
    <tableColumn id="5" name="xml" dataDxfId="75">
      <calculatedColumnFormula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calculatedColumnFormula>
    </tableColumn>
    <tableColumn id="8" name="xml2" dataDxfId="74">
      <calculatedColumnFormula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calculatedColumnFormula>
    </tableColumn>
    <tableColumn id="15" name="t1" dataDxfId="73">
      <calculatedColumnFormula>(1-(1-Table15[[#This Row],[rpm]]/Table36[idleRpm])^2)*Table7[idleT]</calculatedColumnFormula>
    </tableColumn>
    <tableColumn id="18" name="t2" dataDxfId="72">
      <calculatedColumnFormula>MAX(0,(1-Table7[f1]*(Table36[maxTRpm1]-Table15[[#This Row],[rpm]])^2)*Table36[maxT])</calculatedColumnFormula>
    </tableColumn>
    <tableColumn id="19" name="t3" dataDxfId="71">
      <calculatedColumnFormula>MAX(0,(Table36[linearDown]*(1-Table7[f2]*(Table15[[#This Row],[rpm]]-Table36[maxTRpm]))+(1-Table36[linearDown])*(1-Table7[f3]*(Table15[[#This Row],[rpm]]-Table36[maxTRpm])^2))*Table36[maxT])</calculatedColumnFormula>
    </tableColumn>
    <tableColumn id="16" name="t4" dataDxfId="70">
      <calculatedColumnFormula>MAX(0,(Table36[maxPS]-Table7[f4]*(Table15[[#This Row],[rpm]]-Table36[maxPRpm])^2)/1.36*9550/MAX(1,Table15[[#This Row],[rpm]]))</calculatedColumnFormula>
    </tableColumn>
    <tableColumn id="17" name="t5" dataDxfId="69">
      <calculatedColumnFormula>MAX(0,Table7[Nm2]*MIN(Table36[ratedRpm]/MAX(1,Table15[[#This Row],[rpm]]),1-(MAX(0,Table15[[#This Row],[rpm]]-Table36[ratedRpm])/Table36[fadeOut])^Table36[fadeOutExp]))</calculatedColumnFormula>
    </tableColumn>
    <tableColumn id="21" name="t1E" dataDxfId="68">
      <calculatedColumnFormula>(1-(1-Table15[[#This Row],[rpm]]/Table36[idleRpm])^2)*Table7[idleTEco]</calculatedColumnFormula>
    </tableColumn>
    <tableColumn id="22" name="t2E" dataDxfId="67">
      <calculatedColumnFormula>MAX(0,(1-Table7[f1]*(Table36[maxTRpm1]-Table15[[#This Row],[rpm]])^2)*Table36[maxTEco])</calculatedColumnFormula>
    </tableColumn>
    <tableColumn id="23" name="t3E" dataDxfId="66">
      <calculatedColumnFormula>MAX(0,(Table36[linearDown]*(1-Table7[f2Eco]*(Table15[[#This Row],[rpm]]-Table36[maxTRpm]))+(1-Table36[linearDown])*(1-Table7[f3Eco]*(Table15[[#This Row],[rpm]]-Table36[maxTRpm])^2))*Table36[maxTEco])</calculatedColumnFormula>
    </tableColumn>
    <tableColumn id="24" name="t4E" dataDxfId="65">
      <calculatedColumnFormula>MAX(0,(Table36[maxPSEco]-Table7[f4Eco]*(Table15[[#This Row],[rpm]]-Table36[maxPRpm])^2)/1.36*9550/MAX(1,Table15[[#This Row],[rpm]]))</calculatedColumnFormula>
    </tableColumn>
    <tableColumn id="25" name="t5E" dataDxfId="64">
      <calculatedColumnFormula>MAX(0,Table7[Nm2Eco]*MIN(Table36[ratedRpm]/MAX(1,Table15[[#This Row],[rpm]]),1-(MAX(0,Table15[[#This Row],[rpm]]-Table36[ratedRpm])/Table36[fadeOut])^Table36[fadeOutExp]))</calculatedColumnFormula>
    </tableColumn>
    <tableColumn id="2" name="t6" dataDxfId="63">
      <calculatedColumnFormula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calculatedColumnFormula>
    </tableColumn>
    <tableColumn id="6" name="t6E" dataDxfId="62"/>
    <tableColumn id="20" name="deltaEco" dataDxfId="61">
      <calculatedColumnFormula>ABS(Table15[[#This Row],[motor]]-Table15[[#This Row],[motorEco]])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36" displayName="Table36" ref="A1:Z2" totalsRowShown="0" headerRowDxfId="60">
  <autoFilter ref="A1:Z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6">
    <tableColumn id="10" name="maxPRpm" dataDxfId="59"/>
    <tableColumn id="14" name="maxPS" dataDxfId="58"/>
    <tableColumn id="19" name="maxPSEco" dataDxfId="57">
      <calculatedColumnFormula>Table36[maxPS]*Table36[maxPsEcoRate]</calculatedColumnFormula>
    </tableColumn>
    <tableColumn id="2" name="ratedRpm"/>
    <tableColumn id="3" name="PS"/>
    <tableColumn id="20" name="PSEco" dataDxfId="56">
      <calculatedColumnFormula>Table36[PS]*Table36[PSEcoRate]</calculatedColumnFormula>
    </tableColumn>
    <tableColumn id="12" name="maxTRpm1" dataDxfId="55"/>
    <tableColumn id="4" name="maxTRpm" dataDxfId="54"/>
    <tableColumn id="5" name="maxT" dataDxfId="53"/>
    <tableColumn id="21" name="maxTEco" dataDxfId="52">
      <calculatedColumnFormula>Table36[maxT]*Table36[NmEcoRate]</calculatedColumnFormula>
    </tableColumn>
    <tableColumn id="6" name="idleRpm"/>
    <tableColumn id="7" name="idleRatio" dataCellStyle="Percent"/>
    <tableColumn id="11" name="fadeOut" dataDxfId="51"/>
    <tableColumn id="15" name="linearDown" dataDxfId="50"/>
    <tableColumn id="25" name="fadeOutExp" dataDxfId="49"/>
    <tableColumn id="22" name="Efficiency" dataDxfId="48"/>
    <tableColumn id="16" name="Factor" dataDxfId="47"/>
    <tableColumn id="13" name="fuelMinRate" dataDxfId="46"/>
    <tableColumn id="18" name="fuelRatedRate" dataDxfId="45">
      <calculatedColumnFormula>Table36[fuelMinRate]/0.9</calculatedColumnFormula>
    </tableColumn>
    <tableColumn id="9" name="fuelMinRpm" dataDxfId="44">
      <calculatedColumnFormula>ROUND(MIN(0.6*Table36[idleRpm]+0.4*Table36[ratedRpm],0.5*Table36[maxTRpm1]+0.5*Table36[maxTRpm]),-1)</calculatedColumnFormula>
    </tableColumn>
    <tableColumn id="17" name="fuelIdleRate" dataDxfId="43">
      <calculatedColumnFormula>0.94*Table36[fuelRatedRate]</calculatedColumnFormula>
    </tableColumn>
    <tableColumn id="1" name="normRpm" dataDxfId="42">
      <calculatedColumnFormula>ROUND(Table36[ratedRpm]+0.49*Table36[fadeOut],-2)</calculatedColumnFormula>
    </tableColumn>
    <tableColumn id="8" name="PSEcoRate" dataDxfId="41"/>
    <tableColumn id="23" name="NmEcoRate"/>
    <tableColumn id="24" name="maxPsEcoRate" dataDxfId="40">
      <calculatedColumnFormula>Table36[PSEcoRate]* (Table36[maxPRpm]-Table36[maxTRpm])/(Table36[ratedRpm]-Table36[maxTRpm]) + Table36[NmEcoRate]* (1- (Table36[maxPRpm]-Table36[maxTRpm])/(Table36[ratedRpm]-Table36[maxTRpm]))</calculatedColumnFormula>
    </tableColumn>
    <tableColumn id="26" name="maxPSRpmRate" dataDxfId="3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3:W4" totalsRowShown="0" headerRowDxfId="38" dataDxfId="37">
  <tableColumns count="23">
    <tableColumn id="1" name="f1" dataDxfId="36">
      <calculatedColumnFormula>(1-Table36[idleRatio])/((Table36[maxTRpm1]-Table36[idleRpm])^2)</calculatedColumnFormula>
    </tableColumn>
    <tableColumn id="2" name="f2" dataDxfId="35">
      <calculatedColumnFormula>(Table36[maxT]-Table7[Nm])/Table36[maxT]/(Table36[maxPRpm]-Table36[maxTRpm])</calculatedColumnFormula>
    </tableColumn>
    <tableColumn id="5" name="f3" dataDxfId="34">
      <calculatedColumnFormula>(Table36[maxT]-Table7[Nm])/Table36[maxT]/(Table36[maxPRpm]-Table36[maxTRpm])^2</calculatedColumnFormula>
    </tableColumn>
    <tableColumn id="6" name="f4" dataDxfId="33">
      <calculatedColumnFormula>(Table36[maxPS]-Table36[PS])/MAX(1,Table36[ratedRpm]-Table36[maxPRpm])^2</calculatedColumnFormula>
    </tableColumn>
    <tableColumn id="3" name="Nm" dataDxfId="32">
      <calculatedColumnFormula>Table36[maxPS]/1.36*9550/Table36[maxPRpm]</calculatedColumnFormula>
    </tableColumn>
    <tableColumn id="4" name="Nm2" dataDxfId="31">
      <calculatedColumnFormula>Table36[PS]/1.36*9550/Table36[ratedRpm]</calculatedColumnFormula>
    </tableColumn>
    <tableColumn id="7" name="Anfahrmoment" dataDxfId="30" dataCellStyle="Percent">
      <calculatedColumnFormula>Table7[Nm1000]/Table7[Nm2]</calculatedColumnFormula>
    </tableColumn>
    <tableColumn id="17" name="AnstiegE" dataDxfId="29" dataCellStyle="Percent">
      <calculatedColumnFormula>Table36[maxTEco]/Table7[Nm2Eco]-1</calculatedColumnFormula>
    </tableColumn>
    <tableColumn id="14" name="Anstieg" dataDxfId="28" dataCellStyle="Percent">
      <calculatedColumnFormula>Table36[maxT]/Table7[Nm2]-1</calculatedColumnFormula>
    </tableColumn>
    <tableColumn id="15" name="Abfall" dataDxfId="27" dataCellStyle="Percent">
      <calculatedColumnFormula>1-Table36[maxTRpm]/Table36[ratedRpm]</calculatedColumnFormula>
    </tableColumn>
    <tableColumn id="20" name="max kW" dataDxfId="26" dataCellStyle="Percent">
      <calculatedColumnFormula>Table36[maxPS]/1.36</calculatedColumnFormula>
    </tableColumn>
    <tableColumn id="18" name="rated kW" dataDxfId="25" dataCellStyle="Percent">
      <calculatedColumnFormula>Table36[PS]/1.36</calculatedColumnFormula>
    </tableColumn>
    <tableColumn id="23" name="max g/kWh" dataDxfId="24" dataCellStyle="Percent">
      <calculatedColumnFormula>Table36[fuelRatedRate]*1.1</calculatedColumnFormula>
    </tableColumn>
    <tableColumn id="16" name="Nm1000" dataDxfId="23" dataCellStyle="Percent">
      <calculatedColumnFormula>(1-Table7[f1]*(Table36[maxTRpm1]-1000)^2)*Table36[maxTEco]</calculatedColumnFormula>
    </tableColumn>
    <tableColumn id="8" name="NmEco" dataDxfId="22">
      <calculatedColumnFormula>Table36[maxPSEco]/1.36*9550/Table36[maxPRpm]</calculatedColumnFormula>
    </tableColumn>
    <tableColumn id="9" name="Nm2Eco" dataDxfId="21">
      <calculatedColumnFormula>Table36[PSEco]/1.36*9550/Table36[ratedRpm]</calculatedColumnFormula>
    </tableColumn>
    <tableColumn id="12" name="f2Eco" dataDxfId="20">
      <calculatedColumnFormula>(Table36[maxTEco]-Table7[NmEco])/Table36[maxTEco]/(Table36[maxPRpm]-Table36[maxTRpm])</calculatedColumnFormula>
    </tableColumn>
    <tableColumn id="10" name="f3Eco" dataDxfId="19">
      <calculatedColumnFormula>(Table36[maxTEco]-Table7[NmEco])/Table36[maxTEco]/(Table36[maxPRpm]-Table36[maxTRpm])^2</calculatedColumnFormula>
    </tableColumn>
    <tableColumn id="11" name="f4Eco" dataDxfId="18">
      <calculatedColumnFormula>(Table36[maxPSEco]-Table36[PSEco])/MAX(1,Table36[ratedRpm]-Table36[maxPRpm])^2</calculatedColumnFormula>
    </tableColumn>
    <tableColumn id="13" name="idleT" dataDxfId="17">
      <calculatedColumnFormula>(1-Table7[f1]*(Table36[maxTRpm1]-Table36[idleRpm])^2)*Table36[maxT]</calculatedColumnFormula>
    </tableColumn>
    <tableColumn id="19" name="idleTEco" dataDxfId="16">
      <calculatedColumnFormula>(1-Table7[f1]*(Table36[maxTRpm1]-Table36[idleRpm])^2)*Table36[maxTEco]</calculatedColumnFormula>
    </tableColumn>
    <tableColumn id="21" name="xmlComment" dataDxfId="15">
      <calculatedColumnFormula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calculatedColumnFormula>
    </tableColumn>
    <tableColumn id="22" name="maxDeltaEco" dataDxfId="14">
      <calculatedColumnFormula>MAX(Table15[deltaEco])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H19" totalsRowShown="0">
  <autoFilter ref="A1:H19"/>
  <tableColumns count="8">
    <tableColumn id="1" name="rpm"/>
    <tableColumn id="7" name="rawData"/>
    <tableColumn id="2" name="pto">
      <calculatedColumnFormula>$A$22*Table1[[#This Row],[rawData]]</calculatedColumnFormula>
    </tableColumn>
    <tableColumn id="6" name="kw_pto" dataDxfId="13">
      <calculatedColumnFormula>A2*C2/9550</calculatedColumnFormula>
    </tableColumn>
    <tableColumn id="3" name="ps" dataDxfId="12">
      <calculatedColumnFormula>Table1[[#This Row],[kw_pto]]*1.36/0.94</calculatedColumnFormula>
    </tableColumn>
    <tableColumn id="4" name="motor"/>
    <tableColumn id="5" name="xml" dataDxfId="11">
      <calculatedColumnFormula>CONCATENATE("&lt;torque rpm=""",Table1[[#This Row],[rpm]],""" motorTorque=""",ROUND(Table1[[#This Row],[motor]],0),"""/&gt;")</calculatedColumnFormula>
    </tableColumn>
    <tableColumn id="8" name="xml2" dataDxfId="10">
      <calculatedColumnFormula>CONCATENATE("&lt;torque normRpm=""",ROUND(Table1[[#This Row],[rpm]]/Table3[ratedRpm],3),""" torque=""",ROUND(Table1[[#This Row],[motor]]/MAX(Table1[motor]),3),"""/&gt;")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21:D22" totalsRowShown="0">
  <autoFilter ref="A21:D22"/>
  <tableColumns count="4">
    <tableColumn id="1" name="Factor">
      <calculatedColumnFormula>0.94</calculatedColumnFormula>
    </tableColumn>
    <tableColumn id="2" name="ratedRpm"/>
    <tableColumn id="3" name="PS"/>
    <tableColumn id="4" name="Nm_rated">
      <calculatedColumnFormula>Table3[PS]/1.36*9548/Table3[ratedRpm]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2" name="Table2" displayName="Table2" ref="A1:I2" totalsRowShown="0" headerRowDxfId="9" tableBorderDxfId="8">
  <tableColumns count="9">
    <tableColumn id="1" name="maxPRpm" dataDxfId="7"/>
    <tableColumn id="2" name="maxPS" dataDxfId="6"/>
    <tableColumn id="4" name="ratedRpm" dataDxfId="5"/>
    <tableColumn id="5" name="PS" dataDxfId="4"/>
    <tableColumn id="7" name="maxTRpm1" dataDxfId="3"/>
    <tableColumn id="8" name="maxTRpm" dataDxfId="2"/>
    <tableColumn id="9" name="maxT" dataDxfId="1"/>
    <tableColumn id="11" name="idleRpm" dataDxfId="0"/>
    <tableColumn id="12" name="Anfahrmoment" dataCellStyle="Perce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A4:C11" totalsRowShown="0">
  <tableColumns count="3">
    <tableColumn id="1" name="U/min"/>
    <tableColumn id="2" name="Nm"/>
    <tableColumn id="3" name="kW">
      <calculatedColumnFormula>B5*A5/9550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4:C65" totalsRowShown="0">
  <tableColumns count="3">
    <tableColumn id="1" name="U/min"/>
    <tableColumn id="2" name="Column1"/>
    <tableColumn id="3" name="Column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62"/>
  <sheetViews>
    <sheetView tabSelected="1" workbookViewId="0">
      <selection activeCell="K7" sqref="K7:K28"/>
    </sheetView>
  </sheetViews>
  <sheetFormatPr defaultColWidth="7.140625" defaultRowHeight="15" x14ac:dyDescent="0.25"/>
  <cols>
    <col min="1" max="1" width="10" bestFit="1" customWidth="1"/>
    <col min="2" max="3" width="12" bestFit="1" customWidth="1"/>
    <col min="4" max="4" width="7.28515625" bestFit="1" customWidth="1"/>
    <col min="5" max="5" width="10.85546875" customWidth="1"/>
    <col min="6" max="6" width="7.5703125" bestFit="1" customWidth="1"/>
    <col min="7" max="10" width="7.28515625" bestFit="1" customWidth="1"/>
    <col min="11" max="11" width="11.140625" bestFit="1" customWidth="1"/>
    <col min="12" max="12" width="11" bestFit="1" customWidth="1"/>
    <col min="13" max="13" width="11.140625" bestFit="1" customWidth="1"/>
    <col min="14" max="14" width="7.28515625" bestFit="1" customWidth="1"/>
  </cols>
  <sheetData>
    <row r="1" spans="1:26" s="4" customFormat="1" ht="45.75" customHeight="1" thickBot="1" x14ac:dyDescent="0.3">
      <c r="A1" s="4" t="s">
        <v>18</v>
      </c>
      <c r="B1" s="4" t="s">
        <v>23</v>
      </c>
      <c r="C1" s="4" t="s">
        <v>35</v>
      </c>
      <c r="D1" s="4" t="s">
        <v>8</v>
      </c>
      <c r="E1" s="4" t="s">
        <v>10</v>
      </c>
      <c r="F1" s="4" t="s">
        <v>36</v>
      </c>
      <c r="G1" s="4" t="s">
        <v>22</v>
      </c>
      <c r="H1" s="4" t="s">
        <v>12</v>
      </c>
      <c r="I1" s="5" t="s">
        <v>13</v>
      </c>
      <c r="J1" s="4" t="s">
        <v>47</v>
      </c>
      <c r="K1" s="4" t="s">
        <v>14</v>
      </c>
      <c r="L1" s="4" t="s">
        <v>15</v>
      </c>
      <c r="M1" s="4" t="s">
        <v>21</v>
      </c>
      <c r="N1" s="4" t="s">
        <v>25</v>
      </c>
      <c r="O1" s="4" t="s">
        <v>68</v>
      </c>
      <c r="P1" s="4" t="s">
        <v>49</v>
      </c>
      <c r="Q1" s="4" t="s">
        <v>7</v>
      </c>
      <c r="R1" s="4" t="s">
        <v>31</v>
      </c>
      <c r="S1" s="4" t="s">
        <v>33</v>
      </c>
      <c r="T1" s="4" t="s">
        <v>30</v>
      </c>
      <c r="U1" s="4" t="s">
        <v>32</v>
      </c>
      <c r="V1" s="4" t="s">
        <v>60</v>
      </c>
      <c r="W1" s="4" t="s">
        <v>63</v>
      </c>
      <c r="X1" s="4" t="s">
        <v>64</v>
      </c>
      <c r="Y1" s="4" t="s">
        <v>67</v>
      </c>
      <c r="Z1" s="4" t="s">
        <v>74</v>
      </c>
    </row>
    <row r="2" spans="1:26" ht="15.75" thickBot="1" x14ac:dyDescent="0.3">
      <c r="A2" s="12">
        <v>1900</v>
      </c>
      <c r="B2" s="13">
        <v>333</v>
      </c>
      <c r="C2" s="17">
        <f>Table36[maxPS]*Table36[maxPsEcoRate]</f>
        <v>333</v>
      </c>
      <c r="D2" s="7">
        <v>2100</v>
      </c>
      <c r="E2" s="8">
        <v>330</v>
      </c>
      <c r="F2" s="18">
        <f>Table36[PS]*Table36[PSEcoRate]</f>
        <v>330</v>
      </c>
      <c r="G2" s="12">
        <v>1450</v>
      </c>
      <c r="H2" s="13">
        <v>1450</v>
      </c>
      <c r="I2" s="13">
        <v>1350</v>
      </c>
      <c r="J2" s="17">
        <f>Table36[maxT]*Table36[NmEcoRate]</f>
        <v>1350</v>
      </c>
      <c r="K2" s="27">
        <v>800</v>
      </c>
      <c r="L2" s="28">
        <v>0.85</v>
      </c>
      <c r="M2" s="29">
        <v>149</v>
      </c>
      <c r="N2" s="12">
        <v>0.5</v>
      </c>
      <c r="O2" s="13">
        <v>2</v>
      </c>
      <c r="P2" s="13">
        <v>0.98</v>
      </c>
      <c r="Q2" s="14">
        <v>1</v>
      </c>
      <c r="R2" s="26">
        <v>192</v>
      </c>
      <c r="S2" s="15">
        <f>Table36[fuelMinRate]/0.9</f>
        <v>213.33333333333331</v>
      </c>
      <c r="T2" s="16">
        <f>ROUND(MIN(0.6*Table36[idleRpm]+0.4*Table36[ratedRpm],0.5*Table36[maxTRpm1]+0.5*Table36[maxTRpm]),-1)</f>
        <v>1320</v>
      </c>
      <c r="U2" s="18">
        <f>0.94*Table36[fuelRatedRate]</f>
        <v>200.5333333333333</v>
      </c>
      <c r="V2" s="15">
        <f>ROUND(Table36[ratedRpm]+0.49*Table36[fadeOut],-2)</f>
        <v>2200</v>
      </c>
      <c r="W2" s="7">
        <v>1</v>
      </c>
      <c r="X2" s="9">
        <v>1</v>
      </c>
      <c r="Y2" s="35">
        <f>Table36[PSEcoRate]* (Table36[maxPRpm]-Table36[maxTRpm])/(Table36[ratedRpm]-Table36[maxTRpm]) + Table36[NmEcoRate]* (1- (Table36[maxPRpm]-Table36[maxTRpm])/(Table36[ratedRpm]-Table36[maxTRpm]))</f>
        <v>1</v>
      </c>
      <c r="Z2" s="26">
        <v>0.02</v>
      </c>
    </row>
    <row r="3" spans="1:26" x14ac:dyDescent="0.25">
      <c r="A3" s="11" t="s">
        <v>16</v>
      </c>
      <c r="B3" s="11" t="s">
        <v>17</v>
      </c>
      <c r="C3" s="11" t="s">
        <v>24</v>
      </c>
      <c r="D3" s="11" t="s">
        <v>26</v>
      </c>
      <c r="E3" s="11" t="s">
        <v>19</v>
      </c>
      <c r="F3" s="11" t="s">
        <v>20</v>
      </c>
      <c r="G3" s="22" t="s">
        <v>27</v>
      </c>
      <c r="H3" s="23" t="s">
        <v>66</v>
      </c>
      <c r="I3" s="23" t="s">
        <v>61</v>
      </c>
      <c r="J3" s="23" t="s">
        <v>62</v>
      </c>
      <c r="K3" s="22" t="s">
        <v>69</v>
      </c>
      <c r="L3" s="23" t="s">
        <v>70</v>
      </c>
      <c r="M3" s="24" t="s">
        <v>71</v>
      </c>
      <c r="N3" s="11" t="s">
        <v>65</v>
      </c>
      <c r="O3" s="11" t="s">
        <v>37</v>
      </c>
      <c r="P3" s="11" t="s">
        <v>38</v>
      </c>
      <c r="Q3" s="11" t="s">
        <v>41</v>
      </c>
      <c r="R3" s="11" t="s">
        <v>39</v>
      </c>
      <c r="S3" s="11" t="s">
        <v>40</v>
      </c>
      <c r="T3" s="11" t="s">
        <v>42</v>
      </c>
      <c r="U3" s="11" t="s">
        <v>48</v>
      </c>
      <c r="V3" s="11" t="s">
        <v>28</v>
      </c>
      <c r="W3" s="36" t="s">
        <v>76</v>
      </c>
    </row>
    <row r="4" spans="1:26" ht="15.75" thickBot="1" x14ac:dyDescent="0.3">
      <c r="A4" s="11">
        <f>(1-Table36[idleRatio])/((Table36[maxTRpm1]-Table36[idleRpm])^2)</f>
        <v>3.550295857988166E-7</v>
      </c>
      <c r="B4" s="11">
        <f>(Table36[maxT]-Table7[Nm])/Table36[maxT]/(Table36[maxPRpm]-Table36[maxTRpm])</f>
        <v>1.9636509574590076E-4</v>
      </c>
      <c r="C4" s="11">
        <f>(Table36[maxT]-Table7[Nm])/Table36[maxT]/(Table36[maxPRpm]-Table36[maxTRpm])^2</f>
        <v>4.3636687943533501E-7</v>
      </c>
      <c r="D4" s="11">
        <f>(Table36[maxPS]-Table36[PS])/MAX(1,Table36[ratedRpm]-Table36[maxPRpm])^2</f>
        <v>7.4999999999999993E-5</v>
      </c>
      <c r="E4" s="11">
        <f>Table36[maxPS]/1.36*9550/Table36[maxPRpm]</f>
        <v>1230.7082043343653</v>
      </c>
      <c r="F4" s="11">
        <f>Table36[PS]/1.36*9550/Table36[ratedRpm]</f>
        <v>1103.4663865546217</v>
      </c>
      <c r="G4" s="21">
        <f>Table7[Nm1000]/Table7[Nm2]</f>
        <v>1.1354616708301766</v>
      </c>
      <c r="H4" s="34">
        <f>Table36[maxTEco]/Table7[Nm2Eco]-1</f>
        <v>0.22341742027605904</v>
      </c>
      <c r="I4" s="34">
        <f>Table36[maxT]/Table7[Nm2]-1</f>
        <v>0.22341742027605904</v>
      </c>
      <c r="J4" s="34">
        <f>1-Table36[maxTRpm]/Table36[ratedRpm]</f>
        <v>0.30952380952380953</v>
      </c>
      <c r="K4" s="30">
        <f>Table36[maxPS]/1.36</f>
        <v>244.85294117647058</v>
      </c>
      <c r="L4" s="31">
        <f>Table36[PS]/1.36</f>
        <v>242.64705882352939</v>
      </c>
      <c r="M4" s="32">
        <f>Table36[fuelRatedRate]*1.1</f>
        <v>234.66666666666666</v>
      </c>
      <c r="N4" s="11">
        <f>(1-Table7[f1]*(Table36[maxTRpm1]-1000)^2)*Table36[maxTEco]</f>
        <v>1252.9437869822484</v>
      </c>
      <c r="O4" s="11">
        <f>Table36[maxPSEco]/1.36*9550/Table36[maxPRpm]</f>
        <v>1230.7082043343653</v>
      </c>
      <c r="P4" s="11">
        <f>Table36[PSEco]/1.36*9550/Table36[ratedRpm]</f>
        <v>1103.4663865546217</v>
      </c>
      <c r="Q4" s="11">
        <f>(Table36[maxTEco]-Table7[NmEco])/Table36[maxTEco]/(Table36[maxPRpm]-Table36[maxTRpm])</f>
        <v>1.9636509574590076E-4</v>
      </c>
      <c r="R4" s="11">
        <f>(Table36[maxTEco]-Table7[NmEco])/Table36[maxTEco]/(Table36[maxPRpm]-Table36[maxTRpm])^2</f>
        <v>4.3636687943533501E-7</v>
      </c>
      <c r="S4" s="11">
        <f>(Table36[maxPSEco]-Table36[PSEco])/MAX(1,Table36[ratedRpm]-Table36[maxPRpm])^2</f>
        <v>7.4999999999999993E-5</v>
      </c>
      <c r="T4" s="11">
        <f>(1-Table7[f1]*(Table36[maxTRpm1]-Table36[idleRpm])^2)*Table36[maxT]</f>
        <v>1147.5</v>
      </c>
      <c r="U4" s="11">
        <f>(1-Table7[f1]*(Table36[maxTRpm1]-Table36[idleRpm])^2)*Table36[maxTEco]</f>
        <v>1147.5</v>
      </c>
      <c r="V4" s="11" t="str">
        <f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f>
        <v xml:space="preserve">        &lt;!-- 1900: 333(333) | 2100: 330(330) | 1450..1450: 1350(1350) | 85 | 0.5 | 149 | 2 | 2200 | 1320: 192 --&gt;</v>
      </c>
      <c r="W4" s="36">
        <f>MAX(Table15[deltaEco])</f>
        <v>0</v>
      </c>
    </row>
    <row r="6" spans="1:26" s="4" customFormat="1" ht="62.25" thickBot="1" x14ac:dyDescent="0.3">
      <c r="A6" s="4" t="s">
        <v>0</v>
      </c>
      <c r="B6" s="4" t="s">
        <v>5</v>
      </c>
      <c r="C6" s="4" t="s">
        <v>29</v>
      </c>
      <c r="D6" s="4" t="s">
        <v>43</v>
      </c>
      <c r="E6" s="4" t="s">
        <v>44</v>
      </c>
      <c r="F6" s="4" t="s">
        <v>4</v>
      </c>
      <c r="G6" s="4" t="s">
        <v>46</v>
      </c>
      <c r="H6" s="4" t="s">
        <v>1</v>
      </c>
      <c r="I6" s="4" t="s">
        <v>45</v>
      </c>
      <c r="J6" s="4" t="s">
        <v>34</v>
      </c>
      <c r="K6" s="6" t="s">
        <v>3</v>
      </c>
      <c r="L6" s="4" t="s">
        <v>9</v>
      </c>
      <c r="M6" s="4" t="s">
        <v>50</v>
      </c>
      <c r="N6" s="4" t="s">
        <v>51</v>
      </c>
      <c r="O6" s="4" t="s">
        <v>52</v>
      </c>
      <c r="P6" s="4" t="s">
        <v>53</v>
      </c>
      <c r="Q6" s="4" t="s">
        <v>54</v>
      </c>
      <c r="R6" s="4" t="s">
        <v>55</v>
      </c>
      <c r="S6" s="4" t="s">
        <v>56</v>
      </c>
      <c r="T6" s="4" t="s">
        <v>59</v>
      </c>
      <c r="U6" s="4" t="s">
        <v>57</v>
      </c>
      <c r="V6" s="4" t="s">
        <v>58</v>
      </c>
      <c r="W6" s="4" t="s">
        <v>72</v>
      </c>
      <c r="X6" s="4" t="s">
        <v>73</v>
      </c>
      <c r="Y6" s="4" t="s">
        <v>75</v>
      </c>
    </row>
    <row r="7" spans="1:26" x14ac:dyDescent="0.25">
      <c r="A7" s="3">
        <v>0</v>
      </c>
      <c r="B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7" s="19"/>
      <c r="D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7" s="19"/>
      <c r="F7" s="3">
        <f>Table36[Factor]*IF(Table15[[#This Row],[manualData]]&gt;0,Table15[[#This Row],[manualData]],Table15[[#This Row],[rawData]])</f>
        <v>0</v>
      </c>
      <c r="G7" s="3">
        <f>Table36[Factor]*IF(Table15[[#This Row],[manDataEco]]&gt;0,Table15[[#This Row],[manDataEco]],Table15[[#This Row],[rawDataEco]])</f>
        <v>0</v>
      </c>
      <c r="H7" s="25">
        <f>1.36*Table15[[#This Row],[rpm]]*Table15[[#This Row],[motor]]/9550</f>
        <v>0</v>
      </c>
      <c r="I7" s="25">
        <f>1.36*Table15[[#This Row],[rpm]]*Table15[[#This Row],[motorEco]]/9550</f>
        <v>0</v>
      </c>
      <c r="J7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246.98698224852052</v>
      </c>
      <c r="K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&lt;!-- 1900: 333(333) | 2100: 330(330) | 1450..1450: 1350(1350) | 85 | 0.5 | 149 | 2 | 2200 | 1320: 192 --&gt;</v>
      </c>
      <c r="L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&lt;!-- 1900: 333(333) | 2100: 330(330) | 1450..1450: 1350(1350) | 85 | 0.5 | 149 | 2 | 2200 | 1320: 192 --&gt;</v>
      </c>
      <c r="M7" s="3">
        <f>(1-(1-Table15[[#This Row],[rpm]]/Table36[idleRpm])^2)*Table7[idleT]</f>
        <v>0</v>
      </c>
      <c r="N7" s="3">
        <f>MAX(0,(1-Table7[f1]*(Table36[maxTRpm1]-Table15[[#This Row],[rpm]])^2)*Table36[maxT])</f>
        <v>342.29289940828386</v>
      </c>
      <c r="O7" s="3">
        <f>MAX(0,(Table36[linearDown]*(1-Table7[f2]*(Table15[[#This Row],[rpm]]-Table36[maxTRpm]))+(1-Table36[linearDown])*(1-Table7[f3]*(Table15[[#This Row],[rpm]]-Table36[maxTRpm])^2))*Table36[maxT])</f>
        <v>922.9059167526658</v>
      </c>
      <c r="P7" s="3">
        <f>MAX(0,(Table36[maxPS]-Table7[f4]*(Table15[[#This Row],[rpm]]-Table36[maxPRpm])^2)/1.36*9550/MAX(1,Table15[[#This Row],[rpm]]))</f>
        <v>437123.16176470584</v>
      </c>
      <c r="Q7" s="3">
        <f>MAX(0,Table7[Nm2]*MIN(Table36[ratedRpm]/MAX(1,Table15[[#This Row],[rpm]]),1-(MAX(0,Table15[[#This Row],[rpm]]-Table36[ratedRpm])/Table36[fadeOut])^Table36[fadeOutExp]))</f>
        <v>1103.4663865546217</v>
      </c>
      <c r="R7" s="3">
        <f>(1-(1-Table15[[#This Row],[rpm]]/Table36[idleRpm])^2)*Table7[idleTEco]</f>
        <v>0</v>
      </c>
      <c r="S7" s="3">
        <f>MAX(0,(1-Table7[f1]*(Table36[maxTRpm1]-Table15[[#This Row],[rpm]])^2)*Table36[maxTEco])</f>
        <v>342.29289940828386</v>
      </c>
      <c r="T7" s="3">
        <f>MAX(0,(Table36[linearDown]*(1-Table7[f2Eco]*(Table15[[#This Row],[rpm]]-Table36[maxTRpm]))+(1-Table36[linearDown])*(1-Table7[f3Eco]*(Table15[[#This Row],[rpm]]-Table36[maxTRpm])^2))*Table36[maxTEco])</f>
        <v>922.9059167526658</v>
      </c>
      <c r="U7" s="3">
        <f>MAX(0,(Table36[maxPSEco]-Table7[f4Eco]*(Table15[[#This Row],[rpm]]-Table36[maxPRpm])^2)/1.36*9550/MAX(1,Table15[[#This Row],[rpm]]))</f>
        <v>437123.16176470584</v>
      </c>
      <c r="V7" s="3">
        <f>MAX(0,Table7[Nm2Eco]*MIN(Table36[ratedRpm]/MAX(1,Table15[[#This Row],[rpm]]),1-(MAX(0,Table15[[#This Row],[rpm]]-Table36[ratedRpm])/Table36[fadeOut])^Table36[fadeOutExp]))</f>
        <v>1103.4663865546217</v>
      </c>
      <c r="W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0</v>
      </c>
      <c r="X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0</v>
      </c>
      <c r="Y7" s="3">
        <f>ABS(Table15[[#This Row],[motor]]-Table15[[#This Row],[motorEco]])</f>
        <v>0</v>
      </c>
    </row>
    <row r="8" spans="1:26" x14ac:dyDescent="0.25">
      <c r="A8" s="3">
        <v>350</v>
      </c>
      <c r="B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778.13929089427688</v>
      </c>
      <c r="C8" s="20"/>
      <c r="D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778.13929089427688</v>
      </c>
      <c r="E8" s="20"/>
      <c r="F8" s="3">
        <f>Table36[Factor]*IF(Table15[[#This Row],[manualData]]&gt;0,Table15[[#This Row],[manualData]],Table15[[#This Row],[rawData]])</f>
        <v>778.13929089427688</v>
      </c>
      <c r="G8" s="3">
        <f>Table36[Factor]*IF(Table15[[#This Row],[manDataEco]]&gt;0,Table15[[#This Row],[manDataEco]],Table15[[#This Row],[rawDataEco]])</f>
        <v>778.13929089427688</v>
      </c>
      <c r="H8" s="25">
        <f>1.36*Table15[[#This Row],[rpm]]*Table15[[#This Row],[motor]]/9550</f>
        <v>38.784743713683334</v>
      </c>
      <c r="I8" s="25">
        <f>1.36*Table15[[#This Row],[rpm]]*Table15[[#This Row],[motorEco]]/9550</f>
        <v>38.784743713683334</v>
      </c>
      <c r="J8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221.69309664694271</v>
      </c>
      <c r="K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rpm="350" motorTorque="778" fuelUsageRatio="221.7"/&gt;</v>
      </c>
      <c r="L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normRpm="0.159" torque="0.577"/&gt;</v>
      </c>
      <c r="M8" s="3">
        <f>(1-(1-Table15[[#This Row],[rpm]]/Table36[idleRpm])^2)*Table7[idleT]</f>
        <v>784.423828125</v>
      </c>
      <c r="N8" s="3">
        <f>MAX(0,(1-Table7[f1]*(Table36[maxTRpm1]-Table15[[#This Row],[rpm]])^2)*Table36[maxT])</f>
        <v>770.05917159763305</v>
      </c>
      <c r="O8" s="3">
        <f>MAX(0,(Table36[linearDown]*(1-Table7[f2]*(Table15[[#This Row],[rpm]]-Table36[maxTRpm]))+(1-Table36[linearDown])*(1-Table7[f3]*(Table15[[#This Row],[rpm]]-Table36[maxTRpm])^2))*Table36[maxT])</f>
        <v>1139.3984348125216</v>
      </c>
      <c r="P8" s="3">
        <f>MAX(0,(Table36[maxPS]-Table7[f4]*(Table15[[#This Row],[rpm]]-Table36[maxPRpm])^2)/1.36*9550/MAX(1,Table15[[#This Row],[rpm]]))</f>
        <v>3065.881039915967</v>
      </c>
      <c r="Q8" s="3">
        <f>MAX(0,Table7[Nm2]*MIN(Table36[ratedRpm]/MAX(1,Table15[[#This Row],[rpm]]),1-(MAX(0,Table15[[#This Row],[rpm]]-Table36[ratedRpm])/Table36[fadeOut])^Table36[fadeOutExp]))</f>
        <v>1103.4663865546217</v>
      </c>
      <c r="R8" s="3">
        <f>(1-(1-Table15[[#This Row],[rpm]]/Table36[idleRpm])^2)*Table7[idleTEco]</f>
        <v>784.423828125</v>
      </c>
      <c r="S8" s="3">
        <f>MAX(0,(1-Table7[f1]*(Table36[maxTRpm1]-Table15[[#This Row],[rpm]])^2)*Table36[maxTEco])</f>
        <v>770.05917159763305</v>
      </c>
      <c r="T8" s="3">
        <f>MAX(0,(Table36[linearDown]*(1-Table7[f2Eco]*(Table15[[#This Row],[rpm]]-Table36[maxTRpm]))+(1-Table36[linearDown])*(1-Table7[f3Eco]*(Table15[[#This Row],[rpm]]-Table36[maxTRpm])^2))*Table36[maxTEco])</f>
        <v>1139.3984348125216</v>
      </c>
      <c r="U8" s="3">
        <f>MAX(0,(Table36[maxPSEco]-Table7[f4Eco]*(Table15[[#This Row],[rpm]]-Table36[maxPRpm])^2)/1.36*9550/MAX(1,Table15[[#This Row],[rpm]]))</f>
        <v>3065.881039915967</v>
      </c>
      <c r="V8" s="3">
        <f>MAX(0,Table7[Nm2Eco]*MIN(Table36[ratedRpm]/MAX(1,Table15[[#This Row],[rpm]]),1-(MAX(0,Table15[[#This Row],[rpm]]-Table36[ratedRpm])/Table36[fadeOut])^Table36[fadeOutExp]))</f>
        <v>1103.4663865546217</v>
      </c>
      <c r="W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6571.9818111455097</v>
      </c>
      <c r="X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6571.9818111455097</v>
      </c>
      <c r="Y8" s="3">
        <f>ABS(Table15[[#This Row],[motor]]-Table15[[#This Row],[motorEco]])</f>
        <v>0</v>
      </c>
    </row>
    <row r="9" spans="1:26" x14ac:dyDescent="0.25">
      <c r="A9" s="3">
        <v>700</v>
      </c>
      <c r="B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1086.5457713110206</v>
      </c>
      <c r="C9" s="20"/>
      <c r="D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1086.5457713110206</v>
      </c>
      <c r="E9" s="20"/>
      <c r="F9" s="3">
        <f>Table36[Factor]*IF(Table15[[#This Row],[manualData]]&gt;0,Table15[[#This Row],[manualData]],Table15[[#This Row],[rawData]])</f>
        <v>1086.5457713110206</v>
      </c>
      <c r="G9" s="3">
        <f>Table36[Factor]*IF(Table15[[#This Row],[manDataEco]]&gt;0,Table15[[#This Row],[manDataEco]],Table15[[#This Row],[rawDataEco]])</f>
        <v>1086.5457713110206</v>
      </c>
      <c r="H9" s="25">
        <f>1.36*Table15[[#This Row],[rpm]]*Table15[[#This Row],[motor]]/9550</f>
        <v>108.31325385215621</v>
      </c>
      <c r="I9" s="25">
        <f>1.36*Table15[[#This Row],[rpm]]*Table15[[#This Row],[motorEco]]/9550</f>
        <v>108.31325385215621</v>
      </c>
      <c r="J9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204.13096646942796</v>
      </c>
      <c r="K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rpm="700" motorTorque="1087" fuelUsageRatio="204.1"/&gt;</v>
      </c>
      <c r="L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normRpm="0.318" torque="0.806"/&gt;</v>
      </c>
      <c r="M9" s="3">
        <f>(1-(1-Table15[[#This Row],[rpm]]/Table36[idleRpm])^2)*Table7[idleT]</f>
        <v>1129.5703125</v>
      </c>
      <c r="N9" s="3">
        <f>MAX(0,(1-Table7[f1]*(Table36[maxTRpm1]-Table15[[#This Row],[rpm]])^2)*Table36[maxT])</f>
        <v>1080.3994082840236</v>
      </c>
      <c r="O9" s="3">
        <f>MAX(0,(Table36[linearDown]*(1-Table7[f2]*(Table15[[#This Row],[rpm]]-Table36[maxTRpm]))+(1-Table36[linearDown])*(1-Table7[f3]*(Table15[[#This Row],[rpm]]-Table36[maxTRpm])^2))*Table36[maxT])</f>
        <v>1283.7267801857586</v>
      </c>
      <c r="P9" s="3">
        <f>MAX(0,(Table36[maxPS]-Table7[f4]*(Table15[[#This Row],[rpm]]-Table36[maxPRpm])^2)/1.36*9550/MAX(1,Table15[[#This Row],[rpm]]))</f>
        <v>2257.0903361344535</v>
      </c>
      <c r="Q9" s="3">
        <f>MAX(0,Table7[Nm2]*MIN(Table36[ratedRpm]/MAX(1,Table15[[#This Row],[rpm]]),1-(MAX(0,Table15[[#This Row],[rpm]]-Table36[ratedRpm])/Table36[fadeOut])^Table36[fadeOutExp]))</f>
        <v>1103.4663865546217</v>
      </c>
      <c r="R9" s="3">
        <f>(1-(1-Table15[[#This Row],[rpm]]/Table36[idleRpm])^2)*Table7[idleTEco]</f>
        <v>1129.5703125</v>
      </c>
      <c r="S9" s="3">
        <f>MAX(0,(1-Table7[f1]*(Table36[maxTRpm1]-Table15[[#This Row],[rpm]])^2)*Table36[maxTEco])</f>
        <v>1080.3994082840236</v>
      </c>
      <c r="T9" s="3">
        <f>MAX(0,(Table36[linearDown]*(1-Table7[f2Eco]*(Table15[[#This Row],[rpm]]-Table36[maxTRpm]))+(1-Table36[linearDown])*(1-Table7[f3Eco]*(Table15[[#This Row],[rpm]]-Table36[maxTRpm])^2))*Table36[maxTEco])</f>
        <v>1283.7267801857586</v>
      </c>
      <c r="U9" s="3">
        <f>MAX(0,(Table36[maxPSEco]-Table7[f4Eco]*(Table15[[#This Row],[rpm]]-Table36[maxPRpm])^2)/1.36*9550/MAX(1,Table15[[#This Row],[rpm]]))</f>
        <v>2257.0903361344535</v>
      </c>
      <c r="V9" s="3">
        <f>MAX(0,Table7[Nm2Eco]*MIN(Table36[ratedRpm]/MAX(1,Table15[[#This Row],[rpm]]),1-(MAX(0,Table15[[#This Row],[rpm]]-Table36[ratedRpm])/Table36[fadeOut])^Table36[fadeOutExp]))</f>
        <v>1103.4663865546217</v>
      </c>
      <c r="W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3298.2979876160985</v>
      </c>
      <c r="X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3298.2979876160985</v>
      </c>
      <c r="Y9" s="3">
        <f>ABS(Table15[[#This Row],[motor]]-Table15[[#This Row],[motorEco]])</f>
        <v>0</v>
      </c>
    </row>
    <row r="10" spans="1:26" x14ac:dyDescent="0.25">
      <c r="A10" s="3">
        <v>900</v>
      </c>
      <c r="B1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1205.0147928994083</v>
      </c>
      <c r="C10" s="20"/>
      <c r="D1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1205.0147928994083</v>
      </c>
      <c r="E10" s="20"/>
      <c r="F10" s="3">
        <f>Table36[Factor]*IF(Table15[[#This Row],[manualData]]&gt;0,Table15[[#This Row],[manualData]],Table15[[#This Row],[rawData]])</f>
        <v>1205.0147928994083</v>
      </c>
      <c r="G10" s="3">
        <f>Table36[Factor]*IF(Table15[[#This Row],[manDataEco]]&gt;0,Table15[[#This Row],[manDataEco]],Table15[[#This Row],[rawDataEco]])</f>
        <v>1205.0147928994083</v>
      </c>
      <c r="H10" s="25">
        <f>1.36*Table15[[#This Row],[rpm]]*Table15[[#This Row],[motor]]/9550</f>
        <v>154.44378078626971</v>
      </c>
      <c r="I10" s="25">
        <f>1.36*Table15[[#This Row],[rpm]]*Table15[[#This Row],[motorEco]]/9550</f>
        <v>154.44378078626971</v>
      </c>
      <c r="J10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197.56686390532542</v>
      </c>
      <c r="K1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rpm="900" motorTorque="1205" fuelUsageRatio="197.6"/&gt;</v>
      </c>
      <c r="L1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normRpm="0.409" torque="0.893"/&gt;</v>
      </c>
      <c r="M10" s="3">
        <f>(1-(1-Table15[[#This Row],[rpm]]/Table36[idleRpm])^2)*Table7[idleT]</f>
        <v>1129.5703125</v>
      </c>
      <c r="N10" s="3">
        <f>MAX(0,(1-Table7[f1]*(Table36[maxTRpm1]-Table15[[#This Row],[rpm]])^2)*Table36[maxT])</f>
        <v>1205.0147928994083</v>
      </c>
      <c r="O10" s="3">
        <f>MAX(0,(Table36[linearDown]*(1-Table7[f2]*(Table15[[#This Row],[rpm]]-Table36[maxTRpm]))+(1-Table36[linearDown])*(1-Table7[f3]*(Table15[[#This Row],[rpm]]-Table36[maxTRpm])^2))*Table36[maxT])</f>
        <v>1333.7998796009631</v>
      </c>
      <c r="P10" s="3">
        <f>MAX(0,(Table36[maxPS]-Table7[f4]*(Table15[[#This Row],[rpm]]-Table36[maxPRpm])^2)/1.36*9550/MAX(1,Table15[[#This Row],[rpm]]))</f>
        <v>2012.9901960784312</v>
      </c>
      <c r="Q10" s="3">
        <f>MAX(0,Table7[Nm2]*MIN(Table36[ratedRpm]/MAX(1,Table15[[#This Row],[rpm]]),1-(MAX(0,Table15[[#This Row],[rpm]]-Table36[ratedRpm])/Table36[fadeOut])^Table36[fadeOutExp]))</f>
        <v>1103.4663865546217</v>
      </c>
      <c r="R10" s="3">
        <f>(1-(1-Table15[[#This Row],[rpm]]/Table36[idleRpm])^2)*Table7[idleTEco]</f>
        <v>1129.5703125</v>
      </c>
      <c r="S10" s="3">
        <f>MAX(0,(1-Table7[f1]*(Table36[maxTRpm1]-Table15[[#This Row],[rpm]])^2)*Table36[maxTEco])</f>
        <v>1205.0147928994083</v>
      </c>
      <c r="T10" s="3">
        <f>MAX(0,(Table36[linearDown]*(1-Table7[f2Eco]*(Table15[[#This Row],[rpm]]-Table36[maxTRpm]))+(1-Table36[linearDown])*(1-Table7[f3Eco]*(Table15[[#This Row],[rpm]]-Table36[maxTRpm])^2))*Table36[maxTEco])</f>
        <v>1333.7998796009631</v>
      </c>
      <c r="U10" s="3">
        <f>MAX(0,(Table36[maxPSEco]-Table7[f4Eco]*(Table15[[#This Row],[rpm]]-Table36[maxPRpm])^2)/1.36*9550/MAX(1,Table15[[#This Row],[rpm]]))</f>
        <v>2012.9901960784312</v>
      </c>
      <c r="V10" s="3">
        <f>MAX(0,Table7[Nm2Eco]*MIN(Table36[ratedRpm]/MAX(1,Table15[[#This Row],[rpm]]),1-(MAX(0,Table15[[#This Row],[rpm]]-Table36[ratedRpm])/Table36[fadeOut])^Table36[fadeOutExp]))</f>
        <v>1103.4663865546217</v>
      </c>
      <c r="W1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2570.8126934984516</v>
      </c>
      <c r="X1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2570.8126934984516</v>
      </c>
      <c r="Y10" s="3">
        <f>ABS(Table15[[#This Row],[motor]]-Table15[[#This Row],[motorEco]])</f>
        <v>0</v>
      </c>
    </row>
    <row r="11" spans="1:26" x14ac:dyDescent="0.25">
      <c r="A11" s="3">
        <v>1000</v>
      </c>
      <c r="B1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1252.9437869822484</v>
      </c>
      <c r="C11" s="20"/>
      <c r="D1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1252.9437869822484</v>
      </c>
      <c r="E11" s="20"/>
      <c r="F11" s="3">
        <f>Table36[Factor]*IF(Table15[[#This Row],[manualData]]&gt;0,Table15[[#This Row],[manualData]],Table15[[#This Row],[rawData]])</f>
        <v>1252.9437869822484</v>
      </c>
      <c r="G11" s="3">
        <f>Table36[Factor]*IF(Table15[[#This Row],[manDataEco]]&gt;0,Table15[[#This Row],[manDataEco]],Table15[[#This Row],[rawDataEco]])</f>
        <v>1252.9437869822484</v>
      </c>
      <c r="H11" s="25">
        <f>1.36*Table15[[#This Row],[rpm]]*Table15[[#This Row],[motor]]/9550</f>
        <v>178.42969113045632</v>
      </c>
      <c r="I11" s="25">
        <f>1.36*Table15[[#This Row],[rpm]]*Table15[[#This Row],[motorEco]]/9550</f>
        <v>178.42969113045632</v>
      </c>
      <c r="J11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195.23155818540434</v>
      </c>
      <c r="K1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rpm="1000" motorTorque="1253" fuelUsageRatio="195.2"/&gt;</v>
      </c>
      <c r="L1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normRpm="0.455" torque="0.929"/&gt;</v>
      </c>
      <c r="M11" s="3">
        <f>(1-(1-Table15[[#This Row],[rpm]]/Table36[idleRpm])^2)*Table7[idleT]</f>
        <v>1075.78125</v>
      </c>
      <c r="N11" s="3">
        <f>MAX(0,(1-Table7[f1]*(Table36[maxTRpm1]-Table15[[#This Row],[rpm]])^2)*Table36[maxT])</f>
        <v>1252.9437869822484</v>
      </c>
      <c r="O11" s="3">
        <f>MAX(0,(Table36[linearDown]*(1-Table7[f2]*(Table15[[#This Row],[rpm]]-Table36[maxTRpm]))+(1-Table36[linearDown])*(1-Table7[f3]*(Table15[[#This Row],[rpm]]-Table36[maxTRpm])^2))*Table36[maxT])</f>
        <v>1350</v>
      </c>
      <c r="P11" s="3">
        <f>MAX(0,(Table36[maxPS]-Table7[f4]*(Table15[[#This Row],[rpm]]-Table36[maxPRpm])^2)/1.36*9550/MAX(1,Table15[[#This Row],[rpm]]))</f>
        <v>1911.7555147058822</v>
      </c>
      <c r="Q11" s="3">
        <f>MAX(0,Table7[Nm2]*MIN(Table36[ratedRpm]/MAX(1,Table15[[#This Row],[rpm]]),1-(MAX(0,Table15[[#This Row],[rpm]]-Table36[ratedRpm])/Table36[fadeOut])^Table36[fadeOutExp]))</f>
        <v>1103.4663865546217</v>
      </c>
      <c r="R11" s="3">
        <f>(1-(1-Table15[[#This Row],[rpm]]/Table36[idleRpm])^2)*Table7[idleTEco]</f>
        <v>1075.78125</v>
      </c>
      <c r="S11" s="3">
        <f>MAX(0,(1-Table7[f1]*(Table36[maxTRpm1]-Table15[[#This Row],[rpm]])^2)*Table36[maxTEco])</f>
        <v>1252.9437869822484</v>
      </c>
      <c r="T11" s="3">
        <f>MAX(0,(Table36[linearDown]*(1-Table7[f2Eco]*(Table15[[#This Row],[rpm]]-Table36[maxTRpm]))+(1-Table36[linearDown])*(1-Table7[f3Eco]*(Table15[[#This Row],[rpm]]-Table36[maxTRpm])^2))*Table36[maxTEco])</f>
        <v>1350</v>
      </c>
      <c r="U11" s="3">
        <f>MAX(0,(Table36[maxPSEco]-Table7[f4Eco]*(Table15[[#This Row],[rpm]]-Table36[maxPRpm])^2)/1.36*9550/MAX(1,Table15[[#This Row],[rpm]]))</f>
        <v>1911.7555147058822</v>
      </c>
      <c r="V11" s="3">
        <f>MAX(0,Table7[Nm2Eco]*MIN(Table36[ratedRpm]/MAX(1,Table15[[#This Row],[rpm]]),1-(MAX(0,Table15[[#This Row],[rpm]]-Table36[ratedRpm])/Table36[fadeOut])^Table36[fadeOutExp]))</f>
        <v>1103.4663865546217</v>
      </c>
      <c r="W1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2316.1928405572758</v>
      </c>
      <c r="X1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2316.1928405572758</v>
      </c>
      <c r="Y11" s="3">
        <f>ABS(Table15[[#This Row],[motor]]-Table15[[#This Row],[motorEco]])</f>
        <v>0</v>
      </c>
    </row>
    <row r="12" spans="1:26" x14ac:dyDescent="0.25">
      <c r="A12" s="3">
        <v>1100</v>
      </c>
      <c r="B1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1291.2869822485206</v>
      </c>
      <c r="C12" s="20"/>
      <c r="D1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1291.2869822485206</v>
      </c>
      <c r="E12" s="20"/>
      <c r="F12" s="3">
        <f>Table36[Factor]*IF(Table15[[#This Row],[manualData]]&gt;0,Table15[[#This Row],[manualData]],Table15[[#This Row],[rawData]])</f>
        <v>1291.2869822485206</v>
      </c>
      <c r="G12" s="3">
        <f>Table36[Factor]*IF(Table15[[#This Row],[manDataEco]]&gt;0,Table15[[#This Row],[manDataEco]],Table15[[#This Row],[rawDataEco]])</f>
        <v>1291.2869822485206</v>
      </c>
      <c r="H12" s="25">
        <f>1.36*Table15[[#This Row],[rpm]]*Table15[[#This Row],[motor]]/9550</f>
        <v>202.27909166950647</v>
      </c>
      <c r="I12" s="25">
        <f>1.36*Table15[[#This Row],[rpm]]*Table15[[#This Row],[motorEco]]/9550</f>
        <v>202.27909166950647</v>
      </c>
      <c r="J12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193.52741617357</v>
      </c>
      <c r="K1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rpm="1100" motorTorque="1291" fuelUsageRatio="193.5"/&gt;</v>
      </c>
      <c r="L1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normRpm="0.5" torque="0.957"/&gt;</v>
      </c>
      <c r="M12" s="3">
        <f>(1-(1-Table15[[#This Row],[rpm]]/Table36[idleRpm])^2)*Table7[idleT]</f>
        <v>986.1328125</v>
      </c>
      <c r="N12" s="3">
        <f>MAX(0,(1-Table7[f1]*(Table36[maxTRpm1]-Table15[[#This Row],[rpm]])^2)*Table36[maxT])</f>
        <v>1291.2869822485206</v>
      </c>
      <c r="O12" s="3">
        <f>MAX(0,(Table36[linearDown]*(1-Table7[f2]*(Table15[[#This Row],[rpm]]-Table36[maxTRpm]))+(1-Table36[linearDown])*(1-Table7[f3]*(Table15[[#This Row],[rpm]]-Table36[maxTRpm])^2))*Table36[maxT])</f>
        <v>1360.3091675266598</v>
      </c>
      <c r="P12" s="3">
        <f>MAX(0,(Table36[maxPS]-Table7[f4]*(Table15[[#This Row],[rpm]]-Table36[maxPRpm])^2)/1.36*9550/MAX(1,Table15[[#This Row],[rpm]]))</f>
        <v>1819.3516042780748</v>
      </c>
      <c r="Q12" s="3">
        <f>MAX(0,Table7[Nm2]*MIN(Table36[ratedRpm]/MAX(1,Table15[[#This Row],[rpm]]),1-(MAX(0,Table15[[#This Row],[rpm]]-Table36[ratedRpm])/Table36[fadeOut])^Table36[fadeOutExp]))</f>
        <v>1103.4663865546217</v>
      </c>
      <c r="R12" s="3">
        <f>(1-(1-Table15[[#This Row],[rpm]]/Table36[idleRpm])^2)*Table7[idleTEco]</f>
        <v>986.1328125</v>
      </c>
      <c r="S12" s="3">
        <f>MAX(0,(1-Table7[f1]*(Table36[maxTRpm1]-Table15[[#This Row],[rpm]])^2)*Table36[maxTEco])</f>
        <v>1291.2869822485206</v>
      </c>
      <c r="T12" s="3">
        <f>MAX(0,(Table36[linearDown]*(1-Table7[f2Eco]*(Table15[[#This Row],[rpm]]-Table36[maxTRpm]))+(1-Table36[linearDown])*(1-Table7[f3Eco]*(Table15[[#This Row],[rpm]]-Table36[maxTRpm])^2))*Table36[maxTEco])</f>
        <v>1360.3091675266598</v>
      </c>
      <c r="U12" s="3">
        <f>MAX(0,(Table36[maxPSEco]-Table7[f4Eco]*(Table15[[#This Row],[rpm]]-Table36[maxPRpm])^2)/1.36*9550/MAX(1,Table15[[#This Row],[rpm]]))</f>
        <v>1819.3516042780748</v>
      </c>
      <c r="V12" s="3">
        <f>MAX(0,Table7[Nm2Eco]*MIN(Table36[ratedRpm]/MAX(1,Table15[[#This Row],[rpm]]),1-(MAX(0,Table15[[#This Row],[rpm]]-Table36[ratedRpm])/Table36[fadeOut])^Table36[fadeOutExp]))</f>
        <v>1103.4663865546217</v>
      </c>
      <c r="W1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2107.8675063326768</v>
      </c>
      <c r="X1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2107.8675063326768</v>
      </c>
      <c r="Y12" s="3">
        <f>ABS(Table15[[#This Row],[motor]]-Table15[[#This Row],[motorEco]])</f>
        <v>0</v>
      </c>
    </row>
    <row r="13" spans="1:26" x14ac:dyDescent="0.25">
      <c r="A13" s="3">
        <v>1200</v>
      </c>
      <c r="B1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1320.0443786982248</v>
      </c>
      <c r="C13" s="20"/>
      <c r="D1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1320.0443786982248</v>
      </c>
      <c r="E13" s="20"/>
      <c r="F13" s="3">
        <f>Table36[Factor]*IF(Table15[[#This Row],[manualData]]&gt;0,Table15[[#This Row],[manualData]],Table15[[#This Row],[rawData]])</f>
        <v>1320.0443786982248</v>
      </c>
      <c r="G13" s="3">
        <f>Table36[Factor]*IF(Table15[[#This Row],[manDataEco]]&gt;0,Table15[[#This Row],[manDataEco]],Table15[[#This Row],[rawDataEco]])</f>
        <v>1320.0443786982248</v>
      </c>
      <c r="H13" s="25">
        <f>1.36*Table15[[#This Row],[rpm]]*Table15[[#This Row],[motor]]/9550</f>
        <v>225.58245298801083</v>
      </c>
      <c r="I13" s="25">
        <f>1.36*Table15[[#This Row],[rpm]]*Table15[[#This Row],[motorEco]]/9550</f>
        <v>225.58245298801083</v>
      </c>
      <c r="J13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192.45443786982247</v>
      </c>
      <c r="K13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rpm="1200" motorTorque="1320" fuelUsageRatio="192.5"/&gt;</v>
      </c>
      <c r="L13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normRpm="0.545" torque="0.979"/&gt;</v>
      </c>
      <c r="M13" s="3">
        <f>(1-(1-Table15[[#This Row],[rpm]]/Table36[idleRpm])^2)*Table7[idleT]</f>
        <v>860.625</v>
      </c>
      <c r="N13" s="3">
        <f>MAX(0,(1-Table7[f1]*(Table36[maxTRpm1]-Table15[[#This Row],[rpm]])^2)*Table36[maxT])</f>
        <v>1320.0443786982248</v>
      </c>
      <c r="O13" s="3">
        <f>MAX(0,(Table36[linearDown]*(1-Table7[f2]*(Table15[[#This Row],[rpm]]-Table36[maxTRpm]))+(1-Table36[linearDown])*(1-Table7[f3]*(Table15[[#This Row],[rpm]]-Table36[maxTRpm])^2))*Table36[maxT])</f>
        <v>1364.7273821809426</v>
      </c>
      <c r="P13" s="3">
        <f>MAX(0,(Table36[maxPS]-Table7[f4]*(Table15[[#This Row],[rpm]]-Table36[maxPRpm])^2)/1.36*9550/MAX(1,Table15[[#This Row],[rpm]]))</f>
        <v>1733.5707720588232</v>
      </c>
      <c r="Q13" s="3">
        <f>MAX(0,Table7[Nm2]*MIN(Table36[ratedRpm]/MAX(1,Table15[[#This Row],[rpm]]),1-(MAX(0,Table15[[#This Row],[rpm]]-Table36[ratedRpm])/Table36[fadeOut])^Table36[fadeOutExp]))</f>
        <v>1103.4663865546217</v>
      </c>
      <c r="R13" s="3">
        <f>(1-(1-Table15[[#This Row],[rpm]]/Table36[idleRpm])^2)*Table7[idleTEco]</f>
        <v>860.625</v>
      </c>
      <c r="S13" s="3">
        <f>MAX(0,(1-Table7[f1]*(Table36[maxTRpm1]-Table15[[#This Row],[rpm]])^2)*Table36[maxTEco])</f>
        <v>1320.0443786982248</v>
      </c>
      <c r="T13" s="3">
        <f>MAX(0,(Table36[linearDown]*(1-Table7[f2Eco]*(Table15[[#This Row],[rpm]]-Table36[maxTRpm]))+(1-Table36[linearDown])*(1-Table7[f3Eco]*(Table15[[#This Row],[rpm]]-Table36[maxTRpm])^2))*Table36[maxTEco])</f>
        <v>1364.7273821809426</v>
      </c>
      <c r="U13" s="3">
        <f>MAX(0,(Table36[maxPSEco]-Table7[f4Eco]*(Table15[[#This Row],[rpm]]-Table36[maxPRpm])^2)/1.36*9550/MAX(1,Table15[[#This Row],[rpm]]))</f>
        <v>1733.5707720588232</v>
      </c>
      <c r="V13" s="3">
        <f>MAX(0,Table7[Nm2Eco]*MIN(Table36[ratedRpm]/MAX(1,Table15[[#This Row],[rpm]]),1-(MAX(0,Table15[[#This Row],[rpm]]-Table36[ratedRpm])/Table36[fadeOut])^Table36[fadeOutExp]))</f>
        <v>1103.4663865546217</v>
      </c>
      <c r="W1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1934.2630611455106</v>
      </c>
      <c r="X1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1934.2630611455106</v>
      </c>
      <c r="Y13" s="3">
        <f>ABS(Table15[[#This Row],[motor]]-Table15[[#This Row],[motorEco]])</f>
        <v>0</v>
      </c>
    </row>
    <row r="14" spans="1:26" x14ac:dyDescent="0.25">
      <c r="A14" s="3">
        <v>1300</v>
      </c>
      <c r="B1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1339.2159763313609</v>
      </c>
      <c r="C14" s="20"/>
      <c r="D1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1339.2159763313609</v>
      </c>
      <c r="E14" s="20"/>
      <c r="F14" s="3">
        <f>Table36[Factor]*IF(Table15[[#This Row],[manualData]]&gt;0,Table15[[#This Row],[manualData]],Table15[[#This Row],[rawData]])</f>
        <v>1339.2159763313609</v>
      </c>
      <c r="G14" s="3">
        <f>Table36[Factor]*IF(Table15[[#This Row],[manDataEco]]&gt;0,Table15[[#This Row],[manDataEco]],Table15[[#This Row],[rawDataEco]])</f>
        <v>1339.2159763313609</v>
      </c>
      <c r="H14" s="25">
        <f>1.36*Table15[[#This Row],[rpm]]*Table15[[#This Row],[motor]]/9550</f>
        <v>247.93024567055983</v>
      </c>
      <c r="I14" s="25">
        <f>1.36*Table15[[#This Row],[rpm]]*Table15[[#This Row],[motorEco]]/9550</f>
        <v>247.93024567055983</v>
      </c>
      <c r="J14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192.01262327416174</v>
      </c>
      <c r="K14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rpm="1300" motorTorque="1339" fuelUsageRatio="192"/&gt;</v>
      </c>
      <c r="L14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normRpm="0.591" torque="0.993"/&gt;</v>
      </c>
      <c r="M14" s="3">
        <f>(1-(1-Table15[[#This Row],[rpm]]/Table36[idleRpm])^2)*Table7[idleT]</f>
        <v>699.2578125</v>
      </c>
      <c r="N14" s="3">
        <f>MAX(0,(1-Table7[f1]*(Table36[maxTRpm1]-Table15[[#This Row],[rpm]])^2)*Table36[maxT])</f>
        <v>1339.2159763313609</v>
      </c>
      <c r="O14" s="3">
        <f>MAX(0,(Table36[linearDown]*(1-Table7[f2]*(Table15[[#This Row],[rpm]]-Table36[maxTRpm]))+(1-Table36[linearDown])*(1-Table7[f3]*(Table15[[#This Row],[rpm]]-Table36[maxTRpm])^2))*Table36[maxT])</f>
        <v>1363.2546439628484</v>
      </c>
      <c r="P14" s="3">
        <f>MAX(0,(Table36[maxPS]-Table7[f4]*(Table15[[#This Row],[rpm]]-Table36[maxPRpm])^2)/1.36*9550/MAX(1,Table15[[#This Row],[rpm]]))</f>
        <v>1652.884615384615</v>
      </c>
      <c r="Q14" s="3">
        <f>MAX(0,Table7[Nm2]*MIN(Table36[ratedRpm]/MAX(1,Table15[[#This Row],[rpm]]),1-(MAX(0,Table15[[#This Row],[rpm]]-Table36[ratedRpm])/Table36[fadeOut])^Table36[fadeOutExp]))</f>
        <v>1103.4663865546217</v>
      </c>
      <c r="R14" s="3">
        <f>(1-(1-Table15[[#This Row],[rpm]]/Table36[idleRpm])^2)*Table7[idleTEco]</f>
        <v>699.2578125</v>
      </c>
      <c r="S14" s="3">
        <f>MAX(0,(1-Table7[f1]*(Table36[maxTRpm1]-Table15[[#This Row],[rpm]])^2)*Table36[maxTEco])</f>
        <v>1339.2159763313609</v>
      </c>
      <c r="T14" s="3">
        <f>MAX(0,(Table36[linearDown]*(1-Table7[f2Eco]*(Table15[[#This Row],[rpm]]-Table36[maxTRpm]))+(1-Table36[linearDown])*(1-Table7[f3Eco]*(Table15[[#This Row],[rpm]]-Table36[maxTRpm])^2))*Table36[maxTEco])</f>
        <v>1363.2546439628484</v>
      </c>
      <c r="U14" s="3">
        <f>MAX(0,(Table36[maxPSEco]-Table7[f4Eco]*(Table15[[#This Row],[rpm]]-Table36[maxPRpm])^2)/1.36*9550/MAX(1,Table15[[#This Row],[rpm]]))</f>
        <v>1652.884615384615</v>
      </c>
      <c r="V14" s="3">
        <f>MAX(0,Table7[Nm2Eco]*MIN(Table36[ratedRpm]/MAX(1,Table15[[#This Row],[rpm]]),1-(MAX(0,Table15[[#This Row],[rpm]]-Table36[ratedRpm])/Table36[fadeOut])^Table36[fadeOutExp]))</f>
        <v>1103.4663865546217</v>
      </c>
      <c r="W1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1787.3669921409858</v>
      </c>
      <c r="X1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1787.3669921409858</v>
      </c>
      <c r="Y14" s="3">
        <f>ABS(Table15[[#This Row],[motor]]-Table15[[#This Row],[motorEco]])</f>
        <v>0</v>
      </c>
    </row>
    <row r="15" spans="1:26" x14ac:dyDescent="0.25">
      <c r="A15" s="3">
        <v>1400</v>
      </c>
      <c r="B1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1348.801775147929</v>
      </c>
      <c r="C15" s="20"/>
      <c r="D1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1348.801775147929</v>
      </c>
      <c r="E15" s="20"/>
      <c r="F15" s="3">
        <f>Table36[Factor]*IF(Table15[[#This Row],[manualData]]&gt;0,Table15[[#This Row],[manualData]],Table15[[#This Row],[rawData]])</f>
        <v>1348.801775147929</v>
      </c>
      <c r="G15" s="3">
        <f>Table36[Factor]*IF(Table15[[#This Row],[manDataEco]]&gt;0,Table15[[#This Row],[manDataEco]],Table15[[#This Row],[rawDataEco]])</f>
        <v>1348.801775147929</v>
      </c>
      <c r="H15" s="25">
        <f>1.36*Table15[[#This Row],[rpm]]*Table15[[#This Row],[motor]]/9550</f>
        <v>268.91294030174419</v>
      </c>
      <c r="I15" s="25">
        <f>1.36*Table15[[#This Row],[rpm]]*Table15[[#This Row],[motorEco]]/9550</f>
        <v>268.91294030174419</v>
      </c>
      <c r="J15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192.22441376287532</v>
      </c>
      <c r="K15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rpm="1400" motorTorque="1349" fuelUsageRatio="192.2"/&gt;</v>
      </c>
      <c r="L15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normRpm="0.636" torque="1"/&gt;</v>
      </c>
      <c r="M15" s="3">
        <f>(1-(1-Table15[[#This Row],[rpm]]/Table36[idleRpm])^2)*Table7[idleT]</f>
        <v>502.03125</v>
      </c>
      <c r="N15" s="3">
        <f>MAX(0,(1-Table7[f1]*(Table36[maxTRpm1]-Table15[[#This Row],[rpm]])^2)*Table36[maxT])</f>
        <v>1348.801775147929</v>
      </c>
      <c r="O15" s="3">
        <f>MAX(0,(Table36[linearDown]*(1-Table7[f2]*(Table15[[#This Row],[rpm]]-Table36[maxTRpm]))+(1-Table36[linearDown])*(1-Table7[f3]*(Table15[[#This Row],[rpm]]-Table36[maxTRpm])^2))*Table36[maxT])</f>
        <v>1355.8909528723771</v>
      </c>
      <c r="P15" s="3">
        <f>MAX(0,(Table36[maxPS]-Table7[f4]*(Table15[[#This Row],[rpm]]-Table36[maxPRpm])^2)/1.36*9550/MAX(1,Table15[[#This Row],[rpm]]))</f>
        <v>1576.2014180672268</v>
      </c>
      <c r="Q15" s="3">
        <f>MAX(0,Table7[Nm2]*MIN(Table36[ratedRpm]/MAX(1,Table15[[#This Row],[rpm]]),1-(MAX(0,Table15[[#This Row],[rpm]]-Table36[ratedRpm])/Table36[fadeOut])^Table36[fadeOutExp]))</f>
        <v>1103.4663865546217</v>
      </c>
      <c r="R15" s="3">
        <f>(1-(1-Table15[[#This Row],[rpm]]/Table36[idleRpm])^2)*Table7[idleTEco]</f>
        <v>502.03125</v>
      </c>
      <c r="S15" s="3">
        <f>MAX(0,(1-Table7[f1]*(Table36[maxTRpm1]-Table15[[#This Row],[rpm]])^2)*Table36[maxTEco])</f>
        <v>1348.801775147929</v>
      </c>
      <c r="T15" s="3">
        <f>MAX(0,(Table36[linearDown]*(1-Table7[f2Eco]*(Table15[[#This Row],[rpm]]-Table36[maxTRpm]))+(1-Table36[linearDown])*(1-Table7[f3Eco]*(Table15[[#This Row],[rpm]]-Table36[maxTRpm])^2))*Table36[maxTEco])</f>
        <v>1355.8909528723771</v>
      </c>
      <c r="U15" s="3">
        <f>MAX(0,(Table36[maxPSEco]-Table7[f4Eco]*(Table15[[#This Row],[rpm]]-Table36[maxPRpm])^2)/1.36*9550/MAX(1,Table15[[#This Row],[rpm]]))</f>
        <v>1576.2014180672268</v>
      </c>
      <c r="V15" s="3">
        <f>MAX(0,Table7[Nm2Eco]*MIN(Table36[ratedRpm]/MAX(1,Table15[[#This Row],[rpm]]),1-(MAX(0,Table15[[#This Row],[rpm]]-Table36[ratedRpm])/Table36[fadeOut])^Table36[fadeOutExp]))</f>
        <v>1103.4663865546217</v>
      </c>
      <c r="W1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1661.4560758513931</v>
      </c>
      <c r="X1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1661.4560758513931</v>
      </c>
      <c r="Y15" s="3">
        <f>ABS(Table15[[#This Row],[motor]]-Table15[[#This Row],[motorEco]])</f>
        <v>0</v>
      </c>
    </row>
    <row r="16" spans="1:26" x14ac:dyDescent="0.25">
      <c r="A16" s="3">
        <v>1500</v>
      </c>
      <c r="B1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1342.6363089095287</v>
      </c>
      <c r="C16" s="20"/>
      <c r="D1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1342.6363089095287</v>
      </c>
      <c r="E16" s="20"/>
      <c r="F16" s="3">
        <f>Table36[Factor]*IF(Table15[[#This Row],[manualData]]&gt;0,Table15[[#This Row],[manualData]],Table15[[#This Row],[rawData]])</f>
        <v>1342.6363089095287</v>
      </c>
      <c r="G16" s="3">
        <f>Table36[Factor]*IF(Table15[[#This Row],[manDataEco]]&gt;0,Table15[[#This Row],[manDataEco]],Table15[[#This Row],[rawDataEco]])</f>
        <v>1342.6363089095287</v>
      </c>
      <c r="H16" s="25">
        <f>1.36*Table15[[#This Row],[rpm]]*Table15[[#This Row],[motor]]/9550</f>
        <v>286.80398640580512</v>
      </c>
      <c r="I16" s="25">
        <f>1.36*Table15[[#This Row],[rpm]]*Table15[[#This Row],[motorEco]]/9550</f>
        <v>286.80398640580512</v>
      </c>
      <c r="J16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193.1360946745562</v>
      </c>
      <c r="K16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rpm="1500" motorTorque="1343" fuelUsageRatio="193.1"/&gt;</v>
      </c>
      <c r="L16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normRpm="0.682" torque="0.995"/&gt;</v>
      </c>
      <c r="M16" s="3">
        <f>(1-(1-Table15[[#This Row],[rpm]]/Table36[idleRpm])^2)*Table7[idleT]</f>
        <v>268.9453125</v>
      </c>
      <c r="N16" s="3">
        <f>MAX(0,(1-Table7[f1]*(Table36[maxTRpm1]-Table15[[#This Row],[rpm]])^2)*Table36[maxT])</f>
        <v>1348.801775147929</v>
      </c>
      <c r="O16" s="3">
        <f>MAX(0,(Table36[linearDown]*(1-Table7[f2]*(Table15[[#This Row],[rpm]]-Table36[maxTRpm]))+(1-Table36[linearDown])*(1-Table7[f3]*(Table15[[#This Row],[rpm]]-Table36[maxTRpm])^2))*Table36[maxT])</f>
        <v>1342.6363089095287</v>
      </c>
      <c r="P16" s="3">
        <f>MAX(0,(Table36[maxPS]-Table7[f4]*(Table15[[#This Row],[rpm]]-Table36[maxPRpm])^2)/1.36*9550/MAX(1,Table15[[#This Row],[rpm]]))</f>
        <v>1502.7205882352939</v>
      </c>
      <c r="Q16" s="3">
        <f>MAX(0,Table7[Nm2]*MIN(Table36[ratedRpm]/MAX(1,Table15[[#This Row],[rpm]]),1-(MAX(0,Table15[[#This Row],[rpm]]-Table36[ratedRpm])/Table36[fadeOut])^Table36[fadeOutExp]))</f>
        <v>1103.4663865546217</v>
      </c>
      <c r="R16" s="3">
        <f>(1-(1-Table15[[#This Row],[rpm]]/Table36[idleRpm])^2)*Table7[idleTEco]</f>
        <v>268.9453125</v>
      </c>
      <c r="S16" s="3">
        <f>MAX(0,(1-Table7[f1]*(Table36[maxTRpm1]-Table15[[#This Row],[rpm]])^2)*Table36[maxTEco])</f>
        <v>1348.801775147929</v>
      </c>
      <c r="T16" s="3">
        <f>MAX(0,(Table36[linearDown]*(1-Table7[f2Eco]*(Table15[[#This Row],[rpm]]-Table36[maxTRpm]))+(1-Table36[linearDown])*(1-Table7[f3Eco]*(Table15[[#This Row],[rpm]]-Table36[maxTRpm])^2))*Table36[maxTEco])</f>
        <v>1342.6363089095287</v>
      </c>
      <c r="U16" s="3">
        <f>MAX(0,(Table36[maxPSEco]-Table7[f4Eco]*(Table15[[#This Row],[rpm]]-Table36[maxPRpm])^2)/1.36*9550/MAX(1,Table15[[#This Row],[rpm]]))</f>
        <v>1502.7205882352939</v>
      </c>
      <c r="V16" s="3">
        <f>MAX(0,Table7[Nm2Eco]*MIN(Table36[ratedRpm]/MAX(1,Table15[[#This Row],[rpm]]),1-(MAX(0,Table15[[#This Row],[rpm]]-Table36[ratedRpm])/Table36[fadeOut])^Table36[fadeOutExp]))</f>
        <v>1103.4663865546217</v>
      </c>
      <c r="W1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1552.3332817337459</v>
      </c>
      <c r="X1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1552.3332817337459</v>
      </c>
      <c r="Y16" s="3">
        <f>ABS(Table15[[#This Row],[motor]]-Table15[[#This Row],[motorEco]])</f>
        <v>0</v>
      </c>
    </row>
    <row r="17" spans="1:25" x14ac:dyDescent="0.25">
      <c r="A17" s="3">
        <v>1600</v>
      </c>
      <c r="B1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1323.4907120743035</v>
      </c>
      <c r="C17" s="20"/>
      <c r="D1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1323.4907120743035</v>
      </c>
      <c r="E17" s="20"/>
      <c r="F17" s="3">
        <f>Table36[Factor]*IF(Table15[[#This Row],[manualData]]&gt;0,Table15[[#This Row],[manualData]],Table15[[#This Row],[rawData]])</f>
        <v>1323.4907120743035</v>
      </c>
      <c r="G17" s="3">
        <f>Table36[Factor]*IF(Table15[[#This Row],[manDataEco]]&gt;0,Table15[[#This Row],[manDataEco]],Table15[[#This Row],[rawDataEco]])</f>
        <v>1323.4907120743035</v>
      </c>
      <c r="H17" s="25">
        <f>1.36*Table15[[#This Row],[rpm]]*Table15[[#This Row],[motor]]/9550</f>
        <v>301.56186277211356</v>
      </c>
      <c r="I17" s="25">
        <f>1.36*Table15[[#This Row],[rpm]]*Table15[[#This Row],[motorEco]]/9550</f>
        <v>301.56186277211356</v>
      </c>
      <c r="J17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194.74906859522244</v>
      </c>
      <c r="K1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rpm="1600" motorTorque="1323" fuelUsageRatio="194.7"/&gt;</v>
      </c>
      <c r="L1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normRpm="0.727" torque="0.981"/&gt;</v>
      </c>
      <c r="M17" s="3">
        <f>(1-(1-Table15[[#This Row],[rpm]]/Table36[idleRpm])^2)*Table7[idleT]</f>
        <v>0</v>
      </c>
      <c r="N17" s="3">
        <f>MAX(0,(1-Table7[f1]*(Table36[maxTRpm1]-Table15[[#This Row],[rpm]])^2)*Table36[maxT])</f>
        <v>1339.2159763313609</v>
      </c>
      <c r="O17" s="3">
        <f>MAX(0,(Table36[linearDown]*(1-Table7[f2]*(Table15[[#This Row],[rpm]]-Table36[maxTRpm]))+(1-Table36[linearDown])*(1-Table7[f3]*(Table15[[#This Row],[rpm]]-Table36[maxTRpm])^2))*Table36[maxT])</f>
        <v>1323.4907120743035</v>
      </c>
      <c r="P17" s="3">
        <f>MAX(0,(Table36[maxPS]-Table7[f4]*(Table15[[#This Row],[rpm]]-Table36[maxPRpm])^2)/1.36*9550/MAX(1,Table15[[#This Row],[rpm]]))</f>
        <v>1431.8416819852939</v>
      </c>
      <c r="Q17" s="3">
        <f>MAX(0,Table7[Nm2]*MIN(Table36[ratedRpm]/MAX(1,Table15[[#This Row],[rpm]]),1-(MAX(0,Table15[[#This Row],[rpm]]-Table36[ratedRpm])/Table36[fadeOut])^Table36[fadeOutExp]))</f>
        <v>1103.4663865546217</v>
      </c>
      <c r="R17" s="3">
        <f>(1-(1-Table15[[#This Row],[rpm]]/Table36[idleRpm])^2)*Table7[idleTEco]</f>
        <v>0</v>
      </c>
      <c r="S17" s="3">
        <f>MAX(0,(1-Table7[f1]*(Table36[maxTRpm1]-Table15[[#This Row],[rpm]])^2)*Table36[maxTEco])</f>
        <v>1339.2159763313609</v>
      </c>
      <c r="T17" s="3">
        <f>MAX(0,(Table36[linearDown]*(1-Table7[f2Eco]*(Table15[[#This Row],[rpm]]-Table36[maxTRpm]))+(1-Table36[linearDown])*(1-Table7[f3Eco]*(Table15[[#This Row],[rpm]]-Table36[maxTRpm])^2))*Table36[maxTEco])</f>
        <v>1323.4907120743035</v>
      </c>
      <c r="U17" s="3">
        <f>MAX(0,(Table36[maxPSEco]-Table7[f4Eco]*(Table15[[#This Row],[rpm]]-Table36[maxPRpm])^2)/1.36*9550/MAX(1,Table15[[#This Row],[rpm]]))</f>
        <v>1431.8416819852939</v>
      </c>
      <c r="V17" s="3">
        <f>MAX(0,Table7[Nm2Eco]*MIN(Table36[ratedRpm]/MAX(1,Table15[[#This Row],[rpm]]),1-(MAX(0,Table15[[#This Row],[rpm]]-Table36[ratedRpm])/Table36[fadeOut])^Table36[fadeOutExp]))</f>
        <v>1103.4663865546217</v>
      </c>
      <c r="W1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1456.850836880805</v>
      </c>
      <c r="X1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1456.850836880805</v>
      </c>
      <c r="Y17" s="3">
        <f>ABS(Table15[[#This Row],[motor]]-Table15[[#This Row],[motorEco]])</f>
        <v>0</v>
      </c>
    </row>
    <row r="18" spans="1:25" x14ac:dyDescent="0.25">
      <c r="A18" s="3">
        <v>1700</v>
      </c>
      <c r="B1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1298.454162366701</v>
      </c>
      <c r="C18" s="20"/>
      <c r="D1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1298.454162366701</v>
      </c>
      <c r="E18" s="20"/>
      <c r="F18" s="3">
        <f>Table36[Factor]*IF(Table15[[#This Row],[manualData]]&gt;0,Table15[[#This Row],[manualData]],Table15[[#This Row],[rawData]])</f>
        <v>1298.454162366701</v>
      </c>
      <c r="G18" s="3">
        <f>Table36[Factor]*IF(Table15[[#This Row],[manDataEco]]&gt;0,Table15[[#This Row],[manDataEco]],Table15[[#This Row],[rawDataEco]])</f>
        <v>1298.454162366701</v>
      </c>
      <c r="H18" s="25">
        <f>1.36*Table15[[#This Row],[rpm]]*Table15[[#This Row],[motor]]/9550</f>
        <v>314.34827470071338</v>
      </c>
      <c r="I18" s="25">
        <f>1.36*Table15[[#This Row],[rpm]]*Table15[[#This Row],[motorEco]]/9550</f>
        <v>314.34827470071338</v>
      </c>
      <c r="J18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197.06333552487399</v>
      </c>
      <c r="K1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rpm="1700" motorTorque="1298" fuelUsageRatio="197.1"/&gt;</v>
      </c>
      <c r="L1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normRpm="0.773" torque="0.963"/&gt;</v>
      </c>
      <c r="M18" s="3">
        <f>(1-(1-Table15[[#This Row],[rpm]]/Table36[idleRpm])^2)*Table7[idleT]</f>
        <v>-304.8046875</v>
      </c>
      <c r="N18" s="3">
        <f>MAX(0,(1-Table7[f1]*(Table36[maxTRpm1]-Table15[[#This Row],[rpm]])^2)*Table36[maxT])</f>
        <v>1320.0443786982248</v>
      </c>
      <c r="O18" s="3">
        <f>MAX(0,(Table36[linearDown]*(1-Table7[f2]*(Table15[[#This Row],[rpm]]-Table36[maxTRpm]))+(1-Table36[linearDown])*(1-Table7[f3]*(Table15[[#This Row],[rpm]]-Table36[maxTRpm])^2))*Table36[maxT])</f>
        <v>1298.454162366701</v>
      </c>
      <c r="P18" s="3">
        <f>MAX(0,(Table36[maxPS]-Table7[f4]*(Table15[[#This Row],[rpm]]-Table36[maxPRpm])^2)/1.36*9550/MAX(1,Table15[[#This Row],[rpm]]))</f>
        <v>1363.1055363321798</v>
      </c>
      <c r="Q18" s="3">
        <f>MAX(0,Table7[Nm2]*MIN(Table36[ratedRpm]/MAX(1,Table15[[#This Row],[rpm]]),1-(MAX(0,Table15[[#This Row],[rpm]]-Table36[ratedRpm])/Table36[fadeOut])^Table36[fadeOutExp]))</f>
        <v>1103.4663865546217</v>
      </c>
      <c r="R18" s="3">
        <f>(1-(1-Table15[[#This Row],[rpm]]/Table36[idleRpm])^2)*Table7[idleTEco]</f>
        <v>-304.8046875</v>
      </c>
      <c r="S18" s="3">
        <f>MAX(0,(1-Table7[f1]*(Table36[maxTRpm1]-Table15[[#This Row],[rpm]])^2)*Table36[maxTEco])</f>
        <v>1320.0443786982248</v>
      </c>
      <c r="T18" s="3">
        <f>MAX(0,(Table36[linearDown]*(1-Table7[f2Eco]*(Table15[[#This Row],[rpm]]-Table36[maxTRpm]))+(1-Table36[linearDown])*(1-Table7[f3Eco]*(Table15[[#This Row],[rpm]]-Table36[maxTRpm])^2))*Table36[maxTEco])</f>
        <v>1298.454162366701</v>
      </c>
      <c r="U18" s="3">
        <f>MAX(0,(Table36[maxPSEco]-Table7[f4Eco]*(Table15[[#This Row],[rpm]]-Table36[maxPRpm])^2)/1.36*9550/MAX(1,Table15[[#This Row],[rpm]]))</f>
        <v>1363.1055363321798</v>
      </c>
      <c r="V18" s="3">
        <f>MAX(0,Table7[Nm2Eco]*MIN(Table36[ratedRpm]/MAX(1,Table15[[#This Row],[rpm]]),1-(MAX(0,Table15[[#This Row],[rpm]]-Table36[ratedRpm])/Table36[fadeOut])^Table36[fadeOutExp]))</f>
        <v>1103.4663865546217</v>
      </c>
      <c r="W1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1372.6016208340918</v>
      </c>
      <c r="X1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1372.6016208340918</v>
      </c>
      <c r="Y18" s="3">
        <f>ABS(Table15[[#This Row],[motor]]-Table15[[#This Row],[motorEco]])</f>
        <v>0</v>
      </c>
    </row>
    <row r="19" spans="1:25" x14ac:dyDescent="0.25">
      <c r="A19" s="3">
        <v>1800</v>
      </c>
      <c r="B1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1267.5266597867217</v>
      </c>
      <c r="C19" s="20"/>
      <c r="D1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1267.5266597867217</v>
      </c>
      <c r="E19" s="20"/>
      <c r="F19" s="3">
        <f>Table36[Factor]*IF(Table15[[#This Row],[manualData]]&gt;0,Table15[[#This Row],[manualData]],Table15[[#This Row],[rawData]])</f>
        <v>1267.5266597867217</v>
      </c>
      <c r="G19" s="3">
        <f>Table36[Factor]*IF(Table15[[#This Row],[manDataEco]]&gt;0,Table15[[#This Row],[manDataEco]],Table15[[#This Row],[rawDataEco]])</f>
        <v>1267.5266597867217</v>
      </c>
      <c r="H19" s="25">
        <f>1.36*Table15[[#This Row],[rpm]]*Table15[[#This Row],[motor]]/9550</f>
        <v>324.91154588040786</v>
      </c>
      <c r="I19" s="25">
        <f>1.36*Table15[[#This Row],[rpm]]*Table15[[#This Row],[motorEco]]/9550</f>
        <v>324.91154588040786</v>
      </c>
      <c r="J19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200.07889546351083</v>
      </c>
      <c r="K1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rpm="1800" motorTorque="1268" fuelUsageRatio="200.1"/&gt;</v>
      </c>
      <c r="L1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normRpm="0.818" torque="0.94"/&gt;</v>
      </c>
      <c r="M19" s="3">
        <f>(1-(1-Table15[[#This Row],[rpm]]/Table36[idleRpm])^2)*Table7[idleT]</f>
        <v>-645.46875</v>
      </c>
      <c r="N19" s="3">
        <f>MAX(0,(1-Table7[f1]*(Table36[maxTRpm1]-Table15[[#This Row],[rpm]])^2)*Table36[maxT])</f>
        <v>1291.2869822485206</v>
      </c>
      <c r="O19" s="3">
        <f>MAX(0,(Table36[linearDown]*(1-Table7[f2]*(Table15[[#This Row],[rpm]]-Table36[maxTRpm]))+(1-Table36[linearDown])*(1-Table7[f3]*(Table15[[#This Row],[rpm]]-Table36[maxTRpm])^2))*Table36[maxT])</f>
        <v>1267.5266597867217</v>
      </c>
      <c r="P19" s="3">
        <f>MAX(0,(Table36[maxPS]-Table7[f4]*(Table15[[#This Row],[rpm]]-Table36[maxPRpm])^2)/1.36*9550/MAX(1,Table15[[#This Row],[rpm]]))</f>
        <v>1296.1550245098038</v>
      </c>
      <c r="Q19" s="3">
        <f>MAX(0,Table7[Nm2]*MIN(Table36[ratedRpm]/MAX(1,Table15[[#This Row],[rpm]]),1-(MAX(0,Table15[[#This Row],[rpm]]-Table36[ratedRpm])/Table36[fadeOut])^Table36[fadeOutExp]))</f>
        <v>1103.4663865546217</v>
      </c>
      <c r="R19" s="3">
        <f>(1-(1-Table15[[#This Row],[rpm]]/Table36[idleRpm])^2)*Table7[idleTEco]</f>
        <v>-645.46875</v>
      </c>
      <c r="S19" s="3">
        <f>MAX(0,(1-Table7[f1]*(Table36[maxTRpm1]-Table15[[#This Row],[rpm]])^2)*Table36[maxTEco])</f>
        <v>1291.2869822485206</v>
      </c>
      <c r="T19" s="3">
        <f>MAX(0,(Table36[linearDown]*(1-Table7[f2Eco]*(Table15[[#This Row],[rpm]]-Table36[maxTRpm]))+(1-Table36[linearDown])*(1-Table7[f3Eco]*(Table15[[#This Row],[rpm]]-Table36[maxTRpm])^2))*Table36[maxTEco])</f>
        <v>1267.5266597867217</v>
      </c>
      <c r="U19" s="3">
        <f>MAX(0,(Table36[maxPSEco]-Table7[f4Eco]*(Table15[[#This Row],[rpm]]-Table36[maxPRpm])^2)/1.36*9550/MAX(1,Table15[[#This Row],[rpm]]))</f>
        <v>1296.1550245098038</v>
      </c>
      <c r="V19" s="3">
        <f>MAX(0,Table7[Nm2Eco]*MIN(Table36[ratedRpm]/MAX(1,Table15[[#This Row],[rpm]]),1-(MAX(0,Table15[[#This Row],[rpm]]-Table36[ratedRpm])/Table36[fadeOut])^Table36[fadeOutExp]))</f>
        <v>1103.4663865546217</v>
      </c>
      <c r="W1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1297.7134287925694</v>
      </c>
      <c r="X1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1297.7134287925694</v>
      </c>
      <c r="Y19" s="3">
        <f>ABS(Table15[[#This Row],[motor]]-Table15[[#This Row],[motorEco]])</f>
        <v>0</v>
      </c>
    </row>
    <row r="20" spans="1:25" x14ac:dyDescent="0.25">
      <c r="A20" s="3">
        <v>1850</v>
      </c>
      <c r="B2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1249.8538011695907</v>
      </c>
      <c r="C20" s="20"/>
      <c r="D2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1249.8538011695907</v>
      </c>
      <c r="E20" s="20"/>
      <c r="F20" s="3">
        <f>Table36[Factor]*IF(Table15[[#This Row],[manualData]]&gt;0,Table15[[#This Row],[manualData]],Table15[[#This Row],[rawData]])</f>
        <v>1249.8538011695907</v>
      </c>
      <c r="G20" s="3">
        <f>Table36[Factor]*IF(Table15[[#This Row],[manDataEco]]&gt;0,Table15[[#This Row],[manDataEco]],Table15[[#This Row],[rawDataEco]])</f>
        <v>1249.8538011695907</v>
      </c>
      <c r="H20" s="25">
        <f>1.36*Table15[[#This Row],[rpm]]*Table15[[#This Row],[motor]]/9550</f>
        <v>329.28085484216655</v>
      </c>
      <c r="I20" s="25">
        <f>1.36*Table15[[#This Row],[rpm]]*Table15[[#This Row],[motorEco]]/9550</f>
        <v>329.28085484216655</v>
      </c>
      <c r="J20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201.84966031119876</v>
      </c>
      <c r="K2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rpm="1850" motorTorque="1250" fuelUsageRatio="201.8"/&gt;</v>
      </c>
      <c r="L2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normRpm="0.841" torque="0.927"/&gt;</v>
      </c>
      <c r="M20" s="3">
        <f>(1-(1-Table15[[#This Row],[rpm]]/Table36[idleRpm])^2)*Table7[idleT]</f>
        <v>-829.248046875</v>
      </c>
      <c r="N20" s="3">
        <f>MAX(0,(1-Table7[f1]*(Table36[maxTRpm1]-Table15[[#This Row],[rpm]])^2)*Table36[maxT])</f>
        <v>1273.3136094674555</v>
      </c>
      <c r="O20" s="3">
        <f>MAX(0,(Table36[linearDown]*(1-Table7[f2]*(Table15[[#This Row],[rpm]]-Table36[maxTRpm]))+(1-Table36[linearDown])*(1-Table7[f3]*(Table15[[#This Row],[rpm]]-Table36[maxTRpm])^2))*Table36[maxT])</f>
        <v>1249.8538011695907</v>
      </c>
      <c r="P20" s="3">
        <f>MAX(0,(Table36[maxPS]-Table7[f4]*(Table15[[#This Row],[rpm]]-Table36[maxPRpm])^2)/1.36*9550/MAX(1,Table15[[#This Row],[rpm]]))</f>
        <v>1263.2588930842605</v>
      </c>
      <c r="Q20" s="3">
        <f>MAX(0,Table7[Nm2]*MIN(Table36[ratedRpm]/MAX(1,Table15[[#This Row],[rpm]]),1-(MAX(0,Table15[[#This Row],[rpm]]-Table36[ratedRpm])/Table36[fadeOut])^Table36[fadeOutExp]))</f>
        <v>1103.4663865546217</v>
      </c>
      <c r="R20" s="3">
        <f>(1-(1-Table15[[#This Row],[rpm]]/Table36[idleRpm])^2)*Table7[idleTEco]</f>
        <v>-829.248046875</v>
      </c>
      <c r="S20" s="3">
        <f>MAX(0,(1-Table7[f1]*(Table36[maxTRpm1]-Table15[[#This Row],[rpm]])^2)*Table36[maxTEco])</f>
        <v>1273.3136094674555</v>
      </c>
      <c r="T20" s="3">
        <f>MAX(0,(Table36[linearDown]*(1-Table7[f2Eco]*(Table15[[#This Row],[rpm]]-Table36[maxTRpm]))+(1-Table36[linearDown])*(1-Table7[f3Eco]*(Table15[[#This Row],[rpm]]-Table36[maxTRpm])^2))*Table36[maxTEco])</f>
        <v>1249.8538011695907</v>
      </c>
      <c r="U20" s="3">
        <f>MAX(0,(Table36[maxPSEco]-Table7[f4Eco]*(Table15[[#This Row],[rpm]]-Table36[maxPRpm])^2)/1.36*9550/MAX(1,Table15[[#This Row],[rpm]]))</f>
        <v>1263.2588930842605</v>
      </c>
      <c r="V20" s="3">
        <f>MAX(0,Table7[Nm2Eco]*MIN(Table36[ratedRpm]/MAX(1,Table15[[#This Row],[rpm]]),1-(MAX(0,Table15[[#This Row],[rpm]]-Table36[ratedRpm])/Table36[fadeOut])^Table36[fadeOutExp]))</f>
        <v>1103.4663865546217</v>
      </c>
      <c r="W2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1263.3053405572755</v>
      </c>
      <c r="X2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1263.3053405572755</v>
      </c>
      <c r="Y20" s="3">
        <f>ABS(Table15[[#This Row],[motor]]-Table15[[#This Row],[motorEco]])</f>
        <v>0</v>
      </c>
    </row>
    <row r="21" spans="1:25" x14ac:dyDescent="0.25">
      <c r="A21" s="3">
        <v>1900</v>
      </c>
      <c r="B2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1230.7082043343653</v>
      </c>
      <c r="C21" s="20"/>
      <c r="D2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1230.7082043343653</v>
      </c>
      <c r="E21" s="20"/>
      <c r="F21" s="3">
        <f>Table36[Factor]*IF(Table15[[#This Row],[manualData]]&gt;0,Table15[[#This Row],[manualData]],Table15[[#This Row],[rawData]])</f>
        <v>1230.7082043343653</v>
      </c>
      <c r="G21" s="3">
        <f>Table36[Factor]*IF(Table15[[#This Row],[manDataEco]]&gt;0,Table15[[#This Row],[manDataEco]],Table15[[#This Row],[rawDataEco]])</f>
        <v>1230.7082043343653</v>
      </c>
      <c r="H21" s="25">
        <f>1.36*Table15[[#This Row],[rpm]]*Table15[[#This Row],[motor]]/9550</f>
        <v>333</v>
      </c>
      <c r="I21" s="25">
        <f>1.36*Table15[[#This Row],[rpm]]*Table15[[#This Row],[motorEco]]/9550</f>
        <v>333</v>
      </c>
      <c r="J21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203.79574841113302</v>
      </c>
      <c r="K2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rpm="1900" motorTorque="1231" fuelUsageRatio="203.8"/&gt;</v>
      </c>
      <c r="L2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normRpm="0.864" torque="0.912"/&gt;</v>
      </c>
      <c r="M21" s="3">
        <f>(1-(1-Table15[[#This Row],[rpm]]/Table36[idleRpm])^2)*Table7[idleT]</f>
        <v>-1021.9921875</v>
      </c>
      <c r="N21" s="3">
        <f>MAX(0,(1-Table7[f1]*(Table36[maxTRpm1]-Table15[[#This Row],[rpm]])^2)*Table36[maxT])</f>
        <v>1252.9437869822484</v>
      </c>
      <c r="O21" s="3">
        <f>MAX(0,(Table36[linearDown]*(1-Table7[f2]*(Table15[[#This Row],[rpm]]-Table36[maxTRpm]))+(1-Table36[linearDown])*(1-Table7[f3]*(Table15[[#This Row],[rpm]]-Table36[maxTRpm])^2))*Table36[maxT])</f>
        <v>1230.7082043343653</v>
      </c>
      <c r="P21" s="3">
        <f>MAX(0,(Table36[maxPS]-Table7[f4]*(Table15[[#This Row],[rpm]]-Table36[maxPRpm])^2)/1.36*9550/MAX(1,Table15[[#This Row],[rpm]]))</f>
        <v>1230.7082043343653</v>
      </c>
      <c r="Q21" s="3">
        <f>MAX(0,Table7[Nm2]*MIN(Table36[ratedRpm]/MAX(1,Table15[[#This Row],[rpm]]),1-(MAX(0,Table15[[#This Row],[rpm]]-Table36[ratedRpm])/Table36[fadeOut])^Table36[fadeOutExp]))</f>
        <v>1103.4663865546217</v>
      </c>
      <c r="R21" s="3">
        <f>(1-(1-Table15[[#This Row],[rpm]]/Table36[idleRpm])^2)*Table7[idleTEco]</f>
        <v>-1021.9921875</v>
      </c>
      <c r="S21" s="3">
        <f>MAX(0,(1-Table7[f1]*(Table36[maxTRpm1]-Table15[[#This Row],[rpm]])^2)*Table36[maxTEco])</f>
        <v>1252.9437869822484</v>
      </c>
      <c r="T21" s="3">
        <f>MAX(0,(Table36[linearDown]*(1-Table7[f2Eco]*(Table15[[#This Row],[rpm]]-Table36[maxTRpm]))+(1-Table36[linearDown])*(1-Table7[f3Eco]*(Table15[[#This Row],[rpm]]-Table36[maxTRpm])^2))*Table36[maxTEco])</f>
        <v>1230.7082043343653</v>
      </c>
      <c r="U21" s="3">
        <f>MAX(0,(Table36[maxPSEco]-Table7[f4Eco]*(Table15[[#This Row],[rpm]]-Table36[maxPRpm])^2)/1.36*9550/MAX(1,Table15[[#This Row],[rpm]]))</f>
        <v>1230.7082043343653</v>
      </c>
      <c r="V21" s="3">
        <f>MAX(0,Table7[Nm2Eco]*MIN(Table36[ratedRpm]/MAX(1,Table15[[#This Row],[rpm]]),1-(MAX(0,Table15[[#This Row],[rpm]]-Table36[ratedRpm])/Table36[fadeOut])^Table36[fadeOutExp]))</f>
        <v>1103.4663865546217</v>
      </c>
      <c r="W2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1230.7082043343653</v>
      </c>
      <c r="X2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1230.7082043343653</v>
      </c>
      <c r="Y21" s="3">
        <f>ABS(Table15[[#This Row],[motor]]-Table15[[#This Row],[motorEco]])</f>
        <v>0</v>
      </c>
    </row>
    <row r="22" spans="1:25" x14ac:dyDescent="0.25">
      <c r="A22" s="3">
        <v>1950</v>
      </c>
      <c r="B2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1198.4763857466062</v>
      </c>
      <c r="C22" s="20"/>
      <c r="D2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1198.4763857466062</v>
      </c>
      <c r="E22" s="20"/>
      <c r="F22" s="3">
        <f>Table36[Factor]*IF(Table15[[#This Row],[manualData]]&gt;0,Table15[[#This Row],[manualData]],Table15[[#This Row],[rawData]])</f>
        <v>1198.4763857466062</v>
      </c>
      <c r="G22" s="3">
        <f>Table36[Factor]*IF(Table15[[#This Row],[manDataEco]]&gt;0,Table15[[#This Row],[manDataEco]],Table15[[#This Row],[rawDataEco]])</f>
        <v>1198.4763857466062</v>
      </c>
      <c r="H22" s="25">
        <f>1.36*Table15[[#This Row],[rpm]]*Table15[[#This Row],[motor]]/9550</f>
        <v>332.81249999999994</v>
      </c>
      <c r="I22" s="25">
        <f>1.36*Table15[[#This Row],[rpm]]*Table15[[#This Row],[motorEco]]/9550</f>
        <v>332.81249999999994</v>
      </c>
      <c r="J22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205.91715976331361</v>
      </c>
      <c r="K2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rpm="1950" motorTorque="1198" fuelUsageRatio="205.9"/&gt;</v>
      </c>
      <c r="L2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normRpm="0.886" torque="0.889"/&gt;</v>
      </c>
      <c r="M22" s="3">
        <f>(1-(1-Table15[[#This Row],[rpm]]/Table36[idleRpm])^2)*Table7[idleT]</f>
        <v>-1223.701171875</v>
      </c>
      <c r="N22" s="3">
        <f>MAX(0,(1-Table7[f1]*(Table36[maxTRpm1]-Table15[[#This Row],[rpm]])^2)*Table36[maxT])</f>
        <v>1230.1775147928995</v>
      </c>
      <c r="O22" s="3">
        <f>MAX(0,(Table36[linearDown]*(1-Table7[f2]*(Table15[[#This Row],[rpm]]-Table36[maxTRpm]))+(1-Table36[linearDown])*(1-Table7[f3]*(Table15[[#This Row],[rpm]]-Table36[maxTRpm])^2))*Table36[maxT])</f>
        <v>1210.0898692810458</v>
      </c>
      <c r="P22" s="3">
        <f>MAX(0,(Table36[maxPS]-Table7[f4]*(Table15[[#This Row],[rpm]]-Table36[maxPRpm])^2)/1.36*9550/MAX(1,Table15[[#This Row],[rpm]]))</f>
        <v>1198.4763857466062</v>
      </c>
      <c r="Q22" s="3">
        <f>MAX(0,Table7[Nm2]*MIN(Table36[ratedRpm]/MAX(1,Table15[[#This Row],[rpm]]),1-(MAX(0,Table15[[#This Row],[rpm]]-Table36[ratedRpm])/Table36[fadeOut])^Table36[fadeOutExp]))</f>
        <v>1103.4663865546217</v>
      </c>
      <c r="R22" s="3">
        <f>(1-(1-Table15[[#This Row],[rpm]]/Table36[idleRpm])^2)*Table7[idleTEco]</f>
        <v>-1223.701171875</v>
      </c>
      <c r="S22" s="3">
        <f>MAX(0,(1-Table7[f1]*(Table36[maxTRpm1]-Table15[[#This Row],[rpm]])^2)*Table36[maxTEco])</f>
        <v>1230.1775147928995</v>
      </c>
      <c r="T22" s="3">
        <f>MAX(0,(Table36[linearDown]*(1-Table7[f2Eco]*(Table15[[#This Row],[rpm]]-Table36[maxTRpm]))+(1-Table36[linearDown])*(1-Table7[f3Eco]*(Table15[[#This Row],[rpm]]-Table36[maxTRpm])^2))*Table36[maxTEco])</f>
        <v>1210.0898692810458</v>
      </c>
      <c r="U22" s="3">
        <f>MAX(0,(Table36[maxPSEco]-Table7[f4Eco]*(Table15[[#This Row],[rpm]]-Table36[maxPRpm])^2)/1.36*9550/MAX(1,Table15[[#This Row],[rpm]]))</f>
        <v>1198.4763857466062</v>
      </c>
      <c r="V22" s="3">
        <f>MAX(0,Table7[Nm2Eco]*MIN(Table36[ratedRpm]/MAX(1,Table15[[#This Row],[rpm]]),1-(MAX(0,Table15[[#This Row],[rpm]]-Table36[ratedRpm])/Table36[fadeOut])^Table36[fadeOutExp]))</f>
        <v>1103.4663865546217</v>
      </c>
      <c r="W2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1199.1515837104071</v>
      </c>
      <c r="X2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1199.1515837104071</v>
      </c>
      <c r="Y22" s="3">
        <f>ABS(Table15[[#This Row],[motor]]-Table15[[#This Row],[motorEco]])</f>
        <v>0</v>
      </c>
    </row>
    <row r="23" spans="1:25" x14ac:dyDescent="0.25">
      <c r="A23" s="3">
        <v>2000</v>
      </c>
      <c r="B2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1166.5395220588234</v>
      </c>
      <c r="C23" s="20"/>
      <c r="D2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1166.5395220588234</v>
      </c>
      <c r="E23" s="20"/>
      <c r="F23" s="3">
        <f>Table36[Factor]*IF(Table15[[#This Row],[manualData]]&gt;0,Table15[[#This Row],[manualData]],Table15[[#This Row],[rawData]])</f>
        <v>1166.5395220588234</v>
      </c>
      <c r="G23" s="3">
        <f>Table36[Factor]*IF(Table15[[#This Row],[manDataEco]]&gt;0,Table15[[#This Row],[manDataEco]],Table15[[#This Row],[rawDataEco]])</f>
        <v>1166.5395220588234</v>
      </c>
      <c r="H23" s="25">
        <f>1.36*Table15[[#This Row],[rpm]]*Table15[[#This Row],[motor]]/9550</f>
        <v>332.24999999999994</v>
      </c>
      <c r="I23" s="25">
        <f>1.36*Table15[[#This Row],[rpm]]*Table15[[#This Row],[motorEco]]/9550</f>
        <v>332.24999999999994</v>
      </c>
      <c r="J23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208.21389436774052</v>
      </c>
      <c r="K23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rpm="2000" motorTorque="1167" fuelUsageRatio="208.2"/&gt;</v>
      </c>
      <c r="L23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normRpm="0.909" torque="0.865"/&gt;</v>
      </c>
      <c r="M23" s="3">
        <f>(1-(1-Table15[[#This Row],[rpm]]/Table36[idleRpm])^2)*Table7[idleT]</f>
        <v>-1434.375</v>
      </c>
      <c r="N23" s="3">
        <f>MAX(0,(1-Table7[f1]*(Table36[maxTRpm1]-Table15[[#This Row],[rpm]])^2)*Table36[maxT])</f>
        <v>1205.0147928994083</v>
      </c>
      <c r="O23" s="3">
        <f>MAX(0,(Table36[linearDown]*(1-Table7[f2]*(Table15[[#This Row],[rpm]]-Table36[maxTRpm]))+(1-Table36[linearDown])*(1-Table7[f3]*(Table15[[#This Row],[rpm]]-Table36[maxTRpm])^2))*Table36[maxT])</f>
        <v>1187.9987960096319</v>
      </c>
      <c r="P23" s="3">
        <f>MAX(0,(Table36[maxPS]-Table7[f4]*(Table15[[#This Row],[rpm]]-Table36[maxPRpm])^2)/1.36*9550/MAX(1,Table15[[#This Row],[rpm]]))</f>
        <v>1166.5395220588234</v>
      </c>
      <c r="Q23" s="3">
        <f>MAX(0,Table7[Nm2]*MIN(Table36[ratedRpm]/MAX(1,Table15[[#This Row],[rpm]]),1-(MAX(0,Table15[[#This Row],[rpm]]-Table36[ratedRpm])/Table36[fadeOut])^Table36[fadeOutExp]))</f>
        <v>1103.4663865546217</v>
      </c>
      <c r="R23" s="3">
        <f>(1-(1-Table15[[#This Row],[rpm]]/Table36[idleRpm])^2)*Table7[idleTEco]</f>
        <v>-1434.375</v>
      </c>
      <c r="S23" s="3">
        <f>MAX(0,(1-Table7[f1]*(Table36[maxTRpm1]-Table15[[#This Row],[rpm]])^2)*Table36[maxTEco])</f>
        <v>1205.0147928994083</v>
      </c>
      <c r="T23" s="3">
        <f>MAX(0,(Table36[linearDown]*(1-Table7[f2Eco]*(Table15[[#This Row],[rpm]]-Table36[maxTRpm]))+(1-Table36[linearDown])*(1-Table7[f3Eco]*(Table15[[#This Row],[rpm]]-Table36[maxTRpm])^2))*Table36[maxTEco])</f>
        <v>1187.9987960096319</v>
      </c>
      <c r="U23" s="3">
        <f>MAX(0,(Table36[maxPSEco]-Table7[f4Eco]*(Table15[[#This Row],[rpm]]-Table36[maxPRpm])^2)/1.36*9550/MAX(1,Table15[[#This Row],[rpm]]))</f>
        <v>1166.5395220588234</v>
      </c>
      <c r="V23" s="3">
        <f>MAX(0,Table7[Nm2Eco]*MIN(Table36[ratedRpm]/MAX(1,Table15[[#This Row],[rpm]]),1-(MAX(0,Table15[[#This Row],[rpm]]-Table36[ratedRpm])/Table36[fadeOut])^Table36[fadeOutExp]))</f>
        <v>1103.4663865546217</v>
      </c>
      <c r="W2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1169.1727941176471</v>
      </c>
      <c r="X2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1169.1727941176471</v>
      </c>
      <c r="Y23" s="3">
        <f>ABS(Table15[[#This Row],[motor]]-Table15[[#This Row],[motorEco]])</f>
        <v>0</v>
      </c>
    </row>
    <row r="24" spans="1:25" x14ac:dyDescent="0.25">
      <c r="A24" s="3">
        <v>2050</v>
      </c>
      <c r="B2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1134.876031205165</v>
      </c>
      <c r="C24" s="20"/>
      <c r="D2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1134.876031205165</v>
      </c>
      <c r="E24" s="20"/>
      <c r="F24" s="3">
        <f>Table36[Factor]*IF(Table15[[#This Row],[manualData]]&gt;0,Table15[[#This Row],[manualData]],Table15[[#This Row],[rawData]])</f>
        <v>1134.876031205165</v>
      </c>
      <c r="G24" s="3">
        <f>Table36[Factor]*IF(Table15[[#This Row],[manDataEco]]&gt;0,Table15[[#This Row],[manDataEco]],Table15[[#This Row],[rawDataEco]])</f>
        <v>1134.876031205165</v>
      </c>
      <c r="H24" s="25">
        <f>1.36*Table15[[#This Row],[rpm]]*Table15[[#This Row],[motor]]/9550</f>
        <v>331.3125</v>
      </c>
      <c r="I24" s="25">
        <f>1.36*Table15[[#This Row],[rpm]]*Table15[[#This Row],[motorEco]]/9550</f>
        <v>331.3125</v>
      </c>
      <c r="J24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210.68595222441374</v>
      </c>
      <c r="K24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rpm="2050" motorTorque="1135" fuelUsageRatio="210.7"/&gt;</v>
      </c>
      <c r="L24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normRpm="0.932" torque="0.841"/&gt;</v>
      </c>
      <c r="M24" s="3">
        <f>(1-(1-Table15[[#This Row],[rpm]]/Table36[idleRpm])^2)*Table7[idleT]</f>
        <v>-1654.013671875</v>
      </c>
      <c r="N24" s="3">
        <f>MAX(0,(1-Table7[f1]*(Table36[maxTRpm1]-Table15[[#This Row],[rpm]])^2)*Table36[maxT])</f>
        <v>1177.455621301775</v>
      </c>
      <c r="O24" s="3">
        <f>MAX(0,(Table36[linearDown]*(1-Table7[f2]*(Table15[[#This Row],[rpm]]-Table36[maxTRpm]))+(1-Table36[linearDown])*(1-Table7[f3]*(Table15[[#This Row],[rpm]]-Table36[maxTRpm])^2))*Table36[maxT])</f>
        <v>1164.4349845201239</v>
      </c>
      <c r="P24" s="3">
        <f>MAX(0,(Table36[maxPS]-Table7[f4]*(Table15[[#This Row],[rpm]]-Table36[maxPRpm])^2)/1.36*9550/MAX(1,Table15[[#This Row],[rpm]]))</f>
        <v>1134.876031205165</v>
      </c>
      <c r="Q24" s="3">
        <f>MAX(0,Table7[Nm2]*MIN(Table36[ratedRpm]/MAX(1,Table15[[#This Row],[rpm]]),1-(MAX(0,Table15[[#This Row],[rpm]]-Table36[ratedRpm])/Table36[fadeOut])^Table36[fadeOutExp]))</f>
        <v>1103.4663865546217</v>
      </c>
      <c r="R24" s="3">
        <f>(1-(1-Table15[[#This Row],[rpm]]/Table36[idleRpm])^2)*Table7[idleTEco]</f>
        <v>-1654.013671875</v>
      </c>
      <c r="S24" s="3">
        <f>MAX(0,(1-Table7[f1]*(Table36[maxTRpm1]-Table15[[#This Row],[rpm]])^2)*Table36[maxTEco])</f>
        <v>1177.455621301775</v>
      </c>
      <c r="T24" s="3">
        <f>MAX(0,(Table36[linearDown]*(1-Table7[f2Eco]*(Table15[[#This Row],[rpm]]-Table36[maxTRpm]))+(1-Table36[linearDown])*(1-Table7[f3Eco]*(Table15[[#This Row],[rpm]]-Table36[maxTRpm])^2))*Table36[maxTEco])</f>
        <v>1164.4349845201239</v>
      </c>
      <c r="U24" s="3">
        <f>MAX(0,(Table36[maxPSEco]-Table7[f4Eco]*(Table15[[#This Row],[rpm]]-Table36[maxPRpm])^2)/1.36*9550/MAX(1,Table15[[#This Row],[rpm]]))</f>
        <v>1134.876031205165</v>
      </c>
      <c r="V24" s="3">
        <f>MAX(0,Table7[Nm2Eco]*MIN(Table36[ratedRpm]/MAX(1,Table15[[#This Row],[rpm]]),1-(MAX(0,Table15[[#This Row],[rpm]]-Table36[ratedRpm])/Table36[fadeOut])^Table36[fadeOutExp]))</f>
        <v>1103.4663865546217</v>
      </c>
      <c r="W2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1140.6563845050214</v>
      </c>
      <c r="X2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1140.6563845050214</v>
      </c>
      <c r="Y24" s="3">
        <f>ABS(Table15[[#This Row],[motor]]-Table15[[#This Row],[motorEco]])</f>
        <v>0</v>
      </c>
    </row>
    <row r="25" spans="1:25" x14ac:dyDescent="0.25">
      <c r="A25" s="3">
        <v>2100</v>
      </c>
      <c r="B2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1103.4663865546217</v>
      </c>
      <c r="C25" s="20"/>
      <c r="D2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1103.4663865546217</v>
      </c>
      <c r="E25" s="20"/>
      <c r="F25" s="3">
        <f>Table36[Factor]*IF(Table15[[#This Row],[manualData]]&gt;0,Table15[[#This Row],[manualData]],Table15[[#This Row],[rawData]])</f>
        <v>1103.4663865546217</v>
      </c>
      <c r="G25" s="3">
        <f>Table36[Factor]*IF(Table15[[#This Row],[manDataEco]]&gt;0,Table15[[#This Row],[manDataEco]],Table15[[#This Row],[rawDataEco]])</f>
        <v>1103.4663865546217</v>
      </c>
      <c r="H25" s="25">
        <f>1.36*Table15[[#This Row],[rpm]]*Table15[[#This Row],[motor]]/9550</f>
        <v>329.99999999999994</v>
      </c>
      <c r="I25" s="25">
        <f>1.36*Table15[[#This Row],[rpm]]*Table15[[#This Row],[motorEco]]/9550</f>
        <v>329.99999999999994</v>
      </c>
      <c r="J25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213.33333333333331</v>
      </c>
      <c r="K25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rpm="2100" motorTorque="1103" fuelUsageRatio="213.3"/&gt;</v>
      </c>
      <c r="L25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normRpm="0.955" torque="0.818"/&gt;</v>
      </c>
      <c r="M25" s="3">
        <f>(1-(1-Table15[[#This Row],[rpm]]/Table36[idleRpm])^2)*Table7[idleT]</f>
        <v>-1882.6171875</v>
      </c>
      <c r="N25" s="3">
        <f>MAX(0,(1-Table7[f1]*(Table36[maxTRpm1]-Table15[[#This Row],[rpm]])^2)*Table36[maxT])</f>
        <v>1147.5</v>
      </c>
      <c r="O25" s="3">
        <f>MAX(0,(Table36[linearDown]*(1-Table7[f2]*(Table15[[#This Row],[rpm]]-Table36[maxTRpm]))+(1-Table36[linearDown])*(1-Table7[f3]*(Table15[[#This Row],[rpm]]-Table36[maxTRpm])^2))*Table36[maxT])</f>
        <v>1139.3984348125214</v>
      </c>
      <c r="P25" s="3">
        <f>MAX(0,(Table36[maxPS]-Table7[f4]*(Table15[[#This Row],[rpm]]-Table36[maxPRpm])^2)/1.36*9550/MAX(1,Table15[[#This Row],[rpm]]))</f>
        <v>1103.4663865546217</v>
      </c>
      <c r="Q25" s="3">
        <f>MAX(0,Table7[Nm2]*MIN(Table36[ratedRpm]/MAX(1,Table15[[#This Row],[rpm]]),1-(MAX(0,Table15[[#This Row],[rpm]]-Table36[ratedRpm])/Table36[fadeOut])^Table36[fadeOutExp]))</f>
        <v>1103.4663865546217</v>
      </c>
      <c r="R25" s="3">
        <f>(1-(1-Table15[[#This Row],[rpm]]/Table36[idleRpm])^2)*Table7[idleTEco]</f>
        <v>-1882.6171875</v>
      </c>
      <c r="S25" s="3">
        <f>MAX(0,(1-Table7[f1]*(Table36[maxTRpm1]-Table15[[#This Row],[rpm]])^2)*Table36[maxTEco])</f>
        <v>1147.5</v>
      </c>
      <c r="T25" s="3">
        <f>MAX(0,(Table36[linearDown]*(1-Table7[f2Eco]*(Table15[[#This Row],[rpm]]-Table36[maxTRpm]))+(1-Table36[linearDown])*(1-Table7[f3Eco]*(Table15[[#This Row],[rpm]]-Table36[maxTRpm])^2))*Table36[maxTEco])</f>
        <v>1139.3984348125214</v>
      </c>
      <c r="U25" s="3">
        <f>MAX(0,(Table36[maxPSEco]-Table7[f4Eco]*(Table15[[#This Row],[rpm]]-Table36[maxPRpm])^2)/1.36*9550/MAX(1,Table15[[#This Row],[rpm]]))</f>
        <v>1103.4663865546217</v>
      </c>
      <c r="V25" s="3">
        <f>MAX(0,Table7[Nm2Eco]*MIN(Table36[ratedRpm]/MAX(1,Table15[[#This Row],[rpm]]),1-(MAX(0,Table15[[#This Row],[rpm]]-Table36[ratedRpm])/Table36[fadeOut])^Table36[fadeOutExp]))</f>
        <v>1103.4663865546217</v>
      </c>
      <c r="W2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1113.4978991596638</v>
      </c>
      <c r="X2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1113.4978991596638</v>
      </c>
      <c r="Y25" s="3">
        <f>ABS(Table15[[#This Row],[motor]]-Table15[[#This Row],[motorEco]])</f>
        <v>0</v>
      </c>
    </row>
    <row r="26" spans="1:25" x14ac:dyDescent="0.25">
      <c r="A26" s="3">
        <v>2150</v>
      </c>
      <c r="B2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979.20775107033921</v>
      </c>
      <c r="C26" s="20"/>
      <c r="D2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979.20775107033921</v>
      </c>
      <c r="E26" s="20"/>
      <c r="F26" s="3">
        <f>Table36[Factor]*IF(Table15[[#This Row],[manualData]]&gt;0,Table15[[#This Row],[manualData]],Table15[[#This Row],[rawData]])</f>
        <v>979.20775107033921</v>
      </c>
      <c r="G26" s="3">
        <f>Table36[Factor]*IF(Table15[[#This Row],[manDataEco]]&gt;0,Table15[[#This Row],[manDataEco]],Table15[[#This Row],[rawDataEco]])</f>
        <v>979.20775107033921</v>
      </c>
      <c r="H26" s="25">
        <f>1.36*Table15[[#This Row],[rpm]]*Table15[[#This Row],[motor]]/9550</f>
        <v>299.81188106069862</v>
      </c>
      <c r="I26" s="25">
        <f>1.36*Table15[[#This Row],[rpm]]*Table15[[#This Row],[motorEco]]/9550</f>
        <v>299.81188106069862</v>
      </c>
      <c r="J26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227.24944993741403</v>
      </c>
      <c r="K26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rpm="2150" motorTorque="979" fuelUsageRatio="227.2"/&gt;</v>
      </c>
      <c r="L26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normRpm="0.977" torque="0.726"/&gt;</v>
      </c>
      <c r="M26" s="3">
        <f>(1-(1-Table15[[#This Row],[rpm]]/Table36[idleRpm])^2)*Table7[idleT]</f>
        <v>-2120.185546875</v>
      </c>
      <c r="N26" s="3">
        <f>MAX(0,(1-Table7[f1]*(Table36[maxTRpm1]-Table15[[#This Row],[rpm]])^2)*Table36[maxT])</f>
        <v>1115.1479289940828</v>
      </c>
      <c r="O26" s="3">
        <f>MAX(0,(Table36[linearDown]*(1-Table7[f2]*(Table15[[#This Row],[rpm]]-Table36[maxTRpm]))+(1-Table36[linearDown])*(1-Table7[f3]*(Table15[[#This Row],[rpm]]-Table36[maxTRpm])^2))*Table36[maxT])</f>
        <v>1112.8891468868248</v>
      </c>
      <c r="P26" s="3">
        <f>MAX(0,(Table36[maxPS]-Table7[f4]*(Table15[[#This Row],[rpm]]-Table36[maxPRpm])^2)/1.36*9550/MAX(1,Table15[[#This Row],[rpm]]))</f>
        <v>1072.2928779069766</v>
      </c>
      <c r="Q26" s="3">
        <f>MAX(0,Table7[Nm2]*MIN(Table36[ratedRpm]/MAX(1,Table15[[#This Row],[rpm]]),1-(MAX(0,Table15[[#This Row],[rpm]]-Table36[ratedRpm])/Table36[fadeOut])^Table36[fadeOutExp]))</f>
        <v>979.20775107033921</v>
      </c>
      <c r="R26" s="3">
        <f>(1-(1-Table15[[#This Row],[rpm]]/Table36[idleRpm])^2)*Table7[idleTEco]</f>
        <v>-2120.185546875</v>
      </c>
      <c r="S26" s="3">
        <f>MAX(0,(1-Table7[f1]*(Table36[maxTRpm1]-Table15[[#This Row],[rpm]])^2)*Table36[maxTEco])</f>
        <v>1115.1479289940828</v>
      </c>
      <c r="T26" s="3">
        <f>MAX(0,(Table36[linearDown]*(1-Table7[f2Eco]*(Table15[[#This Row],[rpm]]-Table36[maxTRpm]))+(1-Table36[linearDown])*(1-Table7[f3Eco]*(Table15[[#This Row],[rpm]]-Table36[maxTRpm])^2))*Table36[maxTEco])</f>
        <v>1112.8891468868248</v>
      </c>
      <c r="U26" s="3">
        <f>MAX(0,(Table36[maxPSEco]-Table7[f4Eco]*(Table15[[#This Row],[rpm]]-Table36[maxPRpm])^2)/1.36*9550/MAX(1,Table15[[#This Row],[rpm]]))</f>
        <v>1072.2928779069766</v>
      </c>
      <c r="V26" s="3">
        <f>MAX(0,Table7[Nm2Eco]*MIN(Table36[ratedRpm]/MAX(1,Table15[[#This Row],[rpm]]),1-(MAX(0,Table15[[#This Row],[rpm]]-Table36[ratedRpm])/Table36[fadeOut])^Table36[fadeOutExp]))</f>
        <v>979.20775107033921</v>
      </c>
      <c r="W2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1087.6025991792064</v>
      </c>
      <c r="X2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1087.6025991792064</v>
      </c>
      <c r="Y26" s="3">
        <f>ABS(Table15[[#This Row],[motor]]-Table15[[#This Row],[motorEco]])</f>
        <v>0</v>
      </c>
    </row>
    <row r="27" spans="1:25" x14ac:dyDescent="0.25">
      <c r="A27" s="3">
        <v>2200</v>
      </c>
      <c r="B2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606.43184461749195</v>
      </c>
      <c r="C27" s="20"/>
      <c r="D2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606.43184461749195</v>
      </c>
      <c r="E27" s="20"/>
      <c r="F27" s="3">
        <f>Table36[Factor]*IF(Table15[[#This Row],[manualData]]&gt;0,Table15[[#This Row],[manualData]],Table15[[#This Row],[rawData]])</f>
        <v>606.43184461749195</v>
      </c>
      <c r="G27" s="3">
        <f>Table36[Factor]*IF(Table15[[#This Row],[manDataEco]]&gt;0,Table15[[#This Row],[manDataEco]],Table15[[#This Row],[rawDataEco]])</f>
        <v>606.43184461749195</v>
      </c>
      <c r="H27" s="3">
        <f>1.36*Table15[[#This Row],[rpm]]*Table15[[#This Row],[motor]]/9550</f>
        <v>189.99414440790952</v>
      </c>
      <c r="I27" s="3">
        <f>1.36*Table15[[#This Row],[rpm]]*Table15[[#This Row],[motorEco]]/9550</f>
        <v>189.99414440790952</v>
      </c>
      <c r="J27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292.05477668155874</v>
      </c>
      <c r="K2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rpm="2200" motorTorque="606" fuelUsageRatio="292.1"/&gt;</v>
      </c>
      <c r="L2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normRpm="1" torque="0.45"/&gt;</v>
      </c>
      <c r="M27" s="3">
        <f>(1-(1-Table15[[#This Row],[rpm]]/Table36[idleRpm])^2)*Table7[idleT]</f>
        <v>-2366.71875</v>
      </c>
      <c r="N27" s="3">
        <f>MAX(0,(1-Table7[f1]*(Table36[maxTRpm1]-Table15[[#This Row],[rpm]])^2)*Table36[maxT])</f>
        <v>1080.3994082840236</v>
      </c>
      <c r="O27" s="3">
        <f>MAX(0,(Table36[linearDown]*(1-Table7[f2]*(Table15[[#This Row],[rpm]]-Table36[maxTRpm]))+(1-Table36[linearDown])*(1-Table7[f3]*(Table15[[#This Row],[rpm]]-Table36[maxTRpm])^2))*Table36[maxT])</f>
        <v>1084.9071207430341</v>
      </c>
      <c r="P27" s="3">
        <f>MAX(0,(Table36[maxPS]-Table7[f4]*(Table15[[#This Row],[rpm]]-Table36[maxPRpm])^2)/1.36*9550/MAX(1,Table15[[#This Row],[rpm]]))</f>
        <v>1041.3394050802137</v>
      </c>
      <c r="Q27" s="3">
        <f>MAX(0,Table7[Nm2]*MIN(Table36[ratedRpm]/MAX(1,Table15[[#This Row],[rpm]]),1-(MAX(0,Table15[[#This Row],[rpm]]-Table36[ratedRpm])/Table36[fadeOut])^Table36[fadeOutExp]))</f>
        <v>606.43184461749195</v>
      </c>
      <c r="R27" s="3">
        <f>(1-(1-Table15[[#This Row],[rpm]]/Table36[idleRpm])^2)*Table7[idleTEco]</f>
        <v>-2366.71875</v>
      </c>
      <c r="S27" s="3">
        <f>MAX(0,(1-Table7[f1]*(Table36[maxTRpm1]-Table15[[#This Row],[rpm]])^2)*Table36[maxTEco])</f>
        <v>1080.3994082840236</v>
      </c>
      <c r="T27" s="3">
        <f>MAX(0,(Table36[linearDown]*(1-Table7[f2Eco]*(Table15[[#This Row],[rpm]]-Table36[maxTRpm]))+(1-Table36[linearDown])*(1-Table7[f3Eco]*(Table15[[#This Row],[rpm]]-Table36[maxTRpm])^2))*Table36[maxTEco])</f>
        <v>1084.9071207430341</v>
      </c>
      <c r="U27" s="3">
        <f>MAX(0,(Table36[maxPSEco]-Table7[f4Eco]*(Table15[[#This Row],[rpm]]-Table36[maxPRpm])^2)/1.36*9550/MAX(1,Table15[[#This Row],[rpm]]))</f>
        <v>1041.3394050802137</v>
      </c>
      <c r="V27" s="3">
        <f>MAX(0,Table7[Nm2Eco]*MIN(Table36[ratedRpm]/MAX(1,Table15[[#This Row],[rpm]]),1-(MAX(0,Table15[[#This Row],[rpm]]-Table36[ratedRpm])/Table36[fadeOut])^Table36[fadeOutExp]))</f>
        <v>606.43184461749195</v>
      </c>
      <c r="W2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1062.88435828877</v>
      </c>
      <c r="X2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1062.88435828877</v>
      </c>
      <c r="Y27" s="3">
        <f>ABS(Table15[[#This Row],[motor]]-Table15[[#This Row],[motorEco]])</f>
        <v>0</v>
      </c>
    </row>
    <row r="28" spans="1:25" x14ac:dyDescent="0.25">
      <c r="A28" s="3">
        <v>2250</v>
      </c>
      <c r="B2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28" s="20"/>
      <c r="D2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28" s="20"/>
      <c r="F28" s="3">
        <f>Table36[Factor]*IF(Table15[[#This Row],[manualData]]&gt;0,Table15[[#This Row],[manualData]],Table15[[#This Row],[rawData]])</f>
        <v>0</v>
      </c>
      <c r="G28" s="3">
        <f>Table36[Factor]*IF(Table15[[#This Row],[manDataEco]]&gt;0,Table15[[#This Row],[manDataEco]],Table15[[#This Row],[rawDataEco]])</f>
        <v>0</v>
      </c>
      <c r="H28" s="3">
        <f>1.36*Table15[[#This Row],[rpm]]*Table15[[#This Row],[motor]]/9550</f>
        <v>0</v>
      </c>
      <c r="I28" s="3">
        <f>1.36*Table15[[#This Row],[rpm]]*Table15[[#This Row],[motorEco]]/9550</f>
        <v>0</v>
      </c>
      <c r="J28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426.66666666666663</v>
      </c>
      <c r="K2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rpm="2250" motorTorque="0" fuelUsageRatio="426.7"/&gt;</v>
      </c>
      <c r="L2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28" s="3">
        <f>(1-(1-Table15[[#This Row],[rpm]]/Table36[idleRpm])^2)*Table7[idleT]</f>
        <v>-2622.216796875</v>
      </c>
      <c r="N28" s="3">
        <f>MAX(0,(1-Table7[f1]*(Table36[maxTRpm1]-Table15[[#This Row],[rpm]])^2)*Table36[maxT])</f>
        <v>1043.2544378698226</v>
      </c>
      <c r="O28" s="3">
        <f>MAX(0,(Table36[linearDown]*(1-Table7[f2]*(Table15[[#This Row],[rpm]]-Table36[maxTRpm]))+(1-Table36[linearDown])*(1-Table7[f3]*(Table15[[#This Row],[rpm]]-Table36[maxTRpm])^2))*Table36[maxT])</f>
        <v>1055.4523563811488</v>
      </c>
      <c r="P28" s="3">
        <f>MAX(0,(Table36[maxPS]-Table7[f4]*(Table15[[#This Row],[rpm]]-Table36[maxPRpm])^2)/1.36*9550/MAX(1,Table15[[#This Row],[rpm]]))</f>
        <v>1010.5912990196078</v>
      </c>
      <c r="Q28" s="3">
        <f>MAX(0,Table7[Nm2]*MIN(Table36[ratedRpm]/MAX(1,Table15[[#This Row],[rpm]]),1-(MAX(0,Table15[[#This Row],[rpm]]-Table36[ratedRpm])/Table36[fadeOut])^Table36[fadeOutExp]))</f>
        <v>0</v>
      </c>
      <c r="R28" s="3">
        <f>(1-(1-Table15[[#This Row],[rpm]]/Table36[idleRpm])^2)*Table7[idleTEco]</f>
        <v>-2622.216796875</v>
      </c>
      <c r="S28" s="3">
        <f>MAX(0,(1-Table7[f1]*(Table36[maxTRpm1]-Table15[[#This Row],[rpm]])^2)*Table36[maxTEco])</f>
        <v>1043.2544378698226</v>
      </c>
      <c r="T28" s="3">
        <f>MAX(0,(Table36[linearDown]*(1-Table7[f2Eco]*(Table15[[#This Row],[rpm]]-Table36[maxTRpm]))+(1-Table36[linearDown])*(1-Table7[f3Eco]*(Table15[[#This Row],[rpm]]-Table36[maxTRpm])^2))*Table36[maxTEco])</f>
        <v>1055.4523563811488</v>
      </c>
      <c r="U28" s="3">
        <f>MAX(0,(Table36[maxPSEco]-Table7[f4Eco]*(Table15[[#This Row],[rpm]]-Table36[maxPRpm])^2)/1.36*9550/MAX(1,Table15[[#This Row],[rpm]]))</f>
        <v>1010.5912990196078</v>
      </c>
      <c r="V28" s="3">
        <f>MAX(0,Table7[Nm2Eco]*MIN(Table36[ratedRpm]/MAX(1,Table15[[#This Row],[rpm]]),1-(MAX(0,Table15[[#This Row],[rpm]]-Table36[ratedRpm])/Table36[fadeOut])^Table36[fadeOutExp]))</f>
        <v>0</v>
      </c>
      <c r="W2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1039.2647058823529</v>
      </c>
      <c r="X2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1039.2647058823529</v>
      </c>
      <c r="Y28" s="3">
        <f>ABS(Table15[[#This Row],[motor]]-Table15[[#This Row],[motorEco]])</f>
        <v>0</v>
      </c>
    </row>
    <row r="29" spans="1:25" x14ac:dyDescent="0.25">
      <c r="A29" s="3">
        <v>2300</v>
      </c>
      <c r="B2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29" s="20"/>
      <c r="D2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29" s="20"/>
      <c r="F29" s="3">
        <f>Table36[Factor]*IF(Table15[[#This Row],[manualData]]&gt;0,Table15[[#This Row],[manualData]],Table15[[#This Row],[rawData]])</f>
        <v>0</v>
      </c>
      <c r="G29" s="3">
        <f>Table36[Factor]*IF(Table15[[#This Row],[manDataEco]]&gt;0,Table15[[#This Row],[manDataEco]],Table15[[#This Row],[rawDataEco]])</f>
        <v>0</v>
      </c>
      <c r="H29" s="3">
        <f>1.36*Table15[[#This Row],[rpm]]*Table15[[#This Row],[motor]]/9550</f>
        <v>0</v>
      </c>
      <c r="I29" s="3">
        <f>1.36*Table15[[#This Row],[rpm]]*Table15[[#This Row],[motorEco]]/9550</f>
        <v>0</v>
      </c>
      <c r="J29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426.66666666666663</v>
      </c>
      <c r="K2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rpm="2300" motorTorque="0" fuelUsageRatio="426.7"/&gt;</v>
      </c>
      <c r="L2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29" s="3">
        <f>(1-(1-Table15[[#This Row],[rpm]]/Table36[idleRpm])^2)*Table7[idleT]</f>
        <v>-2886.6796875</v>
      </c>
      <c r="N29" s="3">
        <f>MAX(0,(1-Table7[f1]*(Table36[maxTRpm1]-Table15[[#This Row],[rpm]])^2)*Table36[maxT])</f>
        <v>1003.7130177514792</v>
      </c>
      <c r="O29" s="3">
        <f>MAX(0,(Table36[linearDown]*(1-Table7[f2]*(Table15[[#This Row],[rpm]]-Table36[maxTRpm]))+(1-Table36[linearDown])*(1-Table7[f3]*(Table15[[#This Row],[rpm]]-Table36[maxTRpm])^2))*Table36[maxT])</f>
        <v>1024.5248538011695</v>
      </c>
      <c r="P29" s="3">
        <f>MAX(0,(Table36[maxPS]-Table7[f4]*(Table15[[#This Row],[rpm]]-Table36[maxPRpm])^2)/1.36*9550/MAX(1,Table15[[#This Row],[rpm]]))</f>
        <v>980.03516624040901</v>
      </c>
      <c r="Q29" s="3">
        <f>MAX(0,Table7[Nm2]*MIN(Table36[ratedRpm]/MAX(1,Table15[[#This Row],[rpm]]),1-(MAX(0,Table15[[#This Row],[rpm]]-Table36[ratedRpm])/Table36[fadeOut])^Table36[fadeOutExp]))</f>
        <v>0</v>
      </c>
      <c r="R29" s="3">
        <f>(1-(1-Table15[[#This Row],[rpm]]/Table36[idleRpm])^2)*Table7[idleTEco]</f>
        <v>-2886.6796875</v>
      </c>
      <c r="S29" s="3">
        <f>MAX(0,(1-Table7[f1]*(Table36[maxTRpm1]-Table15[[#This Row],[rpm]])^2)*Table36[maxTEco])</f>
        <v>1003.7130177514792</v>
      </c>
      <c r="T29" s="3">
        <f>MAX(0,(Table36[linearDown]*(1-Table7[f2Eco]*(Table15[[#This Row],[rpm]]-Table36[maxTRpm]))+(1-Table36[linearDown])*(1-Table7[f3Eco]*(Table15[[#This Row],[rpm]]-Table36[maxTRpm])^2))*Table36[maxTEco])</f>
        <v>1024.5248538011695</v>
      </c>
      <c r="U29" s="3">
        <f>MAX(0,(Table36[maxPSEco]-Table7[f4Eco]*(Table15[[#This Row],[rpm]]-Table36[maxPRpm])^2)/1.36*9550/MAX(1,Table15[[#This Row],[rpm]]))</f>
        <v>980.03516624040901</v>
      </c>
      <c r="V29" s="3">
        <f>MAX(0,Table7[Nm2Eco]*MIN(Table36[ratedRpm]/MAX(1,Table15[[#This Row],[rpm]]),1-(MAX(0,Table15[[#This Row],[rpm]]-Table36[ratedRpm])/Table36[fadeOut])^Table36[fadeOutExp]))</f>
        <v>0</v>
      </c>
      <c r="W2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1016.6719948849104</v>
      </c>
      <c r="X2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1016.6719948849104</v>
      </c>
      <c r="Y29" s="3">
        <f>ABS(Table15[[#This Row],[motor]]-Table15[[#This Row],[motorEco]])</f>
        <v>0</v>
      </c>
    </row>
    <row r="30" spans="1:25" x14ac:dyDescent="0.25">
      <c r="A30" s="3">
        <v>2350</v>
      </c>
      <c r="B3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0" s="20"/>
      <c r="D3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0" s="20"/>
      <c r="F30" s="3">
        <f>Table36[Factor]*IF(Table15[[#This Row],[manualData]]&gt;0,Table15[[#This Row],[manualData]],Table15[[#This Row],[rawData]])</f>
        <v>0</v>
      </c>
      <c r="G30" s="3">
        <f>Table36[Factor]*IF(Table15[[#This Row],[manDataEco]]&gt;0,Table15[[#This Row],[manDataEco]],Table15[[#This Row],[rawDataEco]])</f>
        <v>0</v>
      </c>
      <c r="H30" s="3">
        <f>1.36*Table15[[#This Row],[rpm]]*Table15[[#This Row],[motor]]/9550</f>
        <v>0</v>
      </c>
      <c r="I30" s="3">
        <f>1.36*Table15[[#This Row],[rpm]]*Table15[[#This Row],[motorEco]]/9550</f>
        <v>0</v>
      </c>
      <c r="J30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426.66666666666663</v>
      </c>
      <c r="K3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0" s="3">
        <f>(1-(1-Table15[[#This Row],[rpm]]/Table36[idleRpm])^2)*Table7[idleT]</f>
        <v>-3160.107421875</v>
      </c>
      <c r="N30" s="3">
        <f>MAX(0,(1-Table7[f1]*(Table36[maxTRpm1]-Table15[[#This Row],[rpm]])^2)*Table36[maxT])</f>
        <v>961.7751479289941</v>
      </c>
      <c r="O30" s="3">
        <f>MAX(0,(Table36[linearDown]*(1-Table7[f2]*(Table15[[#This Row],[rpm]]-Table36[maxTRpm]))+(1-Table36[linearDown])*(1-Table7[f3]*(Table15[[#This Row],[rpm]]-Table36[maxTRpm])^2))*Table36[maxT])</f>
        <v>992.12461300309587</v>
      </c>
      <c r="P30" s="3">
        <f>MAX(0,(Table36[maxPS]-Table7[f4]*(Table15[[#This Row],[rpm]]-Table36[maxPRpm])^2)/1.36*9550/MAX(1,Table15[[#This Row],[rpm]]))</f>
        <v>949.65875312891092</v>
      </c>
      <c r="Q30" s="3">
        <f>MAX(0,Table7[Nm2]*MIN(Table36[ratedRpm]/MAX(1,Table15[[#This Row],[rpm]]),1-(MAX(0,Table15[[#This Row],[rpm]]-Table36[ratedRpm])/Table36[fadeOut])^Table36[fadeOutExp]))</f>
        <v>0</v>
      </c>
      <c r="R30" s="3">
        <f>(1-(1-Table15[[#This Row],[rpm]]/Table36[idleRpm])^2)*Table7[idleTEco]</f>
        <v>-3160.107421875</v>
      </c>
      <c r="S30" s="3">
        <f>MAX(0,(1-Table7[f1]*(Table36[maxTRpm1]-Table15[[#This Row],[rpm]])^2)*Table36[maxTEco])</f>
        <v>961.7751479289941</v>
      </c>
      <c r="T30" s="3">
        <f>MAX(0,(Table36[linearDown]*(1-Table7[f2Eco]*(Table15[[#This Row],[rpm]]-Table36[maxTRpm]))+(1-Table36[linearDown])*(1-Table7[f3Eco]*(Table15[[#This Row],[rpm]]-Table36[maxTRpm])^2))*Table36[maxTEco])</f>
        <v>992.12461300309587</v>
      </c>
      <c r="U30" s="3">
        <f>MAX(0,(Table36[maxPSEco]-Table7[f4Eco]*(Table15[[#This Row],[rpm]]-Table36[maxPRpm])^2)/1.36*9550/MAX(1,Table15[[#This Row],[rpm]]))</f>
        <v>949.65875312891092</v>
      </c>
      <c r="V30" s="3">
        <f>MAX(0,Table7[Nm2Eco]*MIN(Table36[ratedRpm]/MAX(1,Table15[[#This Row],[rpm]]),1-(MAX(0,Table15[[#This Row],[rpm]]-Table36[ratedRpm])/Table36[fadeOut])^Table36[fadeOutExp]))</f>
        <v>0</v>
      </c>
      <c r="W3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995.04067584480595</v>
      </c>
      <c r="X3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995.04067584480595</v>
      </c>
      <c r="Y30" s="3">
        <f>ABS(Table15[[#This Row],[motor]]-Table15[[#This Row],[motorEco]])</f>
        <v>0</v>
      </c>
    </row>
    <row r="31" spans="1:25" x14ac:dyDescent="0.25">
      <c r="A31" s="3">
        <v>2400</v>
      </c>
      <c r="B3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1" s="20"/>
      <c r="D3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1" s="20"/>
      <c r="F31" s="3">
        <f>Table36[Factor]*IF(Table15[[#This Row],[manualData]]&gt;0,Table15[[#This Row],[manualData]],Table15[[#This Row],[rawData]])</f>
        <v>0</v>
      </c>
      <c r="G31" s="3">
        <f>Table36[Factor]*IF(Table15[[#This Row],[manDataEco]]&gt;0,Table15[[#This Row],[manDataEco]],Table15[[#This Row],[rawDataEco]])</f>
        <v>0</v>
      </c>
      <c r="H31" s="3">
        <f>1.36*Table15[[#This Row],[rpm]]*Table15[[#This Row],[motor]]/9550</f>
        <v>0</v>
      </c>
      <c r="I31" s="3">
        <f>1.36*Table15[[#This Row],[rpm]]*Table15[[#This Row],[motorEco]]/9550</f>
        <v>0</v>
      </c>
      <c r="J31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426.66666666666663</v>
      </c>
      <c r="K3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1" s="3">
        <f>(1-(1-Table15[[#This Row],[rpm]]/Table36[idleRpm])^2)*Table7[idleT]</f>
        <v>-3442.5</v>
      </c>
      <c r="N31" s="3">
        <f>MAX(0,(1-Table7[f1]*(Table36[maxTRpm1]-Table15[[#This Row],[rpm]])^2)*Table36[maxT])</f>
        <v>917.44082840236683</v>
      </c>
      <c r="O31" s="3">
        <f>MAX(0,(Table36[linearDown]*(1-Table7[f2]*(Table15[[#This Row],[rpm]]-Table36[maxTRpm]))+(1-Table36[linearDown])*(1-Table7[f3]*(Table15[[#This Row],[rpm]]-Table36[maxTRpm])^2))*Table36[maxT])</f>
        <v>958.25163398692803</v>
      </c>
      <c r="P31" s="3">
        <f>MAX(0,(Table36[maxPS]-Table7[f4]*(Table15[[#This Row],[rpm]]-Table36[maxPRpm])^2)/1.36*9550/MAX(1,Table15[[#This Row],[rpm]]))</f>
        <v>919.45082720588232</v>
      </c>
      <c r="Q31" s="3">
        <f>MAX(0,Table7[Nm2]*MIN(Table36[ratedRpm]/MAX(1,Table15[[#This Row],[rpm]]),1-(MAX(0,Table15[[#This Row],[rpm]]-Table36[ratedRpm])/Table36[fadeOut])^Table36[fadeOutExp]))</f>
        <v>0</v>
      </c>
      <c r="R31" s="3">
        <f>(1-(1-Table15[[#This Row],[rpm]]/Table36[idleRpm])^2)*Table7[idleTEco]</f>
        <v>-3442.5</v>
      </c>
      <c r="S31" s="3">
        <f>MAX(0,(1-Table7[f1]*(Table36[maxTRpm1]-Table15[[#This Row],[rpm]])^2)*Table36[maxTEco])</f>
        <v>917.44082840236683</v>
      </c>
      <c r="T31" s="3">
        <f>MAX(0,(Table36[linearDown]*(1-Table7[f2Eco]*(Table15[[#This Row],[rpm]]-Table36[maxTRpm]))+(1-Table36[linearDown])*(1-Table7[f3Eco]*(Table15[[#This Row],[rpm]]-Table36[maxTRpm])^2))*Table36[maxTEco])</f>
        <v>958.25163398692803</v>
      </c>
      <c r="U31" s="3">
        <f>MAX(0,(Table36[maxPSEco]-Table7[f4Eco]*(Table15[[#This Row],[rpm]]-Table36[maxPRpm])^2)/1.36*9550/MAX(1,Table15[[#This Row],[rpm]]))</f>
        <v>919.45082720588232</v>
      </c>
      <c r="V31" s="3">
        <f>MAX(0,Table7[Nm2Eco]*MIN(Table36[ratedRpm]/MAX(1,Table15[[#This Row],[rpm]]),1-(MAX(0,Table15[[#This Row],[rpm]]-Table36[ratedRpm])/Table36[fadeOut])^Table36[fadeOutExp]))</f>
        <v>0</v>
      </c>
      <c r="W3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974.31066176470586</v>
      </c>
      <c r="X3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974.31066176470586</v>
      </c>
      <c r="Y31" s="3">
        <f>ABS(Table15[[#This Row],[motor]]-Table15[[#This Row],[motorEco]])</f>
        <v>0</v>
      </c>
    </row>
    <row r="32" spans="1:25" x14ac:dyDescent="0.25">
      <c r="A32" s="3">
        <v>2450</v>
      </c>
      <c r="B3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2" s="20"/>
      <c r="D3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2" s="20"/>
      <c r="F32" s="3">
        <f>Table36[Factor]*IF(Table15[[#This Row],[manualData]]&gt;0,Table15[[#This Row],[manualData]],Table15[[#This Row],[rawData]])</f>
        <v>0</v>
      </c>
      <c r="G32" s="3">
        <f>Table36[Factor]*IF(Table15[[#This Row],[manDataEco]]&gt;0,Table15[[#This Row],[manDataEco]],Table15[[#This Row],[rawDataEco]])</f>
        <v>0</v>
      </c>
      <c r="H32" s="3">
        <f>1.36*Table15[[#This Row],[rpm]]*Table15[[#This Row],[motor]]/9550</f>
        <v>0</v>
      </c>
      <c r="I32" s="3">
        <f>1.36*Table15[[#This Row],[rpm]]*Table15[[#This Row],[motorEco]]/9550</f>
        <v>0</v>
      </c>
      <c r="J32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426.66666666666663</v>
      </c>
      <c r="K3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2" s="3">
        <f>(1-(1-Table15[[#This Row],[rpm]]/Table36[idleRpm])^2)*Table7[idleT]</f>
        <v>-3733.857421875</v>
      </c>
      <c r="N32" s="3">
        <f>MAX(0,(1-Table7[f1]*(Table36[maxTRpm1]-Table15[[#This Row],[rpm]])^2)*Table36[maxT])</f>
        <v>870.71005917159755</v>
      </c>
      <c r="O32" s="3">
        <f>MAX(0,(Table36[linearDown]*(1-Table7[f2]*(Table15[[#This Row],[rpm]]-Table36[maxTRpm]))+(1-Table36[linearDown])*(1-Table7[f3]*(Table15[[#This Row],[rpm]]-Table36[maxTRpm])^2))*Table36[maxT])</f>
        <v>922.9059167526658</v>
      </c>
      <c r="P32" s="3">
        <f>MAX(0,(Table36[maxPS]-Table7[f4]*(Table15[[#This Row],[rpm]]-Table36[maxPRpm])^2)/1.36*9550/MAX(1,Table15[[#This Row],[rpm]]))</f>
        <v>889.40107292917162</v>
      </c>
      <c r="Q32" s="3">
        <f>MAX(0,Table7[Nm2]*MIN(Table36[ratedRpm]/MAX(1,Table15[[#This Row],[rpm]]),1-(MAX(0,Table15[[#This Row],[rpm]]-Table36[ratedRpm])/Table36[fadeOut])^Table36[fadeOutExp]))</f>
        <v>0</v>
      </c>
      <c r="R32" s="3">
        <f>(1-(1-Table15[[#This Row],[rpm]]/Table36[idleRpm])^2)*Table7[idleTEco]</f>
        <v>-3733.857421875</v>
      </c>
      <c r="S32" s="3">
        <f>MAX(0,(1-Table7[f1]*(Table36[maxTRpm1]-Table15[[#This Row],[rpm]])^2)*Table36[maxTEco])</f>
        <v>870.71005917159755</v>
      </c>
      <c r="T32" s="3">
        <f>MAX(0,(Table36[linearDown]*(1-Table7[f2Eco]*(Table15[[#This Row],[rpm]]-Table36[maxTRpm]))+(1-Table36[linearDown])*(1-Table7[f3Eco]*(Table15[[#This Row],[rpm]]-Table36[maxTRpm])^2))*Table36[maxTEco])</f>
        <v>922.9059167526658</v>
      </c>
      <c r="U32" s="3">
        <f>MAX(0,(Table36[maxPSEco]-Table7[f4Eco]*(Table15[[#This Row],[rpm]]-Table36[maxPRpm])^2)/1.36*9550/MAX(1,Table15[[#This Row],[rpm]]))</f>
        <v>889.40107292917162</v>
      </c>
      <c r="V32" s="3">
        <f>MAX(0,Table7[Nm2Eco]*MIN(Table36[ratedRpm]/MAX(1,Table15[[#This Row],[rpm]]),1-(MAX(0,Table15[[#This Row],[rpm]]-Table36[ratedRpm])/Table36[fadeOut])^Table36[fadeOutExp]))</f>
        <v>0</v>
      </c>
      <c r="W3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954.42677070828324</v>
      </c>
      <c r="X3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954.42677070828324</v>
      </c>
      <c r="Y32" s="3">
        <f>ABS(Table15[[#This Row],[motor]]-Table15[[#This Row],[motorEco]])</f>
        <v>0</v>
      </c>
    </row>
    <row r="33" spans="1:25" x14ac:dyDescent="0.25">
      <c r="A33" s="3">
        <v>2500</v>
      </c>
      <c r="B3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3" s="20"/>
      <c r="D3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3" s="20"/>
      <c r="F33" s="3">
        <f>Table36[Factor]*IF(Table15[[#This Row],[manualData]]&gt;0,Table15[[#This Row],[manualData]],Table15[[#This Row],[rawData]])</f>
        <v>0</v>
      </c>
      <c r="G33" s="3">
        <f>Table36[Factor]*IF(Table15[[#This Row],[manDataEco]]&gt;0,Table15[[#This Row],[manDataEco]],Table15[[#This Row],[rawDataEco]])</f>
        <v>0</v>
      </c>
      <c r="H33" s="3">
        <f>1.36*Table15[[#This Row],[rpm]]*Table15[[#This Row],[motor]]/9550</f>
        <v>0</v>
      </c>
      <c r="I33" s="3">
        <f>1.36*Table15[[#This Row],[rpm]]*Table15[[#This Row],[motorEco]]/9550</f>
        <v>0</v>
      </c>
      <c r="J33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426.66666666666663</v>
      </c>
      <c r="K33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3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3" s="3">
        <f>(1-(1-Table15[[#This Row],[rpm]]/Table36[idleRpm])^2)*Table7[idleT]</f>
        <v>-4034.1796875</v>
      </c>
      <c r="N33" s="3">
        <f>MAX(0,(1-Table7[f1]*(Table36[maxTRpm1]-Table15[[#This Row],[rpm]])^2)*Table36[maxT])</f>
        <v>821.58284023668625</v>
      </c>
      <c r="O33" s="3">
        <f>MAX(0,(Table36[linearDown]*(1-Table7[f2]*(Table15[[#This Row],[rpm]]-Table36[maxTRpm]))+(1-Table36[linearDown])*(1-Table7[f3]*(Table15[[#This Row],[rpm]]-Table36[maxTRpm])^2))*Table36[maxT])</f>
        <v>886.08746130030954</v>
      </c>
      <c r="P33" s="3">
        <f>MAX(0,(Table36[maxPS]-Table7[f4]*(Table15[[#This Row],[rpm]]-Table36[maxPRpm])^2)/1.36*9550/MAX(1,Table15[[#This Row],[rpm]]))</f>
        <v>859.49999999999977</v>
      </c>
      <c r="Q33" s="3">
        <f>MAX(0,Table7[Nm2]*MIN(Table36[ratedRpm]/MAX(1,Table15[[#This Row],[rpm]]),1-(MAX(0,Table15[[#This Row],[rpm]]-Table36[ratedRpm])/Table36[fadeOut])^Table36[fadeOutExp]))</f>
        <v>0</v>
      </c>
      <c r="R33" s="3">
        <f>(1-(1-Table15[[#This Row],[rpm]]/Table36[idleRpm])^2)*Table7[idleTEco]</f>
        <v>-4034.1796875</v>
      </c>
      <c r="S33" s="3">
        <f>MAX(0,(1-Table7[f1]*(Table36[maxTRpm1]-Table15[[#This Row],[rpm]])^2)*Table36[maxTEco])</f>
        <v>821.58284023668625</v>
      </c>
      <c r="T33" s="3">
        <f>MAX(0,(Table36[linearDown]*(1-Table7[f2Eco]*(Table15[[#This Row],[rpm]]-Table36[maxTRpm]))+(1-Table36[linearDown])*(1-Table7[f3Eco]*(Table15[[#This Row],[rpm]]-Table36[maxTRpm])^2))*Table36[maxTEco])</f>
        <v>886.08746130030954</v>
      </c>
      <c r="U33" s="3">
        <f>MAX(0,(Table36[maxPSEco]-Table7[f4Eco]*(Table15[[#This Row],[rpm]]-Table36[maxPRpm])^2)/1.36*9550/MAX(1,Table15[[#This Row],[rpm]]))</f>
        <v>859.49999999999977</v>
      </c>
      <c r="V33" s="3">
        <f>MAX(0,Table7[Nm2Eco]*MIN(Table36[ratedRpm]/MAX(1,Table15[[#This Row],[rpm]]),1-(MAX(0,Table15[[#This Row],[rpm]]-Table36[ratedRpm])/Table36[fadeOut])^Table36[fadeOutExp]))</f>
        <v>0</v>
      </c>
      <c r="W3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935.33823529411757</v>
      </c>
      <c r="X3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935.33823529411757</v>
      </c>
      <c r="Y33" s="3">
        <f>ABS(Table15[[#This Row],[motor]]-Table15[[#This Row],[motorEco]])</f>
        <v>0</v>
      </c>
    </row>
    <row r="34" spans="1:25" x14ac:dyDescent="0.25">
      <c r="A34" s="3">
        <v>2550</v>
      </c>
      <c r="B3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4" s="20"/>
      <c r="D3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4" s="20"/>
      <c r="F34" s="3">
        <f>Table36[Factor]*IF(Table15[[#This Row],[manualData]]&gt;0,Table15[[#This Row],[manualData]],Table15[[#This Row],[rawData]])</f>
        <v>0</v>
      </c>
      <c r="G34" s="3">
        <f>Table36[Factor]*IF(Table15[[#This Row],[manDataEco]]&gt;0,Table15[[#This Row],[manDataEco]],Table15[[#This Row],[rawDataEco]])</f>
        <v>0</v>
      </c>
      <c r="H34" s="3">
        <f>1.36*Table15[[#This Row],[rpm]]*Table15[[#This Row],[motor]]/9550</f>
        <v>0</v>
      </c>
      <c r="I34" s="3">
        <f>1.36*Table15[[#This Row],[rpm]]*Table15[[#This Row],[motorEco]]/9550</f>
        <v>0</v>
      </c>
      <c r="J34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426.66666666666663</v>
      </c>
      <c r="K34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4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4" s="3">
        <f>(1-(1-Table15[[#This Row],[rpm]]/Table36[idleRpm])^2)*Table7[idleT]</f>
        <v>-4343.466796875</v>
      </c>
      <c r="N34" s="3">
        <f>MAX(0,(1-Table7[f1]*(Table36[maxTRpm1]-Table15[[#This Row],[rpm]])^2)*Table36[maxT])</f>
        <v>770.05917159763305</v>
      </c>
      <c r="O34" s="3">
        <f>MAX(0,(Table36[linearDown]*(1-Table7[f2]*(Table15[[#This Row],[rpm]]-Table36[maxTRpm]))+(1-Table36[linearDown])*(1-Table7[f3]*(Table15[[#This Row],[rpm]]-Table36[maxTRpm])^2))*Table36[maxT])</f>
        <v>847.7962676298589</v>
      </c>
      <c r="P34" s="3">
        <f>MAX(0,(Table36[maxPS]-Table7[f4]*(Table15[[#This Row],[rpm]]-Table36[maxPRpm])^2)/1.36*9550/MAX(1,Table15[[#This Row],[rpm]]))</f>
        <v>829.73886245674726</v>
      </c>
      <c r="Q34" s="3">
        <f>MAX(0,Table7[Nm2]*MIN(Table36[ratedRpm]/MAX(1,Table15[[#This Row],[rpm]]),1-(MAX(0,Table15[[#This Row],[rpm]]-Table36[ratedRpm])/Table36[fadeOut])^Table36[fadeOutExp]))</f>
        <v>0</v>
      </c>
      <c r="R34" s="3">
        <f>(1-(1-Table15[[#This Row],[rpm]]/Table36[idleRpm])^2)*Table7[idleTEco]</f>
        <v>-4343.466796875</v>
      </c>
      <c r="S34" s="3">
        <f>MAX(0,(1-Table7[f1]*(Table36[maxTRpm1]-Table15[[#This Row],[rpm]])^2)*Table36[maxTEco])</f>
        <v>770.05917159763305</v>
      </c>
      <c r="T34" s="3">
        <f>MAX(0,(Table36[linearDown]*(1-Table7[f2Eco]*(Table15[[#This Row],[rpm]]-Table36[maxTRpm]))+(1-Table36[linearDown])*(1-Table7[f3Eco]*(Table15[[#This Row],[rpm]]-Table36[maxTRpm])^2))*Table36[maxTEco])</f>
        <v>847.7962676298589</v>
      </c>
      <c r="U34" s="3">
        <f>MAX(0,(Table36[maxPSEco]-Table7[f4Eco]*(Table15[[#This Row],[rpm]]-Table36[maxPRpm])^2)/1.36*9550/MAX(1,Table15[[#This Row],[rpm]]))</f>
        <v>829.73886245674726</v>
      </c>
      <c r="V34" s="3">
        <f>MAX(0,Table7[Nm2Eco]*MIN(Table36[ratedRpm]/MAX(1,Table15[[#This Row],[rpm]]),1-(MAX(0,Table15[[#This Row],[rpm]]-Table36[ratedRpm])/Table36[fadeOut])^Table36[fadeOutExp]))</f>
        <v>0</v>
      </c>
      <c r="W3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916.99826989619373</v>
      </c>
      <c r="X3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916.99826989619373</v>
      </c>
      <c r="Y34" s="3">
        <f>ABS(Table15[[#This Row],[motor]]-Table15[[#This Row],[motorEco]])</f>
        <v>0</v>
      </c>
    </row>
    <row r="35" spans="1:25" x14ac:dyDescent="0.25">
      <c r="A35" s="3">
        <v>2600</v>
      </c>
      <c r="B3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5" s="20"/>
      <c r="D3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5" s="20"/>
      <c r="F35" s="3">
        <f>Table36[Factor]*IF(Table15[[#This Row],[manualData]]&gt;0,Table15[[#This Row],[manualData]],Table15[[#This Row],[rawData]])</f>
        <v>0</v>
      </c>
      <c r="G35" s="3">
        <f>Table36[Factor]*IF(Table15[[#This Row],[manDataEco]]&gt;0,Table15[[#This Row],[manDataEco]],Table15[[#This Row],[rawDataEco]])</f>
        <v>0</v>
      </c>
      <c r="H35" s="3">
        <f>1.36*Table15[[#This Row],[rpm]]*Table15[[#This Row],[motor]]/9550</f>
        <v>0</v>
      </c>
      <c r="I35" s="3">
        <f>1.36*Table15[[#This Row],[rpm]]*Table15[[#This Row],[motorEco]]/9550</f>
        <v>0</v>
      </c>
      <c r="J35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426.66666666666663</v>
      </c>
      <c r="K35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5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5" s="3">
        <f>(1-(1-Table15[[#This Row],[rpm]]/Table36[idleRpm])^2)*Table7[idleT]</f>
        <v>-4661.71875</v>
      </c>
      <c r="N35" s="3">
        <f>MAX(0,(1-Table7[f1]*(Table36[maxTRpm1]-Table15[[#This Row],[rpm]])^2)*Table36[maxT])</f>
        <v>716.13905325443784</v>
      </c>
      <c r="O35" s="3">
        <f>MAX(0,(Table36[linearDown]*(1-Table7[f2]*(Table15[[#This Row],[rpm]]-Table36[maxTRpm]))+(1-Table36[linearDown])*(1-Table7[f3]*(Table15[[#This Row],[rpm]]-Table36[maxTRpm])^2))*Table36[maxT])</f>
        <v>808.03233574131389</v>
      </c>
      <c r="P35" s="3">
        <f>MAX(0,(Table36[maxPS]-Table7[f4]*(Table15[[#This Row],[rpm]]-Table36[maxPRpm])^2)/1.36*9550/MAX(1,Table15[[#This Row],[rpm]]))</f>
        <v>800.10958710407226</v>
      </c>
      <c r="Q35" s="3">
        <f>MAX(0,Table7[Nm2]*MIN(Table36[ratedRpm]/MAX(1,Table15[[#This Row],[rpm]]),1-(MAX(0,Table15[[#This Row],[rpm]]-Table36[ratedRpm])/Table36[fadeOut])^Table36[fadeOutExp]))</f>
        <v>0</v>
      </c>
      <c r="R35" s="3">
        <f>(1-(1-Table15[[#This Row],[rpm]]/Table36[idleRpm])^2)*Table7[idleTEco]</f>
        <v>-4661.71875</v>
      </c>
      <c r="S35" s="3">
        <f>MAX(0,(1-Table7[f1]*(Table36[maxTRpm1]-Table15[[#This Row],[rpm]])^2)*Table36[maxTEco])</f>
        <v>716.13905325443784</v>
      </c>
      <c r="T35" s="3">
        <f>MAX(0,(Table36[linearDown]*(1-Table7[f2Eco]*(Table15[[#This Row],[rpm]]-Table36[maxTRpm]))+(1-Table36[linearDown])*(1-Table7[f3Eco]*(Table15[[#This Row],[rpm]]-Table36[maxTRpm])^2))*Table36[maxTEco])</f>
        <v>808.03233574131389</v>
      </c>
      <c r="U35" s="3">
        <f>MAX(0,(Table36[maxPSEco]-Table7[f4Eco]*(Table15[[#This Row],[rpm]]-Table36[maxPRpm])^2)/1.36*9550/MAX(1,Table15[[#This Row],[rpm]]))</f>
        <v>800.10958710407226</v>
      </c>
      <c r="V35" s="3">
        <f>MAX(0,Table7[Nm2Eco]*MIN(Table36[ratedRpm]/MAX(1,Table15[[#This Row],[rpm]]),1-(MAX(0,Table15[[#This Row],[rpm]]-Table36[ratedRpm])/Table36[fadeOut])^Table36[fadeOutExp]))</f>
        <v>0</v>
      </c>
      <c r="W3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899.36368778280541</v>
      </c>
      <c r="X3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899.36368778280541</v>
      </c>
      <c r="Y35" s="3">
        <f>ABS(Table15[[#This Row],[motor]]-Table15[[#This Row],[motorEco]])</f>
        <v>0</v>
      </c>
    </row>
    <row r="36" spans="1:25" x14ac:dyDescent="0.25">
      <c r="A36" s="3">
        <v>2650</v>
      </c>
      <c r="B3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6" s="20"/>
      <c r="D3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6" s="20"/>
      <c r="F36" s="3">
        <f>Table36[Factor]*IF(Table15[[#This Row],[manualData]]&gt;0,Table15[[#This Row],[manualData]],Table15[[#This Row],[rawData]])</f>
        <v>0</v>
      </c>
      <c r="G36" s="3">
        <f>Table36[Factor]*IF(Table15[[#This Row],[manDataEco]]&gt;0,Table15[[#This Row],[manDataEco]],Table15[[#This Row],[rawDataEco]])</f>
        <v>0</v>
      </c>
      <c r="H36" s="3">
        <f>1.36*Table15[[#This Row],[rpm]]*Table15[[#This Row],[motor]]/9550</f>
        <v>0</v>
      </c>
      <c r="I36" s="3">
        <f>1.36*Table15[[#This Row],[rpm]]*Table15[[#This Row],[motorEco]]/9550</f>
        <v>0</v>
      </c>
      <c r="J36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426.66666666666663</v>
      </c>
      <c r="K36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6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6" s="3">
        <f>(1-(1-Table15[[#This Row],[rpm]]/Table36[idleRpm])^2)*Table7[idleT]</f>
        <v>-4988.935546875</v>
      </c>
      <c r="N36" s="3">
        <f>MAX(0,(1-Table7[f1]*(Table36[maxTRpm1]-Table15[[#This Row],[rpm]])^2)*Table36[maxT])</f>
        <v>659.8224852071005</v>
      </c>
      <c r="O36" s="3">
        <f>MAX(0,(Table36[linearDown]*(1-Table7[f2]*(Table15[[#This Row],[rpm]]-Table36[maxTRpm]))+(1-Table36[linearDown])*(1-Table7[f3]*(Table15[[#This Row],[rpm]]-Table36[maxTRpm])^2))*Table36[maxT])</f>
        <v>766.79566563467472</v>
      </c>
      <c r="P36" s="3">
        <f>MAX(0,(Table36[maxPS]-Table7[f4]*(Table15[[#This Row],[rpm]]-Table36[maxPRpm])^2)/1.36*9550/MAX(1,Table15[[#This Row],[rpm]]))</f>
        <v>770.60471004439512</v>
      </c>
      <c r="Q36" s="3">
        <f>MAX(0,Table7[Nm2]*MIN(Table36[ratedRpm]/MAX(1,Table15[[#This Row],[rpm]]),1-(MAX(0,Table15[[#This Row],[rpm]]-Table36[ratedRpm])/Table36[fadeOut])^Table36[fadeOutExp]))</f>
        <v>0</v>
      </c>
      <c r="R36" s="3">
        <f>(1-(1-Table15[[#This Row],[rpm]]/Table36[idleRpm])^2)*Table7[idleTEco]</f>
        <v>-4988.935546875</v>
      </c>
      <c r="S36" s="3">
        <f>MAX(0,(1-Table7[f1]*(Table36[maxTRpm1]-Table15[[#This Row],[rpm]])^2)*Table36[maxTEco])</f>
        <v>659.8224852071005</v>
      </c>
      <c r="T36" s="3">
        <f>MAX(0,(Table36[linearDown]*(1-Table7[f2Eco]*(Table15[[#This Row],[rpm]]-Table36[maxTRpm]))+(1-Table36[linearDown])*(1-Table7[f3Eco]*(Table15[[#This Row],[rpm]]-Table36[maxTRpm])^2))*Table36[maxTEco])</f>
        <v>766.79566563467472</v>
      </c>
      <c r="U36" s="3">
        <f>MAX(0,(Table36[maxPSEco]-Table7[f4Eco]*(Table15[[#This Row],[rpm]]-Table36[maxPRpm])^2)/1.36*9550/MAX(1,Table15[[#This Row],[rpm]]))</f>
        <v>770.60471004439512</v>
      </c>
      <c r="V36" s="3">
        <f>MAX(0,Table7[Nm2Eco]*MIN(Table36[ratedRpm]/MAX(1,Table15[[#This Row],[rpm]]),1-(MAX(0,Table15[[#This Row],[rpm]]-Table36[ratedRpm])/Table36[fadeOut])^Table36[fadeOutExp]))</f>
        <v>0</v>
      </c>
      <c r="W3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882.39456159822419</v>
      </c>
      <c r="X3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882.39456159822419</v>
      </c>
      <c r="Y36" s="3">
        <f>ABS(Table15[[#This Row],[motor]]-Table15[[#This Row],[motorEco]])</f>
        <v>0</v>
      </c>
    </row>
    <row r="37" spans="1:25" x14ac:dyDescent="0.25">
      <c r="A37" s="3">
        <v>2750</v>
      </c>
      <c r="B3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7" s="20"/>
      <c r="D3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7" s="20"/>
      <c r="F37" s="3">
        <f>Table36[Factor]*IF(Table15[[#This Row],[manualData]]&gt;0,Table15[[#This Row],[manualData]],Table15[[#This Row],[rawData]])</f>
        <v>0</v>
      </c>
      <c r="G37" s="3">
        <f>Table36[Factor]*IF(Table15[[#This Row],[manDataEco]]&gt;0,Table15[[#This Row],[manDataEco]],Table15[[#This Row],[rawDataEco]])</f>
        <v>0</v>
      </c>
      <c r="H37" s="3">
        <f>1.36*Table15[[#This Row],[rpm]]*Table15[[#This Row],[motor]]/9550</f>
        <v>0</v>
      </c>
      <c r="I37" s="3">
        <f>1.36*Table15[[#This Row],[rpm]]*Table15[[#This Row],[motorEco]]/9550</f>
        <v>0</v>
      </c>
      <c r="J37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426.66666666666663</v>
      </c>
      <c r="K3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7" s="3">
        <f>(1-(1-Table15[[#This Row],[rpm]]/Table36[idleRpm])^2)*Table7[idleT]</f>
        <v>-5670.263671875</v>
      </c>
      <c r="N37" s="3">
        <f>MAX(0,(1-Table7[f1]*(Table36[maxTRpm1]-Table15[[#This Row],[rpm]])^2)*Table36[maxT])</f>
        <v>539.99999999999989</v>
      </c>
      <c r="O37" s="3">
        <f>MAX(0,(Table36[linearDown]*(1-Table7[f2]*(Table15[[#This Row],[rpm]]-Table36[maxTRpm]))+(1-Table36[linearDown])*(1-Table7[f3]*(Table15[[#This Row],[rpm]]-Table36[maxTRpm])^2))*Table36[maxT])</f>
        <v>679.90411076711371</v>
      </c>
      <c r="P37" s="3">
        <f>MAX(0,(Table36[maxPS]-Table7[f4]*(Table15[[#This Row],[rpm]]-Table36[maxPRpm])^2)/1.36*9550/MAX(1,Table15[[#This Row],[rpm]]))</f>
        <v>711.94100935828874</v>
      </c>
      <c r="Q37" s="3">
        <f>MAX(0,Table7[Nm2]*MIN(Table36[ratedRpm]/MAX(1,Table15[[#This Row],[rpm]]),1-(MAX(0,Table15[[#This Row],[rpm]]-Table36[ratedRpm])/Table36[fadeOut])^Table36[fadeOutExp]))</f>
        <v>0</v>
      </c>
      <c r="R37" s="3">
        <f>(1-(1-Table15[[#This Row],[rpm]]/Table36[idleRpm])^2)*Table7[idleTEco]</f>
        <v>-5670.263671875</v>
      </c>
      <c r="S37" s="3">
        <f>MAX(0,(1-Table7[f1]*(Table36[maxTRpm1]-Table15[[#This Row],[rpm]])^2)*Table36[maxTEco])</f>
        <v>539.99999999999989</v>
      </c>
      <c r="T37" s="3">
        <f>MAX(0,(Table36[linearDown]*(1-Table7[f2Eco]*(Table15[[#This Row],[rpm]]-Table36[maxTRpm]))+(1-Table36[linearDown])*(1-Table7[f3Eco]*(Table15[[#This Row],[rpm]]-Table36[maxTRpm])^2))*Table36[maxTEco])</f>
        <v>679.90411076711371</v>
      </c>
      <c r="U37" s="3">
        <f>MAX(0,(Table36[maxPSEco]-Table7[f4Eco]*(Table15[[#This Row],[rpm]]-Table36[maxPRpm])^2)/1.36*9550/MAX(1,Table15[[#This Row],[rpm]]))</f>
        <v>711.94100935828874</v>
      </c>
      <c r="V37" s="3">
        <f>MAX(0,Table7[Nm2Eco]*MIN(Table36[ratedRpm]/MAX(1,Table15[[#This Row],[rpm]]),1-(MAX(0,Table15[[#This Row],[rpm]]-Table36[ratedRpm])/Table36[fadeOut])^Table36[fadeOutExp]))</f>
        <v>0</v>
      </c>
      <c r="W3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850.30748663101599</v>
      </c>
      <c r="X3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850.30748663101599</v>
      </c>
      <c r="Y37" s="3">
        <f>ABS(Table15[[#This Row],[motor]]-Table15[[#This Row],[motorEco]])</f>
        <v>0</v>
      </c>
    </row>
    <row r="38" spans="1:25" x14ac:dyDescent="0.25">
      <c r="A38" s="3">
        <v>3000</v>
      </c>
      <c r="B3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8" s="20"/>
      <c r="D3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8" s="20"/>
      <c r="F38" s="3">
        <f>Table36[Factor]*IF(Table15[[#This Row],[manualData]]&gt;0,Table15[[#This Row],[manualData]],Table15[[#This Row],[rawData]])</f>
        <v>0</v>
      </c>
      <c r="G38" s="3">
        <f>Table36[Factor]*IF(Table15[[#This Row],[manDataEco]]&gt;0,Table15[[#This Row],[manDataEco]],Table15[[#This Row],[rawDataEco]])</f>
        <v>0</v>
      </c>
      <c r="H38" s="3">
        <f>1.36*Table15[[#This Row],[rpm]]*Table15[[#This Row],[motor]]/9550</f>
        <v>0</v>
      </c>
      <c r="I38" s="3">
        <f>1.36*Table15[[#This Row],[rpm]]*Table15[[#This Row],[motorEco]]/9550</f>
        <v>0</v>
      </c>
      <c r="J38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426.66666666666663</v>
      </c>
      <c r="K3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8" s="3">
        <f>(1-(1-Table15[[#This Row],[rpm]]/Table36[idleRpm])^2)*Table7[idleT]</f>
        <v>-7530.46875</v>
      </c>
      <c r="N38" s="3">
        <f>MAX(0,(1-Table7[f1]*(Table36[maxTRpm1]-Table15[[#This Row],[rpm]])^2)*Table36[maxT])</f>
        <v>198.50591715976319</v>
      </c>
      <c r="O38" s="3">
        <f>MAX(0,(Table36[linearDown]*(1-Table7[f2]*(Table15[[#This Row],[rpm]]-Table36[maxTRpm]))+(1-Table36[linearDown])*(1-Table7[f3]*(Table15[[#This Row],[rpm]]-Table36[maxTRpm])^2))*Table36[maxT])</f>
        <v>436.90230478156144</v>
      </c>
      <c r="P38" s="3">
        <f>MAX(0,(Table36[maxPS]-Table7[f4]*(Table15[[#This Row],[rpm]]-Table36[maxPRpm])^2)/1.36*9550/MAX(1,Table15[[#This Row],[rpm]]))</f>
        <v>567.03125</v>
      </c>
      <c r="Q38" s="3">
        <f>MAX(0,Table7[Nm2]*MIN(Table36[ratedRpm]/MAX(1,Table15[[#This Row],[rpm]]),1-(MAX(0,Table15[[#This Row],[rpm]]-Table36[ratedRpm])/Table36[fadeOut])^Table36[fadeOutExp]))</f>
        <v>0</v>
      </c>
      <c r="R38" s="3">
        <f>(1-(1-Table15[[#This Row],[rpm]]/Table36[idleRpm])^2)*Table7[idleTEco]</f>
        <v>-7530.46875</v>
      </c>
      <c r="S38" s="3">
        <f>MAX(0,(1-Table7[f1]*(Table36[maxTRpm1]-Table15[[#This Row],[rpm]])^2)*Table36[maxTEco])</f>
        <v>198.50591715976319</v>
      </c>
      <c r="T38" s="3">
        <f>MAX(0,(Table36[linearDown]*(1-Table7[f2Eco]*(Table15[[#This Row],[rpm]]-Table36[maxTRpm]))+(1-Table36[linearDown])*(1-Table7[f3Eco]*(Table15[[#This Row],[rpm]]-Table36[maxTRpm])^2))*Table36[maxTEco])</f>
        <v>436.90230478156144</v>
      </c>
      <c r="U38" s="3">
        <f>MAX(0,(Table36[maxPSEco]-Table7[f4Eco]*(Table15[[#This Row],[rpm]]-Table36[maxPRpm])^2)/1.36*9550/MAX(1,Table15[[#This Row],[rpm]]))</f>
        <v>567.03125</v>
      </c>
      <c r="V38" s="3">
        <f>MAX(0,Table7[Nm2Eco]*MIN(Table36[ratedRpm]/MAX(1,Table15[[#This Row],[rpm]]),1-(MAX(0,Table15[[#This Row],[rpm]]-Table36[ratedRpm])/Table36[fadeOut])^Table36[fadeOutExp]))</f>
        <v>0</v>
      </c>
      <c r="W3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779.44852941176464</v>
      </c>
      <c r="X3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779.44852941176464</v>
      </c>
      <c r="Y38" s="3">
        <f>ABS(Table15[[#This Row],[motor]]-Table15[[#This Row],[motorEco]])</f>
        <v>0</v>
      </c>
    </row>
    <row r="39" spans="1:25" x14ac:dyDescent="0.25">
      <c r="A39" s="3">
        <v>3250</v>
      </c>
      <c r="B3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9" s="20"/>
      <c r="D3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9" s="20"/>
      <c r="F39" s="3">
        <f>Table36[Factor]*IF(Table15[[#This Row],[manualData]]&gt;0,Table15[[#This Row],[manualData]],Table15[[#This Row],[rawData]])</f>
        <v>0</v>
      </c>
      <c r="G39" s="3">
        <f>Table36[Factor]*IF(Table15[[#This Row],[manDataEco]]&gt;0,Table15[[#This Row],[manDataEco]],Table15[[#This Row],[rawDataEco]])</f>
        <v>0</v>
      </c>
      <c r="H39" s="3">
        <f>1.36*Table15[[#This Row],[rpm]]*Table15[[#This Row],[motor]]/9550</f>
        <v>0</v>
      </c>
      <c r="I39" s="3">
        <f>1.36*Table15[[#This Row],[rpm]]*Table15[[#This Row],[motorEco]]/9550</f>
        <v>0</v>
      </c>
      <c r="J39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426.66666666666663</v>
      </c>
      <c r="K3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9" s="3">
        <f>(1-(1-Table15[[#This Row],[rpm]]/Table36[idleRpm])^2)*Table7[idleT]</f>
        <v>-9614.794921875</v>
      </c>
      <c r="N39" s="3">
        <f>MAX(0,(1-Table7[f1]*(Table36[maxTRpm1]-Table15[[#This Row],[rpm]])^2)*Table36[maxT])</f>
        <v>0</v>
      </c>
      <c r="O39" s="3">
        <f>MAX(0,(Table36[linearDown]*(1-Table7[f2]*(Table15[[#This Row],[rpm]]-Table36[maxTRpm]))+(1-Table36[linearDown])*(1-Table7[f3]*(Table15[[#This Row],[rpm]]-Table36[maxTRpm])^2))*Table36[maxT])</f>
        <v>157.08204334365286</v>
      </c>
      <c r="P39" s="3">
        <f>MAX(0,(Table36[maxPS]-Table7[f4]*(Table15[[#This Row],[rpm]]-Table36[maxPRpm])^2)/1.36*9550/MAX(1,Table15[[#This Row],[rpm]]))</f>
        <v>424.15936085972851</v>
      </c>
      <c r="Q39" s="3">
        <f>MAX(0,Table7[Nm2]*MIN(Table36[ratedRpm]/MAX(1,Table15[[#This Row],[rpm]]),1-(MAX(0,Table15[[#This Row],[rpm]]-Table36[ratedRpm])/Table36[fadeOut])^Table36[fadeOutExp]))</f>
        <v>0</v>
      </c>
      <c r="R39" s="3">
        <f>(1-(1-Table15[[#This Row],[rpm]]/Table36[idleRpm])^2)*Table7[idleTEco]</f>
        <v>-9614.794921875</v>
      </c>
      <c r="S39" s="3">
        <f>MAX(0,(1-Table7[f1]*(Table36[maxTRpm1]-Table15[[#This Row],[rpm]])^2)*Table36[maxTEco])</f>
        <v>0</v>
      </c>
      <c r="T39" s="3">
        <f>MAX(0,(Table36[linearDown]*(1-Table7[f2Eco]*(Table15[[#This Row],[rpm]]-Table36[maxTRpm]))+(1-Table36[linearDown])*(1-Table7[f3Eco]*(Table15[[#This Row],[rpm]]-Table36[maxTRpm])^2))*Table36[maxTEco])</f>
        <v>157.08204334365286</v>
      </c>
      <c r="U39" s="3">
        <f>MAX(0,(Table36[maxPSEco]-Table7[f4Eco]*(Table15[[#This Row],[rpm]]-Table36[maxPRpm])^2)/1.36*9550/MAX(1,Table15[[#This Row],[rpm]]))</f>
        <v>424.15936085972851</v>
      </c>
      <c r="V39" s="3">
        <f>MAX(0,Table7[Nm2Eco]*MIN(Table36[ratedRpm]/MAX(1,Table15[[#This Row],[rpm]]),1-(MAX(0,Table15[[#This Row],[rpm]]-Table36[ratedRpm])/Table36[fadeOut])^Table36[fadeOutExp]))</f>
        <v>0</v>
      </c>
      <c r="W3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719.49095022624431</v>
      </c>
      <c r="X3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719.49095022624431</v>
      </c>
      <c r="Y39" s="3">
        <f>ABS(Table15[[#This Row],[motor]]-Table15[[#This Row],[motorEco]])</f>
        <v>0</v>
      </c>
    </row>
    <row r="40" spans="1:25" x14ac:dyDescent="0.25">
      <c r="A40" s="3">
        <v>3500</v>
      </c>
      <c r="B4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0" s="20"/>
      <c r="D4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0" s="20"/>
      <c r="F40" s="3">
        <f>Table36[Factor]*IF(Table15[[#This Row],[manualData]]&gt;0,Table15[[#This Row],[manualData]],Table15[[#This Row],[rawData]])</f>
        <v>0</v>
      </c>
      <c r="G40" s="3">
        <f>Table36[Factor]*IF(Table15[[#This Row],[manDataEco]]&gt;0,Table15[[#This Row],[manDataEco]],Table15[[#This Row],[rawDataEco]])</f>
        <v>0</v>
      </c>
      <c r="H40" s="3">
        <f>1.36*Table15[[#This Row],[rpm]]*Table15[[#This Row],[motor]]/9550</f>
        <v>0</v>
      </c>
      <c r="I40" s="3">
        <f>1.36*Table15[[#This Row],[rpm]]*Table15[[#This Row],[motorEco]]/9550</f>
        <v>0</v>
      </c>
      <c r="J40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426.66666666666663</v>
      </c>
      <c r="K4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0" s="3">
        <f>(1-(1-Table15[[#This Row],[rpm]]/Table36[idleRpm])^2)*Table7[idleT]</f>
        <v>-11923.2421875</v>
      </c>
      <c r="N40" s="3">
        <f>MAX(0,(1-Table7[f1]*(Table36[maxTRpm1]-Table15[[#This Row],[rpm]])^2)*Table36[maxT])</f>
        <v>0</v>
      </c>
      <c r="O40" s="3">
        <f>MAX(0,(Table36[linearDown]*(1-Table7[f2]*(Table15[[#This Row],[rpm]]-Table36[maxTRpm]))+(1-Table36[linearDown])*(1-Table7[f3]*(Table15[[#This Row],[rpm]]-Table36[maxTRpm])^2))*Table36[maxT])</f>
        <v>0</v>
      </c>
      <c r="P40" s="3">
        <f>MAX(0,(Table36[maxPS]-Table7[f4]*(Table15[[#This Row],[rpm]]-Table36[maxPRpm])^2)/1.36*9550/MAX(1,Table15[[#This Row],[rpm]]))</f>
        <v>282.88865546218489</v>
      </c>
      <c r="Q40" s="3">
        <f>MAX(0,Table7[Nm2]*MIN(Table36[ratedRpm]/MAX(1,Table15[[#This Row],[rpm]]),1-(MAX(0,Table15[[#This Row],[rpm]]-Table36[ratedRpm])/Table36[fadeOut])^Table36[fadeOutExp]))</f>
        <v>0</v>
      </c>
      <c r="R40" s="3">
        <f>(1-(1-Table15[[#This Row],[rpm]]/Table36[idleRpm])^2)*Table7[idleTEco]</f>
        <v>-11923.2421875</v>
      </c>
      <c r="S40" s="3">
        <f>MAX(0,(1-Table7[f1]*(Table36[maxTRpm1]-Table15[[#This Row],[rpm]])^2)*Table36[maxTEco])</f>
        <v>0</v>
      </c>
      <c r="T40" s="3">
        <f>MAX(0,(Table36[linearDown]*(1-Table7[f2Eco]*(Table15[[#This Row],[rpm]]-Table36[maxTRpm]))+(1-Table36[linearDown])*(1-Table7[f3Eco]*(Table15[[#This Row],[rpm]]-Table36[maxTRpm])^2))*Table36[maxTEco])</f>
        <v>0</v>
      </c>
      <c r="U40" s="3">
        <f>MAX(0,(Table36[maxPSEco]-Table7[f4Eco]*(Table15[[#This Row],[rpm]]-Table36[maxPRpm])^2)/1.36*9550/MAX(1,Table15[[#This Row],[rpm]]))</f>
        <v>282.88865546218489</v>
      </c>
      <c r="V40" s="3">
        <f>MAX(0,Table7[Nm2Eco]*MIN(Table36[ratedRpm]/MAX(1,Table15[[#This Row],[rpm]]),1-(MAX(0,Table15[[#This Row],[rpm]]-Table36[ratedRpm])/Table36[fadeOut])^Table36[fadeOutExp]))</f>
        <v>0</v>
      </c>
      <c r="W4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668.09873949579833</v>
      </c>
      <c r="X4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668.09873949579833</v>
      </c>
      <c r="Y40" s="3">
        <f>ABS(Table15[[#This Row],[motor]]-Table15[[#This Row],[motorEco]])</f>
        <v>0</v>
      </c>
    </row>
    <row r="41" spans="1:25" x14ac:dyDescent="0.25">
      <c r="A41" s="3">
        <v>3750</v>
      </c>
      <c r="B4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1" s="20"/>
      <c r="D4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1" s="20"/>
      <c r="F41" s="3">
        <f>Table36[Factor]*IF(Table15[[#This Row],[manualData]]&gt;0,Table15[[#This Row],[manualData]],Table15[[#This Row],[rawData]])</f>
        <v>0</v>
      </c>
      <c r="G41" s="3">
        <f>Table36[Factor]*IF(Table15[[#This Row],[manDataEco]]&gt;0,Table15[[#This Row],[manDataEco]],Table15[[#This Row],[rawDataEco]])</f>
        <v>0</v>
      </c>
      <c r="H41" s="3">
        <f>1.36*Table15[[#This Row],[rpm]]*Table15[[#This Row],[motor]]/9550</f>
        <v>0</v>
      </c>
      <c r="I41" s="3">
        <f>1.36*Table15[[#This Row],[rpm]]*Table15[[#This Row],[motorEco]]/9550</f>
        <v>0</v>
      </c>
      <c r="J41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426.66666666666663</v>
      </c>
      <c r="K4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1" s="3">
        <f>(1-(1-Table15[[#This Row],[rpm]]/Table36[idleRpm])^2)*Table7[idleT]</f>
        <v>-14455.810546875</v>
      </c>
      <c r="N41" s="3">
        <f>MAX(0,(1-Table7[f1]*(Table36[maxTRpm1]-Table15[[#This Row],[rpm]])^2)*Table36[maxT])</f>
        <v>0</v>
      </c>
      <c r="O41" s="3">
        <f>MAX(0,(Table36[linearDown]*(1-Table7[f2]*(Table15[[#This Row],[rpm]]-Table36[maxTRpm]))+(1-Table36[linearDown])*(1-Table7[f3]*(Table15[[#This Row],[rpm]]-Table36[maxTRpm])^2))*Table36[maxT])</f>
        <v>0</v>
      </c>
      <c r="P41" s="3">
        <f>MAX(0,(Table36[maxPS]-Table7[f4]*(Table15[[#This Row],[rpm]]-Table36[maxPRpm])^2)/1.36*9550/MAX(1,Table15[[#This Row],[rpm]]))</f>
        <v>142.89889705882351</v>
      </c>
      <c r="Q41" s="3">
        <f>MAX(0,Table7[Nm2]*MIN(Table36[ratedRpm]/MAX(1,Table15[[#This Row],[rpm]]),1-(MAX(0,Table15[[#This Row],[rpm]]-Table36[ratedRpm])/Table36[fadeOut])^Table36[fadeOutExp]))</f>
        <v>0</v>
      </c>
      <c r="R41" s="3">
        <f>(1-(1-Table15[[#This Row],[rpm]]/Table36[idleRpm])^2)*Table7[idleTEco]</f>
        <v>-14455.810546875</v>
      </c>
      <c r="S41" s="3">
        <f>MAX(0,(1-Table7[f1]*(Table36[maxTRpm1]-Table15[[#This Row],[rpm]])^2)*Table36[maxTEco])</f>
        <v>0</v>
      </c>
      <c r="T41" s="3">
        <f>MAX(0,(Table36[linearDown]*(1-Table7[f2Eco]*(Table15[[#This Row],[rpm]]-Table36[maxTRpm]))+(1-Table36[linearDown])*(1-Table7[f3Eco]*(Table15[[#This Row],[rpm]]-Table36[maxTRpm])^2))*Table36[maxTEco])</f>
        <v>0</v>
      </c>
      <c r="U41" s="3">
        <f>MAX(0,(Table36[maxPSEco]-Table7[f4Eco]*(Table15[[#This Row],[rpm]]-Table36[maxPRpm])^2)/1.36*9550/MAX(1,Table15[[#This Row],[rpm]]))</f>
        <v>142.89889705882351</v>
      </c>
      <c r="V41" s="3">
        <f>MAX(0,Table7[Nm2Eco]*MIN(Table36[ratedRpm]/MAX(1,Table15[[#This Row],[rpm]]),1-(MAX(0,Table15[[#This Row],[rpm]]-Table36[ratedRpm])/Table36[fadeOut])^Table36[fadeOutExp]))</f>
        <v>0</v>
      </c>
      <c r="W4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623.55882352941171</v>
      </c>
      <c r="X4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623.55882352941171</v>
      </c>
      <c r="Y41" s="3">
        <f>ABS(Table15[[#This Row],[motor]]-Table15[[#This Row],[motorEco]])</f>
        <v>0</v>
      </c>
    </row>
    <row r="42" spans="1:25" x14ac:dyDescent="0.25">
      <c r="A42" s="3">
        <v>4000</v>
      </c>
      <c r="B4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2" s="20"/>
      <c r="D4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2" s="20"/>
      <c r="F42" s="3">
        <f>Table36[Factor]*IF(Table15[[#This Row],[manualData]]&gt;0,Table15[[#This Row],[manualData]],Table15[[#This Row],[rawData]])</f>
        <v>0</v>
      </c>
      <c r="G42" s="3">
        <f>Table36[Factor]*IF(Table15[[#This Row],[manDataEco]]&gt;0,Table15[[#This Row],[manDataEco]],Table15[[#This Row],[rawDataEco]])</f>
        <v>0</v>
      </c>
      <c r="H42" s="3">
        <f>1.36*Table15[[#This Row],[rpm]]*Table15[[#This Row],[motor]]/9550</f>
        <v>0</v>
      </c>
      <c r="I42" s="3">
        <f>1.36*Table15[[#This Row],[rpm]]*Table15[[#This Row],[motorEco]]/9550</f>
        <v>0</v>
      </c>
      <c r="J42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426.66666666666663</v>
      </c>
      <c r="K4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2" s="3">
        <f>(1-(1-Table15[[#This Row],[rpm]]/Table36[idleRpm])^2)*Table7[idleT]</f>
        <v>-17212.5</v>
      </c>
      <c r="N42" s="3">
        <f>MAX(0,(1-Table7[f1]*(Table36[maxTRpm1]-Table15[[#This Row],[rpm]])^2)*Table36[maxT])</f>
        <v>0</v>
      </c>
      <c r="O42" s="3">
        <f>MAX(0,(Table36[linearDown]*(1-Table7[f2]*(Table15[[#This Row],[rpm]]-Table36[maxTRpm]))+(1-Table36[linearDown])*(1-Table7[f3]*(Table15[[#This Row],[rpm]]-Table36[maxTRpm])^2))*Table36[maxT])</f>
        <v>0</v>
      </c>
      <c r="P42" s="3">
        <f>MAX(0,(Table36[maxPS]-Table7[f4]*(Table15[[#This Row],[rpm]]-Table36[maxPRpm])^2)/1.36*9550/MAX(1,Table15[[#This Row],[rpm]]))</f>
        <v>3.9499080882353939</v>
      </c>
      <c r="Q42" s="3">
        <f>MAX(0,Table7[Nm2]*MIN(Table36[ratedRpm]/MAX(1,Table15[[#This Row],[rpm]]),1-(MAX(0,Table15[[#This Row],[rpm]]-Table36[ratedRpm])/Table36[fadeOut])^Table36[fadeOutExp]))</f>
        <v>0</v>
      </c>
      <c r="R42" s="3">
        <f>(1-(1-Table15[[#This Row],[rpm]]/Table36[idleRpm])^2)*Table7[idleTEco]</f>
        <v>-17212.5</v>
      </c>
      <c r="S42" s="3">
        <f>MAX(0,(1-Table7[f1]*(Table36[maxTRpm1]-Table15[[#This Row],[rpm]])^2)*Table36[maxTEco])</f>
        <v>0</v>
      </c>
      <c r="T42" s="3">
        <f>MAX(0,(Table36[linearDown]*(1-Table7[f2Eco]*(Table15[[#This Row],[rpm]]-Table36[maxTRpm]))+(1-Table36[linearDown])*(1-Table7[f3Eco]*(Table15[[#This Row],[rpm]]-Table36[maxTRpm])^2))*Table36[maxTEco])</f>
        <v>0</v>
      </c>
      <c r="U42" s="3">
        <f>MAX(0,(Table36[maxPSEco]-Table7[f4Eco]*(Table15[[#This Row],[rpm]]-Table36[maxPRpm])^2)/1.36*9550/MAX(1,Table15[[#This Row],[rpm]]))</f>
        <v>3.9499080882353939</v>
      </c>
      <c r="V42" s="3">
        <f>MAX(0,Table7[Nm2Eco]*MIN(Table36[ratedRpm]/MAX(1,Table15[[#This Row],[rpm]]),1-(MAX(0,Table15[[#This Row],[rpm]]-Table36[ratedRpm])/Table36[fadeOut])^Table36[fadeOutExp]))</f>
        <v>0</v>
      </c>
      <c r="W4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584.58639705882354</v>
      </c>
      <c r="X4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584.58639705882354</v>
      </c>
      <c r="Y42" s="3">
        <f>ABS(Table15[[#This Row],[motor]]-Table15[[#This Row],[motorEco]])</f>
        <v>0</v>
      </c>
    </row>
    <row r="43" spans="1:25" x14ac:dyDescent="0.25">
      <c r="A43" s="3">
        <v>4250</v>
      </c>
      <c r="B4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3" s="20"/>
      <c r="D4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3" s="20"/>
      <c r="F43" s="3">
        <f>Table36[Factor]*IF(Table15[[#This Row],[manualData]]&gt;0,Table15[[#This Row],[manualData]],Table15[[#This Row],[rawData]])</f>
        <v>0</v>
      </c>
      <c r="G43" s="3">
        <f>Table36[Factor]*IF(Table15[[#This Row],[manDataEco]]&gt;0,Table15[[#This Row],[manDataEco]],Table15[[#This Row],[rawDataEco]])</f>
        <v>0</v>
      </c>
      <c r="H43" s="3">
        <f>1.36*Table15[[#This Row],[rpm]]*Table15[[#This Row],[motor]]/9550</f>
        <v>0</v>
      </c>
      <c r="I43" s="3">
        <f>1.36*Table15[[#This Row],[rpm]]*Table15[[#This Row],[motorEco]]/9550</f>
        <v>0</v>
      </c>
      <c r="J43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426.66666666666663</v>
      </c>
      <c r="K43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3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3" s="3">
        <f>(1-(1-Table15[[#This Row],[rpm]]/Table36[idleRpm])^2)*Table7[idleT]</f>
        <v>-20193.310546875</v>
      </c>
      <c r="N43" s="3">
        <f>MAX(0,(1-Table7[f1]*(Table36[maxTRpm1]-Table15[[#This Row],[rpm]])^2)*Table36[maxT])</f>
        <v>0</v>
      </c>
      <c r="O43" s="3">
        <f>MAX(0,(Table36[linearDown]*(1-Table7[f2]*(Table15[[#This Row],[rpm]]-Table36[maxTRpm]))+(1-Table36[linearDown])*(1-Table7[f3]*(Table15[[#This Row],[rpm]]-Table36[maxTRpm])^2))*Table36[maxT])</f>
        <v>0</v>
      </c>
      <c r="P43" s="3">
        <f>MAX(0,(Table36[maxPS]-Table7[f4]*(Table15[[#This Row],[rpm]]-Table36[maxPRpm])^2)/1.36*9550/MAX(1,Table15[[#This Row],[rpm]]))</f>
        <v>0</v>
      </c>
      <c r="Q43" s="3">
        <f>MAX(0,Table7[Nm2]*MIN(Table36[ratedRpm]/MAX(1,Table15[[#This Row],[rpm]]),1-(MAX(0,Table15[[#This Row],[rpm]]-Table36[ratedRpm])/Table36[fadeOut])^Table36[fadeOutExp]))</f>
        <v>0</v>
      </c>
      <c r="R43" s="3">
        <f>(1-(1-Table15[[#This Row],[rpm]]/Table36[idleRpm])^2)*Table7[idleTEco]</f>
        <v>-20193.310546875</v>
      </c>
      <c r="S43" s="3">
        <f>MAX(0,(1-Table7[f1]*(Table36[maxTRpm1]-Table15[[#This Row],[rpm]])^2)*Table36[maxTEco])</f>
        <v>0</v>
      </c>
      <c r="T43" s="3">
        <f>MAX(0,(Table36[linearDown]*(1-Table7[f2Eco]*(Table15[[#This Row],[rpm]]-Table36[maxTRpm]))+(1-Table36[linearDown])*(1-Table7[f3Eco]*(Table15[[#This Row],[rpm]]-Table36[maxTRpm])^2))*Table36[maxTEco])</f>
        <v>0</v>
      </c>
      <c r="U43" s="3">
        <f>MAX(0,(Table36[maxPSEco]-Table7[f4Eco]*(Table15[[#This Row],[rpm]]-Table36[maxPRpm])^2)/1.36*9550/MAX(1,Table15[[#This Row],[rpm]]))</f>
        <v>0</v>
      </c>
      <c r="V43" s="3">
        <f>MAX(0,Table7[Nm2Eco]*MIN(Table36[ratedRpm]/MAX(1,Table15[[#This Row],[rpm]]),1-(MAX(0,Table15[[#This Row],[rpm]]-Table36[ratedRpm])/Table36[fadeOut])^Table36[fadeOutExp]))</f>
        <v>0</v>
      </c>
      <c r="W4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550.19896193771626</v>
      </c>
      <c r="X4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550.19896193771626</v>
      </c>
      <c r="Y43" s="3">
        <f>ABS(Table15[[#This Row],[motor]]-Table15[[#This Row],[motorEco]])</f>
        <v>0</v>
      </c>
    </row>
    <row r="44" spans="1:25" x14ac:dyDescent="0.25">
      <c r="A44" s="3">
        <v>4500</v>
      </c>
      <c r="B4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4" s="20"/>
      <c r="D4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4" s="20"/>
      <c r="F44" s="3">
        <f>Table36[Factor]*IF(Table15[[#This Row],[manualData]]&gt;0,Table15[[#This Row],[manualData]],Table15[[#This Row],[rawData]])</f>
        <v>0</v>
      </c>
      <c r="G44" s="3">
        <f>Table36[Factor]*IF(Table15[[#This Row],[manDataEco]]&gt;0,Table15[[#This Row],[manDataEco]],Table15[[#This Row],[rawDataEco]])</f>
        <v>0</v>
      </c>
      <c r="H44" s="3">
        <f>1.36*Table15[[#This Row],[rpm]]*Table15[[#This Row],[motor]]/9550</f>
        <v>0</v>
      </c>
      <c r="I44" s="3">
        <f>1.36*Table15[[#This Row],[rpm]]*Table15[[#This Row],[motorEco]]/9550</f>
        <v>0</v>
      </c>
      <c r="J44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426.66666666666663</v>
      </c>
      <c r="K44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4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4" s="3">
        <f>(1-(1-Table15[[#This Row],[rpm]]/Table36[idleRpm])^2)*Table7[idleT]</f>
        <v>-23398.2421875</v>
      </c>
      <c r="N44" s="3">
        <f>MAX(0,(1-Table7[f1]*(Table36[maxTRpm1]-Table15[[#This Row],[rpm]])^2)*Table36[maxT])</f>
        <v>0</v>
      </c>
      <c r="O44" s="3">
        <f>MAX(0,(Table36[linearDown]*(1-Table7[f2]*(Table15[[#This Row],[rpm]]-Table36[maxTRpm]))+(1-Table36[linearDown])*(1-Table7[f3]*(Table15[[#This Row],[rpm]]-Table36[maxTRpm])^2))*Table36[maxT])</f>
        <v>0</v>
      </c>
      <c r="P44" s="3">
        <f>MAX(0,(Table36[maxPS]-Table7[f4]*(Table15[[#This Row],[rpm]]-Table36[maxPRpm])^2)/1.36*9550/MAX(1,Table15[[#This Row],[rpm]]))</f>
        <v>0</v>
      </c>
      <c r="Q44" s="3">
        <f>MAX(0,Table7[Nm2]*MIN(Table36[ratedRpm]/MAX(1,Table15[[#This Row],[rpm]]),1-(MAX(0,Table15[[#This Row],[rpm]]-Table36[ratedRpm])/Table36[fadeOut])^Table36[fadeOutExp]))</f>
        <v>0</v>
      </c>
      <c r="R44" s="3">
        <f>(1-(1-Table15[[#This Row],[rpm]]/Table36[idleRpm])^2)*Table7[idleTEco]</f>
        <v>-23398.2421875</v>
      </c>
      <c r="S44" s="3">
        <f>MAX(0,(1-Table7[f1]*(Table36[maxTRpm1]-Table15[[#This Row],[rpm]])^2)*Table36[maxTEco])</f>
        <v>0</v>
      </c>
      <c r="T44" s="3">
        <f>MAX(0,(Table36[linearDown]*(1-Table7[f2Eco]*(Table15[[#This Row],[rpm]]-Table36[maxTRpm]))+(1-Table36[linearDown])*(1-Table7[f3Eco]*(Table15[[#This Row],[rpm]]-Table36[maxTRpm])^2))*Table36[maxTEco])</f>
        <v>0</v>
      </c>
      <c r="U44" s="3">
        <f>MAX(0,(Table36[maxPSEco]-Table7[f4Eco]*(Table15[[#This Row],[rpm]]-Table36[maxPRpm])^2)/1.36*9550/MAX(1,Table15[[#This Row],[rpm]]))</f>
        <v>0</v>
      </c>
      <c r="V44" s="3">
        <f>MAX(0,Table7[Nm2Eco]*MIN(Table36[ratedRpm]/MAX(1,Table15[[#This Row],[rpm]]),1-(MAX(0,Table15[[#This Row],[rpm]]-Table36[ratedRpm])/Table36[fadeOut])^Table36[fadeOutExp]))</f>
        <v>0</v>
      </c>
      <c r="W4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519.63235294117646</v>
      </c>
      <c r="X4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519.63235294117646</v>
      </c>
      <c r="Y44" s="3">
        <f>ABS(Table15[[#This Row],[motor]]-Table15[[#This Row],[motorEco]])</f>
        <v>0</v>
      </c>
    </row>
    <row r="45" spans="1:25" x14ac:dyDescent="0.25">
      <c r="A45" s="3">
        <v>4750</v>
      </c>
      <c r="B4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5" s="20"/>
      <c r="D4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5" s="20"/>
      <c r="F45" s="3">
        <f>Table36[Factor]*IF(Table15[[#This Row],[manualData]]&gt;0,Table15[[#This Row],[manualData]],Table15[[#This Row],[rawData]])</f>
        <v>0</v>
      </c>
      <c r="G45" s="3">
        <f>Table36[Factor]*IF(Table15[[#This Row],[manDataEco]]&gt;0,Table15[[#This Row],[manDataEco]],Table15[[#This Row],[rawDataEco]])</f>
        <v>0</v>
      </c>
      <c r="H45" s="3">
        <f>1.36*Table15[[#This Row],[rpm]]*Table15[[#This Row],[motor]]/9550</f>
        <v>0</v>
      </c>
      <c r="I45" s="3">
        <f>1.36*Table15[[#This Row],[rpm]]*Table15[[#This Row],[motorEco]]/9550</f>
        <v>0</v>
      </c>
      <c r="J45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426.66666666666663</v>
      </c>
      <c r="K45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5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5" s="3">
        <f>(1-(1-Table15[[#This Row],[rpm]]/Table36[idleRpm])^2)*Table7[idleT]</f>
        <v>-26827.294921875</v>
      </c>
      <c r="N45" s="3">
        <f>MAX(0,(1-Table7[f1]*(Table36[maxTRpm1]-Table15[[#This Row],[rpm]])^2)*Table36[maxT])</f>
        <v>0</v>
      </c>
      <c r="O45" s="3">
        <f>MAX(0,(Table36[linearDown]*(1-Table7[f2]*(Table15[[#This Row],[rpm]]-Table36[maxTRpm]))+(1-Table36[linearDown])*(1-Table7[f3]*(Table15[[#This Row],[rpm]]-Table36[maxTRpm])^2))*Table36[maxT])</f>
        <v>0</v>
      </c>
      <c r="P45" s="3">
        <f>MAX(0,(Table36[maxPS]-Table7[f4]*(Table15[[#This Row],[rpm]]-Table36[maxPRpm])^2)/1.36*9550/MAX(1,Table15[[#This Row],[rpm]]))</f>
        <v>0</v>
      </c>
      <c r="Q45" s="3">
        <f>MAX(0,Table7[Nm2]*MIN(Table36[ratedRpm]/MAX(1,Table15[[#This Row],[rpm]]),1-(MAX(0,Table15[[#This Row],[rpm]]-Table36[ratedRpm])/Table36[fadeOut])^Table36[fadeOutExp]))</f>
        <v>0</v>
      </c>
      <c r="R45" s="3">
        <f>(1-(1-Table15[[#This Row],[rpm]]/Table36[idleRpm])^2)*Table7[idleTEco]</f>
        <v>-26827.294921875</v>
      </c>
      <c r="S45" s="3">
        <f>MAX(0,(1-Table7[f1]*(Table36[maxTRpm1]-Table15[[#This Row],[rpm]])^2)*Table36[maxTEco])</f>
        <v>0</v>
      </c>
      <c r="T45" s="3">
        <f>MAX(0,(Table36[linearDown]*(1-Table7[f2Eco]*(Table15[[#This Row],[rpm]]-Table36[maxTRpm]))+(1-Table36[linearDown])*(1-Table7[f3Eco]*(Table15[[#This Row],[rpm]]-Table36[maxTRpm])^2))*Table36[maxTEco])</f>
        <v>0</v>
      </c>
      <c r="U45" s="3">
        <f>MAX(0,(Table36[maxPSEco]-Table7[f4Eco]*(Table15[[#This Row],[rpm]]-Table36[maxPRpm])^2)/1.36*9550/MAX(1,Table15[[#This Row],[rpm]]))</f>
        <v>0</v>
      </c>
      <c r="V45" s="3">
        <f>MAX(0,Table7[Nm2Eco]*MIN(Table36[ratedRpm]/MAX(1,Table15[[#This Row],[rpm]]),1-(MAX(0,Table15[[#This Row],[rpm]]-Table36[ratedRpm])/Table36[fadeOut])^Table36[fadeOutExp]))</f>
        <v>0</v>
      </c>
      <c r="W4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492.28328173374609</v>
      </c>
      <c r="X4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492.28328173374609</v>
      </c>
      <c r="Y45" s="3">
        <f>ABS(Table15[[#This Row],[motor]]-Table15[[#This Row],[motorEco]])</f>
        <v>0</v>
      </c>
    </row>
    <row r="46" spans="1:25" x14ac:dyDescent="0.25">
      <c r="A46" s="3">
        <v>5000</v>
      </c>
      <c r="B4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6" s="20"/>
      <c r="D4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6" s="20"/>
      <c r="F46" s="3">
        <f>Table36[Factor]*IF(Table15[[#This Row],[manualData]]&gt;0,Table15[[#This Row],[manualData]],Table15[[#This Row],[rawData]])</f>
        <v>0</v>
      </c>
      <c r="G46" s="3">
        <f>Table36[Factor]*IF(Table15[[#This Row],[manDataEco]]&gt;0,Table15[[#This Row],[manDataEco]],Table15[[#This Row],[rawDataEco]])</f>
        <v>0</v>
      </c>
      <c r="H46" s="3">
        <f>1.36*Table15[[#This Row],[rpm]]*Table15[[#This Row],[motor]]/9550</f>
        <v>0</v>
      </c>
      <c r="I46" s="3">
        <f>1.36*Table15[[#This Row],[rpm]]*Table15[[#This Row],[motorEco]]/9550</f>
        <v>0</v>
      </c>
      <c r="J46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426.66666666666663</v>
      </c>
      <c r="K46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6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6" s="3">
        <f>(1-(1-Table15[[#This Row],[rpm]]/Table36[idleRpm])^2)*Table7[idleT]</f>
        <v>-30480.46875</v>
      </c>
      <c r="N46" s="3">
        <f>MAX(0,(1-Table7[f1]*(Table36[maxTRpm1]-Table15[[#This Row],[rpm]])^2)*Table36[maxT])</f>
        <v>0</v>
      </c>
      <c r="O46" s="3">
        <f>MAX(0,(Table36[linearDown]*(1-Table7[f2]*(Table15[[#This Row],[rpm]]-Table36[maxTRpm]))+(1-Table36[linearDown])*(1-Table7[f3]*(Table15[[#This Row],[rpm]]-Table36[maxTRpm])^2))*Table36[maxT])</f>
        <v>0</v>
      </c>
      <c r="P46" s="3">
        <f>MAX(0,(Table36[maxPS]-Table7[f4]*(Table15[[#This Row],[rpm]]-Table36[maxPRpm])^2)/1.36*9550/MAX(1,Table15[[#This Row],[rpm]]))</f>
        <v>0</v>
      </c>
      <c r="Q46" s="3">
        <f>MAX(0,Table7[Nm2]*MIN(Table36[ratedRpm]/MAX(1,Table15[[#This Row],[rpm]]),1-(MAX(0,Table15[[#This Row],[rpm]]-Table36[ratedRpm])/Table36[fadeOut])^Table36[fadeOutExp]))</f>
        <v>0</v>
      </c>
      <c r="R46" s="3">
        <f>(1-(1-Table15[[#This Row],[rpm]]/Table36[idleRpm])^2)*Table7[idleTEco]</f>
        <v>-30480.46875</v>
      </c>
      <c r="S46" s="3">
        <f>MAX(0,(1-Table7[f1]*(Table36[maxTRpm1]-Table15[[#This Row],[rpm]])^2)*Table36[maxTEco])</f>
        <v>0</v>
      </c>
      <c r="T46" s="3">
        <f>MAX(0,(Table36[linearDown]*(1-Table7[f2Eco]*(Table15[[#This Row],[rpm]]-Table36[maxTRpm]))+(1-Table36[linearDown])*(1-Table7[f3Eco]*(Table15[[#This Row],[rpm]]-Table36[maxTRpm])^2))*Table36[maxTEco])</f>
        <v>0</v>
      </c>
      <c r="U46" s="3">
        <f>MAX(0,(Table36[maxPSEco]-Table7[f4Eco]*(Table15[[#This Row],[rpm]]-Table36[maxPRpm])^2)/1.36*9550/MAX(1,Table15[[#This Row],[rpm]]))</f>
        <v>0</v>
      </c>
      <c r="V46" s="3">
        <f>MAX(0,Table7[Nm2Eco]*MIN(Table36[ratedRpm]/MAX(1,Table15[[#This Row],[rpm]]),1-(MAX(0,Table15[[#This Row],[rpm]]-Table36[ratedRpm])/Table36[fadeOut])^Table36[fadeOutExp]))</f>
        <v>0</v>
      </c>
      <c r="W4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467.66911764705878</v>
      </c>
      <c r="X4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467.66911764705878</v>
      </c>
      <c r="Y46" s="3">
        <f>ABS(Table15[[#This Row],[motor]]-Table15[[#This Row],[motorEco]])</f>
        <v>0</v>
      </c>
    </row>
    <row r="47" spans="1:25" x14ac:dyDescent="0.25">
      <c r="A47" s="3">
        <v>5250</v>
      </c>
      <c r="B4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7" s="20"/>
      <c r="D4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7" s="20"/>
      <c r="F47" s="3">
        <f>Table36[Factor]*IF(Table15[[#This Row],[manualData]]&gt;0,Table15[[#This Row],[manualData]],Table15[[#This Row],[rawData]])</f>
        <v>0</v>
      </c>
      <c r="G47" s="3">
        <f>Table36[Factor]*IF(Table15[[#This Row],[manDataEco]]&gt;0,Table15[[#This Row],[manDataEco]],Table15[[#This Row],[rawDataEco]])</f>
        <v>0</v>
      </c>
      <c r="H47" s="3">
        <f>1.36*Table15[[#This Row],[rpm]]*Table15[[#This Row],[motor]]/9550</f>
        <v>0</v>
      </c>
      <c r="I47" s="3">
        <f>1.36*Table15[[#This Row],[rpm]]*Table15[[#This Row],[motorEco]]/9550</f>
        <v>0</v>
      </c>
      <c r="J47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426.66666666666663</v>
      </c>
      <c r="K47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7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7" s="3">
        <f>(1-(1-Table15[[#This Row],[rpm]]/Table36[idleRpm])^2)*Table7[idleT]</f>
        <v>-34357.763671875</v>
      </c>
      <c r="N47" s="3">
        <f>MAX(0,(1-Table7[f1]*(Table36[maxTRpm1]-Table15[[#This Row],[rpm]])^2)*Table36[maxT])</f>
        <v>0</v>
      </c>
      <c r="O47" s="3">
        <f>MAX(0,(Table36[linearDown]*(1-Table7[f2]*(Table15[[#This Row],[rpm]]-Table36[maxTRpm]))+(1-Table36[linearDown])*(1-Table7[f3]*(Table15[[#This Row],[rpm]]-Table36[maxTRpm])^2))*Table36[maxT])</f>
        <v>0</v>
      </c>
      <c r="P47" s="3">
        <f>MAX(0,(Table36[maxPS]-Table7[f4]*(Table15[[#This Row],[rpm]]-Table36[maxPRpm])^2)/1.36*9550/MAX(1,Table15[[#This Row],[rpm]]))</f>
        <v>0</v>
      </c>
      <c r="Q47" s="3">
        <f>MAX(0,Table7[Nm2]*MIN(Table36[ratedRpm]/MAX(1,Table15[[#This Row],[rpm]]),1-(MAX(0,Table15[[#This Row],[rpm]]-Table36[ratedRpm])/Table36[fadeOut])^Table36[fadeOutExp]))</f>
        <v>0</v>
      </c>
      <c r="R47" s="3">
        <f>(1-(1-Table15[[#This Row],[rpm]]/Table36[idleRpm])^2)*Table7[idleTEco]</f>
        <v>-34357.763671875</v>
      </c>
      <c r="S47" s="3">
        <f>MAX(0,(1-Table7[f1]*(Table36[maxTRpm1]-Table15[[#This Row],[rpm]])^2)*Table36[maxTEco])</f>
        <v>0</v>
      </c>
      <c r="T47" s="3">
        <f>MAX(0,(Table36[linearDown]*(1-Table7[f2Eco]*(Table15[[#This Row],[rpm]]-Table36[maxTRpm]))+(1-Table36[linearDown])*(1-Table7[f3Eco]*(Table15[[#This Row],[rpm]]-Table36[maxTRpm])^2))*Table36[maxTEco])</f>
        <v>0</v>
      </c>
      <c r="U47" s="3">
        <f>MAX(0,(Table36[maxPSEco]-Table7[f4Eco]*(Table15[[#This Row],[rpm]]-Table36[maxPRpm])^2)/1.36*9550/MAX(1,Table15[[#This Row],[rpm]]))</f>
        <v>0</v>
      </c>
      <c r="V47" s="3">
        <f>MAX(0,Table7[Nm2Eco]*MIN(Table36[ratedRpm]/MAX(1,Table15[[#This Row],[rpm]]),1-(MAX(0,Table15[[#This Row],[rpm]]-Table36[ratedRpm])/Table36[fadeOut])^Table36[fadeOutExp]))</f>
        <v>0</v>
      </c>
      <c r="W4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445.39915966386553</v>
      </c>
      <c r="X4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445.39915966386553</v>
      </c>
      <c r="Y47" s="3">
        <f>ABS(Table15[[#This Row],[motor]]-Table15[[#This Row],[motorEco]])</f>
        <v>0</v>
      </c>
    </row>
    <row r="48" spans="1:25" x14ac:dyDescent="0.25">
      <c r="A48" s="3">
        <v>5500</v>
      </c>
      <c r="B4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8" s="20"/>
      <c r="D4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8" s="20"/>
      <c r="F48" s="3">
        <f>Table36[Factor]*IF(Table15[[#This Row],[manualData]]&gt;0,Table15[[#This Row],[manualData]],Table15[[#This Row],[rawData]])</f>
        <v>0</v>
      </c>
      <c r="G48" s="3">
        <f>Table36[Factor]*IF(Table15[[#This Row],[manDataEco]]&gt;0,Table15[[#This Row],[manDataEco]],Table15[[#This Row],[rawDataEco]])</f>
        <v>0</v>
      </c>
      <c r="H48" s="3">
        <f>1.36*Table15[[#This Row],[rpm]]*Table15[[#This Row],[motor]]/9550</f>
        <v>0</v>
      </c>
      <c r="I48" s="3">
        <f>1.36*Table15[[#This Row],[rpm]]*Table15[[#This Row],[motorEco]]/9550</f>
        <v>0</v>
      </c>
      <c r="J48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426.66666666666663</v>
      </c>
      <c r="K48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8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8" s="3">
        <f>(1-(1-Table15[[#This Row],[rpm]]/Table36[idleRpm])^2)*Table7[idleT]</f>
        <v>-38459.1796875</v>
      </c>
      <c r="N48" s="3">
        <f>MAX(0,(1-Table7[f1]*(Table36[maxTRpm1]-Table15[[#This Row],[rpm]])^2)*Table36[maxT])</f>
        <v>0</v>
      </c>
      <c r="O48" s="3">
        <f>MAX(0,(Table36[linearDown]*(1-Table7[f2]*(Table15[[#This Row],[rpm]]-Table36[maxTRpm]))+(1-Table36[linearDown])*(1-Table7[f3]*(Table15[[#This Row],[rpm]]-Table36[maxTRpm])^2))*Table36[maxT])</f>
        <v>0</v>
      </c>
      <c r="P48" s="3">
        <f>MAX(0,(Table36[maxPS]-Table7[f4]*(Table15[[#This Row],[rpm]]-Table36[maxPRpm])^2)/1.36*9550/MAX(1,Table15[[#This Row],[rpm]]))</f>
        <v>0</v>
      </c>
      <c r="Q48" s="3">
        <f>MAX(0,Table7[Nm2]*MIN(Table36[ratedRpm]/MAX(1,Table15[[#This Row],[rpm]]),1-(MAX(0,Table15[[#This Row],[rpm]]-Table36[ratedRpm])/Table36[fadeOut])^Table36[fadeOutExp]))</f>
        <v>0</v>
      </c>
      <c r="R48" s="3">
        <f>(1-(1-Table15[[#This Row],[rpm]]/Table36[idleRpm])^2)*Table7[idleTEco]</f>
        <v>-38459.1796875</v>
      </c>
      <c r="S48" s="3">
        <f>MAX(0,(1-Table7[f1]*(Table36[maxTRpm1]-Table15[[#This Row],[rpm]])^2)*Table36[maxTEco])</f>
        <v>0</v>
      </c>
      <c r="T48" s="3">
        <f>MAX(0,(Table36[linearDown]*(1-Table7[f2Eco]*(Table15[[#This Row],[rpm]]-Table36[maxTRpm]))+(1-Table36[linearDown])*(1-Table7[f3Eco]*(Table15[[#This Row],[rpm]]-Table36[maxTRpm])^2))*Table36[maxTEco])</f>
        <v>0</v>
      </c>
      <c r="U48" s="3">
        <f>MAX(0,(Table36[maxPSEco]-Table7[f4Eco]*(Table15[[#This Row],[rpm]]-Table36[maxPRpm])^2)/1.36*9550/MAX(1,Table15[[#This Row],[rpm]]))</f>
        <v>0</v>
      </c>
      <c r="V48" s="3">
        <f>MAX(0,Table7[Nm2Eco]*MIN(Table36[ratedRpm]/MAX(1,Table15[[#This Row],[rpm]]),1-(MAX(0,Table15[[#This Row],[rpm]]-Table36[ratedRpm])/Table36[fadeOut])^Table36[fadeOutExp]))</f>
        <v>0</v>
      </c>
      <c r="W4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425.153743315508</v>
      </c>
      <c r="X4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425.153743315508</v>
      </c>
      <c r="Y48" s="3">
        <f>ABS(Table15[[#This Row],[motor]]-Table15[[#This Row],[motorEco]])</f>
        <v>0</v>
      </c>
    </row>
    <row r="49" spans="1:25" x14ac:dyDescent="0.25">
      <c r="A49" s="3">
        <v>5750</v>
      </c>
      <c r="B4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9" s="20"/>
      <c r="D4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9" s="20"/>
      <c r="F49" s="3">
        <f>Table36[Factor]*IF(Table15[[#This Row],[manualData]]&gt;0,Table15[[#This Row],[manualData]],Table15[[#This Row],[rawData]])</f>
        <v>0</v>
      </c>
      <c r="G49" s="3">
        <f>Table36[Factor]*IF(Table15[[#This Row],[manDataEco]]&gt;0,Table15[[#This Row],[manDataEco]],Table15[[#This Row],[rawDataEco]])</f>
        <v>0</v>
      </c>
      <c r="H49" s="3">
        <f>1.36*Table15[[#This Row],[rpm]]*Table15[[#This Row],[motor]]/9550</f>
        <v>0</v>
      </c>
      <c r="I49" s="3">
        <f>1.36*Table15[[#This Row],[rpm]]*Table15[[#This Row],[motorEco]]/9550</f>
        <v>0</v>
      </c>
      <c r="J49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426.66666666666663</v>
      </c>
      <c r="K49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9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9" s="3">
        <f>(1-(1-Table15[[#This Row],[rpm]]/Table36[idleRpm])^2)*Table7[idleT]</f>
        <v>-42784.716796875</v>
      </c>
      <c r="N49" s="3">
        <f>MAX(0,(1-Table7[f1]*(Table36[maxTRpm1]-Table15[[#This Row],[rpm]])^2)*Table36[maxT])</f>
        <v>0</v>
      </c>
      <c r="O49" s="3">
        <f>MAX(0,(Table36[linearDown]*(1-Table7[f2]*(Table15[[#This Row],[rpm]]-Table36[maxTRpm]))+(1-Table36[linearDown])*(1-Table7[f3]*(Table15[[#This Row],[rpm]]-Table36[maxTRpm])^2))*Table36[maxT])</f>
        <v>0</v>
      </c>
      <c r="P49" s="3">
        <f>MAX(0,(Table36[maxPS]-Table7[f4]*(Table15[[#This Row],[rpm]]-Table36[maxPRpm])^2)/1.36*9550/MAX(1,Table15[[#This Row],[rpm]]))</f>
        <v>0</v>
      </c>
      <c r="Q49" s="3">
        <f>MAX(0,Table7[Nm2]*MIN(Table36[ratedRpm]/MAX(1,Table15[[#This Row],[rpm]]),1-(MAX(0,Table15[[#This Row],[rpm]]-Table36[ratedRpm])/Table36[fadeOut])^Table36[fadeOutExp]))</f>
        <v>0</v>
      </c>
      <c r="R49" s="3">
        <f>(1-(1-Table15[[#This Row],[rpm]]/Table36[idleRpm])^2)*Table7[idleTEco]</f>
        <v>-42784.716796875</v>
      </c>
      <c r="S49" s="3">
        <f>MAX(0,(1-Table7[f1]*(Table36[maxTRpm1]-Table15[[#This Row],[rpm]])^2)*Table36[maxTEco])</f>
        <v>0</v>
      </c>
      <c r="T49" s="3">
        <f>MAX(0,(Table36[linearDown]*(1-Table7[f2Eco]*(Table15[[#This Row],[rpm]]-Table36[maxTRpm]))+(1-Table36[linearDown])*(1-Table7[f3Eco]*(Table15[[#This Row],[rpm]]-Table36[maxTRpm])^2))*Table36[maxTEco])</f>
        <v>0</v>
      </c>
      <c r="U49" s="3">
        <f>MAX(0,(Table36[maxPSEco]-Table7[f4Eco]*(Table15[[#This Row],[rpm]]-Table36[maxPRpm])^2)/1.36*9550/MAX(1,Table15[[#This Row],[rpm]]))</f>
        <v>0</v>
      </c>
      <c r="V49" s="3">
        <f>MAX(0,Table7[Nm2Eco]*MIN(Table36[ratedRpm]/MAX(1,Table15[[#This Row],[rpm]]),1-(MAX(0,Table15[[#This Row],[rpm]]-Table36[ratedRpm])/Table36[fadeOut])^Table36[fadeOutExp]))</f>
        <v>0</v>
      </c>
      <c r="W4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406.66879795396414</v>
      </c>
      <c r="X4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406.66879795396414</v>
      </c>
      <c r="Y49" s="3">
        <f>ABS(Table15[[#This Row],[motor]]-Table15[[#This Row],[motorEco]])</f>
        <v>0</v>
      </c>
    </row>
    <row r="50" spans="1:25" x14ac:dyDescent="0.25">
      <c r="A50" s="3">
        <v>6000</v>
      </c>
      <c r="B5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0" s="20"/>
      <c r="D5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0" s="20"/>
      <c r="F50" s="3">
        <f>Table36[Factor]*IF(Table15[[#This Row],[manualData]]&gt;0,Table15[[#This Row],[manualData]],Table15[[#This Row],[rawData]])</f>
        <v>0</v>
      </c>
      <c r="G50" s="3">
        <f>Table36[Factor]*IF(Table15[[#This Row],[manDataEco]]&gt;0,Table15[[#This Row],[manDataEco]],Table15[[#This Row],[rawDataEco]])</f>
        <v>0</v>
      </c>
      <c r="H50" s="3">
        <f>1.36*Table15[[#This Row],[rpm]]*Table15[[#This Row],[motor]]/9550</f>
        <v>0</v>
      </c>
      <c r="I50" s="3">
        <f>1.36*Table15[[#This Row],[rpm]]*Table15[[#This Row],[motorEco]]/9550</f>
        <v>0</v>
      </c>
      <c r="J50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426.66666666666663</v>
      </c>
      <c r="K50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0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0" s="3">
        <f>(1-(1-Table15[[#This Row],[rpm]]/Table36[idleRpm])^2)*Table7[idleT]</f>
        <v>-47334.375</v>
      </c>
      <c r="N50" s="3">
        <f>MAX(0,(1-Table7[f1]*(Table36[maxTRpm1]-Table15[[#This Row],[rpm]])^2)*Table36[maxT])</f>
        <v>0</v>
      </c>
      <c r="O50" s="3">
        <f>MAX(0,(Table36[linearDown]*(1-Table7[f2]*(Table15[[#This Row],[rpm]]-Table36[maxTRpm]))+(1-Table36[linearDown])*(1-Table7[f3]*(Table15[[#This Row],[rpm]]-Table36[maxTRpm])^2))*Table36[maxT])</f>
        <v>0</v>
      </c>
      <c r="P50" s="3">
        <f>MAX(0,(Table36[maxPS]-Table7[f4]*(Table15[[#This Row],[rpm]]-Table36[maxPRpm])^2)/1.36*9550/MAX(1,Table15[[#This Row],[rpm]]))</f>
        <v>0</v>
      </c>
      <c r="Q50" s="3">
        <f>MAX(0,Table7[Nm2]*MIN(Table36[ratedRpm]/MAX(1,Table15[[#This Row],[rpm]]),1-(MAX(0,Table15[[#This Row],[rpm]]-Table36[ratedRpm])/Table36[fadeOut])^Table36[fadeOutExp]))</f>
        <v>0</v>
      </c>
      <c r="R50" s="3">
        <f>(1-(1-Table15[[#This Row],[rpm]]/Table36[idleRpm])^2)*Table7[idleTEco]</f>
        <v>-47334.375</v>
      </c>
      <c r="S50" s="3">
        <f>MAX(0,(1-Table7[f1]*(Table36[maxTRpm1]-Table15[[#This Row],[rpm]])^2)*Table36[maxTEco])</f>
        <v>0</v>
      </c>
      <c r="T50" s="3">
        <f>MAX(0,(Table36[linearDown]*(1-Table7[f2Eco]*(Table15[[#This Row],[rpm]]-Table36[maxTRpm]))+(1-Table36[linearDown])*(1-Table7[f3Eco]*(Table15[[#This Row],[rpm]]-Table36[maxTRpm])^2))*Table36[maxTEco])</f>
        <v>0</v>
      </c>
      <c r="U50" s="3">
        <f>MAX(0,(Table36[maxPSEco]-Table7[f4Eco]*(Table15[[#This Row],[rpm]]-Table36[maxPRpm])^2)/1.36*9550/MAX(1,Table15[[#This Row],[rpm]]))</f>
        <v>0</v>
      </c>
      <c r="V50" s="3">
        <f>MAX(0,Table7[Nm2Eco]*MIN(Table36[ratedRpm]/MAX(1,Table15[[#This Row],[rpm]]),1-(MAX(0,Table15[[#This Row],[rpm]]-Table36[ratedRpm])/Table36[fadeOut])^Table36[fadeOutExp]))</f>
        <v>0</v>
      </c>
      <c r="W5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389.72426470588232</v>
      </c>
      <c r="X5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389.72426470588232</v>
      </c>
      <c r="Y50" s="3">
        <f>ABS(Table15[[#This Row],[motor]]-Table15[[#This Row],[motorEco]])</f>
        <v>0</v>
      </c>
    </row>
    <row r="51" spans="1:25" x14ac:dyDescent="0.25">
      <c r="A51" s="3">
        <v>6250</v>
      </c>
      <c r="B5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1" s="20"/>
      <c r="D5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1" s="20"/>
      <c r="F51" s="3">
        <f>Table36[Factor]*IF(Table15[[#This Row],[manualData]]&gt;0,Table15[[#This Row],[manualData]],Table15[[#This Row],[rawData]])</f>
        <v>0</v>
      </c>
      <c r="G51" s="3">
        <f>Table36[Factor]*IF(Table15[[#This Row],[manDataEco]]&gt;0,Table15[[#This Row],[manDataEco]],Table15[[#This Row],[rawDataEco]])</f>
        <v>0</v>
      </c>
      <c r="H51" s="3">
        <f>1.36*Table15[[#This Row],[rpm]]*Table15[[#This Row],[motor]]/9550</f>
        <v>0</v>
      </c>
      <c r="I51" s="3">
        <f>1.36*Table15[[#This Row],[rpm]]*Table15[[#This Row],[motorEco]]/9550</f>
        <v>0</v>
      </c>
      <c r="J51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426.66666666666663</v>
      </c>
      <c r="K51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1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1" s="3">
        <f>(1-(1-Table15[[#This Row],[rpm]]/Table36[idleRpm])^2)*Table7[idleT]</f>
        <v>-52108.154296875</v>
      </c>
      <c r="N51" s="3">
        <f>MAX(0,(1-Table7[f1]*(Table36[maxTRpm1]-Table15[[#This Row],[rpm]])^2)*Table36[maxT])</f>
        <v>0</v>
      </c>
      <c r="O51" s="3">
        <f>MAX(0,(Table36[linearDown]*(1-Table7[f2]*(Table15[[#This Row],[rpm]]-Table36[maxTRpm]))+(1-Table36[linearDown])*(1-Table7[f3]*(Table15[[#This Row],[rpm]]-Table36[maxTRpm])^2))*Table36[maxT])</f>
        <v>0</v>
      </c>
      <c r="P51" s="3">
        <f>MAX(0,(Table36[maxPS]-Table7[f4]*(Table15[[#This Row],[rpm]]-Table36[maxPRpm])^2)/1.36*9550/MAX(1,Table15[[#This Row],[rpm]]))</f>
        <v>0</v>
      </c>
      <c r="Q51" s="3">
        <f>MAX(0,Table7[Nm2]*MIN(Table36[ratedRpm]/MAX(1,Table15[[#This Row],[rpm]]),1-(MAX(0,Table15[[#This Row],[rpm]]-Table36[ratedRpm])/Table36[fadeOut])^Table36[fadeOutExp]))</f>
        <v>0</v>
      </c>
      <c r="R51" s="3">
        <f>(1-(1-Table15[[#This Row],[rpm]]/Table36[idleRpm])^2)*Table7[idleTEco]</f>
        <v>-52108.154296875</v>
      </c>
      <c r="S51" s="3">
        <f>MAX(0,(1-Table7[f1]*(Table36[maxTRpm1]-Table15[[#This Row],[rpm]])^2)*Table36[maxTEco])</f>
        <v>0</v>
      </c>
      <c r="T51" s="3">
        <f>MAX(0,(Table36[linearDown]*(1-Table7[f2Eco]*(Table15[[#This Row],[rpm]]-Table36[maxTRpm]))+(1-Table36[linearDown])*(1-Table7[f3Eco]*(Table15[[#This Row],[rpm]]-Table36[maxTRpm])^2))*Table36[maxTEco])</f>
        <v>0</v>
      </c>
      <c r="U51" s="3">
        <f>MAX(0,(Table36[maxPSEco]-Table7[f4Eco]*(Table15[[#This Row],[rpm]]-Table36[maxPRpm])^2)/1.36*9550/MAX(1,Table15[[#This Row],[rpm]]))</f>
        <v>0</v>
      </c>
      <c r="V51" s="3">
        <f>MAX(0,Table7[Nm2Eco]*MIN(Table36[ratedRpm]/MAX(1,Table15[[#This Row],[rpm]]),1-(MAX(0,Table15[[#This Row],[rpm]]-Table36[ratedRpm])/Table36[fadeOut])^Table36[fadeOutExp]))</f>
        <v>0</v>
      </c>
      <c r="W5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374.13529411764705</v>
      </c>
      <c r="X5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374.13529411764705</v>
      </c>
      <c r="Y51" s="3">
        <f>ABS(Table15[[#This Row],[motor]]-Table15[[#This Row],[motorEco]])</f>
        <v>0</v>
      </c>
    </row>
    <row r="52" spans="1:25" x14ac:dyDescent="0.25">
      <c r="A52" s="3">
        <v>6500</v>
      </c>
      <c r="B5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2" s="20"/>
      <c r="D5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2" s="20"/>
      <c r="F52" s="3">
        <f>Table36[Factor]*IF(Table15[[#This Row],[manualData]]&gt;0,Table15[[#This Row],[manualData]],Table15[[#This Row],[rawData]])</f>
        <v>0</v>
      </c>
      <c r="G52" s="3">
        <f>Table36[Factor]*IF(Table15[[#This Row],[manDataEco]]&gt;0,Table15[[#This Row],[manDataEco]],Table15[[#This Row],[rawDataEco]])</f>
        <v>0</v>
      </c>
      <c r="H52" s="3">
        <f>1.36*Table15[[#This Row],[rpm]]*Table15[[#This Row],[motor]]/9550</f>
        <v>0</v>
      </c>
      <c r="I52" s="3">
        <f>1.36*Table15[[#This Row],[rpm]]*Table15[[#This Row],[motorEco]]/9550</f>
        <v>0</v>
      </c>
      <c r="J52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426.66666666666663</v>
      </c>
      <c r="K52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2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2" s="3">
        <f>(1-(1-Table15[[#This Row],[rpm]]/Table36[idleRpm])^2)*Table7[idleT]</f>
        <v>-57106.0546875</v>
      </c>
      <c r="N52" s="3">
        <f>MAX(0,(1-Table7[f1]*(Table36[maxTRpm1]-Table15[[#This Row],[rpm]])^2)*Table36[maxT])</f>
        <v>0</v>
      </c>
      <c r="O52" s="3">
        <f>MAX(0,(Table36[linearDown]*(1-Table7[f2]*(Table15[[#This Row],[rpm]]-Table36[maxTRpm]))+(1-Table36[linearDown])*(1-Table7[f3]*(Table15[[#This Row],[rpm]]-Table36[maxTRpm])^2))*Table36[maxT])</f>
        <v>0</v>
      </c>
      <c r="P52" s="3">
        <f>MAX(0,(Table36[maxPS]-Table7[f4]*(Table15[[#This Row],[rpm]]-Table36[maxPRpm])^2)/1.36*9550/MAX(1,Table15[[#This Row],[rpm]]))</f>
        <v>0</v>
      </c>
      <c r="Q52" s="3">
        <f>MAX(0,Table7[Nm2]*MIN(Table36[ratedRpm]/MAX(1,Table15[[#This Row],[rpm]]),1-(MAX(0,Table15[[#This Row],[rpm]]-Table36[ratedRpm])/Table36[fadeOut])^Table36[fadeOutExp]))</f>
        <v>0</v>
      </c>
      <c r="R52" s="3">
        <f>(1-(1-Table15[[#This Row],[rpm]]/Table36[idleRpm])^2)*Table7[idleTEco]</f>
        <v>-57106.0546875</v>
      </c>
      <c r="S52" s="3">
        <f>MAX(0,(1-Table7[f1]*(Table36[maxTRpm1]-Table15[[#This Row],[rpm]])^2)*Table36[maxTEco])</f>
        <v>0</v>
      </c>
      <c r="T52" s="3">
        <f>MAX(0,(Table36[linearDown]*(1-Table7[f2Eco]*(Table15[[#This Row],[rpm]]-Table36[maxTRpm]))+(1-Table36[linearDown])*(1-Table7[f3Eco]*(Table15[[#This Row],[rpm]]-Table36[maxTRpm])^2))*Table36[maxTEco])</f>
        <v>0</v>
      </c>
      <c r="U52" s="3">
        <f>MAX(0,(Table36[maxPSEco]-Table7[f4Eco]*(Table15[[#This Row],[rpm]]-Table36[maxPRpm])^2)/1.36*9550/MAX(1,Table15[[#This Row],[rpm]]))</f>
        <v>0</v>
      </c>
      <c r="V52" s="3">
        <f>MAX(0,Table7[Nm2Eco]*MIN(Table36[ratedRpm]/MAX(1,Table15[[#This Row],[rpm]]),1-(MAX(0,Table15[[#This Row],[rpm]]-Table36[ratedRpm])/Table36[fadeOut])^Table36[fadeOutExp]))</f>
        <v>0</v>
      </c>
      <c r="W5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359.74547511312215</v>
      </c>
      <c r="X5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359.74547511312215</v>
      </c>
      <c r="Y52" s="3">
        <f>ABS(Table15[[#This Row],[motor]]-Table15[[#This Row],[motorEco]])</f>
        <v>0</v>
      </c>
    </row>
    <row r="53" spans="1:25" x14ac:dyDescent="0.25">
      <c r="A53" s="3">
        <v>6750</v>
      </c>
      <c r="B5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3" s="20"/>
      <c r="D5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3" s="20"/>
      <c r="F53" s="3">
        <f>Table36[Factor]*IF(Table15[[#This Row],[manualData]]&gt;0,Table15[[#This Row],[manualData]],Table15[[#This Row],[rawData]])</f>
        <v>0</v>
      </c>
      <c r="G53" s="3">
        <f>Table36[Factor]*IF(Table15[[#This Row],[manDataEco]]&gt;0,Table15[[#This Row],[manDataEco]],Table15[[#This Row],[rawDataEco]])</f>
        <v>0</v>
      </c>
      <c r="H53" s="3">
        <f>1.36*Table15[[#This Row],[rpm]]*Table15[[#This Row],[motor]]/9550</f>
        <v>0</v>
      </c>
      <c r="I53" s="3">
        <f>1.36*Table15[[#This Row],[rpm]]*Table15[[#This Row],[motorEco]]/9550</f>
        <v>0</v>
      </c>
      <c r="J53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426.66666666666663</v>
      </c>
      <c r="K53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3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3" s="3">
        <f>(1-(1-Table15[[#This Row],[rpm]]/Table36[idleRpm])^2)*Table7[idleT]</f>
        <v>-62328.076171875</v>
      </c>
      <c r="N53" s="3">
        <f>MAX(0,(1-Table7[f1]*(Table36[maxTRpm1]-Table15[[#This Row],[rpm]])^2)*Table36[maxT])</f>
        <v>0</v>
      </c>
      <c r="O53" s="3">
        <f>MAX(0,(Table36[linearDown]*(1-Table7[f2]*(Table15[[#This Row],[rpm]]-Table36[maxTRpm]))+(1-Table36[linearDown])*(1-Table7[f3]*(Table15[[#This Row],[rpm]]-Table36[maxTRpm])^2))*Table36[maxT])</f>
        <v>0</v>
      </c>
      <c r="P53" s="3">
        <f>MAX(0,(Table36[maxPS]-Table7[f4]*(Table15[[#This Row],[rpm]]-Table36[maxPRpm])^2)/1.36*9550/MAX(1,Table15[[#This Row],[rpm]]))</f>
        <v>0</v>
      </c>
      <c r="Q53" s="3">
        <f>MAX(0,Table7[Nm2]*MIN(Table36[ratedRpm]/MAX(1,Table15[[#This Row],[rpm]]),1-(MAX(0,Table15[[#This Row],[rpm]]-Table36[ratedRpm])/Table36[fadeOut])^Table36[fadeOutExp]))</f>
        <v>0</v>
      </c>
      <c r="R53" s="3">
        <f>(1-(1-Table15[[#This Row],[rpm]]/Table36[idleRpm])^2)*Table7[idleTEco]</f>
        <v>-62328.076171875</v>
      </c>
      <c r="S53" s="3">
        <f>MAX(0,(1-Table7[f1]*(Table36[maxTRpm1]-Table15[[#This Row],[rpm]])^2)*Table36[maxTEco])</f>
        <v>0</v>
      </c>
      <c r="T53" s="3">
        <f>MAX(0,(Table36[linearDown]*(1-Table7[f2Eco]*(Table15[[#This Row],[rpm]]-Table36[maxTRpm]))+(1-Table36[linearDown])*(1-Table7[f3Eco]*(Table15[[#This Row],[rpm]]-Table36[maxTRpm])^2))*Table36[maxTEco])</f>
        <v>0</v>
      </c>
      <c r="U53" s="3">
        <f>MAX(0,(Table36[maxPSEco]-Table7[f4Eco]*(Table15[[#This Row],[rpm]]-Table36[maxPRpm])^2)/1.36*9550/MAX(1,Table15[[#This Row],[rpm]]))</f>
        <v>0</v>
      </c>
      <c r="V53" s="3">
        <f>MAX(0,Table7[Nm2Eco]*MIN(Table36[ratedRpm]/MAX(1,Table15[[#This Row],[rpm]]),1-(MAX(0,Table15[[#This Row],[rpm]]-Table36[ratedRpm])/Table36[fadeOut])^Table36[fadeOutExp]))</f>
        <v>0</v>
      </c>
      <c r="W5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346.42156862745094</v>
      </c>
      <c r="X5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346.42156862745094</v>
      </c>
      <c r="Y53" s="3">
        <f>ABS(Table15[[#This Row],[motor]]-Table15[[#This Row],[motorEco]])</f>
        <v>0</v>
      </c>
    </row>
    <row r="54" spans="1:25" x14ac:dyDescent="0.25">
      <c r="A54" s="3">
        <v>7000</v>
      </c>
      <c r="B5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4" s="20"/>
      <c r="D5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4" s="20"/>
      <c r="F54" s="3">
        <f>Table36[Factor]*IF(Table15[[#This Row],[manualData]]&gt;0,Table15[[#This Row],[manualData]],Table15[[#This Row],[rawData]])</f>
        <v>0</v>
      </c>
      <c r="G54" s="3">
        <f>Table36[Factor]*IF(Table15[[#This Row],[manDataEco]]&gt;0,Table15[[#This Row],[manDataEco]],Table15[[#This Row],[rawDataEco]])</f>
        <v>0</v>
      </c>
      <c r="H54" s="3">
        <f>1.36*Table15[[#This Row],[rpm]]*Table15[[#This Row],[motor]]/9550</f>
        <v>0</v>
      </c>
      <c r="I54" s="3">
        <f>1.36*Table15[[#This Row],[rpm]]*Table15[[#This Row],[motorEco]]/9550</f>
        <v>0</v>
      </c>
      <c r="J54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426.66666666666663</v>
      </c>
      <c r="K54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4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4" s="3">
        <f>(1-(1-Table15[[#This Row],[rpm]]/Table36[idleRpm])^2)*Table7[idleT]</f>
        <v>-67774.21875</v>
      </c>
      <c r="N54" s="3">
        <f>MAX(0,(1-Table7[f1]*(Table36[maxTRpm1]-Table15[[#This Row],[rpm]])^2)*Table36[maxT])</f>
        <v>0</v>
      </c>
      <c r="O54" s="3">
        <f>MAX(0,(Table36[linearDown]*(1-Table7[f2]*(Table15[[#This Row],[rpm]]-Table36[maxTRpm]))+(1-Table36[linearDown])*(1-Table7[f3]*(Table15[[#This Row],[rpm]]-Table36[maxTRpm])^2))*Table36[maxT])</f>
        <v>0</v>
      </c>
      <c r="P54" s="3">
        <f>MAX(0,(Table36[maxPS]-Table7[f4]*(Table15[[#This Row],[rpm]]-Table36[maxPRpm])^2)/1.36*9550/MAX(1,Table15[[#This Row],[rpm]]))</f>
        <v>0</v>
      </c>
      <c r="Q54" s="3">
        <f>MAX(0,Table7[Nm2]*MIN(Table36[ratedRpm]/MAX(1,Table15[[#This Row],[rpm]]),1-(MAX(0,Table15[[#This Row],[rpm]]-Table36[ratedRpm])/Table36[fadeOut])^Table36[fadeOutExp]))</f>
        <v>0</v>
      </c>
      <c r="R54" s="3">
        <f>(1-(1-Table15[[#This Row],[rpm]]/Table36[idleRpm])^2)*Table7[idleTEco]</f>
        <v>-67774.21875</v>
      </c>
      <c r="S54" s="3">
        <f>MAX(0,(1-Table7[f1]*(Table36[maxTRpm1]-Table15[[#This Row],[rpm]])^2)*Table36[maxTEco])</f>
        <v>0</v>
      </c>
      <c r="T54" s="3">
        <f>MAX(0,(Table36[linearDown]*(1-Table7[f2Eco]*(Table15[[#This Row],[rpm]]-Table36[maxTRpm]))+(1-Table36[linearDown])*(1-Table7[f3Eco]*(Table15[[#This Row],[rpm]]-Table36[maxTRpm])^2))*Table36[maxTEco])</f>
        <v>0</v>
      </c>
      <c r="U54" s="3">
        <f>MAX(0,(Table36[maxPSEco]-Table7[f4Eco]*(Table15[[#This Row],[rpm]]-Table36[maxPRpm])^2)/1.36*9550/MAX(1,Table15[[#This Row],[rpm]]))</f>
        <v>0</v>
      </c>
      <c r="V54" s="3">
        <f>MAX(0,Table7[Nm2Eco]*MIN(Table36[ratedRpm]/MAX(1,Table15[[#This Row],[rpm]]),1-(MAX(0,Table15[[#This Row],[rpm]]-Table36[ratedRpm])/Table36[fadeOut])^Table36[fadeOutExp]))</f>
        <v>0</v>
      </c>
      <c r="W5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334.04936974789916</v>
      </c>
      <c r="X5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334.04936974789916</v>
      </c>
      <c r="Y54" s="3">
        <f>ABS(Table15[[#This Row],[motor]]-Table15[[#This Row],[motorEco]])</f>
        <v>0</v>
      </c>
    </row>
    <row r="55" spans="1:25" x14ac:dyDescent="0.25">
      <c r="A55" s="3">
        <v>7250</v>
      </c>
      <c r="B5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5" s="20"/>
      <c r="D5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5" s="20"/>
      <c r="F55" s="3">
        <f>Table36[Factor]*IF(Table15[[#This Row],[manualData]]&gt;0,Table15[[#This Row],[manualData]],Table15[[#This Row],[rawData]])</f>
        <v>0</v>
      </c>
      <c r="G55" s="3">
        <f>Table36[Factor]*IF(Table15[[#This Row],[manDataEco]]&gt;0,Table15[[#This Row],[manDataEco]],Table15[[#This Row],[rawDataEco]])</f>
        <v>0</v>
      </c>
      <c r="H55" s="3">
        <f>1.36*Table15[[#This Row],[rpm]]*Table15[[#This Row],[motor]]/9550</f>
        <v>0</v>
      </c>
      <c r="I55" s="3">
        <f>1.36*Table15[[#This Row],[rpm]]*Table15[[#This Row],[motorEco]]/9550</f>
        <v>0</v>
      </c>
      <c r="J55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426.66666666666663</v>
      </c>
      <c r="K55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5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5" s="3">
        <f>(1-(1-Table15[[#This Row],[rpm]]/Table36[idleRpm])^2)*Table7[idleT]</f>
        <v>-73444.482421875</v>
      </c>
      <c r="N55" s="3">
        <f>MAX(0,(1-Table7[f1]*(Table36[maxTRpm1]-Table15[[#This Row],[rpm]])^2)*Table36[maxT])</f>
        <v>0</v>
      </c>
      <c r="O55" s="3">
        <f>MAX(0,(Table36[linearDown]*(1-Table7[f2]*(Table15[[#This Row],[rpm]]-Table36[maxTRpm]))+(1-Table36[linearDown])*(1-Table7[f3]*(Table15[[#This Row],[rpm]]-Table36[maxTRpm])^2))*Table36[maxT])</f>
        <v>0</v>
      </c>
      <c r="P55" s="3">
        <f>MAX(0,(Table36[maxPS]-Table7[f4]*(Table15[[#This Row],[rpm]]-Table36[maxPRpm])^2)/1.36*9550/MAX(1,Table15[[#This Row],[rpm]]))</f>
        <v>0</v>
      </c>
      <c r="Q55" s="3">
        <f>MAX(0,Table7[Nm2]*MIN(Table36[ratedRpm]/MAX(1,Table15[[#This Row],[rpm]]),1-(MAX(0,Table15[[#This Row],[rpm]]-Table36[ratedRpm])/Table36[fadeOut])^Table36[fadeOutExp]))</f>
        <v>0</v>
      </c>
      <c r="R55" s="3">
        <f>(1-(1-Table15[[#This Row],[rpm]]/Table36[idleRpm])^2)*Table7[idleTEco]</f>
        <v>-73444.482421875</v>
      </c>
      <c r="S55" s="3">
        <f>MAX(0,(1-Table7[f1]*(Table36[maxTRpm1]-Table15[[#This Row],[rpm]])^2)*Table36[maxTEco])</f>
        <v>0</v>
      </c>
      <c r="T55" s="3">
        <f>MAX(0,(Table36[linearDown]*(1-Table7[f2Eco]*(Table15[[#This Row],[rpm]]-Table36[maxTRpm]))+(1-Table36[linearDown])*(1-Table7[f3Eco]*(Table15[[#This Row],[rpm]]-Table36[maxTRpm])^2))*Table36[maxTEco])</f>
        <v>0</v>
      </c>
      <c r="U55" s="3">
        <f>MAX(0,(Table36[maxPSEco]-Table7[f4Eco]*(Table15[[#This Row],[rpm]]-Table36[maxPRpm])^2)/1.36*9550/MAX(1,Table15[[#This Row],[rpm]]))</f>
        <v>0</v>
      </c>
      <c r="V55" s="3">
        <f>MAX(0,Table7[Nm2Eco]*MIN(Table36[ratedRpm]/MAX(1,Table15[[#This Row],[rpm]]),1-(MAX(0,Table15[[#This Row],[rpm]]-Table36[ratedRpm])/Table36[fadeOut])^Table36[fadeOutExp]))</f>
        <v>0</v>
      </c>
      <c r="W5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322.53042596348882</v>
      </c>
      <c r="X5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322.53042596348882</v>
      </c>
      <c r="Y55" s="3">
        <f>ABS(Table15[[#This Row],[motor]]-Table15[[#This Row],[motorEco]])</f>
        <v>0</v>
      </c>
    </row>
    <row r="56" spans="1:25" x14ac:dyDescent="0.25">
      <c r="A56" s="3">
        <v>7500</v>
      </c>
      <c r="B5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6" s="20"/>
      <c r="D5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6" s="20"/>
      <c r="F56" s="3">
        <f>Table36[Factor]*IF(Table15[[#This Row],[manualData]]&gt;0,Table15[[#This Row],[manualData]],Table15[[#This Row],[rawData]])</f>
        <v>0</v>
      </c>
      <c r="G56" s="3">
        <f>Table36[Factor]*IF(Table15[[#This Row],[manDataEco]]&gt;0,Table15[[#This Row],[manDataEco]],Table15[[#This Row],[rawDataEco]])</f>
        <v>0</v>
      </c>
      <c r="H56" s="3">
        <f>1.36*Table15[[#This Row],[rpm]]*Table15[[#This Row],[motor]]/9550</f>
        <v>0</v>
      </c>
      <c r="I56" s="3">
        <f>1.36*Table15[[#This Row],[rpm]]*Table15[[#This Row],[motorEco]]/9550</f>
        <v>0</v>
      </c>
      <c r="J56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426.66666666666663</v>
      </c>
      <c r="K56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6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6" s="3">
        <f>(1-(1-Table15[[#This Row],[rpm]]/Table36[idleRpm])^2)*Table7[idleT]</f>
        <v>-79338.8671875</v>
      </c>
      <c r="N56" s="3">
        <f>MAX(0,(1-Table7[f1]*(Table36[maxTRpm1]-Table15[[#This Row],[rpm]])^2)*Table36[maxT])</f>
        <v>0</v>
      </c>
      <c r="O56" s="3">
        <f>MAX(0,(Table36[linearDown]*(1-Table7[f2]*(Table15[[#This Row],[rpm]]-Table36[maxTRpm]))+(1-Table36[linearDown])*(1-Table7[f3]*(Table15[[#This Row],[rpm]]-Table36[maxTRpm])^2))*Table36[maxT])</f>
        <v>0</v>
      </c>
      <c r="P56" s="3">
        <f>MAX(0,(Table36[maxPS]-Table7[f4]*(Table15[[#This Row],[rpm]]-Table36[maxPRpm])^2)/1.36*9550/MAX(1,Table15[[#This Row],[rpm]]))</f>
        <v>0</v>
      </c>
      <c r="Q56" s="3">
        <f>MAX(0,Table7[Nm2]*MIN(Table36[ratedRpm]/MAX(1,Table15[[#This Row],[rpm]]),1-(MAX(0,Table15[[#This Row],[rpm]]-Table36[ratedRpm])/Table36[fadeOut])^Table36[fadeOutExp]))</f>
        <v>0</v>
      </c>
      <c r="R56" s="3">
        <f>(1-(1-Table15[[#This Row],[rpm]]/Table36[idleRpm])^2)*Table7[idleTEco]</f>
        <v>-79338.8671875</v>
      </c>
      <c r="S56" s="3">
        <f>MAX(0,(1-Table7[f1]*(Table36[maxTRpm1]-Table15[[#This Row],[rpm]])^2)*Table36[maxTEco])</f>
        <v>0</v>
      </c>
      <c r="T56" s="3">
        <f>MAX(0,(Table36[linearDown]*(1-Table7[f2Eco]*(Table15[[#This Row],[rpm]]-Table36[maxTRpm]))+(1-Table36[linearDown])*(1-Table7[f3Eco]*(Table15[[#This Row],[rpm]]-Table36[maxTRpm])^2))*Table36[maxTEco])</f>
        <v>0</v>
      </c>
      <c r="U56" s="3">
        <f>MAX(0,(Table36[maxPSEco]-Table7[f4Eco]*(Table15[[#This Row],[rpm]]-Table36[maxPRpm])^2)/1.36*9550/MAX(1,Table15[[#This Row],[rpm]]))</f>
        <v>0</v>
      </c>
      <c r="V56" s="3">
        <f>MAX(0,Table7[Nm2Eco]*MIN(Table36[ratedRpm]/MAX(1,Table15[[#This Row],[rpm]]),1-(MAX(0,Table15[[#This Row],[rpm]]-Table36[ratedRpm])/Table36[fadeOut])^Table36[fadeOutExp]))</f>
        <v>0</v>
      </c>
      <c r="W5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311.77941176470586</v>
      </c>
      <c r="X5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311.77941176470586</v>
      </c>
      <c r="Y56" s="3">
        <f>ABS(Table15[[#This Row],[motor]]-Table15[[#This Row],[motorEco]])</f>
        <v>0</v>
      </c>
    </row>
    <row r="57" spans="1:25" x14ac:dyDescent="0.25">
      <c r="A57" s="3">
        <v>7750</v>
      </c>
      <c r="B5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7" s="20"/>
      <c r="D5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7" s="20"/>
      <c r="F57" s="3">
        <f>Table36[Factor]*IF(Table15[[#This Row],[manualData]]&gt;0,Table15[[#This Row],[manualData]],Table15[[#This Row],[rawData]])</f>
        <v>0</v>
      </c>
      <c r="G57" s="3">
        <f>Table36[Factor]*IF(Table15[[#This Row],[manDataEco]]&gt;0,Table15[[#This Row],[manDataEco]],Table15[[#This Row],[rawDataEco]])</f>
        <v>0</v>
      </c>
      <c r="H57" s="3">
        <f>1.36*Table15[[#This Row],[rpm]]*Table15[[#This Row],[motor]]/9550</f>
        <v>0</v>
      </c>
      <c r="I57" s="3">
        <f>1.36*Table15[[#This Row],[rpm]]*Table15[[#This Row],[motorEco]]/9550</f>
        <v>0</v>
      </c>
      <c r="J57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426.66666666666663</v>
      </c>
      <c r="K57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7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7" s="3">
        <f>(1-(1-Table15[[#This Row],[rpm]]/Table36[idleRpm])^2)*Table7[idleT]</f>
        <v>-85457.373046875</v>
      </c>
      <c r="N57" s="3">
        <f>MAX(0,(1-Table7[f1]*(Table36[maxTRpm1]-Table15[[#This Row],[rpm]])^2)*Table36[maxT])</f>
        <v>0</v>
      </c>
      <c r="O57" s="3">
        <f>MAX(0,(Table36[linearDown]*(1-Table7[f2]*(Table15[[#This Row],[rpm]]-Table36[maxTRpm]))+(1-Table36[linearDown])*(1-Table7[f3]*(Table15[[#This Row],[rpm]]-Table36[maxTRpm])^2))*Table36[maxT])</f>
        <v>0</v>
      </c>
      <c r="P57" s="3">
        <f>MAX(0,(Table36[maxPS]-Table7[f4]*(Table15[[#This Row],[rpm]]-Table36[maxPRpm])^2)/1.36*9550/MAX(1,Table15[[#This Row],[rpm]]))</f>
        <v>0</v>
      </c>
      <c r="Q57" s="3">
        <f>MAX(0,Table7[Nm2]*MIN(Table36[ratedRpm]/MAX(1,Table15[[#This Row],[rpm]]),1-(MAX(0,Table15[[#This Row],[rpm]]-Table36[ratedRpm])/Table36[fadeOut])^Table36[fadeOutExp]))</f>
        <v>0</v>
      </c>
      <c r="R57" s="3">
        <f>(1-(1-Table15[[#This Row],[rpm]]/Table36[idleRpm])^2)*Table7[idleTEco]</f>
        <v>-85457.373046875</v>
      </c>
      <c r="S57" s="3">
        <f>MAX(0,(1-Table7[f1]*(Table36[maxTRpm1]-Table15[[#This Row],[rpm]])^2)*Table36[maxTEco])</f>
        <v>0</v>
      </c>
      <c r="T57" s="3">
        <f>MAX(0,(Table36[linearDown]*(1-Table7[f2Eco]*(Table15[[#This Row],[rpm]]-Table36[maxTRpm]))+(1-Table36[linearDown])*(1-Table7[f3Eco]*(Table15[[#This Row],[rpm]]-Table36[maxTRpm])^2))*Table36[maxTEco])</f>
        <v>0</v>
      </c>
      <c r="U57" s="3">
        <f>MAX(0,(Table36[maxPSEco]-Table7[f4Eco]*(Table15[[#This Row],[rpm]]-Table36[maxPRpm])^2)/1.36*9550/MAX(1,Table15[[#This Row],[rpm]]))</f>
        <v>0</v>
      </c>
      <c r="V57" s="3">
        <f>MAX(0,Table7[Nm2Eco]*MIN(Table36[ratedRpm]/MAX(1,Table15[[#This Row],[rpm]]),1-(MAX(0,Table15[[#This Row],[rpm]]-Table36[ratedRpm])/Table36[fadeOut])^Table36[fadeOutExp]))</f>
        <v>0</v>
      </c>
      <c r="W5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301.72201138519921</v>
      </c>
      <c r="X5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301.72201138519921</v>
      </c>
      <c r="Y57" s="3">
        <f>ABS(Table15[[#This Row],[motor]]-Table15[[#This Row],[motorEco]])</f>
        <v>0</v>
      </c>
    </row>
    <row r="58" spans="1:25" x14ac:dyDescent="0.25">
      <c r="A58" s="3">
        <v>8000</v>
      </c>
      <c r="B5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8" s="20"/>
      <c r="D5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8" s="20"/>
      <c r="F58" s="3">
        <f>Table36[Factor]*IF(Table15[[#This Row],[manualData]]&gt;0,Table15[[#This Row],[manualData]],Table15[[#This Row],[rawData]])</f>
        <v>0</v>
      </c>
      <c r="G58" s="3">
        <f>Table36[Factor]*IF(Table15[[#This Row],[manDataEco]]&gt;0,Table15[[#This Row],[manDataEco]],Table15[[#This Row],[rawDataEco]])</f>
        <v>0</v>
      </c>
      <c r="H58" s="3">
        <f>1.36*Table15[[#This Row],[rpm]]*Table15[[#This Row],[motor]]/9550</f>
        <v>0</v>
      </c>
      <c r="I58" s="3">
        <f>1.36*Table15[[#This Row],[rpm]]*Table15[[#This Row],[motorEco]]/9550</f>
        <v>0</v>
      </c>
      <c r="J58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426.66666666666663</v>
      </c>
      <c r="K58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8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8" s="3">
        <f>(1-(1-Table15[[#This Row],[rpm]]/Table36[idleRpm])^2)*Table7[idleT]</f>
        <v>-91800</v>
      </c>
      <c r="N58" s="3">
        <f>MAX(0,(1-Table7[f1]*(Table36[maxTRpm1]-Table15[[#This Row],[rpm]])^2)*Table36[maxT])</f>
        <v>0</v>
      </c>
      <c r="O58" s="3">
        <f>MAX(0,(Table36[linearDown]*(1-Table7[f2]*(Table15[[#This Row],[rpm]]-Table36[maxTRpm]))+(1-Table36[linearDown])*(1-Table7[f3]*(Table15[[#This Row],[rpm]]-Table36[maxTRpm])^2))*Table36[maxT])</f>
        <v>0</v>
      </c>
      <c r="P58" s="3">
        <f>MAX(0,(Table36[maxPS]-Table7[f4]*(Table15[[#This Row],[rpm]]-Table36[maxPRpm])^2)/1.36*9550/MAX(1,Table15[[#This Row],[rpm]]))</f>
        <v>0</v>
      </c>
      <c r="Q58" s="3">
        <f>MAX(0,Table7[Nm2]*MIN(Table36[ratedRpm]/MAX(1,Table15[[#This Row],[rpm]]),1-(MAX(0,Table15[[#This Row],[rpm]]-Table36[ratedRpm])/Table36[fadeOut])^Table36[fadeOutExp]))</f>
        <v>0</v>
      </c>
      <c r="R58" s="3">
        <f>(1-(1-Table15[[#This Row],[rpm]]/Table36[idleRpm])^2)*Table7[idleTEco]</f>
        <v>-91800</v>
      </c>
      <c r="S58" s="3">
        <f>MAX(0,(1-Table7[f1]*(Table36[maxTRpm1]-Table15[[#This Row],[rpm]])^2)*Table36[maxTEco])</f>
        <v>0</v>
      </c>
      <c r="T58" s="3">
        <f>MAX(0,(Table36[linearDown]*(1-Table7[f2Eco]*(Table15[[#This Row],[rpm]]-Table36[maxTRpm]))+(1-Table36[linearDown])*(1-Table7[f3Eco]*(Table15[[#This Row],[rpm]]-Table36[maxTRpm])^2))*Table36[maxTEco])</f>
        <v>0</v>
      </c>
      <c r="U58" s="3">
        <f>MAX(0,(Table36[maxPSEco]-Table7[f4Eco]*(Table15[[#This Row],[rpm]]-Table36[maxPRpm])^2)/1.36*9550/MAX(1,Table15[[#This Row],[rpm]]))</f>
        <v>0</v>
      </c>
      <c r="V58" s="3">
        <f>MAX(0,Table7[Nm2Eco]*MIN(Table36[ratedRpm]/MAX(1,Table15[[#This Row],[rpm]]),1-(MAX(0,Table15[[#This Row],[rpm]]-Table36[ratedRpm])/Table36[fadeOut])^Table36[fadeOutExp]))</f>
        <v>0</v>
      </c>
      <c r="W5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292.29319852941177</v>
      </c>
      <c r="X5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292.29319852941177</v>
      </c>
      <c r="Y58" s="3">
        <f>ABS(Table15[[#This Row],[motor]]-Table15[[#This Row],[motorEco]])</f>
        <v>0</v>
      </c>
    </row>
    <row r="59" spans="1:25" x14ac:dyDescent="0.25">
      <c r="A59" s="3">
        <v>8250</v>
      </c>
      <c r="B5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9" s="20"/>
      <c r="D5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9" s="20"/>
      <c r="F59" s="3">
        <f>Table36[Factor]*IF(Table15[[#This Row],[manualData]]&gt;0,Table15[[#This Row],[manualData]],Table15[[#This Row],[rawData]])</f>
        <v>0</v>
      </c>
      <c r="G59" s="3">
        <f>Table36[Factor]*IF(Table15[[#This Row],[manDataEco]]&gt;0,Table15[[#This Row],[manDataEco]],Table15[[#This Row],[rawDataEco]])</f>
        <v>0</v>
      </c>
      <c r="H59" s="3">
        <f>1.36*Table15[[#This Row],[rpm]]*Table15[[#This Row],[motor]]/9550</f>
        <v>0</v>
      </c>
      <c r="I59" s="3">
        <f>1.36*Table15[[#This Row],[rpm]]*Table15[[#This Row],[motorEco]]/9550</f>
        <v>0</v>
      </c>
      <c r="J59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426.66666666666663</v>
      </c>
      <c r="K59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9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9" s="3">
        <f>(1-(1-Table15[[#This Row],[rpm]]/Table36[idleRpm])^2)*Table7[idleT]</f>
        <v>-98366.748046875</v>
      </c>
      <c r="N59" s="3">
        <f>MAX(0,(1-Table7[f1]*(Table36[maxTRpm1]-Table15[[#This Row],[rpm]])^2)*Table36[maxT])</f>
        <v>0</v>
      </c>
      <c r="O59" s="3">
        <f>MAX(0,(Table36[linearDown]*(1-Table7[f2]*(Table15[[#This Row],[rpm]]-Table36[maxTRpm]))+(1-Table36[linearDown])*(1-Table7[f3]*(Table15[[#This Row],[rpm]]-Table36[maxTRpm])^2))*Table36[maxT])</f>
        <v>0</v>
      </c>
      <c r="P59" s="3">
        <f>MAX(0,(Table36[maxPS]-Table7[f4]*(Table15[[#This Row],[rpm]]-Table36[maxPRpm])^2)/1.36*9550/MAX(1,Table15[[#This Row],[rpm]]))</f>
        <v>0</v>
      </c>
      <c r="Q59" s="3">
        <f>MAX(0,Table7[Nm2]*MIN(Table36[ratedRpm]/MAX(1,Table15[[#This Row],[rpm]]),1-(MAX(0,Table15[[#This Row],[rpm]]-Table36[ratedRpm])/Table36[fadeOut])^Table36[fadeOutExp]))</f>
        <v>0</v>
      </c>
      <c r="R59" s="3">
        <f>(1-(1-Table15[[#This Row],[rpm]]/Table36[idleRpm])^2)*Table7[idleTEco]</f>
        <v>-98366.748046875</v>
      </c>
      <c r="S59" s="3">
        <f>MAX(0,(1-Table7[f1]*(Table36[maxTRpm1]-Table15[[#This Row],[rpm]])^2)*Table36[maxTEco])</f>
        <v>0</v>
      </c>
      <c r="T59" s="3">
        <f>MAX(0,(Table36[linearDown]*(1-Table7[f2Eco]*(Table15[[#This Row],[rpm]]-Table36[maxTRpm]))+(1-Table36[linearDown])*(1-Table7[f3Eco]*(Table15[[#This Row],[rpm]]-Table36[maxTRpm])^2))*Table36[maxTEco])</f>
        <v>0</v>
      </c>
      <c r="U59" s="3">
        <f>MAX(0,(Table36[maxPSEco]-Table7[f4Eco]*(Table15[[#This Row],[rpm]]-Table36[maxPRpm])^2)/1.36*9550/MAX(1,Table15[[#This Row],[rpm]]))</f>
        <v>0</v>
      </c>
      <c r="V59" s="3">
        <f>MAX(0,Table7[Nm2Eco]*MIN(Table36[ratedRpm]/MAX(1,Table15[[#This Row],[rpm]]),1-(MAX(0,Table15[[#This Row],[rpm]]-Table36[ratedRpm])/Table36[fadeOut])^Table36[fadeOutExp]))</f>
        <v>0</v>
      </c>
      <c r="W5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283.43582887700535</v>
      </c>
      <c r="X5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283.43582887700535</v>
      </c>
      <c r="Y59" s="3">
        <f>ABS(Table15[[#This Row],[motor]]-Table15[[#This Row],[motorEco]])</f>
        <v>0</v>
      </c>
    </row>
    <row r="60" spans="1:25" x14ac:dyDescent="0.25">
      <c r="A60" s="3">
        <v>8500</v>
      </c>
      <c r="B6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0" s="20"/>
      <c r="D6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0" s="20"/>
      <c r="F60" s="3">
        <f>Table36[Factor]*IF(Table15[[#This Row],[manualData]]&gt;0,Table15[[#This Row],[manualData]],Table15[[#This Row],[rawData]])</f>
        <v>0</v>
      </c>
      <c r="G60" s="3">
        <f>Table36[Factor]*IF(Table15[[#This Row],[manDataEco]]&gt;0,Table15[[#This Row],[manDataEco]],Table15[[#This Row],[rawDataEco]])</f>
        <v>0</v>
      </c>
      <c r="H60" s="3">
        <f>1.36*Table15[[#This Row],[rpm]]*Table15[[#This Row],[motor]]/9550</f>
        <v>0</v>
      </c>
      <c r="I60" s="3">
        <f>1.36*Table15[[#This Row],[rpm]]*Table15[[#This Row],[motorEco]]/9550</f>
        <v>0</v>
      </c>
      <c r="J60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426.66666666666663</v>
      </c>
      <c r="K60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0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60" s="3">
        <f>(1-(1-Table15[[#This Row],[rpm]]/Table36[idleRpm])^2)*Table7[idleT]</f>
        <v>-105157.6171875</v>
      </c>
      <c r="N60" s="3">
        <f>MAX(0,(1-Table7[f1]*(Table36[maxTRpm1]-Table15[[#This Row],[rpm]])^2)*Table36[maxT])</f>
        <v>0</v>
      </c>
      <c r="O60" s="3">
        <f>MAX(0,(Table36[linearDown]*(1-Table7[f2]*(Table15[[#This Row],[rpm]]-Table36[maxTRpm]))+(1-Table36[linearDown])*(1-Table7[f3]*(Table15[[#This Row],[rpm]]-Table36[maxTRpm])^2))*Table36[maxT])</f>
        <v>0</v>
      </c>
      <c r="P60" s="3">
        <f>MAX(0,(Table36[maxPS]-Table7[f4]*(Table15[[#This Row],[rpm]]-Table36[maxPRpm])^2)/1.36*9550/MAX(1,Table15[[#This Row],[rpm]]))</f>
        <v>0</v>
      </c>
      <c r="Q60" s="3">
        <f>MAX(0,Table7[Nm2]*MIN(Table36[ratedRpm]/MAX(1,Table15[[#This Row],[rpm]]),1-(MAX(0,Table15[[#This Row],[rpm]]-Table36[ratedRpm])/Table36[fadeOut])^Table36[fadeOutExp]))</f>
        <v>0</v>
      </c>
      <c r="R60" s="3">
        <f>(1-(1-Table15[[#This Row],[rpm]]/Table36[idleRpm])^2)*Table7[idleTEco]</f>
        <v>-105157.6171875</v>
      </c>
      <c r="S60" s="3">
        <f>MAX(0,(1-Table7[f1]*(Table36[maxTRpm1]-Table15[[#This Row],[rpm]])^2)*Table36[maxTEco])</f>
        <v>0</v>
      </c>
      <c r="T60" s="3">
        <f>MAX(0,(Table36[linearDown]*(1-Table7[f2Eco]*(Table15[[#This Row],[rpm]]-Table36[maxTRpm]))+(1-Table36[linearDown])*(1-Table7[f3Eco]*(Table15[[#This Row],[rpm]]-Table36[maxTRpm])^2))*Table36[maxTEco])</f>
        <v>0</v>
      </c>
      <c r="U60" s="3">
        <f>MAX(0,(Table36[maxPSEco]-Table7[f4Eco]*(Table15[[#This Row],[rpm]]-Table36[maxPRpm])^2)/1.36*9550/MAX(1,Table15[[#This Row],[rpm]]))</f>
        <v>0</v>
      </c>
      <c r="V60" s="3">
        <f>MAX(0,Table7[Nm2Eco]*MIN(Table36[ratedRpm]/MAX(1,Table15[[#This Row],[rpm]]),1-(MAX(0,Table15[[#This Row],[rpm]]-Table36[ratedRpm])/Table36[fadeOut])^Table36[fadeOutExp]))</f>
        <v>0</v>
      </c>
      <c r="W6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275.09948096885813</v>
      </c>
      <c r="X6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275.09948096885813</v>
      </c>
      <c r="Y60" s="3">
        <f>ABS(Table15[[#This Row],[motor]]-Table15[[#This Row],[motorEco]])</f>
        <v>0</v>
      </c>
    </row>
    <row r="61" spans="1:25" x14ac:dyDescent="0.25">
      <c r="A61" s="3">
        <v>8750</v>
      </c>
      <c r="B6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1" s="20"/>
      <c r="D6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1" s="20"/>
      <c r="F61" s="3">
        <f>Table36[Factor]*IF(Table15[[#This Row],[manualData]]&gt;0,Table15[[#This Row],[manualData]],Table15[[#This Row],[rawData]])</f>
        <v>0</v>
      </c>
      <c r="G61" s="3">
        <f>Table36[Factor]*IF(Table15[[#This Row],[manDataEco]]&gt;0,Table15[[#This Row],[manDataEco]],Table15[[#This Row],[rawDataEco]])</f>
        <v>0</v>
      </c>
      <c r="H61" s="3">
        <f>1.36*Table15[[#This Row],[rpm]]*Table15[[#This Row],[motor]]/9550</f>
        <v>0</v>
      </c>
      <c r="I61" s="3">
        <f>1.36*Table15[[#This Row],[rpm]]*Table15[[#This Row],[motorEco]]/9550</f>
        <v>0</v>
      </c>
      <c r="J61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426.66666666666663</v>
      </c>
      <c r="K61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1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61" s="3">
        <f>(1-(1-Table15[[#This Row],[rpm]]/Table36[idleRpm])^2)*Table7[idleT]</f>
        <v>-112172.607421875</v>
      </c>
      <c r="N61" s="3">
        <f>MAX(0,(1-Table7[f1]*(Table36[maxTRpm1]-Table15[[#This Row],[rpm]])^2)*Table36[maxT])</f>
        <v>0</v>
      </c>
      <c r="O61" s="3">
        <f>MAX(0,(Table36[linearDown]*(1-Table7[f2]*(Table15[[#This Row],[rpm]]-Table36[maxTRpm]))+(1-Table36[linearDown])*(1-Table7[f3]*(Table15[[#This Row],[rpm]]-Table36[maxTRpm])^2))*Table36[maxT])</f>
        <v>0</v>
      </c>
      <c r="P61" s="3">
        <f>MAX(0,(Table36[maxPS]-Table7[f4]*(Table15[[#This Row],[rpm]]-Table36[maxPRpm])^2)/1.36*9550/MAX(1,Table15[[#This Row],[rpm]]))</f>
        <v>0</v>
      </c>
      <c r="Q61" s="3">
        <f>MAX(0,Table7[Nm2]*MIN(Table36[ratedRpm]/MAX(1,Table15[[#This Row],[rpm]]),1-(MAX(0,Table15[[#This Row],[rpm]]-Table36[ratedRpm])/Table36[fadeOut])^Table36[fadeOutExp]))</f>
        <v>0</v>
      </c>
      <c r="R61" s="3">
        <f>(1-(1-Table15[[#This Row],[rpm]]/Table36[idleRpm])^2)*Table7[idleTEco]</f>
        <v>-112172.607421875</v>
      </c>
      <c r="S61" s="3">
        <f>MAX(0,(1-Table7[f1]*(Table36[maxTRpm1]-Table15[[#This Row],[rpm]])^2)*Table36[maxTEco])</f>
        <v>0</v>
      </c>
      <c r="T61" s="3">
        <f>MAX(0,(Table36[linearDown]*(1-Table7[f2Eco]*(Table15[[#This Row],[rpm]]-Table36[maxTRpm]))+(1-Table36[linearDown])*(1-Table7[f3Eco]*(Table15[[#This Row],[rpm]]-Table36[maxTRpm])^2))*Table36[maxTEco])</f>
        <v>0</v>
      </c>
      <c r="U61" s="3">
        <f>MAX(0,(Table36[maxPSEco]-Table7[f4Eco]*(Table15[[#This Row],[rpm]]-Table36[maxPRpm])^2)/1.36*9550/MAX(1,Table15[[#This Row],[rpm]]))</f>
        <v>0</v>
      </c>
      <c r="V61" s="3">
        <f>MAX(0,Table7[Nm2Eco]*MIN(Table36[ratedRpm]/MAX(1,Table15[[#This Row],[rpm]]),1-(MAX(0,Table15[[#This Row],[rpm]]-Table36[ratedRpm])/Table36[fadeOut])^Table36[fadeOutExp]))</f>
        <v>0</v>
      </c>
      <c r="W6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267.2394957983193</v>
      </c>
      <c r="X6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267.2394957983193</v>
      </c>
      <c r="Y61" s="3">
        <f>ABS(Table15[[#This Row],[motor]]-Table15[[#This Row],[motorEco]])</f>
        <v>0</v>
      </c>
    </row>
    <row r="62" spans="1:25" x14ac:dyDescent="0.25">
      <c r="A62" s="3">
        <v>9000</v>
      </c>
      <c r="B6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2" s="20"/>
      <c r="D6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2" s="20"/>
      <c r="F62" s="3">
        <f>Table36[Factor]*IF(Table15[[#This Row],[manualData]]&gt;0,Table15[[#This Row],[manualData]],Table15[[#This Row],[rawData]])</f>
        <v>0</v>
      </c>
      <c r="G62" s="3">
        <f>Table36[Factor]*IF(Table15[[#This Row],[manDataEco]]&gt;0,Table15[[#This Row],[manDataEco]],Table15[[#This Row],[rawDataEco]])</f>
        <v>0</v>
      </c>
      <c r="H62" s="3">
        <f>1.36*Table15[[#This Row],[rpm]]*Table15[[#This Row],[motor]]/9550</f>
        <v>0</v>
      </c>
      <c r="I62" s="3">
        <f>1.36*Table15[[#This Row],[rpm]]*Table15[[#This Row],[motorEco]]/9550</f>
        <v>0</v>
      </c>
      <c r="J62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426.66666666666663</v>
      </c>
      <c r="K62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2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62" s="3">
        <f>(1-(1-Table15[[#This Row],[rpm]]/Table36[idleRpm])^2)*Table7[idleT]</f>
        <v>-119411.71875</v>
      </c>
      <c r="N62" s="3">
        <f>MAX(0,(1-Table7[f1]*(Table36[maxTRpm1]-Table15[[#This Row],[rpm]])^2)*Table36[maxT])</f>
        <v>0</v>
      </c>
      <c r="O62" s="3">
        <f>MAX(0,(Table36[linearDown]*(1-Table7[f2]*(Table15[[#This Row],[rpm]]-Table36[maxTRpm]))+(1-Table36[linearDown])*(1-Table7[f3]*(Table15[[#This Row],[rpm]]-Table36[maxTRpm])^2))*Table36[maxT])</f>
        <v>0</v>
      </c>
      <c r="P62" s="3">
        <f>MAX(0,(Table36[maxPS]-Table7[f4]*(Table15[[#This Row],[rpm]]-Table36[maxPRpm])^2)/1.36*9550/MAX(1,Table15[[#This Row],[rpm]]))</f>
        <v>0</v>
      </c>
      <c r="Q62" s="3">
        <f>MAX(0,Table7[Nm2]*MIN(Table36[ratedRpm]/MAX(1,Table15[[#This Row],[rpm]]),1-(MAX(0,Table15[[#This Row],[rpm]]-Table36[ratedRpm])/Table36[fadeOut])^Table36[fadeOutExp]))</f>
        <v>0</v>
      </c>
      <c r="R62" s="3">
        <f>(1-(1-Table15[[#This Row],[rpm]]/Table36[idleRpm])^2)*Table7[idleTEco]</f>
        <v>-119411.71875</v>
      </c>
      <c r="S62" s="3">
        <f>MAX(0,(1-Table7[f1]*(Table36[maxTRpm1]-Table15[[#This Row],[rpm]])^2)*Table36[maxTEco])</f>
        <v>0</v>
      </c>
      <c r="T62" s="3">
        <f>MAX(0,(Table36[linearDown]*(1-Table7[f2Eco]*(Table15[[#This Row],[rpm]]-Table36[maxTRpm]))+(1-Table36[linearDown])*(1-Table7[f3Eco]*(Table15[[#This Row],[rpm]]-Table36[maxTRpm])^2))*Table36[maxTEco])</f>
        <v>0</v>
      </c>
      <c r="U62" s="3">
        <f>MAX(0,(Table36[maxPSEco]-Table7[f4Eco]*(Table15[[#This Row],[rpm]]-Table36[maxPRpm])^2)/1.36*9550/MAX(1,Table15[[#This Row],[rpm]]))</f>
        <v>0</v>
      </c>
      <c r="V62" s="3">
        <f>MAX(0,Table7[Nm2Eco]*MIN(Table36[ratedRpm]/MAX(1,Table15[[#This Row],[rpm]]),1-(MAX(0,Table15[[#This Row],[rpm]]-Table36[ratedRpm])/Table36[fadeOut])^Table36[fadeOutExp]))</f>
        <v>0</v>
      </c>
      <c r="W6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259.81617647058823</v>
      </c>
      <c r="X6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259.81617647058823</v>
      </c>
      <c r="Y62" s="3">
        <f>ABS(Table15[[#This Row],[motor]]-Table15[[#This Row],[motorEco]])</f>
        <v>0</v>
      </c>
    </row>
  </sheetData>
  <conditionalFormatting sqref="I7:I25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{E1C56E9C-EE7A-4A8D-B0DC-E752B34F8D7C}</x14:id>
        </ext>
      </extLst>
    </cfRule>
  </conditionalFormatting>
  <conditionalFormatting sqref="F7:G25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{38D9AB0E-4856-4112-B342-A97DADB3E4E7}</x14:id>
        </ext>
      </extLst>
    </cfRule>
  </conditionalFormatting>
  <conditionalFormatting sqref="H7:H62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{16AE14AC-497A-431B-A55E-276DD076547C}</x14:id>
        </ext>
      </extLst>
    </cfRule>
  </conditionalFormatting>
  <conditionalFormatting sqref="H7:I62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{DC5EE46E-370E-4713-8616-D3D113139AC2}</x14:id>
        </ext>
      </extLst>
    </cfRule>
  </conditionalFormatting>
  <conditionalFormatting sqref="F7:G6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{98050814-2C89-45D9-81C5-8AFF6038F3C7}</x14:id>
        </ext>
      </extLst>
    </cfRule>
  </conditionalFormatting>
  <conditionalFormatting sqref="J7:J6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{43DDCF38-9659-4E25-8C46-2A3E5E72C923}</x14:id>
        </ext>
      </extLst>
    </cfRule>
  </conditionalFormatting>
  <conditionalFormatting sqref="I2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{E2BB9A79-62A0-422A-B3E3-E4E54A57965C}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C56E9C-EE7A-4A8D-B0DC-E752B34F8D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I7:I25</xm:sqref>
        </x14:conditionalFormatting>
        <x14:conditionalFormatting xmlns:xm="http://schemas.microsoft.com/office/excel/2006/main">
          <x14:cfRule type="dataBar" id="{38D9AB0E-4856-4112-B342-A97DADB3E4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F7:G25</xm:sqref>
        </x14:conditionalFormatting>
        <x14:conditionalFormatting xmlns:xm="http://schemas.microsoft.com/office/excel/2006/main">
          <x14:cfRule type="dataBar" id="{16AE14AC-497A-431B-A55E-276DD07654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H7:H62</xm:sqref>
        </x14:conditionalFormatting>
        <x14:conditionalFormatting xmlns:xm="http://schemas.microsoft.com/office/excel/2006/main">
          <x14:cfRule type="dataBar" id="{DC5EE46E-370E-4713-8616-D3D113139A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H7:I62</xm:sqref>
        </x14:conditionalFormatting>
        <x14:conditionalFormatting xmlns:xm="http://schemas.microsoft.com/office/excel/2006/main">
          <x14:cfRule type="dataBar" id="{98050814-2C89-45D9-81C5-8AFF6038F3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F7:G62</xm:sqref>
        </x14:conditionalFormatting>
        <x14:conditionalFormatting xmlns:xm="http://schemas.microsoft.com/office/excel/2006/main">
          <x14:cfRule type="dataBar" id="{43DDCF38-9659-4E25-8C46-2A3E5E72C9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J7:J62</xm:sqref>
        </x14:conditionalFormatting>
        <x14:conditionalFormatting xmlns:xm="http://schemas.microsoft.com/office/excel/2006/main">
          <x14:cfRule type="dataBar" id="{E2BB9A79-62A0-422A-B3E3-E4E54A5796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2"/>
  <sheetViews>
    <sheetView workbookViewId="0">
      <selection activeCell="G2" sqref="G2:G17"/>
    </sheetView>
  </sheetViews>
  <sheetFormatPr defaultRowHeight="15" x14ac:dyDescent="0.25"/>
  <cols>
    <col min="2" max="2" width="11.85546875" customWidth="1"/>
    <col min="7" max="7" width="13.28515625" customWidth="1"/>
    <col min="8" max="8" width="16.140625" customWidth="1"/>
  </cols>
  <sheetData>
    <row r="1" spans="1:8" x14ac:dyDescent="0.25">
      <c r="A1" t="s">
        <v>0</v>
      </c>
      <c r="B1" t="s">
        <v>5</v>
      </c>
      <c r="C1" t="s">
        <v>2</v>
      </c>
      <c r="D1" t="s">
        <v>6</v>
      </c>
      <c r="E1" t="s">
        <v>1</v>
      </c>
      <c r="F1" t="s">
        <v>4</v>
      </c>
      <c r="G1" t="s">
        <v>3</v>
      </c>
      <c r="H1" t="s">
        <v>9</v>
      </c>
    </row>
    <row r="2" spans="1:8" x14ac:dyDescent="0.25">
      <c r="A2">
        <v>800</v>
      </c>
      <c r="B2">
        <v>2600</v>
      </c>
      <c r="C2">
        <f>$A$22*Table1[[#This Row],[rawData]]</f>
        <v>2444</v>
      </c>
      <c r="D2" s="1">
        <f>A2*C2/9550</f>
        <v>204.73298429319371</v>
      </c>
      <c r="E2" s="1">
        <f>Table1[[#This Row],[kw_pto]]*1.36/0.94</f>
        <v>296.20942408376965</v>
      </c>
      <c r="F2">
        <f t="shared" ref="F2" si="0">C2/0.94</f>
        <v>2600</v>
      </c>
      <c r="G2" s="1" t="str">
        <f>CONCATENATE("&lt;torque rpm=""",Table1[[#This Row],[rpm]],""" motorTorque=""",ROUND(Table1[[#This Row],[motor]],0),"""/&gt;")</f>
        <v>&lt;torque rpm="800" motorTorque="2600"/&gt;</v>
      </c>
      <c r="H2" s="1" t="str">
        <f>CONCATENATE("&lt;torque normRpm=""",ROUND(Table1[[#This Row],[rpm]]/Table3[ratedRpm],3),""" torque=""",ROUND(Table1[[#This Row],[motor]]/MAX(Table1[motor]),3),"""/&gt;")</f>
        <v>&lt;torque normRpm="0.381" torque="0.884"/&gt;</v>
      </c>
    </row>
    <row r="3" spans="1:8" x14ac:dyDescent="0.25">
      <c r="A3">
        <v>900</v>
      </c>
      <c r="B3">
        <v>2730</v>
      </c>
      <c r="C3">
        <f>$A$22*Table1[[#This Row],[rawData]]</f>
        <v>2566.1999999999998</v>
      </c>
      <c r="D3" s="1">
        <f>A3*C3/9550</f>
        <v>241.84083769633509</v>
      </c>
      <c r="E3" s="1">
        <f>Table1[[#This Row],[kw_pto]]*1.36/0.94</f>
        <v>349.89738219895293</v>
      </c>
      <c r="F3">
        <f t="shared" ref="F3:F18" si="1">C3/0.94</f>
        <v>2730</v>
      </c>
      <c r="G3" s="1" t="str">
        <f>CONCATENATE("&lt;torque rpm=""",Table1[[#This Row],[rpm]],""" motorTorque=""",ROUND(Table1[[#This Row],[motor]],0),"""/&gt;")</f>
        <v>&lt;torque rpm="900" motorTorque="2730"/&gt;</v>
      </c>
      <c r="H3" s="1" t="str">
        <f>CONCATENATE("&lt;torque normRpm=""",ROUND(Table1[[#This Row],[rpm]]/Table3[ratedRpm],3),""" torque=""",ROUND(Table1[[#This Row],[motor]]/MAX(Table1[motor]),3),"""/&gt;")</f>
        <v>&lt;torque normRpm="0.429" torque="0.928"/&gt;</v>
      </c>
    </row>
    <row r="4" spans="1:8" x14ac:dyDescent="0.25">
      <c r="A4">
        <v>1000</v>
      </c>
      <c r="B4">
        <v>2800</v>
      </c>
      <c r="C4">
        <f>$A$22*Table1[[#This Row],[rawData]]</f>
        <v>2632</v>
      </c>
      <c r="D4">
        <f t="shared" ref="D4:D18" si="2">A4*C4/9550</f>
        <v>275.60209424083769</v>
      </c>
      <c r="E4">
        <f>Table1[[#This Row],[kw_pto]]*1.36/0.94</f>
        <v>398.74345549738223</v>
      </c>
      <c r="F4">
        <f t="shared" si="1"/>
        <v>2800</v>
      </c>
      <c r="G4" t="str">
        <f>CONCATENATE("&lt;torque rpm=""",Table1[[#This Row],[rpm]],""" motorTorque=""",ROUND(Table1[[#This Row],[motor]],0),"""/&gt;")</f>
        <v>&lt;torque rpm="1000" motorTorque="2800"/&gt;</v>
      </c>
      <c r="H4" s="1" t="str">
        <f>CONCATENATE("&lt;torque normRpm=""",ROUND(Table1[[#This Row],[rpm]]/Table3[ratedRpm],3),""" torque=""",ROUND(Table1[[#This Row],[motor]]/MAX(Table1[motor]),3),"""/&gt;")</f>
        <v>&lt;torque normRpm="0.476" torque="0.952"/&gt;</v>
      </c>
    </row>
    <row r="5" spans="1:8" x14ac:dyDescent="0.25">
      <c r="A5">
        <v>1100</v>
      </c>
      <c r="B5">
        <v>2850</v>
      </c>
      <c r="C5">
        <f>$A$22*Table1[[#This Row],[rawData]]</f>
        <v>2679</v>
      </c>
      <c r="D5">
        <f t="shared" si="2"/>
        <v>308.57591623036649</v>
      </c>
      <c r="E5">
        <f>Table1[[#This Row],[kw_pto]]*1.36/0.94</f>
        <v>446.45026178010477</v>
      </c>
      <c r="F5">
        <f t="shared" si="1"/>
        <v>2850</v>
      </c>
      <c r="G5" t="str">
        <f>CONCATENATE("&lt;torque rpm=""",Table1[[#This Row],[rpm]],""" motorTorque=""",ROUND(Table1[[#This Row],[motor]],0),"""/&gt;")</f>
        <v>&lt;torque rpm="1100" motorTorque="2850"/&gt;</v>
      </c>
      <c r="H5" s="1" t="str">
        <f>CONCATENATE("&lt;torque normRpm=""",ROUND(Table1[[#This Row],[rpm]]/Table3[ratedRpm],3),""" torque=""",ROUND(Table1[[#This Row],[motor]]/MAX(Table1[motor]),3),"""/&gt;")</f>
        <v>&lt;torque normRpm="0.524" torque="0.969"/&gt;</v>
      </c>
    </row>
    <row r="6" spans="1:8" x14ac:dyDescent="0.25">
      <c r="A6">
        <v>1200</v>
      </c>
      <c r="B6">
        <v>2890</v>
      </c>
      <c r="C6">
        <f>$A$22*Table1[[#This Row],[rawData]]</f>
        <v>2716.6</v>
      </c>
      <c r="D6">
        <f t="shared" si="2"/>
        <v>341.35287958115185</v>
      </c>
      <c r="E6">
        <f>Table1[[#This Row],[kw_pto]]*1.36/0.94</f>
        <v>493.87225130890062</v>
      </c>
      <c r="F6">
        <f t="shared" si="1"/>
        <v>2890</v>
      </c>
      <c r="G6" t="str">
        <f>CONCATENATE("&lt;torque rpm=""",Table1[[#This Row],[rpm]],""" motorTorque=""",ROUND(Table1[[#This Row],[motor]],0),"""/&gt;")</f>
        <v>&lt;torque rpm="1200" motorTorque="2890"/&gt;</v>
      </c>
      <c r="H6" s="1" t="str">
        <f>CONCATENATE("&lt;torque normRpm=""",ROUND(Table1[[#This Row],[rpm]]/Table3[ratedRpm],3),""" torque=""",ROUND(Table1[[#This Row],[motor]]/MAX(Table1[motor]),3),"""/&gt;")</f>
        <v>&lt;torque normRpm="0.571" torque="0.983"/&gt;</v>
      </c>
    </row>
    <row r="7" spans="1:8" x14ac:dyDescent="0.25">
      <c r="A7">
        <v>1300</v>
      </c>
      <c r="B7">
        <v>2920</v>
      </c>
      <c r="C7">
        <f>$A$22*Table1[[#This Row],[rawData]]</f>
        <v>2744.7999999999997</v>
      </c>
      <c r="D7">
        <f t="shared" si="2"/>
        <v>373.63769633507849</v>
      </c>
      <c r="E7">
        <f>Table1[[#This Row],[kw_pto]]*1.36/0.94</f>
        <v>540.58219895287959</v>
      </c>
      <c r="F7">
        <f t="shared" si="1"/>
        <v>2920</v>
      </c>
      <c r="G7" t="str">
        <f>CONCATENATE("&lt;torque rpm=""",Table1[[#This Row],[rpm]],""" motorTorque=""",ROUND(Table1[[#This Row],[motor]],0),"""/&gt;")</f>
        <v>&lt;torque rpm="1300" motorTorque="2920"/&gt;</v>
      </c>
      <c r="H7" s="1" t="str">
        <f>CONCATENATE("&lt;torque normRpm=""",ROUND(Table1[[#This Row],[rpm]]/Table3[ratedRpm],3),""" torque=""",ROUND(Table1[[#This Row],[motor]]/MAX(Table1[motor]),3),"""/&gt;")</f>
        <v>&lt;torque normRpm="0.619" torque="0.993"/&gt;</v>
      </c>
    </row>
    <row r="8" spans="1:8" x14ac:dyDescent="0.25">
      <c r="A8">
        <v>1400</v>
      </c>
      <c r="B8">
        <v>2941</v>
      </c>
      <c r="C8">
        <f>$A$22*Table1[[#This Row],[rawData]]</f>
        <v>2764.54</v>
      </c>
      <c r="D8">
        <f t="shared" si="2"/>
        <v>405.27287958115181</v>
      </c>
      <c r="E8">
        <f>Table1[[#This Row],[kw_pto]]*1.36/0.94</f>
        <v>586.35225130890058</v>
      </c>
      <c r="F8">
        <f t="shared" si="1"/>
        <v>2941</v>
      </c>
      <c r="G8" t="str">
        <f>CONCATENATE("&lt;torque rpm=""",Table1[[#This Row],[rpm]],""" motorTorque=""",ROUND(Table1[[#This Row],[motor]],0),"""/&gt;")</f>
        <v>&lt;torque rpm="1400" motorTorque="2941"/&gt;</v>
      </c>
      <c r="H8" s="1" t="str">
        <f>CONCATENATE("&lt;torque normRpm=""",ROUND(Table1[[#This Row],[rpm]]/Table3[ratedRpm],3),""" torque=""",ROUND(Table1[[#This Row],[motor]]/MAX(Table1[motor]),3),"""/&gt;")</f>
        <v>&lt;torque normRpm="0.667" torque="1"/&gt;</v>
      </c>
    </row>
    <row r="9" spans="1:8" x14ac:dyDescent="0.25">
      <c r="A9">
        <v>1500</v>
      </c>
      <c r="B9">
        <v>2900</v>
      </c>
      <c r="C9">
        <f>$A$22*Table1[[#This Row],[rawData]]</f>
        <v>2726</v>
      </c>
      <c r="D9">
        <f t="shared" si="2"/>
        <v>428.16753926701568</v>
      </c>
      <c r="E9">
        <f>Table1[[#This Row],[kw_pto]]*1.36/0.94</f>
        <v>619.47643979057602</v>
      </c>
      <c r="F9">
        <f t="shared" si="1"/>
        <v>2900</v>
      </c>
      <c r="G9" t="str">
        <f>CONCATENATE("&lt;torque rpm=""",Table1[[#This Row],[rpm]],""" motorTorque=""",ROUND(Table1[[#This Row],[motor]],0),"""/&gt;")</f>
        <v>&lt;torque rpm="1500" motorTorque="2900"/&gt;</v>
      </c>
      <c r="H9" s="1" t="str">
        <f>CONCATENATE("&lt;torque normRpm=""",ROUND(Table1[[#This Row],[rpm]]/Table3[ratedRpm],3),""" torque=""",ROUND(Table1[[#This Row],[motor]]/MAX(Table1[motor]),3),"""/&gt;")</f>
        <v>&lt;torque normRpm="0.714" torque="0.986"/&gt;</v>
      </c>
    </row>
    <row r="10" spans="1:8" x14ac:dyDescent="0.25">
      <c r="A10">
        <v>1600</v>
      </c>
      <c r="B10">
        <v>2830</v>
      </c>
      <c r="C10">
        <f>$A$22*Table1[[#This Row],[rawData]]</f>
        <v>2660.2</v>
      </c>
      <c r="D10">
        <f t="shared" si="2"/>
        <v>445.68795811518322</v>
      </c>
      <c r="E10">
        <f>Table1[[#This Row],[kw_pto]]*1.36/0.94</f>
        <v>644.82513089005238</v>
      </c>
      <c r="F10">
        <f t="shared" si="1"/>
        <v>2830</v>
      </c>
      <c r="G10" t="str">
        <f>CONCATENATE("&lt;torque rpm=""",Table1[[#This Row],[rpm]],""" motorTorque=""",ROUND(Table1[[#This Row],[motor]],0),"""/&gt;")</f>
        <v>&lt;torque rpm="1600" motorTorque="2830"/&gt;</v>
      </c>
      <c r="H10" s="1" t="str">
        <f>CONCATENATE("&lt;torque normRpm=""",ROUND(Table1[[#This Row],[rpm]]/Table3[ratedRpm],3),""" torque=""",ROUND(Table1[[#This Row],[motor]]/MAX(Table1[motor]),3),"""/&gt;")</f>
        <v>&lt;torque normRpm="0.762" torque="0.962"/&gt;</v>
      </c>
    </row>
    <row r="11" spans="1:8" x14ac:dyDescent="0.25">
      <c r="A11">
        <v>1700</v>
      </c>
      <c r="B11">
        <v>2740</v>
      </c>
      <c r="C11">
        <f>$A$22*Table1[[#This Row],[rawData]]</f>
        <v>2575.6</v>
      </c>
      <c r="D11">
        <f t="shared" si="2"/>
        <v>458.48376963350785</v>
      </c>
      <c r="E11">
        <f>Table1[[#This Row],[kw_pto]]*1.36/0.94</f>
        <v>663.33821989528803</v>
      </c>
      <c r="F11">
        <f t="shared" si="1"/>
        <v>2740</v>
      </c>
      <c r="G11" t="str">
        <f>CONCATENATE("&lt;torque rpm=""",Table1[[#This Row],[rpm]],""" motorTorque=""",ROUND(Table1[[#This Row],[motor]],0),"""/&gt;")</f>
        <v>&lt;torque rpm="1700" motorTorque="2740"/&gt;</v>
      </c>
      <c r="H11" s="1" t="str">
        <f>CONCATENATE("&lt;torque normRpm=""",ROUND(Table1[[#This Row],[rpm]]/Table3[ratedRpm],3),""" torque=""",ROUND(Table1[[#This Row],[motor]]/MAX(Table1[motor]),3),"""/&gt;")</f>
        <v>&lt;torque normRpm="0.81" torque="0.932"/&gt;</v>
      </c>
    </row>
    <row r="12" spans="1:8" x14ac:dyDescent="0.25">
      <c r="A12">
        <v>1800</v>
      </c>
      <c r="B12">
        <v>2650</v>
      </c>
      <c r="C12">
        <f>$A$22*Table1[[#This Row],[rawData]]</f>
        <v>2491</v>
      </c>
      <c r="D12">
        <f t="shared" si="2"/>
        <v>469.50785340314138</v>
      </c>
      <c r="E12">
        <f>Table1[[#This Row],[kw_pto]]*1.36/0.94</f>
        <v>679.2879581151833</v>
      </c>
      <c r="F12">
        <f t="shared" si="1"/>
        <v>2650</v>
      </c>
      <c r="G12" t="str">
        <f>CONCATENATE("&lt;torque rpm=""",Table1[[#This Row],[rpm]],""" motorTorque=""",ROUND(Table1[[#This Row],[motor]],0),"""/&gt;")</f>
        <v>&lt;torque rpm="1800" motorTorque="2650"/&gt;</v>
      </c>
      <c r="H12" s="1" t="str">
        <f>CONCATENATE("&lt;torque normRpm=""",ROUND(Table1[[#This Row],[rpm]]/Table3[ratedRpm],3),""" torque=""",ROUND(Table1[[#This Row],[motor]]/MAX(Table1[motor]),3),"""/&gt;")</f>
        <v>&lt;torque normRpm="0.857" torque="0.901"/&gt;</v>
      </c>
    </row>
    <row r="13" spans="1:8" x14ac:dyDescent="0.25">
      <c r="A13">
        <v>1900</v>
      </c>
      <c r="B13">
        <f>0.94*Table3[PS]/1.36*9550/Table1[[#This Row],[rpm]]/Table3[Factor]</f>
        <v>2557.5077399380802</v>
      </c>
      <c r="C13">
        <f>$A$22*Table1[[#This Row],[rawData]]</f>
        <v>2404.0572755417952</v>
      </c>
      <c r="D13">
        <f t="shared" si="2"/>
        <v>478.29411764705873</v>
      </c>
      <c r="E13">
        <f>Table1[[#This Row],[kw_pto]]*1.36/0.94</f>
        <v>691.99999999999989</v>
      </c>
      <c r="F13">
        <f t="shared" si="1"/>
        <v>2557.5077399380802</v>
      </c>
      <c r="G13" t="str">
        <f>CONCATENATE("&lt;torque rpm=""",Table1[[#This Row],[rpm]],""" motorTorque=""",ROUND(Table1[[#This Row],[motor]],0),"""/&gt;")</f>
        <v>&lt;torque rpm="1900" motorTorque="2558"/&gt;</v>
      </c>
      <c r="H13" s="1" t="str">
        <f>CONCATENATE("&lt;torque normRpm=""",ROUND(Table1[[#This Row],[rpm]]/Table3[ratedRpm],3),""" torque=""",ROUND(Table1[[#This Row],[motor]]/MAX(Table1[motor]),3),"""/&gt;")</f>
        <v>&lt;torque normRpm="0.905" torque="0.87"/&gt;</v>
      </c>
    </row>
    <row r="14" spans="1:8" x14ac:dyDescent="0.25">
      <c r="A14">
        <v>2000</v>
      </c>
      <c r="B14">
        <f>0.94*Table3[PS]/1.36*9550/Table1[[#This Row],[rpm]]/Table3[Factor]</f>
        <v>2429.6323529411766</v>
      </c>
      <c r="C14">
        <f>$A$22*Table1[[#This Row],[rawData]]</f>
        <v>2283.8544117647057</v>
      </c>
      <c r="D14">
        <f t="shared" si="2"/>
        <v>478.29411764705873</v>
      </c>
      <c r="E14">
        <f>Table1[[#This Row],[kw_pto]]*1.36/0.94</f>
        <v>691.99999999999989</v>
      </c>
      <c r="F14">
        <f t="shared" si="1"/>
        <v>2429.6323529411766</v>
      </c>
      <c r="G14" t="str">
        <f>CONCATENATE("&lt;torque rpm=""",Table1[[#This Row],[rpm]],""" motorTorque=""",ROUND(Table1[[#This Row],[motor]],0),"""/&gt;")</f>
        <v>&lt;torque rpm="2000" motorTorque="2430"/&gt;</v>
      </c>
      <c r="H14" s="1" t="str">
        <f>CONCATENATE("&lt;torque normRpm=""",ROUND(Table1[[#This Row],[rpm]]/Table3[ratedRpm],3),""" torque=""",ROUND(Table1[[#This Row],[motor]]/MAX(Table1[motor]),3),"""/&gt;")</f>
        <v>&lt;torque normRpm="0.952" torque="0.826"/&gt;</v>
      </c>
    </row>
    <row r="15" spans="1:8" x14ac:dyDescent="0.25">
      <c r="A15">
        <v>2100</v>
      </c>
      <c r="B15">
        <f>0.94*Table3[PS]/1.36*9550/Table1[[#This Row],[rpm]]/Table3[Factor]</f>
        <v>2313.9355742296916</v>
      </c>
      <c r="C15">
        <f>$A$22*Table1[[#This Row],[rawData]]</f>
        <v>2175.09943977591</v>
      </c>
      <c r="D15">
        <f t="shared" si="2"/>
        <v>478.29411764705873</v>
      </c>
      <c r="E15">
        <f>Table1[[#This Row],[kw_pto]]*1.36/0.94</f>
        <v>691.99999999999989</v>
      </c>
      <c r="F15">
        <f t="shared" si="1"/>
        <v>2313.9355742296916</v>
      </c>
      <c r="G15" t="str">
        <f>CONCATENATE("&lt;torque rpm=""",Table1[[#This Row],[rpm]],""" motorTorque=""",ROUND(Table1[[#This Row],[motor]],0),"""/&gt;")</f>
        <v>&lt;torque rpm="2100" motorTorque="2314"/&gt;</v>
      </c>
      <c r="H15" s="1" t="str">
        <f>CONCATENATE("&lt;torque normRpm=""",ROUND(Table1[[#This Row],[rpm]]/Table3[ratedRpm],3),""" torque=""",ROUND(Table1[[#This Row],[motor]]/MAX(Table1[motor]),3),"""/&gt;")</f>
        <v>&lt;torque normRpm="1" torque="0.787"/&gt;</v>
      </c>
    </row>
    <row r="16" spans="1:8" x14ac:dyDescent="0.25">
      <c r="A16">
        <v>2200</v>
      </c>
      <c r="B16">
        <v>2000</v>
      </c>
      <c r="C16">
        <f>$A$22*Table1[[#This Row],[rawData]]</f>
        <v>1880</v>
      </c>
      <c r="D16">
        <f t="shared" si="2"/>
        <v>433.08900523560209</v>
      </c>
      <c r="E16">
        <f>Table1[[#This Row],[kw_pto]]*1.36/0.94</f>
        <v>626.59685863874358</v>
      </c>
      <c r="F16">
        <f t="shared" si="1"/>
        <v>2000</v>
      </c>
      <c r="G16" t="str">
        <f>CONCATENATE("&lt;torque rpm=""",Table1[[#This Row],[rpm]],""" motorTorque=""",ROUND(Table1[[#This Row],[motor]],0),"""/&gt;")</f>
        <v>&lt;torque rpm="2200" motorTorque="2000"/&gt;</v>
      </c>
      <c r="H16" s="1" t="str">
        <f>CONCATENATE("&lt;torque normRpm=""",ROUND(Table1[[#This Row],[rpm]]/Table3[ratedRpm],3),""" torque=""",ROUND(Table1[[#This Row],[motor]]/MAX(Table1[motor]),3),"""/&gt;")</f>
        <v>&lt;torque normRpm="1.048" torque="0.68"/&gt;</v>
      </c>
    </row>
    <row r="17" spans="1:8" x14ac:dyDescent="0.25">
      <c r="A17">
        <v>2300</v>
      </c>
      <c r="B17">
        <v>0</v>
      </c>
      <c r="C17">
        <f>$A$22*Table1[[#This Row],[rawData]]</f>
        <v>0</v>
      </c>
      <c r="D17">
        <f t="shared" si="2"/>
        <v>0</v>
      </c>
      <c r="E17">
        <f>Table1[[#This Row],[kw_pto]]*1.36/0.94</f>
        <v>0</v>
      </c>
      <c r="F17">
        <f t="shared" si="1"/>
        <v>0</v>
      </c>
      <c r="G17" t="str">
        <f>CONCATENATE("&lt;torque rpm=""",Table1[[#This Row],[rpm]],""" motorTorque=""",ROUND(Table1[[#This Row],[motor]],0),"""/&gt;")</f>
        <v>&lt;torque rpm="2300" motorTorque="0"/&gt;</v>
      </c>
      <c r="H17" s="1" t="str">
        <f>CONCATENATE("&lt;torque normRpm=""",ROUND(Table1[[#This Row],[rpm]]/Table3[ratedRpm],3),""" torque=""",ROUND(Table1[[#This Row],[motor]]/MAX(Table1[motor]),3),"""/&gt;")</f>
        <v>&lt;torque normRpm="1.095" torque="0"/&gt;</v>
      </c>
    </row>
    <row r="18" spans="1:8" x14ac:dyDescent="0.25">
      <c r="A18">
        <v>2400</v>
      </c>
      <c r="B18">
        <v>0</v>
      </c>
      <c r="C18">
        <f>$A$22*Table1[[#This Row],[rawData]]</f>
        <v>0</v>
      </c>
      <c r="D18">
        <f t="shared" si="2"/>
        <v>0</v>
      </c>
      <c r="E18">
        <f>Table1[[#This Row],[kw_pto]]*1.36/0.94</f>
        <v>0</v>
      </c>
      <c r="F18">
        <f t="shared" si="1"/>
        <v>0</v>
      </c>
      <c r="G18" t="str">
        <f>CONCATENATE("&lt;torque rpm=""",Table1[[#This Row],[rpm]],""" motorTorque=""",ROUND(Table1[[#This Row],[motor]],0),"""/&gt;")</f>
        <v>&lt;torque rpm="2400" motorTorque="0"/&gt;</v>
      </c>
      <c r="H18" s="1" t="str">
        <f>CONCATENATE("&lt;torque normRpm=""",ROUND(Table1[[#This Row],[rpm]]/Table3[ratedRpm],3),""" torque=""",ROUND(Table1[[#This Row],[motor]]/MAX(Table1[motor]),3),"""/&gt;")</f>
        <v>&lt;torque normRpm="1.143" torque="0"/&gt;</v>
      </c>
    </row>
    <row r="19" spans="1:8" x14ac:dyDescent="0.25">
      <c r="A19">
        <v>2500</v>
      </c>
      <c r="B19">
        <v>0</v>
      </c>
      <c r="C19">
        <f>$A$22*Table1[[#This Row],[rawData]]</f>
        <v>0</v>
      </c>
      <c r="D19" s="1">
        <f>A19*C19/9550</f>
        <v>0</v>
      </c>
      <c r="E19" s="1">
        <f>Table1[[#This Row],[kw_pto]]*1.36/0.94</f>
        <v>0</v>
      </c>
      <c r="G19" s="1" t="str">
        <f>CONCATENATE("&lt;torque rpm=""",Table1[[#This Row],[rpm]],""" motorTorque=""",ROUND(Table1[[#This Row],[motor]],0),"""/&gt;")</f>
        <v>&lt;torque rpm="2500" motorTorque="0"/&gt;</v>
      </c>
      <c r="H19" s="1" t="str">
        <f>CONCATENATE("&lt;torque normRpm=""",ROUND(Table1[[#This Row],[rpm]]/Table3[ratedRpm],3),""" torque=""",ROUND(Table1[[#This Row],[motor]]/MAX(Table1[motor]),3),"""/&gt;")</f>
        <v>&lt;torque normRpm="1.19" torque="0"/&gt;</v>
      </c>
    </row>
    <row r="21" spans="1:8" x14ac:dyDescent="0.25">
      <c r="A21" t="s">
        <v>7</v>
      </c>
      <c r="B21" t="s">
        <v>8</v>
      </c>
      <c r="C21" t="s">
        <v>10</v>
      </c>
      <c r="D21" t="s">
        <v>11</v>
      </c>
      <c r="E21" s="2"/>
    </row>
    <row r="22" spans="1:8" x14ac:dyDescent="0.25">
      <c r="A22">
        <f>0.94</f>
        <v>0.94</v>
      </c>
      <c r="B22">
        <v>2100</v>
      </c>
      <c r="C22">
        <v>692</v>
      </c>
      <c r="D22">
        <f>Table3[PS]/1.36*9548/Table3[ratedRpm]</f>
        <v>2313.4509803921569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5"/>
  <sheetViews>
    <sheetView workbookViewId="0">
      <selection activeCell="B2" sqref="B2"/>
    </sheetView>
  </sheetViews>
  <sheetFormatPr defaultColWidth="9.28515625" defaultRowHeight="15" x14ac:dyDescent="0.25"/>
  <cols>
    <col min="2" max="3" width="11" customWidth="1"/>
  </cols>
  <sheetData>
    <row r="1" spans="1:12" ht="63" thickBot="1" x14ac:dyDescent="0.3">
      <c r="A1" s="39" t="s">
        <v>18</v>
      </c>
      <c r="B1" s="40" t="s">
        <v>23</v>
      </c>
      <c r="C1" s="40" t="s">
        <v>8</v>
      </c>
      <c r="D1" s="40" t="s">
        <v>10</v>
      </c>
      <c r="E1" s="40" t="s">
        <v>22</v>
      </c>
      <c r="F1" s="40" t="s">
        <v>12</v>
      </c>
      <c r="G1" s="41" t="s">
        <v>13</v>
      </c>
      <c r="H1" s="46" t="s">
        <v>14</v>
      </c>
      <c r="I1" s="46" t="s">
        <v>27</v>
      </c>
      <c r="K1" s="37" t="s">
        <v>19</v>
      </c>
      <c r="L1" s="37" t="s">
        <v>20</v>
      </c>
    </row>
    <row r="2" spans="1:12" x14ac:dyDescent="0.25">
      <c r="A2" s="42">
        <v>1900</v>
      </c>
      <c r="B2" s="43">
        <v>396</v>
      </c>
      <c r="C2" s="44">
        <v>2100</v>
      </c>
      <c r="D2" s="45">
        <v>390</v>
      </c>
      <c r="E2" s="42">
        <v>1450</v>
      </c>
      <c r="F2" s="43">
        <v>1450</v>
      </c>
      <c r="G2" s="43">
        <v>1538</v>
      </c>
      <c r="H2" s="27">
        <v>800</v>
      </c>
      <c r="I2" s="47">
        <v>1.0900000000000001</v>
      </c>
      <c r="K2" s="38">
        <f>Table2[maxPS]/1.36*9550/Table2[maxPRpm]</f>
        <v>1463.5448916408668</v>
      </c>
      <c r="L2" s="38">
        <f>Table2[PS]/1.36*9550/Table2[ratedRpm]</f>
        <v>1304.0966386554621</v>
      </c>
    </row>
    <row r="4" spans="1:12" x14ac:dyDescent="0.25">
      <c r="A4" t="s">
        <v>78</v>
      </c>
      <c r="B4" t="s">
        <v>19</v>
      </c>
      <c r="C4" t="s">
        <v>77</v>
      </c>
    </row>
    <row r="5" spans="1:12" x14ac:dyDescent="0.25">
      <c r="A5">
        <v>0</v>
      </c>
      <c r="B5">
        <v>0</v>
      </c>
      <c r="C5">
        <f>B5*A5/9550</f>
        <v>0</v>
      </c>
    </row>
    <row r="6" spans="1:12" x14ac:dyDescent="0.25">
      <c r="A6">
        <v>1000</v>
      </c>
      <c r="B6">
        <f>Table2[Anfahrmoment]*L2</f>
        <v>1421.4653361344538</v>
      </c>
      <c r="C6">
        <f t="shared" ref="C6:C10" si="0">B6*A6/9550</f>
        <v>148.84453781512605</v>
      </c>
    </row>
    <row r="7" spans="1:12" x14ac:dyDescent="0.25">
      <c r="A7">
        <f>Table2[maxTRpm1]</f>
        <v>1450</v>
      </c>
      <c r="B7">
        <f>Table2[maxT]</f>
        <v>1538</v>
      </c>
      <c r="C7">
        <f t="shared" si="0"/>
        <v>233.51832460732984</v>
      </c>
    </row>
    <row r="8" spans="1:12" x14ac:dyDescent="0.25">
      <c r="A8">
        <f>Table2[maxTRpm]</f>
        <v>1450</v>
      </c>
      <c r="B8">
        <f>Table2[maxT]</f>
        <v>1538</v>
      </c>
      <c r="C8">
        <f t="shared" si="0"/>
        <v>233.51832460732984</v>
      </c>
    </row>
    <row r="9" spans="1:12" x14ac:dyDescent="0.25">
      <c r="A9">
        <f>Table2[maxPRpm]</f>
        <v>1900</v>
      </c>
      <c r="B9">
        <f>K2</f>
        <v>1463.5448916408668</v>
      </c>
      <c r="C9">
        <f t="shared" si="0"/>
        <v>291.17647058823525</v>
      </c>
    </row>
    <row r="10" spans="1:12" x14ac:dyDescent="0.25">
      <c r="A10">
        <f>Table2[ratedRpm]</f>
        <v>2100</v>
      </c>
      <c r="B10">
        <f>L2</f>
        <v>1304.0966386554621</v>
      </c>
      <c r="C10">
        <f t="shared" si="0"/>
        <v>286.76470588235293</v>
      </c>
    </row>
    <row r="11" spans="1:12" x14ac:dyDescent="0.25">
      <c r="A11">
        <f>Table2[ratedRpm]+200</f>
        <v>2300</v>
      </c>
      <c r="B11">
        <v>0</v>
      </c>
      <c r="C11">
        <f>B11*A11/9550</f>
        <v>0</v>
      </c>
    </row>
    <row r="14" spans="1:12" x14ac:dyDescent="0.25">
      <c r="A14" t="s">
        <v>78</v>
      </c>
      <c r="B14" t="s">
        <v>79</v>
      </c>
      <c r="C14" t="s">
        <v>80</v>
      </c>
    </row>
    <row r="15" spans="1:12" x14ac:dyDescent="0.25">
      <c r="A15">
        <v>0</v>
      </c>
    </row>
    <row r="16" spans="1:12" x14ac:dyDescent="0.25">
      <c r="A16">
        <v>50</v>
      </c>
    </row>
    <row r="17" spans="1:1" x14ac:dyDescent="0.25">
      <c r="A17">
        <v>100</v>
      </c>
    </row>
    <row r="18" spans="1:1" x14ac:dyDescent="0.25">
      <c r="A18">
        <v>150</v>
      </c>
    </row>
    <row r="19" spans="1:1" x14ac:dyDescent="0.25">
      <c r="A19">
        <v>200</v>
      </c>
    </row>
    <row r="20" spans="1:1" x14ac:dyDescent="0.25">
      <c r="A20">
        <v>250</v>
      </c>
    </row>
    <row r="21" spans="1:1" x14ac:dyDescent="0.25">
      <c r="A21">
        <v>300</v>
      </c>
    </row>
    <row r="22" spans="1:1" x14ac:dyDescent="0.25">
      <c r="A22">
        <v>350</v>
      </c>
    </row>
    <row r="23" spans="1:1" x14ac:dyDescent="0.25">
      <c r="A23">
        <v>400</v>
      </c>
    </row>
    <row r="24" spans="1:1" x14ac:dyDescent="0.25">
      <c r="A24">
        <v>450</v>
      </c>
    </row>
    <row r="25" spans="1:1" x14ac:dyDescent="0.25">
      <c r="A25">
        <v>500</v>
      </c>
    </row>
    <row r="26" spans="1:1" x14ac:dyDescent="0.25">
      <c r="A26">
        <v>550</v>
      </c>
    </row>
    <row r="27" spans="1:1" x14ac:dyDescent="0.25">
      <c r="A27">
        <v>600</v>
      </c>
    </row>
    <row r="28" spans="1:1" x14ac:dyDescent="0.25">
      <c r="A28">
        <v>650</v>
      </c>
    </row>
    <row r="29" spans="1:1" x14ac:dyDescent="0.25">
      <c r="A29">
        <v>700</v>
      </c>
    </row>
    <row r="30" spans="1:1" x14ac:dyDescent="0.25">
      <c r="A30">
        <v>750</v>
      </c>
    </row>
    <row r="31" spans="1:1" x14ac:dyDescent="0.25">
      <c r="A31">
        <v>800</v>
      </c>
    </row>
    <row r="32" spans="1:1" x14ac:dyDescent="0.25">
      <c r="A32">
        <v>850</v>
      </c>
    </row>
    <row r="33" spans="1:1" x14ac:dyDescent="0.25">
      <c r="A33">
        <v>900</v>
      </c>
    </row>
    <row r="34" spans="1:1" x14ac:dyDescent="0.25">
      <c r="A34">
        <v>950</v>
      </c>
    </row>
    <row r="35" spans="1:1" x14ac:dyDescent="0.25">
      <c r="A35">
        <v>1000</v>
      </c>
    </row>
    <row r="36" spans="1:1" x14ac:dyDescent="0.25">
      <c r="A36">
        <v>1050</v>
      </c>
    </row>
    <row r="37" spans="1:1" x14ac:dyDescent="0.25">
      <c r="A37">
        <v>1100</v>
      </c>
    </row>
    <row r="38" spans="1:1" x14ac:dyDescent="0.25">
      <c r="A38">
        <v>1150</v>
      </c>
    </row>
    <row r="39" spans="1:1" x14ac:dyDescent="0.25">
      <c r="A39">
        <v>1200</v>
      </c>
    </row>
    <row r="40" spans="1:1" x14ac:dyDescent="0.25">
      <c r="A40">
        <v>1250</v>
      </c>
    </row>
    <row r="41" spans="1:1" x14ac:dyDescent="0.25">
      <c r="A41">
        <v>1300</v>
      </c>
    </row>
    <row r="42" spans="1:1" x14ac:dyDescent="0.25">
      <c r="A42">
        <v>1350</v>
      </c>
    </row>
    <row r="43" spans="1:1" x14ac:dyDescent="0.25">
      <c r="A43">
        <v>1400</v>
      </c>
    </row>
    <row r="44" spans="1:1" x14ac:dyDescent="0.25">
      <c r="A44">
        <v>1450</v>
      </c>
    </row>
    <row r="45" spans="1:1" x14ac:dyDescent="0.25">
      <c r="A45">
        <v>1500</v>
      </c>
    </row>
    <row r="46" spans="1:1" x14ac:dyDescent="0.25">
      <c r="A46">
        <v>1550</v>
      </c>
    </row>
    <row r="47" spans="1:1" x14ac:dyDescent="0.25">
      <c r="A47">
        <v>1600</v>
      </c>
    </row>
    <row r="48" spans="1:1" x14ac:dyDescent="0.25">
      <c r="A48">
        <v>1650</v>
      </c>
    </row>
    <row r="49" spans="1:1" x14ac:dyDescent="0.25">
      <c r="A49">
        <v>1700</v>
      </c>
    </row>
    <row r="50" spans="1:1" x14ac:dyDescent="0.25">
      <c r="A50">
        <v>1750</v>
      </c>
    </row>
    <row r="51" spans="1:1" x14ac:dyDescent="0.25">
      <c r="A51">
        <v>1800</v>
      </c>
    </row>
    <row r="52" spans="1:1" x14ac:dyDescent="0.25">
      <c r="A52">
        <v>1850</v>
      </c>
    </row>
    <row r="53" spans="1:1" x14ac:dyDescent="0.25">
      <c r="A53">
        <v>1900</v>
      </c>
    </row>
    <row r="54" spans="1:1" x14ac:dyDescent="0.25">
      <c r="A54">
        <v>1950</v>
      </c>
    </row>
    <row r="55" spans="1:1" x14ac:dyDescent="0.25">
      <c r="A55">
        <v>2000</v>
      </c>
    </row>
    <row r="56" spans="1:1" x14ac:dyDescent="0.25">
      <c r="A56">
        <v>2050</v>
      </c>
    </row>
    <row r="57" spans="1:1" x14ac:dyDescent="0.25">
      <c r="A57">
        <v>2100</v>
      </c>
    </row>
    <row r="58" spans="1:1" x14ac:dyDescent="0.25">
      <c r="A58">
        <v>2150</v>
      </c>
    </row>
    <row r="59" spans="1:1" x14ac:dyDescent="0.25">
      <c r="A59">
        <v>2200</v>
      </c>
    </row>
    <row r="60" spans="1:1" x14ac:dyDescent="0.25">
      <c r="A60">
        <v>2250</v>
      </c>
    </row>
    <row r="61" spans="1:1" x14ac:dyDescent="0.25">
      <c r="A61">
        <v>2300</v>
      </c>
    </row>
    <row r="62" spans="1:1" x14ac:dyDescent="0.25">
      <c r="A62">
        <v>2350</v>
      </c>
    </row>
    <row r="63" spans="1:1" x14ac:dyDescent="0.25">
      <c r="A63">
        <v>2400</v>
      </c>
    </row>
    <row r="64" spans="1:1" x14ac:dyDescent="0.25">
      <c r="A64">
        <v>2450</v>
      </c>
    </row>
    <row r="65" spans="1:1" x14ac:dyDescent="0.25">
      <c r="A65">
        <v>2500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Calculate from Values</vt:lpstr>
      <vt:lpstr>Sheet1</vt:lpstr>
      <vt:lpstr>Sheet2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2015-02-21T09:03:51Z</dcterms:created>
  <dcterms:modified xsi:type="dcterms:W3CDTF">2016-12-16T14:00:51Z</dcterms:modified>
</cp:coreProperties>
</file>