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20280" yWindow="0" windowWidth="20400" windowHeight="9945"/>
  </bookViews>
  <sheets>
    <sheet name="Calculate from Values" sheetId="3" r:id="rId1"/>
    <sheet name="Sheet1" sheetId="1" r:id="rId2"/>
    <sheet name="Sheet1 (2)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J25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T2" i="3"/>
  <c r="S2" i="3"/>
  <c r="U2" i="3" s="1"/>
  <c r="V2" i="3" l="1"/>
  <c r="Y2" i="3" l="1"/>
  <c r="C2" i="3" s="1"/>
  <c r="S4" i="3" l="1"/>
  <c r="J2" i="3"/>
  <c r="F2" i="3"/>
  <c r="J4" i="3"/>
  <c r="L7" i="3" l="1"/>
  <c r="K7" i="3"/>
  <c r="L4" i="3"/>
  <c r="M4" i="3"/>
  <c r="O4" i="3"/>
  <c r="V9" i="3" l="1"/>
  <c r="V13" i="3"/>
  <c r="V17" i="3"/>
  <c r="V21" i="3"/>
  <c r="V25" i="3"/>
  <c r="V29" i="3"/>
  <c r="V33" i="3"/>
  <c r="V37" i="3"/>
  <c r="D37" i="3" s="1"/>
  <c r="G37" i="3" s="1"/>
  <c r="I37" i="3" s="1"/>
  <c r="V41" i="3"/>
  <c r="V14" i="3"/>
  <c r="V22" i="3"/>
  <c r="V30" i="3"/>
  <c r="D30" i="3" s="1"/>
  <c r="G30" i="3" s="1"/>
  <c r="I30" i="3" s="1"/>
  <c r="V38" i="3"/>
  <c r="V7" i="3"/>
  <c r="V11" i="3"/>
  <c r="V15" i="3"/>
  <c r="V19" i="3"/>
  <c r="V23" i="3"/>
  <c r="V27" i="3"/>
  <c r="V31" i="3"/>
  <c r="D31" i="3" s="1"/>
  <c r="G31" i="3" s="1"/>
  <c r="I31" i="3" s="1"/>
  <c r="V35" i="3"/>
  <c r="V39" i="3"/>
  <c r="V8" i="3"/>
  <c r="V12" i="3"/>
  <c r="V16" i="3"/>
  <c r="V20" i="3"/>
  <c r="V24" i="3"/>
  <c r="V28" i="3"/>
  <c r="D28" i="3" s="1"/>
  <c r="G28" i="3" s="1"/>
  <c r="I28" i="3" s="1"/>
  <c r="V32" i="3"/>
  <c r="V36" i="3"/>
  <c r="V40" i="3"/>
  <c r="V10" i="3"/>
  <c r="V18" i="3"/>
  <c r="V26" i="3"/>
  <c r="V34" i="3"/>
  <c r="D34" i="3" s="1"/>
  <c r="G34" i="3" s="1"/>
  <c r="I34" i="3" s="1"/>
  <c r="V42" i="3"/>
  <c r="D42" i="3" s="1"/>
  <c r="G42" i="3" s="1"/>
  <c r="I42" i="3" s="1"/>
  <c r="D41" i="3"/>
  <c r="G41" i="3" s="1"/>
  <c r="I41" i="3" s="1"/>
  <c r="D40" i="3"/>
  <c r="G40" i="3" s="1"/>
  <c r="I40" i="3" s="1"/>
  <c r="D36" i="3"/>
  <c r="G36" i="3" s="1"/>
  <c r="I36" i="3" s="1"/>
  <c r="D32" i="3"/>
  <c r="G32" i="3" s="1"/>
  <c r="I32" i="3" s="1"/>
  <c r="D39" i="3"/>
  <c r="G39" i="3" s="1"/>
  <c r="I39" i="3" s="1"/>
  <c r="D35" i="3"/>
  <c r="G35" i="3" s="1"/>
  <c r="I35" i="3" s="1"/>
  <c r="D27" i="3"/>
  <c r="G27" i="3" s="1"/>
  <c r="D38" i="3"/>
  <c r="G38" i="3" s="1"/>
  <c r="I38" i="3" s="1"/>
  <c r="D33" i="3"/>
  <c r="G33" i="3" s="1"/>
  <c r="I33" i="3" s="1"/>
  <c r="D29" i="3"/>
  <c r="G29" i="3" s="1"/>
  <c r="I29" i="3" s="1"/>
  <c r="N4" i="3"/>
  <c r="P4" i="3"/>
  <c r="I27" i="3" l="1"/>
  <c r="U11" i="3"/>
  <c r="U15" i="3"/>
  <c r="U19" i="3"/>
  <c r="U23" i="3"/>
  <c r="D23" i="3" s="1"/>
  <c r="G23" i="3" s="1"/>
  <c r="U27" i="3"/>
  <c r="U31" i="3"/>
  <c r="U35" i="3"/>
  <c r="U39" i="3"/>
  <c r="U12" i="3"/>
  <c r="U16" i="3"/>
  <c r="U20" i="3"/>
  <c r="U24" i="3"/>
  <c r="D24" i="3" s="1"/>
  <c r="G24" i="3" s="1"/>
  <c r="U28" i="3"/>
  <c r="U32" i="3"/>
  <c r="U36" i="3"/>
  <c r="U40" i="3"/>
  <c r="U7" i="3"/>
  <c r="U9" i="3"/>
  <c r="U13" i="3"/>
  <c r="U17" i="3"/>
  <c r="U21" i="3"/>
  <c r="D21" i="3" s="1"/>
  <c r="G21" i="3" s="1"/>
  <c r="U25" i="3"/>
  <c r="D25" i="3" s="1"/>
  <c r="G25" i="3" s="1"/>
  <c r="U29" i="3"/>
  <c r="U33" i="3"/>
  <c r="U37" i="3"/>
  <c r="U41" i="3"/>
  <c r="U10" i="3"/>
  <c r="U26" i="3"/>
  <c r="D26" i="3" s="1"/>
  <c r="G26" i="3" s="1"/>
  <c r="U42" i="3"/>
  <c r="U14" i="3"/>
  <c r="U30" i="3"/>
  <c r="U18" i="3"/>
  <c r="U34" i="3"/>
  <c r="U8" i="3"/>
  <c r="U22" i="3"/>
  <c r="D22" i="3" s="1"/>
  <c r="G22" i="3" s="1"/>
  <c r="U38" i="3"/>
  <c r="I21" i="3" l="1"/>
  <c r="I25" i="3"/>
  <c r="I24" i="3"/>
  <c r="I23" i="3"/>
  <c r="I26" i="3"/>
  <c r="I22" i="3"/>
  <c r="D20" i="3"/>
  <c r="G20" i="3" s="1"/>
  <c r="D19" i="3"/>
  <c r="D18" i="3"/>
  <c r="D4" i="3"/>
  <c r="E4" i="3"/>
  <c r="B4" i="3" s="1"/>
  <c r="A4" i="3"/>
  <c r="F4" i="3"/>
  <c r="I20" i="3" l="1"/>
  <c r="Q9" i="3"/>
  <c r="Q13" i="3"/>
  <c r="Q17" i="3"/>
  <c r="Q21" i="3"/>
  <c r="Q25" i="3"/>
  <c r="Q29" i="3"/>
  <c r="Q33" i="3"/>
  <c r="B33" i="3" s="1"/>
  <c r="Q37" i="3"/>
  <c r="B37" i="3" s="1"/>
  <c r="Q41" i="3"/>
  <c r="Q10" i="3"/>
  <c r="Q18" i="3"/>
  <c r="Q26" i="3"/>
  <c r="B26" i="3" s="1"/>
  <c r="Q34" i="3"/>
  <c r="Q7" i="3"/>
  <c r="Q11" i="3"/>
  <c r="Q15" i="3"/>
  <c r="Q19" i="3"/>
  <c r="Q23" i="3"/>
  <c r="Q27" i="3"/>
  <c r="B27" i="3" s="1"/>
  <c r="Q31" i="3"/>
  <c r="B31" i="3" s="1"/>
  <c r="Q35" i="3"/>
  <c r="Q39" i="3"/>
  <c r="Q8" i="3"/>
  <c r="Q12" i="3"/>
  <c r="Q16" i="3"/>
  <c r="Q20" i="3"/>
  <c r="Q24" i="3"/>
  <c r="Q28" i="3"/>
  <c r="B28" i="3" s="1"/>
  <c r="Q32" i="3"/>
  <c r="Q36" i="3"/>
  <c r="Q40" i="3"/>
  <c r="Q14" i="3"/>
  <c r="Q22" i="3"/>
  <c r="Q30" i="3"/>
  <c r="Q38" i="3"/>
  <c r="Q42" i="3"/>
  <c r="B42" i="3" s="1"/>
  <c r="I4" i="3"/>
  <c r="B41" i="3"/>
  <c r="K4" i="3"/>
  <c r="G4" i="3" s="1"/>
  <c r="S18" i="3"/>
  <c r="S34" i="3"/>
  <c r="S24" i="3"/>
  <c r="S21" i="3"/>
  <c r="S11" i="3"/>
  <c r="S27" i="3"/>
  <c r="S8" i="3"/>
  <c r="S36" i="3"/>
  <c r="S33" i="3"/>
  <c r="S16" i="3"/>
  <c r="S28" i="3"/>
  <c r="R4" i="3"/>
  <c r="S22" i="3"/>
  <c r="S38" i="3"/>
  <c r="S32" i="3"/>
  <c r="S29" i="3"/>
  <c r="S15" i="3"/>
  <c r="S31" i="3"/>
  <c r="S12" i="3"/>
  <c r="S9" i="3"/>
  <c r="S37" i="3"/>
  <c r="S14" i="3"/>
  <c r="D14" i="3" s="1"/>
  <c r="G14" i="3" s="1"/>
  <c r="S30" i="3"/>
  <c r="S7" i="3"/>
  <c r="S23" i="3"/>
  <c r="S10" i="3"/>
  <c r="S26" i="3"/>
  <c r="S42" i="3"/>
  <c r="S40" i="3"/>
  <c r="S41" i="3"/>
  <c r="S19" i="3"/>
  <c r="S35" i="3"/>
  <c r="S20" i="3"/>
  <c r="S17" i="3"/>
  <c r="S13" i="3"/>
  <c r="S39" i="3"/>
  <c r="S25" i="3"/>
  <c r="D15" i="3"/>
  <c r="G15" i="3" s="1"/>
  <c r="N11" i="3"/>
  <c r="N15" i="3"/>
  <c r="B15" i="3" s="1"/>
  <c r="N19" i="3"/>
  <c r="N23" i="3"/>
  <c r="N27" i="3"/>
  <c r="N31" i="3"/>
  <c r="N35" i="3"/>
  <c r="D16" i="3"/>
  <c r="G16" i="3" s="1"/>
  <c r="N12" i="3"/>
  <c r="N16" i="3"/>
  <c r="N20" i="3"/>
  <c r="N24" i="3"/>
  <c r="D13" i="3"/>
  <c r="G13" i="3" s="1"/>
  <c r="D17" i="3"/>
  <c r="G17" i="3" s="1"/>
  <c r="N7" i="3"/>
  <c r="N9" i="3"/>
  <c r="N13" i="3"/>
  <c r="B13" i="3" s="1"/>
  <c r="N17" i="3"/>
  <c r="N21" i="3"/>
  <c r="N25" i="3"/>
  <c r="N29" i="3"/>
  <c r="N33" i="3"/>
  <c r="N37" i="3"/>
  <c r="N14" i="3"/>
  <c r="B14" i="3" s="1"/>
  <c r="N28" i="3"/>
  <c r="N36" i="3"/>
  <c r="N41" i="3"/>
  <c r="N34" i="3"/>
  <c r="N18" i="3"/>
  <c r="N30" i="3"/>
  <c r="N38" i="3"/>
  <c r="N42" i="3"/>
  <c r="N40" i="3"/>
  <c r="N8" i="3"/>
  <c r="N22" i="3"/>
  <c r="N32" i="3"/>
  <c r="N39" i="3"/>
  <c r="N10" i="3"/>
  <c r="N26" i="3"/>
  <c r="P11" i="3"/>
  <c r="P15" i="3"/>
  <c r="P19" i="3"/>
  <c r="P23" i="3"/>
  <c r="P27" i="3"/>
  <c r="P31" i="3"/>
  <c r="P35" i="3"/>
  <c r="P39" i="3"/>
  <c r="P12" i="3"/>
  <c r="P16" i="3"/>
  <c r="P20" i="3"/>
  <c r="P24" i="3"/>
  <c r="P28" i="3"/>
  <c r="P32" i="3"/>
  <c r="P36" i="3"/>
  <c r="P40" i="3"/>
  <c r="P7" i="3"/>
  <c r="P9" i="3"/>
  <c r="P13" i="3"/>
  <c r="P17" i="3"/>
  <c r="P21" i="3"/>
  <c r="P25" i="3"/>
  <c r="P29" i="3"/>
  <c r="P33" i="3"/>
  <c r="P37" i="3"/>
  <c r="P41" i="3"/>
  <c r="P8" i="3"/>
  <c r="P22" i="3"/>
  <c r="P38" i="3"/>
  <c r="P34" i="3"/>
  <c r="P10" i="3"/>
  <c r="P26" i="3"/>
  <c r="P42" i="3"/>
  <c r="P18" i="3"/>
  <c r="P14" i="3"/>
  <c r="P30" i="3"/>
  <c r="B29" i="3"/>
  <c r="B40" i="3"/>
  <c r="B30" i="3"/>
  <c r="B34" i="3"/>
  <c r="B38" i="3"/>
  <c r="B32" i="3"/>
  <c r="B35" i="3"/>
  <c r="B39" i="3"/>
  <c r="B36" i="3"/>
  <c r="G18" i="3"/>
  <c r="G19" i="3"/>
  <c r="Q4" i="3"/>
  <c r="C4" i="3"/>
  <c r="B13" i="1"/>
  <c r="B14" i="1"/>
  <c r="B15" i="1"/>
  <c r="A22" i="1"/>
  <c r="I18" i="3" l="1"/>
  <c r="I15" i="3"/>
  <c r="I14" i="3"/>
  <c r="I13" i="3"/>
  <c r="I16" i="3"/>
  <c r="I19" i="3"/>
  <c r="I17" i="3"/>
  <c r="R7" i="3"/>
  <c r="D7" i="3" s="1"/>
  <c r="G7" i="3" s="1"/>
  <c r="I7" i="3" s="1"/>
  <c r="R9" i="3"/>
  <c r="D9" i="3" s="1"/>
  <c r="G9" i="3" s="1"/>
  <c r="R13" i="3"/>
  <c r="R17" i="3"/>
  <c r="R21" i="3"/>
  <c r="R25" i="3"/>
  <c r="R29" i="3"/>
  <c r="R33" i="3"/>
  <c r="R37" i="3"/>
  <c r="R41" i="3"/>
  <c r="R16" i="3"/>
  <c r="R28" i="3"/>
  <c r="R36" i="3"/>
  <c r="R8" i="3"/>
  <c r="D8" i="3" s="1"/>
  <c r="G8" i="3" s="1"/>
  <c r="R10" i="3"/>
  <c r="D10" i="3" s="1"/>
  <c r="G10" i="3" s="1"/>
  <c r="R14" i="3"/>
  <c r="R18" i="3"/>
  <c r="R22" i="3"/>
  <c r="R26" i="3"/>
  <c r="R30" i="3"/>
  <c r="R34" i="3"/>
  <c r="R38" i="3"/>
  <c r="R42" i="3"/>
  <c r="R20" i="3"/>
  <c r="R32" i="3"/>
  <c r="R11" i="3"/>
  <c r="D11" i="3" s="1"/>
  <c r="G11" i="3" s="1"/>
  <c r="R15" i="3"/>
  <c r="R19" i="3"/>
  <c r="R23" i="3"/>
  <c r="R27" i="3"/>
  <c r="R31" i="3"/>
  <c r="R35" i="3"/>
  <c r="R39" i="3"/>
  <c r="R12" i="3"/>
  <c r="D12" i="3" s="1"/>
  <c r="G12" i="3" s="1"/>
  <c r="R24" i="3"/>
  <c r="R40" i="3"/>
  <c r="B21" i="3"/>
  <c r="F21" i="3" s="1"/>
  <c r="B20" i="3"/>
  <c r="F20" i="3" s="1"/>
  <c r="B25" i="3"/>
  <c r="F25" i="3" s="1"/>
  <c r="B24" i="3"/>
  <c r="F24" i="3" s="1"/>
  <c r="B18" i="3"/>
  <c r="B17" i="3"/>
  <c r="F17" i="3" s="1"/>
  <c r="B16" i="3"/>
  <c r="F16" i="3" s="1"/>
  <c r="K16" i="3" s="1"/>
  <c r="B19" i="3"/>
  <c r="F19" i="3" s="1"/>
  <c r="K19" i="3" s="1"/>
  <c r="B22" i="3"/>
  <c r="F22" i="3" s="1"/>
  <c r="B23" i="3"/>
  <c r="F23" i="3" s="1"/>
  <c r="M7" i="3"/>
  <c r="B7" i="3" s="1"/>
  <c r="M9" i="3"/>
  <c r="B9" i="3" s="1"/>
  <c r="M11" i="3"/>
  <c r="B11" i="3" s="1"/>
  <c r="F11" i="3" s="1"/>
  <c r="M15" i="3"/>
  <c r="M19" i="3"/>
  <c r="M23" i="3"/>
  <c r="M27" i="3"/>
  <c r="M31" i="3"/>
  <c r="M35" i="3"/>
  <c r="M39" i="3"/>
  <c r="M18" i="3"/>
  <c r="M34" i="3"/>
  <c r="M8" i="3"/>
  <c r="B8" i="3" s="1"/>
  <c r="M12" i="3"/>
  <c r="B12" i="3" s="1"/>
  <c r="F12" i="3" s="1"/>
  <c r="M16" i="3"/>
  <c r="M20" i="3"/>
  <c r="M24" i="3"/>
  <c r="M28" i="3"/>
  <c r="M32" i="3"/>
  <c r="M36" i="3"/>
  <c r="M40" i="3"/>
  <c r="M10" i="3"/>
  <c r="B10" i="3" s="1"/>
  <c r="F10" i="3" s="1"/>
  <c r="M22" i="3"/>
  <c r="M30" i="3"/>
  <c r="M13" i="3"/>
  <c r="M17" i="3"/>
  <c r="M21" i="3"/>
  <c r="M25" i="3"/>
  <c r="M29" i="3"/>
  <c r="M33" i="3"/>
  <c r="M37" i="3"/>
  <c r="M41" i="3"/>
  <c r="M14" i="3"/>
  <c r="M26" i="3"/>
  <c r="M38" i="3"/>
  <c r="M42" i="3"/>
  <c r="F30" i="3"/>
  <c r="F13" i="3"/>
  <c r="K13" i="3" s="1"/>
  <c r="F41" i="3"/>
  <c r="F36" i="3"/>
  <c r="F27" i="3"/>
  <c r="K27" i="3" s="1"/>
  <c r="F42" i="3"/>
  <c r="F26" i="3"/>
  <c r="K26" i="3" s="1"/>
  <c r="F40" i="3"/>
  <c r="F31" i="3"/>
  <c r="F15" i="3"/>
  <c r="F18" i="3"/>
  <c r="K18" i="3" s="1"/>
  <c r="F29" i="3"/>
  <c r="F32" i="3"/>
  <c r="F33" i="3"/>
  <c r="F39" i="3"/>
  <c r="F37" i="3"/>
  <c r="F38" i="3"/>
  <c r="F14" i="3"/>
  <c r="F28" i="3"/>
  <c r="F35" i="3"/>
  <c r="F34" i="3"/>
  <c r="D22" i="1"/>
  <c r="K22" i="3" l="1"/>
  <c r="K25" i="3"/>
  <c r="K15" i="3"/>
  <c r="K23" i="3"/>
  <c r="K21" i="3"/>
  <c r="K17" i="3"/>
  <c r="K14" i="3"/>
  <c r="K24" i="3"/>
  <c r="K20" i="3"/>
  <c r="I8" i="3"/>
  <c r="I12" i="3"/>
  <c r="K12" i="3"/>
  <c r="I11" i="3"/>
  <c r="K11" i="3"/>
  <c r="I9" i="3"/>
  <c r="K9" i="3"/>
  <c r="I10" i="3"/>
  <c r="K10" i="3"/>
  <c r="H39" i="3"/>
  <c r="H19" i="3"/>
  <c r="H34" i="3"/>
  <c r="H14" i="3"/>
  <c r="H21" i="3"/>
  <c r="H33" i="3"/>
  <c r="H15" i="3"/>
  <c r="H26" i="3"/>
  <c r="H41" i="3"/>
  <c r="H11" i="3"/>
  <c r="H20" i="3"/>
  <c r="H23" i="3"/>
  <c r="H24" i="3"/>
  <c r="H40" i="3"/>
  <c r="H25" i="3"/>
  <c r="H38" i="3"/>
  <c r="H17" i="3"/>
  <c r="H13" i="3"/>
  <c r="H10" i="3"/>
  <c r="H12" i="3"/>
  <c r="H28" i="3"/>
  <c r="H18" i="3"/>
  <c r="H36" i="3"/>
  <c r="H16" i="3"/>
  <c r="H32" i="3"/>
  <c r="H42" i="3"/>
  <c r="H35" i="3"/>
  <c r="H22" i="3"/>
  <c r="H37" i="3"/>
  <c r="H29" i="3"/>
  <c r="H31" i="3"/>
  <c r="H27" i="3"/>
  <c r="H30" i="3"/>
  <c r="F8" i="3"/>
  <c r="F9" i="3"/>
  <c r="F7" i="3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F10" i="1" s="1"/>
  <c r="C11" i="1"/>
  <c r="D11" i="1" s="1"/>
  <c r="E11" i="1" s="1"/>
  <c r="C12" i="1"/>
  <c r="D12" i="1" s="1"/>
  <c r="E12" i="1" s="1"/>
  <c r="C13" i="1"/>
  <c r="D13" i="1" s="1"/>
  <c r="E13" i="1" s="1"/>
  <c r="C14" i="1"/>
  <c r="F14" i="1" s="1"/>
  <c r="C15" i="1"/>
  <c r="D15" i="1" s="1"/>
  <c r="E15" i="1" s="1"/>
  <c r="C16" i="1"/>
  <c r="D16" i="1" s="1"/>
  <c r="E16" i="1" s="1"/>
  <c r="C17" i="1"/>
  <c r="D17" i="1" s="1"/>
  <c r="E17" i="1" s="1"/>
  <c r="L14" i="3" l="1"/>
  <c r="L11" i="3"/>
  <c r="L20" i="3"/>
  <c r="L8" i="3"/>
  <c r="K8" i="3"/>
  <c r="L18" i="3"/>
  <c r="L23" i="3"/>
  <c r="L13" i="3"/>
  <c r="L22" i="3"/>
  <c r="L25" i="3"/>
  <c r="L9" i="3"/>
  <c r="L24" i="3"/>
  <c r="L12" i="3"/>
  <c r="L21" i="3"/>
  <c r="L15" i="3"/>
  <c r="L10" i="3"/>
  <c r="L16" i="3"/>
  <c r="L19" i="3"/>
  <c r="L17" i="3"/>
  <c r="H9" i="3"/>
  <c r="H8" i="3"/>
  <c r="H7" i="3"/>
  <c r="F16" i="1"/>
  <c r="G14" i="1"/>
  <c r="G10" i="1"/>
  <c r="D10" i="1"/>
  <c r="E10" i="1" s="1"/>
  <c r="F6" i="1"/>
  <c r="F8" i="1"/>
  <c r="D14" i="1"/>
  <c r="E14" i="1" s="1"/>
  <c r="F9" i="1"/>
  <c r="F17" i="1"/>
  <c r="F12" i="1"/>
  <c r="F13" i="1"/>
  <c r="F5" i="1"/>
  <c r="F4" i="1"/>
  <c r="F15" i="1"/>
  <c r="F11" i="1"/>
  <c r="F7" i="1"/>
  <c r="F3" i="1"/>
  <c r="C19" i="1"/>
  <c r="D19" i="1" s="1"/>
  <c r="E19" i="1" s="1"/>
  <c r="G19" i="1"/>
  <c r="C2" i="1"/>
  <c r="D2" i="1" s="1"/>
  <c r="E2" i="1" s="1"/>
  <c r="C18" i="1"/>
  <c r="G15" i="1" l="1"/>
  <c r="G12" i="1"/>
  <c r="G8" i="1"/>
  <c r="G3" i="1"/>
  <c r="G4" i="1"/>
  <c r="G17" i="1"/>
  <c r="G6" i="1"/>
  <c r="G7" i="1"/>
  <c r="G5" i="1"/>
  <c r="G9" i="1"/>
  <c r="G11" i="1"/>
  <c r="G13" i="1"/>
  <c r="G16" i="1"/>
  <c r="F2" i="1"/>
  <c r="I2" i="2"/>
  <c r="C17" i="2" s="1"/>
  <c r="D17" i="2" s="1"/>
  <c r="E17" i="2" s="1"/>
  <c r="C5" i="2"/>
  <c r="D5" i="2" s="1"/>
  <c r="E5" i="2" s="1"/>
  <c r="G2" i="1" l="1"/>
  <c r="C2" i="2"/>
  <c r="F2" i="2" s="1"/>
  <c r="G2" i="2" s="1"/>
  <c r="C6" i="2"/>
  <c r="F6" i="2" s="1"/>
  <c r="G6" i="2" s="1"/>
  <c r="C10" i="2"/>
  <c r="D10" i="2" s="1"/>
  <c r="E10" i="2" s="1"/>
  <c r="C14" i="2"/>
  <c r="F14" i="2" s="1"/>
  <c r="G14" i="2" s="1"/>
  <c r="C3" i="2"/>
  <c r="F3" i="2" s="1"/>
  <c r="G3" i="2" s="1"/>
  <c r="C7" i="2"/>
  <c r="F7" i="2" s="1"/>
  <c r="G7" i="2" s="1"/>
  <c r="C11" i="2"/>
  <c r="F11" i="2" s="1"/>
  <c r="G11" i="2" s="1"/>
  <c r="C15" i="2"/>
  <c r="F15" i="2" s="1"/>
  <c r="G15" i="2" s="1"/>
  <c r="C4" i="2"/>
  <c r="F4" i="2" s="1"/>
  <c r="G4" i="2" s="1"/>
  <c r="C8" i="2"/>
  <c r="F8" i="2" s="1"/>
  <c r="G8" i="2" s="1"/>
  <c r="C12" i="2"/>
  <c r="F12" i="2" s="1"/>
  <c r="G12" i="2" s="1"/>
  <c r="C16" i="2"/>
  <c r="F16" i="2" s="1"/>
  <c r="G16" i="2" s="1"/>
  <c r="C9" i="2"/>
  <c r="D9" i="2" s="1"/>
  <c r="E9" i="2" s="1"/>
  <c r="C13" i="2"/>
  <c r="D13" i="2" s="1"/>
  <c r="E13" i="2" s="1"/>
  <c r="F5" i="2"/>
  <c r="G5" i="2" s="1"/>
  <c r="D2" i="2"/>
  <c r="E2" i="2" s="1"/>
  <c r="D6" i="2"/>
  <c r="E6" i="2" s="1"/>
  <c r="F17" i="2"/>
  <c r="G17" i="2" s="1"/>
  <c r="D3" i="2"/>
  <c r="E3" i="2" s="1"/>
  <c r="D4" i="2"/>
  <c r="E4" i="2" s="1"/>
  <c r="D18" i="1"/>
  <c r="E18" i="1" s="1"/>
  <c r="D14" i="2" l="1"/>
  <c r="E14" i="2" s="1"/>
  <c r="F13" i="2"/>
  <c r="G13" i="2" s="1"/>
  <c r="D12" i="2"/>
  <c r="E12" i="2" s="1"/>
  <c r="D11" i="2"/>
  <c r="E11" i="2" s="1"/>
  <c r="F10" i="2"/>
  <c r="G10" i="2" s="1"/>
  <c r="F9" i="2"/>
  <c r="G9" i="2" s="1"/>
  <c r="D8" i="2"/>
  <c r="E8" i="2" s="1"/>
  <c r="D7" i="2"/>
  <c r="E7" i="2" s="1"/>
  <c r="D16" i="2"/>
  <c r="E16" i="2" s="1"/>
  <c r="D15" i="2"/>
  <c r="E15" i="2" s="1"/>
  <c r="F18" i="1"/>
  <c r="H18" i="1" l="1"/>
  <c r="H8" i="1"/>
  <c r="H6" i="1"/>
  <c r="H11" i="1"/>
  <c r="H2" i="1"/>
  <c r="H9" i="1"/>
  <c r="H15" i="1"/>
  <c r="H16" i="1"/>
  <c r="H5" i="1"/>
  <c r="H19" i="1"/>
  <c r="H12" i="1"/>
  <c r="H4" i="1"/>
  <c r="H3" i="1"/>
  <c r="H10" i="1"/>
  <c r="H14" i="1"/>
  <c r="H17" i="1"/>
  <c r="H13" i="1"/>
  <c r="H7" i="1"/>
  <c r="G18" i="1"/>
</calcChain>
</file>

<file path=xl/sharedStrings.xml><?xml version="1.0" encoding="utf-8"?>
<sst xmlns="http://schemas.openxmlformats.org/spreadsheetml/2006/main" count="85" uniqueCount="69">
  <si>
    <t>rpm</t>
  </si>
  <si>
    <t>ps</t>
  </si>
  <si>
    <t>pto</t>
  </si>
  <si>
    <t>xml</t>
  </si>
  <si>
    <t>motor</t>
  </si>
  <si>
    <t>rawData</t>
  </si>
  <si>
    <t>kw_pto</t>
  </si>
  <si>
    <t>Factor</t>
  </si>
  <si>
    <t>ratedRpm</t>
  </si>
  <si>
    <t>xml2</t>
  </si>
  <si>
    <t>PS</t>
  </si>
  <si>
    <t>Nm_rated</t>
  </si>
  <si>
    <t>maxTRpm</t>
  </si>
  <si>
    <t>maxT</t>
  </si>
  <si>
    <t>idleRpm</t>
  </si>
  <si>
    <t>idleRatio</t>
  </si>
  <si>
    <t>f1</t>
  </si>
  <si>
    <t>f2</t>
  </si>
  <si>
    <t>maxPRpm</t>
  </si>
  <si>
    <t>Nm</t>
  </si>
  <si>
    <t>Nm2</t>
  </si>
  <si>
    <t>fadeOut</t>
  </si>
  <si>
    <t>maxTRpm1</t>
  </si>
  <si>
    <t>maxPS</t>
  </si>
  <si>
    <t>f3</t>
  </si>
  <si>
    <t>linearDown</t>
  </si>
  <si>
    <t>f4</t>
  </si>
  <si>
    <t>Anfahrmoment</t>
  </si>
  <si>
    <t>xmlComment</t>
  </si>
  <si>
    <t>manualData</t>
  </si>
  <si>
    <t>fuelMinRpm</t>
  </si>
  <si>
    <t>fuelMinRate</t>
  </si>
  <si>
    <t>fuelIdleRate</t>
  </si>
  <si>
    <t>fuelRatedRate</t>
  </si>
  <si>
    <t>fuelUsageRatio</t>
  </si>
  <si>
    <t>maxPSEco</t>
  </si>
  <si>
    <t>PSEco</t>
  </si>
  <si>
    <t>NmEco</t>
  </si>
  <si>
    <t>Nm2Eco</t>
  </si>
  <si>
    <t>f3Eco</t>
  </si>
  <si>
    <t>f4Eco</t>
  </si>
  <si>
    <t>f2Eco</t>
  </si>
  <si>
    <t>idleT</t>
  </si>
  <si>
    <t>rawDataEco</t>
  </si>
  <si>
    <t>manDataEco</t>
  </si>
  <si>
    <t>psEco</t>
  </si>
  <si>
    <t>motorEco</t>
  </si>
  <si>
    <t>maxTEco</t>
  </si>
  <si>
    <t>idleTEco</t>
  </si>
  <si>
    <t>Efficiency</t>
  </si>
  <si>
    <t>t1</t>
  </si>
  <si>
    <t>t2</t>
  </si>
  <si>
    <t>t3</t>
  </si>
  <si>
    <t>t4</t>
  </si>
  <si>
    <t>t5</t>
  </si>
  <si>
    <t>t1E</t>
  </si>
  <si>
    <t>t2E</t>
  </si>
  <si>
    <t>t4E</t>
  </si>
  <si>
    <t>t5E</t>
  </si>
  <si>
    <t>t3E</t>
  </si>
  <si>
    <t>normRpm</t>
  </si>
  <si>
    <t>Anstieg</t>
  </si>
  <si>
    <t>Abfall</t>
  </si>
  <si>
    <t>PSEcoRate</t>
  </si>
  <si>
    <t>NmEcoRate</t>
  </si>
  <si>
    <t>Nm1000</t>
  </si>
  <si>
    <t>AnstiegE</t>
  </si>
  <si>
    <t>maxPsEcoRate</t>
  </si>
  <si>
    <t>fadeOutExp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</si>
</sst>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NumberFormat="1" applyAlignment="1">
      <alignment textRotation="45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2" fillId="0" borderId="0" xfId="0" applyNumberFormat="1" applyFont="1"/>
    <xf numFmtId="9" fontId="0" fillId="0" borderId="3" xfId="1" applyFont="1" applyBorder="1"/>
    <xf numFmtId="0" fontId="3" fillId="2" borderId="0" xfId="0" applyFont="1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5" fillId="0" borderId="2" xfId="0" applyFont="1" applyBorder="1"/>
    <xf numFmtId="0" fontId="5" fillId="0" borderId="3" xfId="0" applyFont="1" applyBorder="1"/>
    <xf numFmtId="0" fontId="5" fillId="3" borderId="4" xfId="0" applyFont="1" applyFill="1" applyBorder="1"/>
    <xf numFmtId="0" fontId="5" fillId="0" borderId="4" xfId="0" applyFon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9" fontId="4" fillId="2" borderId="11" xfId="1" applyFont="1" applyFill="1" applyBorder="1"/>
    <xf numFmtId="9" fontId="4" fillId="2" borderId="12" xfId="1" applyFont="1" applyFill="1" applyBorder="1"/>
    <xf numFmtId="9" fontId="4" fillId="2" borderId="13" xfId="1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5" fillId="0" borderId="1" xfId="0" applyFont="1" applyBorder="1"/>
    <xf numFmtId="164" fontId="0" fillId="0" borderId="0" xfId="0" applyNumberFormat="1"/>
    <xf numFmtId="0" fontId="0" fillId="0" borderId="14" xfId="0" applyBorder="1"/>
  </cellXfs>
  <cellStyles count="2">
    <cellStyle name="Normal" xfId="0" builtinId="0"/>
    <cellStyle name="Percent" xfId="1" builtinId="5"/>
  </cellStyles>
  <dxfs count="73"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numFmt numFmtId="1" formatCode="0"/>
    </dxf>
    <dxf>
      <font>
        <i/>
        <color theme="0" tint="-0.34998626667073579"/>
      </font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color theme="0" tint="-0.34998626667073579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 style="medium">
          <color indexed="64"/>
        </right>
        <top/>
        <bottom/>
      </border>
    </dxf>
    <dxf>
      <alignment horizontal="general" vertical="bottom" textRotation="45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02653051670501E-2"/>
          <c:y val="2.0063836607697848E-2"/>
          <c:w val="0.90235456715814155"/>
          <c:h val="0.89894519082618773"/>
        </c:manualLayout>
      </c:layout>
      <c:scatterChart>
        <c:scatterStyle val="lineMarker"/>
        <c:varyColors val="0"/>
        <c:ser>
          <c:idx val="1"/>
          <c:order val="1"/>
          <c:tx>
            <c:strRef>
              <c:f>'Calculate from Values'!$F$6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'Calculate from Values'!$A$7:$A$42</c:f>
              <c:numCache>
                <c:formatCode>0</c:formatCode>
                <c:ptCount val="36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2750</c:v>
                </c:pt>
                <c:pt idx="23">
                  <c:v>3000</c:v>
                </c:pt>
                <c:pt idx="24">
                  <c:v>3250</c:v>
                </c:pt>
                <c:pt idx="25">
                  <c:v>3500</c:v>
                </c:pt>
                <c:pt idx="26">
                  <c:v>3750</c:v>
                </c:pt>
                <c:pt idx="27">
                  <c:v>4000</c:v>
                </c:pt>
                <c:pt idx="28">
                  <c:v>4250</c:v>
                </c:pt>
                <c:pt idx="29">
                  <c:v>4500</c:v>
                </c:pt>
                <c:pt idx="30">
                  <c:v>4750</c:v>
                </c:pt>
                <c:pt idx="31">
                  <c:v>5000</c:v>
                </c:pt>
                <c:pt idx="32">
                  <c:v>5250</c:v>
                </c:pt>
                <c:pt idx="33">
                  <c:v>5500</c:v>
                </c:pt>
                <c:pt idx="34">
                  <c:v>5750</c:v>
                </c:pt>
                <c:pt idx="35">
                  <c:v>6000</c:v>
                </c:pt>
              </c:numCache>
            </c:numRef>
          </c:xVal>
          <c:yVal>
            <c:numRef>
              <c:f>'Calculate from Values'!$F$7:$F$42</c:f>
              <c:numCache>
                <c:formatCode>0</c:formatCode>
                <c:ptCount val="36"/>
                <c:pt idx="0">
                  <c:v>0</c:v>
                </c:pt>
                <c:pt idx="1">
                  <c:v>212.26633744855968</c:v>
                </c:pt>
                <c:pt idx="2">
                  <c:v>437.0189300411522</c:v>
                </c:pt>
                <c:pt idx="3">
                  <c:v>906.36374485596684</c:v>
                </c:pt>
                <c:pt idx="4">
                  <c:v>1042.4092181069957</c:v>
                </c:pt>
                <c:pt idx="5">
                  <c:v>1137.81</c:v>
                </c:pt>
                <c:pt idx="6">
                  <c:v>1173</c:v>
                </c:pt>
                <c:pt idx="7">
                  <c:v>1173</c:v>
                </c:pt>
                <c:pt idx="8">
                  <c:v>1173</c:v>
                </c:pt>
                <c:pt idx="9">
                  <c:v>1173</c:v>
                </c:pt>
                <c:pt idx="10">
                  <c:v>1173</c:v>
                </c:pt>
                <c:pt idx="11">
                  <c:v>1173</c:v>
                </c:pt>
                <c:pt idx="12">
                  <c:v>1152.2705060971757</c:v>
                </c:pt>
                <c:pt idx="13">
                  <c:v>1106.5226574840462</c:v>
                </c:pt>
                <c:pt idx="14">
                  <c:v>1053.3088235294117</c:v>
                </c:pt>
                <c:pt idx="15">
                  <c:v>997.87151702786366</c:v>
                </c:pt>
                <c:pt idx="16">
                  <c:v>948.85569852941171</c:v>
                </c:pt>
                <c:pt idx="17">
                  <c:v>906.17997198879539</c:v>
                </c:pt>
                <c:pt idx="18">
                  <c:v>825.35460243878128</c:v>
                </c:pt>
                <c:pt idx="19">
                  <c:v>534.80409581228059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'Calculate from Values'!$G$6</c:f>
              <c:strCache>
                <c:ptCount val="1"/>
                <c:pt idx="0">
                  <c:v>motorEco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'Calculate from Values'!$A$7:$A$42</c:f>
              <c:numCache>
                <c:formatCode>0</c:formatCode>
                <c:ptCount val="36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2750</c:v>
                </c:pt>
                <c:pt idx="23">
                  <c:v>3000</c:v>
                </c:pt>
                <c:pt idx="24">
                  <c:v>3250</c:v>
                </c:pt>
                <c:pt idx="25">
                  <c:v>3500</c:v>
                </c:pt>
                <c:pt idx="26">
                  <c:v>3750</c:v>
                </c:pt>
                <c:pt idx="27">
                  <c:v>4000</c:v>
                </c:pt>
                <c:pt idx="28">
                  <c:v>4250</c:v>
                </c:pt>
                <c:pt idx="29">
                  <c:v>4500</c:v>
                </c:pt>
                <c:pt idx="30">
                  <c:v>4750</c:v>
                </c:pt>
                <c:pt idx="31">
                  <c:v>5000</c:v>
                </c:pt>
                <c:pt idx="32">
                  <c:v>5250</c:v>
                </c:pt>
                <c:pt idx="33">
                  <c:v>5500</c:v>
                </c:pt>
                <c:pt idx="34">
                  <c:v>5750</c:v>
                </c:pt>
                <c:pt idx="35">
                  <c:v>6000</c:v>
                </c:pt>
              </c:numCache>
            </c:numRef>
          </c:xVal>
          <c:yVal>
            <c:numRef>
              <c:f>'Calculate from Values'!$G$7:$G$42</c:f>
              <c:numCache>
                <c:formatCode>0</c:formatCode>
                <c:ptCount val="36"/>
                <c:pt idx="0">
                  <c:v>0</c:v>
                </c:pt>
                <c:pt idx="1">
                  <c:v>201.65302057613169</c:v>
                </c:pt>
                <c:pt idx="2">
                  <c:v>415.16798353909468</c:v>
                </c:pt>
                <c:pt idx="3">
                  <c:v>861.04555761316851</c:v>
                </c:pt>
                <c:pt idx="4">
                  <c:v>990.28875720164592</c:v>
                </c:pt>
                <c:pt idx="5">
                  <c:v>1080.9195</c:v>
                </c:pt>
                <c:pt idx="6">
                  <c:v>1114.3499999999999</c:v>
                </c:pt>
                <c:pt idx="7">
                  <c:v>1114.3499999999999</c:v>
                </c:pt>
                <c:pt idx="8">
                  <c:v>1114.3499999999999</c:v>
                </c:pt>
                <c:pt idx="9">
                  <c:v>1114.3499999999999</c:v>
                </c:pt>
                <c:pt idx="10">
                  <c:v>1114.3499999999999</c:v>
                </c:pt>
                <c:pt idx="11">
                  <c:v>1114.3499999999999</c:v>
                </c:pt>
                <c:pt idx="12">
                  <c:v>1088.0201370320856</c:v>
                </c:pt>
                <c:pt idx="13">
                  <c:v>1024.0189525007863</c:v>
                </c:pt>
                <c:pt idx="14">
                  <c:v>967.12901069518705</c:v>
                </c:pt>
                <c:pt idx="15">
                  <c:v>916.22748381649308</c:v>
                </c:pt>
                <c:pt idx="16">
                  <c:v>866.89710060160417</c:v>
                </c:pt>
                <c:pt idx="17">
                  <c:v>815.56197478991601</c:v>
                </c:pt>
                <c:pt idx="18">
                  <c:v>742.81914219490329</c:v>
                </c:pt>
                <c:pt idx="19">
                  <c:v>481.32368623105259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34496"/>
        <c:axId val="318337632"/>
      </c:scatterChart>
      <c:scatterChart>
        <c:scatterStyle val="lineMarker"/>
        <c:varyColors val="0"/>
        <c:ser>
          <c:idx val="0"/>
          <c:order val="0"/>
          <c:tx>
            <c:strRef>
              <c:f>'Calculate from Values'!$H$6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'Calculate from Values'!$A$7:$A$42</c:f>
              <c:numCache>
                <c:formatCode>0</c:formatCode>
                <c:ptCount val="36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2750</c:v>
                </c:pt>
                <c:pt idx="23">
                  <c:v>3000</c:v>
                </c:pt>
                <c:pt idx="24">
                  <c:v>3250</c:v>
                </c:pt>
                <c:pt idx="25">
                  <c:v>3500</c:v>
                </c:pt>
                <c:pt idx="26">
                  <c:v>3750</c:v>
                </c:pt>
                <c:pt idx="27">
                  <c:v>4000</c:v>
                </c:pt>
                <c:pt idx="28">
                  <c:v>4250</c:v>
                </c:pt>
                <c:pt idx="29">
                  <c:v>4500</c:v>
                </c:pt>
                <c:pt idx="30">
                  <c:v>4750</c:v>
                </c:pt>
                <c:pt idx="31">
                  <c:v>5000</c:v>
                </c:pt>
                <c:pt idx="32">
                  <c:v>5250</c:v>
                </c:pt>
                <c:pt idx="33">
                  <c:v>5500</c:v>
                </c:pt>
                <c:pt idx="34">
                  <c:v>5750</c:v>
                </c:pt>
                <c:pt idx="35">
                  <c:v>6000</c:v>
                </c:pt>
              </c:numCache>
            </c:numRef>
          </c:xVal>
          <c:yVal>
            <c:numRef>
              <c:f>'Calculate from Values'!$H$7:$H$42</c:f>
              <c:numCache>
                <c:formatCode>0.0</c:formatCode>
                <c:ptCount val="36"/>
                <c:pt idx="0">
                  <c:v>0</c:v>
                </c:pt>
                <c:pt idx="1">
                  <c:v>3.0228504600004311</c:v>
                </c:pt>
                <c:pt idx="2">
                  <c:v>24.894062611768252</c:v>
                </c:pt>
                <c:pt idx="3">
                  <c:v>90.351652890353989</c:v>
                </c:pt>
                <c:pt idx="4">
                  <c:v>118.75824390580225</c:v>
                </c:pt>
                <c:pt idx="5">
                  <c:v>145.83030785340313</c:v>
                </c:pt>
                <c:pt idx="6">
                  <c:v>167.04502617801046</c:v>
                </c:pt>
                <c:pt idx="7">
                  <c:v>183.74952879581153</c:v>
                </c:pt>
                <c:pt idx="8">
                  <c:v>200.4540314136126</c:v>
                </c:pt>
                <c:pt idx="9">
                  <c:v>217.15853403141364</c:v>
                </c:pt>
                <c:pt idx="10">
                  <c:v>233.86303664921471</c:v>
                </c:pt>
                <c:pt idx="11">
                  <c:v>250.56753926701575</c:v>
                </c:pt>
                <c:pt idx="12">
                  <c:v>262.54875615366012</c:v>
                </c:pt>
                <c:pt idx="13">
                  <c:v>267.88276273331041</c:v>
                </c:pt>
                <c:pt idx="14">
                  <c:v>270</c:v>
                </c:pt>
                <c:pt idx="15">
                  <c:v>269.99999999999994</c:v>
                </c:pt>
                <c:pt idx="16">
                  <c:v>270.25</c:v>
                </c:pt>
                <c:pt idx="17">
                  <c:v>270.99999999999994</c:v>
                </c:pt>
                <c:pt idx="18">
                  <c:v>258.58230057558467</c:v>
                </c:pt>
                <c:pt idx="19">
                  <c:v>175.16934153935222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'Calculate from Values'!$I$6</c:f>
              <c:strCache>
                <c:ptCount val="1"/>
                <c:pt idx="0">
                  <c:v>psEco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'Calculate from Values'!$A$7:$A$42</c:f>
              <c:numCache>
                <c:formatCode>0</c:formatCode>
                <c:ptCount val="36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2750</c:v>
                </c:pt>
                <c:pt idx="23">
                  <c:v>3000</c:v>
                </c:pt>
                <c:pt idx="24">
                  <c:v>3250</c:v>
                </c:pt>
                <c:pt idx="25">
                  <c:v>3500</c:v>
                </c:pt>
                <c:pt idx="26">
                  <c:v>3750</c:v>
                </c:pt>
                <c:pt idx="27">
                  <c:v>4000</c:v>
                </c:pt>
                <c:pt idx="28">
                  <c:v>4250</c:v>
                </c:pt>
                <c:pt idx="29">
                  <c:v>4500</c:v>
                </c:pt>
                <c:pt idx="30">
                  <c:v>4750</c:v>
                </c:pt>
                <c:pt idx="31">
                  <c:v>5000</c:v>
                </c:pt>
                <c:pt idx="32">
                  <c:v>5250</c:v>
                </c:pt>
                <c:pt idx="33">
                  <c:v>5500</c:v>
                </c:pt>
                <c:pt idx="34">
                  <c:v>5750</c:v>
                </c:pt>
                <c:pt idx="35">
                  <c:v>6000</c:v>
                </c:pt>
              </c:numCache>
            </c:numRef>
          </c:xVal>
          <c:yVal>
            <c:numRef>
              <c:f>'Calculate from Values'!$I$7:$I$42</c:f>
              <c:numCache>
                <c:formatCode>0.0</c:formatCode>
                <c:ptCount val="36"/>
                <c:pt idx="0">
                  <c:v>0</c:v>
                </c:pt>
                <c:pt idx="1">
                  <c:v>2.8717079370004095</c:v>
                </c:pt>
                <c:pt idx="2">
                  <c:v>23.649359481179843</c:v>
                </c:pt>
                <c:pt idx="3">
                  <c:v>85.834070245836287</c:v>
                </c:pt>
                <c:pt idx="4">
                  <c:v>112.82033171051211</c:v>
                </c:pt>
                <c:pt idx="5">
                  <c:v>138.53879246073296</c:v>
                </c:pt>
                <c:pt idx="6">
                  <c:v>158.69277486910991</c:v>
                </c:pt>
                <c:pt idx="7">
                  <c:v>174.56205235602093</c:v>
                </c:pt>
                <c:pt idx="8">
                  <c:v>190.43132984293194</c:v>
                </c:pt>
                <c:pt idx="9">
                  <c:v>206.30060732984293</c:v>
                </c:pt>
                <c:pt idx="10">
                  <c:v>222.16988481675392</c:v>
                </c:pt>
                <c:pt idx="11">
                  <c:v>238.03916230366491</c:v>
                </c:pt>
                <c:pt idx="12">
                  <c:v>247.90909090909093</c:v>
                </c:pt>
                <c:pt idx="13">
                  <c:v>247.90909090909088</c:v>
                </c:pt>
                <c:pt idx="14">
                  <c:v>247.90909090909088</c:v>
                </c:pt>
                <c:pt idx="15">
                  <c:v>247.90909090909088</c:v>
                </c:pt>
                <c:pt idx="16">
                  <c:v>246.90681818181815</c:v>
                </c:pt>
                <c:pt idx="17">
                  <c:v>243.9</c:v>
                </c:pt>
                <c:pt idx="18">
                  <c:v>232.72407051802622</c:v>
                </c:pt>
                <c:pt idx="19">
                  <c:v>157.65240738541704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31752"/>
        <c:axId val="318332928"/>
      </c:scatterChart>
      <c:valAx>
        <c:axId val="318334496"/>
        <c:scaling>
          <c:orientation val="minMax"/>
          <c:max val="6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37632"/>
        <c:crosses val="autoZero"/>
        <c:crossBetween val="midCat"/>
        <c:majorUnit val="500"/>
      </c:valAx>
      <c:valAx>
        <c:axId val="3183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34496"/>
        <c:crosses val="autoZero"/>
        <c:crossBetween val="midCat"/>
      </c:valAx>
      <c:valAx>
        <c:axId val="318332928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31752"/>
        <c:crosses val="max"/>
        <c:crossBetween val="midCat"/>
      </c:valAx>
      <c:valAx>
        <c:axId val="31833175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31833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013718915204581E-2"/>
          <c:y val="3.5339353154546407E-2"/>
          <c:w val="6.0738902528053279E-2"/>
          <c:h val="0.12311985909068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6974962060876E-2"/>
          <c:y val="4.9052396878483832E-2"/>
          <c:w val="0.93796827046547449"/>
          <c:h val="0.75293954476426228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'Calculate from Values'!$J$6</c:f>
              <c:strCache>
                <c:ptCount val="1"/>
                <c:pt idx="0">
                  <c:v>fuelUsageRatio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'Calculate from Values'!$A$7:$A$42</c:f>
              <c:numCache>
                <c:formatCode>0</c:formatCode>
                <c:ptCount val="36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2750</c:v>
                </c:pt>
                <c:pt idx="23">
                  <c:v>3000</c:v>
                </c:pt>
                <c:pt idx="24">
                  <c:v>3250</c:v>
                </c:pt>
                <c:pt idx="25">
                  <c:v>3500</c:v>
                </c:pt>
                <c:pt idx="26">
                  <c:v>3750</c:v>
                </c:pt>
                <c:pt idx="27">
                  <c:v>4000</c:v>
                </c:pt>
                <c:pt idx="28">
                  <c:v>4250</c:v>
                </c:pt>
                <c:pt idx="29">
                  <c:v>4500</c:v>
                </c:pt>
                <c:pt idx="30">
                  <c:v>4750</c:v>
                </c:pt>
                <c:pt idx="31">
                  <c:v>5000</c:v>
                </c:pt>
                <c:pt idx="32">
                  <c:v>5250</c:v>
                </c:pt>
                <c:pt idx="33">
                  <c:v>5500</c:v>
                </c:pt>
                <c:pt idx="34">
                  <c:v>5750</c:v>
                </c:pt>
                <c:pt idx="35">
                  <c:v>6000</c:v>
                </c:pt>
              </c:numCache>
            </c:numRef>
          </c:xVal>
          <c:yVal>
            <c:numRef>
              <c:f>'Calculate from Values'!$J$7:$J$42</c:f>
              <c:numCache>
                <c:formatCode>0.0</c:formatCode>
                <c:ptCount val="36"/>
                <c:pt idx="0">
                  <c:v>311.38559556786686</c:v>
                </c:pt>
                <c:pt idx="1">
                  <c:v>295.71246537396109</c:v>
                </c:pt>
                <c:pt idx="2">
                  <c:v>256.33850415512461</c:v>
                </c:pt>
                <c:pt idx="3">
                  <c:v>228.43268698060939</c:v>
                </c:pt>
                <c:pt idx="4">
                  <c:v>221.67922437673127</c:v>
                </c:pt>
                <c:pt idx="5">
                  <c:v>216.2</c:v>
                </c:pt>
                <c:pt idx="6">
                  <c:v>211.99501385041552</c:v>
                </c:pt>
                <c:pt idx="7">
                  <c:v>209.06426592797783</c:v>
                </c:pt>
                <c:pt idx="8">
                  <c:v>207.40775623268698</c:v>
                </c:pt>
                <c:pt idx="9">
                  <c:v>207.01368233194526</c:v>
                </c:pt>
                <c:pt idx="10">
                  <c:v>207.49256395002973</c:v>
                </c:pt>
                <c:pt idx="11">
                  <c:v>208.65556216537775</c:v>
                </c:pt>
                <c:pt idx="12">
                  <c:v>210.5026769779893</c:v>
                </c:pt>
                <c:pt idx="13">
                  <c:v>213.03390838786436</c:v>
                </c:pt>
                <c:pt idx="14">
                  <c:v>216.24925639500299</c:v>
                </c:pt>
                <c:pt idx="15">
                  <c:v>220.14872099940513</c:v>
                </c:pt>
                <c:pt idx="16">
                  <c:v>224.73230220107078</c:v>
                </c:pt>
                <c:pt idx="17">
                  <c:v>230</c:v>
                </c:pt>
                <c:pt idx="18">
                  <c:v>244.75450687929043</c:v>
                </c:pt>
                <c:pt idx="19">
                  <c:v>313.46409493927865</c:v>
                </c:pt>
                <c:pt idx="20">
                  <c:v>460</c:v>
                </c:pt>
                <c:pt idx="21">
                  <c:v>460</c:v>
                </c:pt>
                <c:pt idx="22">
                  <c:v>460</c:v>
                </c:pt>
                <c:pt idx="23">
                  <c:v>460</c:v>
                </c:pt>
                <c:pt idx="24">
                  <c:v>460</c:v>
                </c:pt>
                <c:pt idx="25">
                  <c:v>460</c:v>
                </c:pt>
                <c:pt idx="26">
                  <c:v>460</c:v>
                </c:pt>
                <c:pt idx="27">
                  <c:v>460</c:v>
                </c:pt>
                <c:pt idx="28">
                  <c:v>460</c:v>
                </c:pt>
                <c:pt idx="29">
                  <c:v>460</c:v>
                </c:pt>
                <c:pt idx="30">
                  <c:v>460</c:v>
                </c:pt>
                <c:pt idx="31">
                  <c:v>460</c:v>
                </c:pt>
                <c:pt idx="32">
                  <c:v>460</c:v>
                </c:pt>
                <c:pt idx="33">
                  <c:v>460</c:v>
                </c:pt>
                <c:pt idx="34">
                  <c:v>460</c:v>
                </c:pt>
                <c:pt idx="35">
                  <c:v>460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32144"/>
        <c:axId val="318334888"/>
      </c:scatterChart>
      <c:valAx>
        <c:axId val="318332144"/>
        <c:scaling>
          <c:orientation val="minMax"/>
          <c:max val="6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34888"/>
        <c:crosses val="autoZero"/>
        <c:crossBetween val="midCat"/>
        <c:majorUnit val="500"/>
      </c:valAx>
      <c:valAx>
        <c:axId val="318334888"/>
        <c:scaling>
          <c:orientation val="minMax"/>
          <c:max val="26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32144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522415150043117E-2"/>
          <c:y val="0.15468183533914445"/>
          <c:w val="8.1528476562206229E-2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2444</c:v>
                </c:pt>
                <c:pt idx="1">
                  <c:v>2566.1999999999998</c:v>
                </c:pt>
                <c:pt idx="2">
                  <c:v>2632</c:v>
                </c:pt>
                <c:pt idx="3">
                  <c:v>2679</c:v>
                </c:pt>
                <c:pt idx="4">
                  <c:v>2716.6</c:v>
                </c:pt>
                <c:pt idx="5">
                  <c:v>2744.7999999999997</c:v>
                </c:pt>
                <c:pt idx="6">
                  <c:v>2764.54</c:v>
                </c:pt>
                <c:pt idx="7">
                  <c:v>2726</c:v>
                </c:pt>
                <c:pt idx="8">
                  <c:v>2660.2</c:v>
                </c:pt>
                <c:pt idx="9">
                  <c:v>2575.6</c:v>
                </c:pt>
                <c:pt idx="10">
                  <c:v>2491</c:v>
                </c:pt>
                <c:pt idx="11">
                  <c:v>2404.0572755417952</c:v>
                </c:pt>
                <c:pt idx="12">
                  <c:v>2283.8544117647057</c:v>
                </c:pt>
                <c:pt idx="13">
                  <c:v>2175.09943977591</c:v>
                </c:pt>
                <c:pt idx="14">
                  <c:v>1880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36064"/>
        <c:axId val="318335280"/>
      </c:scatterChart>
      <c:valAx>
        <c:axId val="318336064"/>
        <c:scaling>
          <c:orientation val="minMax"/>
          <c:max val="27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35280"/>
        <c:crosses val="autoZero"/>
        <c:crossBetween val="midCat"/>
      </c:valAx>
      <c:valAx>
        <c:axId val="3183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3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(2)'!$A$2:$A$17</c:f>
              <c:numCache>
                <c:formatCode>General</c:formatCode>
                <c:ptCount val="16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2300</c:v>
                </c:pt>
              </c:numCache>
            </c:numRef>
          </c:xVal>
          <c:yVal>
            <c:numRef>
              <c:f>'Sheet1 (2)'!$C$2:$C$17</c:f>
              <c:numCache>
                <c:formatCode>General</c:formatCode>
                <c:ptCount val="16"/>
                <c:pt idx="0">
                  <c:v>0</c:v>
                </c:pt>
                <c:pt idx="1">
                  <c:v>2357.7674150500002</c:v>
                </c:pt>
                <c:pt idx="2">
                  <c:v>2357.7674150500002</c:v>
                </c:pt>
                <c:pt idx="3">
                  <c:v>2357.7674150500002</c:v>
                </c:pt>
                <c:pt idx="4">
                  <c:v>2357.7674150500002</c:v>
                </c:pt>
                <c:pt idx="5">
                  <c:v>2306.7886601300002</c:v>
                </c:pt>
                <c:pt idx="6">
                  <c:v>2153.8523953700001</c:v>
                </c:pt>
                <c:pt idx="7">
                  <c:v>2020.0331637050001</c:v>
                </c:pt>
                <c:pt idx="8">
                  <c:v>1901.507558516</c:v>
                </c:pt>
                <c:pt idx="9">
                  <c:v>1797.0011109300001</c:v>
                </c:pt>
                <c:pt idx="10">
                  <c:v>1682.29891236</c:v>
                </c:pt>
                <c:pt idx="11">
                  <c:v>1593.08609125</c:v>
                </c:pt>
                <c:pt idx="12">
                  <c:v>1503.8732701399999</c:v>
                </c:pt>
                <c:pt idx="13">
                  <c:v>637.23443650000002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180528"/>
        <c:axId val="317182096"/>
      </c:scatterChart>
      <c:valAx>
        <c:axId val="317180528"/>
        <c:scaling>
          <c:orientation val="minMax"/>
          <c:max val="24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82096"/>
        <c:crosses val="autoZero"/>
        <c:crossBetween val="midCat"/>
      </c:valAx>
      <c:valAx>
        <c:axId val="3171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8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76201</xdr:colOff>
      <xdr:row>4</xdr:row>
      <xdr:rowOff>28575</xdr:rowOff>
    </xdr:from>
    <xdr:to>
      <xdr:col>47</xdr:col>
      <xdr:colOff>19051</xdr:colOff>
      <xdr:row>30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76202</xdr:colOff>
      <xdr:row>30</xdr:row>
      <xdr:rowOff>66675</xdr:rowOff>
    </xdr:from>
    <xdr:to>
      <xdr:col>45</xdr:col>
      <xdr:colOff>447675</xdr:colOff>
      <xdr:row>48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5" displayName="Table15" ref="A6:V42" totalsRowShown="0" headerRowDxfId="72" dataDxfId="71">
  <autoFilter ref="A6:V4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rpm" dataDxfId="70"/>
    <tableColumn id="7" name="rawData" dataDxfId="69">
      <calculatedColumnFormula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calculatedColumnFormula>
    </tableColumn>
    <tableColumn id="9" name="manualData" dataDxfId="68"/>
    <tableColumn id="12" name="rawDataEco" dataDxfId="67">
      <calculatedColumnFormula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calculatedColumnFormula>
    </tableColumn>
    <tableColumn id="11" name="manDataEco" dataDxfId="66"/>
    <tableColumn id="4" name="motor" dataDxfId="65">
      <calculatedColumnFormula>Table36[Factor]*IF(Table15[[#This Row],[manualData]]&gt;0,Table15[[#This Row],[manualData]],Table15[[#This Row],[rawData]])</calculatedColumnFormula>
    </tableColumn>
    <tableColumn id="14" name="motorEco" dataDxfId="64">
      <calculatedColumnFormula>Table36[Factor]*IF(Table15[[#This Row],[manDataEco]]&gt;0,Table15[[#This Row],[manDataEco]],Table15[[#This Row],[rawDataEco]])</calculatedColumnFormula>
    </tableColumn>
    <tableColumn id="3" name="ps" dataDxfId="63">
      <calculatedColumnFormula>1.36*Table15[[#This Row],[rpm]]*Table15[[#This Row],[motor]]/9550</calculatedColumnFormula>
    </tableColumn>
    <tableColumn id="13" name="psEco" dataDxfId="8">
      <calculatedColumnFormula>1.36*Table15[[#This Row],[rpm]]*Table15[[#This Row],[motorEco]]/9550</calculatedColumnFormula>
    </tableColumn>
    <tableColumn id="10" name="fuelUsageRatio" dataDxfId="3">
      <calculatedColumnFormula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calculatedColumnFormula>
    </tableColumn>
    <tableColumn id="5" name="xml" dataDxfId="7">
      <calculatedColumnFormula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calculatedColumnFormula>
    </tableColumn>
    <tableColumn id="8" name="xml2" dataDxfId="6">
      <calculatedColumnFormula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calculatedColumnFormula>
    </tableColumn>
    <tableColumn id="15" name="t1" dataDxfId="62">
      <calculatedColumnFormula>(1-(1-Table15[[#This Row],[rpm]]/Table36[idleRpm])^2)*Table7[idleT]</calculatedColumnFormula>
    </tableColumn>
    <tableColumn id="18" name="t2" dataDxfId="61">
      <calculatedColumnFormula>MAX(0,(1-Table7[f1]*(Table36[maxTRpm1]-Table15[[#This Row],[rpm]])^2)*Table36[maxT])</calculatedColumnFormula>
    </tableColumn>
    <tableColumn id="19" name="t3" dataDxfId="5">
      <calculatedColumnFormula>MIN(Table7[Nm]*Table36[maxPRpm]/Table15[[#This Row],[rpm]],MAX(0,(Table36[linearDown]*(1-Table7[f2]*(Table15[[#This Row],[rpm]]-Table36[maxTRpm]))+(1-Table36[linearDown])*(1-Table7[f3]*(Table15[[#This Row],[rpm]]-Table36[maxTRpm])^2))*Table36[maxT]))</calculatedColumnFormula>
    </tableColumn>
    <tableColumn id="16" name="t4" dataDxfId="60">
      <calculatedColumnFormula>MAX(0,(Table36[maxPS]-Table7[f4]*(Table15[[#This Row],[rpm]]-Table36[maxPRpm])^2)/1.36*9550/MAX(1,Table15[[#This Row],[rpm]]))</calculatedColumnFormula>
    </tableColumn>
    <tableColumn id="17" name="t5" dataDxfId="59">
      <calculatedColumnFormula>MAX(0,Table7[Nm2]*MIN(Table36[ratedRpm]/MAX(1,Table15[[#This Row],[rpm]]),1-(MAX(0,Table15[[#This Row],[rpm]]-Table36[ratedRpm])/Table36[fadeOut])^Table36[fadeOutExp]))</calculatedColumnFormula>
    </tableColumn>
    <tableColumn id="21" name="t1E" dataDxfId="58">
      <calculatedColumnFormula>(1-(1-Table15[[#This Row],[rpm]]/Table36[idleRpm])^2)*Table7[idleTEco]</calculatedColumnFormula>
    </tableColumn>
    <tableColumn id="22" name="t2E" dataDxfId="57">
      <calculatedColumnFormula>MAX(0,(1-Table7[f1]*(Table36[maxTRpm1]-Table15[[#This Row],[rpm]])^2)*Table36[maxTEco])</calculatedColumnFormula>
    </tableColumn>
    <tableColumn id="23" name="t3E" dataDxfId="4">
      <calculatedColumnFormula>MIN(Table7[NmEco]*Table36[maxPRpm]/Table15[[#This Row],[rpm]],MAX(0,(Table36[linearDown]*(1-Table7[f2Eco]*(Table15[[#This Row],[rpm]]-Table36[maxTRpm]))+(1-Table36[linearDown])*(1-Table7[f3Eco]*(Table15[[#This Row],[rpm]]-Table36[maxTRpm])^2))*Table36[maxTEco]))</calculatedColumnFormula>
    </tableColumn>
    <tableColumn id="24" name="t4E" dataDxfId="56">
      <calculatedColumnFormula>MAX(0,(Table36[maxPSEco]-Table7[f4Eco]*(Table15[[#This Row],[rpm]]-Table36[maxPRpm])^2)/1.36*9550/MAX(1,Table15[[#This Row],[rpm]]))</calculatedColumnFormula>
    </tableColumn>
    <tableColumn id="25" name="t5E" dataDxfId="55">
      <calculatedColumnFormula>MAX(0,Table7[Nm2Eco]*MIN(Table36[ratedRpm]/MAX(1,Table15[[#This Row],[rpm]]),1-(MAX(0,Table15[[#This Row],[rpm]]-Table36[ratedRpm])/Table36[fadeOut])^Table36[fadeOutExp]))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A1:Y2" totalsRowShown="0" headerRowDxfId="54">
  <autoFilter ref="A1:Y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5">
    <tableColumn id="10" name="maxPRpm" dataDxfId="2"/>
    <tableColumn id="14" name="maxPS" dataDxfId="1"/>
    <tableColumn id="19" name="maxPSEco" dataDxfId="0">
      <calculatedColumnFormula>Table36[maxPsEcoRate]*Table36[maxPS]</calculatedColumnFormula>
    </tableColumn>
    <tableColumn id="2" name="ratedRpm"/>
    <tableColumn id="3" name="PS"/>
    <tableColumn id="20" name="PSEco" dataDxfId="53">
      <calculatedColumnFormula>Table36[PSEcoRate]*Table36[PS]</calculatedColumnFormula>
    </tableColumn>
    <tableColumn id="12" name="maxTRpm1" dataDxfId="52"/>
    <tableColumn id="4" name="maxTRpm" dataDxfId="51"/>
    <tableColumn id="5" name="maxT" dataDxfId="50"/>
    <tableColumn id="21" name="maxTEco" dataDxfId="49">
      <calculatedColumnFormula>Table36[NmEcoRate]*Table36[maxT]</calculatedColumnFormula>
    </tableColumn>
    <tableColumn id="6" name="idleRpm"/>
    <tableColumn id="7" name="idleRatio" dataCellStyle="Percent"/>
    <tableColumn id="11" name="fadeOut" dataDxfId="48"/>
    <tableColumn id="15" name="linearDown" dataDxfId="47"/>
    <tableColumn id="25" name="fadeOutExp" dataDxfId="46"/>
    <tableColumn id="22" name="Efficiency" dataDxfId="45"/>
    <tableColumn id="16" name="Factor" dataDxfId="44"/>
    <tableColumn id="13" name="fuelMinRate" dataDxfId="12"/>
    <tableColumn id="18" name="fuelRatedRate" dataDxfId="9">
      <calculatedColumnFormula>Table36[fuelMinRate]/0.9</calculatedColumnFormula>
    </tableColumn>
    <tableColumn id="9" name="fuelMinRpm" dataDxfId="11">
      <calculatedColumnFormula>ROUND(MIN(0.6*Table36[idleRpm]+0.4*Table36[ratedRpm],0.5*Table36[maxTRpm1]+0.5*Table36[maxTRpm]),-1)</calculatedColumnFormula>
    </tableColumn>
    <tableColumn id="17" name="fuelIdleRate" dataDxfId="10">
      <calculatedColumnFormula>0.94*Table36[fuelRatedRate]</calculatedColumnFormula>
    </tableColumn>
    <tableColumn id="1" name="normRpm" dataDxfId="43">
      <calculatedColumnFormula>ROUND(Table36[ratedRpm]+0.49*Table36[fadeOut],-2)</calculatedColumnFormula>
    </tableColumn>
    <tableColumn id="8" name="PSEcoRate" dataDxfId="42"/>
    <tableColumn id="23" name="NmEcoRate"/>
    <tableColumn id="24" name="maxPsEcoRate" dataDxfId="41">
      <calculatedColumnFormula>Table36[PSEcoRate]* (Table36[maxPRpm]-Table36[maxTRpm])/(Table36[ratedRpm]-Table36[maxTRpm]) + Table36[NmEcoRate]* (1- (Table36[maxPRpm]-Table36[maxTRpm])/(Table36[ratedRpm]-Table36[maxTRpm]))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3:S4" totalsRowShown="0" headerRowDxfId="40" dataDxfId="39">
  <autoFilter ref="A3:S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f1" dataDxfId="38">
      <calculatedColumnFormula>(1-Table36[idleRatio])/((Table36[maxTRpm1]-Table36[idleRpm])^2)</calculatedColumnFormula>
    </tableColumn>
    <tableColumn id="2" name="f2" dataDxfId="37">
      <calculatedColumnFormula>(Table36[maxT]-Table7[Nm])/Table36[maxT]/(Table36[maxPRpm]-Table36[maxTRpm])</calculatedColumnFormula>
    </tableColumn>
    <tableColumn id="5" name="f3" dataDxfId="36">
      <calculatedColumnFormula>(Table36[maxT]-Table7[Nm])/Table36[maxT]/(Table36[maxPRpm]-Table36[maxTRpm])^2</calculatedColumnFormula>
    </tableColumn>
    <tableColumn id="6" name="f4" dataDxfId="35">
      <calculatedColumnFormula>(Table36[maxPS]-Table36[PS])/MAX(1,Table36[ratedRpm]-Table36[maxPRpm])^2</calculatedColumnFormula>
    </tableColumn>
    <tableColumn id="3" name="Nm" dataDxfId="34">
      <calculatedColumnFormula>Table36[maxPS]/1.36*9550/Table36[maxPRpm]</calculatedColumnFormula>
    </tableColumn>
    <tableColumn id="4" name="Nm2" dataDxfId="33">
      <calculatedColumnFormula>Table36[PS]/1.36*9550/Table36[ratedRpm]</calculatedColumnFormula>
    </tableColumn>
    <tableColumn id="7" name="Anfahrmoment" dataDxfId="32" dataCellStyle="Percent">
      <calculatedColumnFormula>Table7[Nm1000]/Table7[Nm2Eco]</calculatedColumnFormula>
    </tableColumn>
    <tableColumn id="17" name="AnstiegE" dataDxfId="31" dataCellStyle="Percent">
      <calculatedColumnFormula>Table36[maxTEco]/Table7[Nm2Eco]-1</calculatedColumnFormula>
    </tableColumn>
    <tableColumn id="14" name="Anstieg" dataDxfId="30" dataCellStyle="Percent">
      <calculatedColumnFormula>Table36[maxT]/Table7[Nm2]-1</calculatedColumnFormula>
    </tableColumn>
    <tableColumn id="15" name="Abfall" dataDxfId="29" dataCellStyle="Percent">
      <calculatedColumnFormula>1-Table36[maxTRpm]/Table36[ratedRpm]</calculatedColumnFormula>
    </tableColumn>
    <tableColumn id="16" name="Nm1000" dataDxfId="28" dataCellStyle="Percent">
      <calculatedColumnFormula>(1-Table7[f1]*(Table36[maxTRpm1]-1000)^2)*Table36[maxTEco]</calculatedColumnFormula>
    </tableColumn>
    <tableColumn id="8" name="NmEco" dataDxfId="27">
      <calculatedColumnFormula>Table36[maxPSEco]/1.36*9550/Table36[maxPRpm]</calculatedColumnFormula>
    </tableColumn>
    <tableColumn id="9" name="Nm2Eco" dataDxfId="26">
      <calculatedColumnFormula>Table36[PSEco]/1.36*9550/Table36[ratedRpm]</calculatedColumnFormula>
    </tableColumn>
    <tableColumn id="12" name="f2Eco" dataDxfId="25">
      <calculatedColumnFormula>(Table36[maxTEco]-Table7[NmEco])/Table36[maxTEco]/(Table36[maxPRpm]-Table36[maxTRpm])</calculatedColumnFormula>
    </tableColumn>
    <tableColumn id="10" name="f3Eco" dataDxfId="24">
      <calculatedColumnFormula>(Table36[maxTEco]-Table7[NmEco])/Table36[maxTEco]/(Table36[maxPRpm]-Table36[maxTRpm])^2</calculatedColumnFormula>
    </tableColumn>
    <tableColumn id="11" name="f4Eco" dataDxfId="23">
      <calculatedColumnFormula>(Table36[maxPSEco]-Table36[PSEco])/MAX(1,Table36[ratedRpm]-Table36[maxPRpm])^2</calculatedColumnFormula>
    </tableColumn>
    <tableColumn id="13" name="idleT" dataDxfId="22">
      <calculatedColumnFormula>(1-Table7[f1]*(Table36[maxTRpm1]-Table36[idleRpm])^2)*Table36[maxT]</calculatedColumnFormula>
    </tableColumn>
    <tableColumn id="19" name="idleTEco" dataDxfId="21">
      <calculatedColumnFormula>(1-Table7[f1]*(Table36[maxTRpm1]-Table36[idleRpm])^2)*Table36[maxTEco]</calculatedColumnFormula>
    </tableColumn>
    <tableColumn id="21" name="xmlComment" dataDxfId="20">
      <calculatedColumnFormula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19" totalsRowShown="0">
  <autoFilter ref="A1:H19"/>
  <tableColumns count="8">
    <tableColumn id="1" name="rpm"/>
    <tableColumn id="7" name="rawData"/>
    <tableColumn id="2" name="pto">
      <calculatedColumnFormula>$A$22*Table1[[#This Row],[rawData]]</calculatedColumnFormula>
    </tableColumn>
    <tableColumn id="6" name="kw_pto" dataDxfId="19">
      <calculatedColumnFormula>A2*C2/9550</calculatedColumnFormula>
    </tableColumn>
    <tableColumn id="3" name="ps" dataDxfId="18">
      <calculatedColumnFormula>Table1[[#This Row],[kw_pto]]*1.36/0.94</calculatedColumnFormula>
    </tableColumn>
    <tableColumn id="4" name="motor"/>
    <tableColumn id="5" name="xml" dataDxfId="17">
      <calculatedColumnFormula>CONCATENATE("&lt;torque rpm=""",Table1[[#This Row],[rpm]],""" motorTorque=""",ROUND(Table1[[#This Row],[motor]],0),"""/&gt;")</calculatedColumnFormula>
    </tableColumn>
    <tableColumn id="8" name="xml2" dataDxfId="16">
      <calculatedColumnFormula>CONCATENATE("&lt;torque normRpm=""",ROUND(Table1[[#This Row],[rpm]]/Table3[ratedRpm],3),""" torque=""",ROUND(Table1[[#This Row],[motor]]/MAX(Table1[motor]),3),"""/&gt;")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1:D22" totalsRowShown="0">
  <autoFilter ref="A21:D22"/>
  <tableColumns count="4">
    <tableColumn id="1" name="Factor">
      <calculatedColumnFormula>0.94</calculatedColumnFormula>
    </tableColumn>
    <tableColumn id="2" name="ratedRpm"/>
    <tableColumn id="3" name="PS"/>
    <tableColumn id="4" name="Nm_rated">
      <calculatedColumnFormula>Table3[PS]/1.36*9548/Table3[ratedRpm]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Table13" displayName="Table13" ref="A1:G17" totalsRowShown="0">
  <autoFilter ref="A1:G17"/>
  <tableColumns count="7">
    <tableColumn id="1" name="rpm"/>
    <tableColumn id="7" name="rawData"/>
    <tableColumn id="2" name="pto">
      <calculatedColumnFormula>$I$2*Table13[[#This Row],[rawData]]</calculatedColumnFormula>
    </tableColumn>
    <tableColumn id="6" name="kw_pto" dataDxfId="15">
      <calculatedColumnFormula>A2*C2/9550</calculatedColumnFormula>
    </tableColumn>
    <tableColumn id="3" name="ps" dataDxfId="14">
      <calculatedColumnFormula>Table13[[#This Row],[kw_pto]]*1.36/0.94</calculatedColumnFormula>
    </tableColumn>
    <tableColumn id="4" name="motor">
      <calculatedColumnFormula>C2/0.94</calculatedColumnFormula>
    </tableColumn>
    <tableColumn id="5" name="xml" dataDxfId="13">
      <calculatedColumnFormula>CONCATENATE("&lt;torque rpm=""",Table13[[#This Row],[rpm]],""" motorTorque=""",ROUND(Table13[[#This Row],[motor]],0),"""/&gt;")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workbookViewId="0">
      <selection activeCell="A2" sqref="A2"/>
    </sheetView>
  </sheetViews>
  <sheetFormatPr defaultColWidth="7.140625" defaultRowHeight="15" x14ac:dyDescent="0.25"/>
  <cols>
    <col min="1" max="1" width="10" bestFit="1" customWidth="1"/>
    <col min="2" max="2" width="7.28515625" bestFit="1" customWidth="1"/>
    <col min="3" max="3" width="12" bestFit="1" customWidth="1"/>
    <col min="4" max="4" width="7.28515625" bestFit="1" customWidth="1"/>
    <col min="5" max="5" width="10.85546875" customWidth="1"/>
    <col min="6" max="10" width="7.28515625" bestFit="1" customWidth="1"/>
    <col min="11" max="11" width="11.140625" bestFit="1" customWidth="1"/>
    <col min="12" max="12" width="11" bestFit="1" customWidth="1"/>
    <col min="13" max="14" width="7.28515625" bestFit="1" customWidth="1"/>
  </cols>
  <sheetData>
    <row r="1" spans="1:25" s="4" customFormat="1" ht="45.75" customHeight="1" thickBot="1" x14ac:dyDescent="0.3">
      <c r="A1" s="4" t="s">
        <v>18</v>
      </c>
      <c r="B1" s="4" t="s">
        <v>23</v>
      </c>
      <c r="C1" s="4" t="s">
        <v>35</v>
      </c>
      <c r="D1" s="4" t="s">
        <v>8</v>
      </c>
      <c r="E1" s="4" t="s">
        <v>10</v>
      </c>
      <c r="F1" s="4" t="s">
        <v>36</v>
      </c>
      <c r="G1" s="4" t="s">
        <v>22</v>
      </c>
      <c r="H1" s="4" t="s">
        <v>12</v>
      </c>
      <c r="I1" s="5" t="s">
        <v>13</v>
      </c>
      <c r="J1" s="4" t="s">
        <v>47</v>
      </c>
      <c r="K1" s="4" t="s">
        <v>14</v>
      </c>
      <c r="L1" s="4" t="s">
        <v>15</v>
      </c>
      <c r="M1" s="4" t="s">
        <v>21</v>
      </c>
      <c r="N1" s="4" t="s">
        <v>25</v>
      </c>
      <c r="O1" s="4" t="s">
        <v>68</v>
      </c>
      <c r="P1" s="4" t="s">
        <v>49</v>
      </c>
      <c r="Q1" s="4" t="s">
        <v>7</v>
      </c>
      <c r="R1" s="4" t="s">
        <v>31</v>
      </c>
      <c r="S1" s="4" t="s">
        <v>33</v>
      </c>
      <c r="T1" s="4" t="s">
        <v>30</v>
      </c>
      <c r="U1" s="4" t="s">
        <v>32</v>
      </c>
      <c r="V1" s="4" t="s">
        <v>60</v>
      </c>
      <c r="W1" s="4" t="s">
        <v>63</v>
      </c>
      <c r="X1" s="4" t="s">
        <v>64</v>
      </c>
      <c r="Y1" s="4" t="s">
        <v>67</v>
      </c>
    </row>
    <row r="2" spans="1:25" ht="15.75" thickBot="1" x14ac:dyDescent="0.3">
      <c r="A2" s="13">
        <v>1900</v>
      </c>
      <c r="B2" s="14">
        <v>270</v>
      </c>
      <c r="C2" s="18">
        <f>Table36[maxPsEcoRate]*Table36[maxPS]</f>
        <v>247.90909090909091</v>
      </c>
      <c r="D2" s="7">
        <v>2100</v>
      </c>
      <c r="E2" s="8">
        <v>271</v>
      </c>
      <c r="F2" s="19">
        <f>Table36[PSEcoRate]*Table36[PS]</f>
        <v>243.9</v>
      </c>
      <c r="G2" s="13">
        <v>1000</v>
      </c>
      <c r="H2" s="14">
        <v>1550</v>
      </c>
      <c r="I2" s="14">
        <v>1173</v>
      </c>
      <c r="J2" s="18">
        <f>Table36[NmEcoRate]*Table36[maxT]</f>
        <v>1114.3499999999999</v>
      </c>
      <c r="K2" s="7">
        <v>900</v>
      </c>
      <c r="L2" s="11">
        <v>0.97</v>
      </c>
      <c r="M2" s="9">
        <v>300</v>
      </c>
      <c r="N2" s="13">
        <v>0.8</v>
      </c>
      <c r="O2" s="14">
        <v>2.2000000000000002</v>
      </c>
      <c r="P2" s="14">
        <v>0.94</v>
      </c>
      <c r="Q2" s="15">
        <v>1</v>
      </c>
      <c r="R2" s="31">
        <v>207</v>
      </c>
      <c r="S2" s="16">
        <f>Table36[fuelMinRate]/0.9</f>
        <v>230</v>
      </c>
      <c r="T2" s="17">
        <f>ROUND(MIN(0.6*Table36[idleRpm]+0.4*Table36[ratedRpm],0.5*Table36[maxTRpm1]+0.5*Table36[maxTRpm]),-1)</f>
        <v>1280</v>
      </c>
      <c r="U2" s="19">
        <f>0.94*Table36[fuelRatedRate]</f>
        <v>216.2</v>
      </c>
      <c r="V2" s="16">
        <f>ROUND(Table36[ratedRpm]+0.49*Table36[fadeOut],-2)</f>
        <v>2200</v>
      </c>
      <c r="W2" s="7">
        <v>0.9</v>
      </c>
      <c r="X2" s="9">
        <v>0.95</v>
      </c>
      <c r="Y2" s="29">
        <f>Table36[PSEcoRate]* (Table36[maxPRpm]-Table36[maxTRpm])/(Table36[ratedRpm]-Table36[maxTRpm]) + Table36[NmEcoRate]* (1- (Table36[maxPRpm]-Table36[maxTRpm])/(Table36[ratedRpm]-Table36[maxTRpm]))</f>
        <v>0.91818181818181821</v>
      </c>
    </row>
    <row r="3" spans="1:25" x14ac:dyDescent="0.25">
      <c r="A3" s="12" t="s">
        <v>16</v>
      </c>
      <c r="B3" s="12" t="s">
        <v>17</v>
      </c>
      <c r="C3" s="12" t="s">
        <v>24</v>
      </c>
      <c r="D3" s="12" t="s">
        <v>26</v>
      </c>
      <c r="E3" s="12" t="s">
        <v>19</v>
      </c>
      <c r="F3" s="12" t="s">
        <v>20</v>
      </c>
      <c r="G3" s="26" t="s">
        <v>27</v>
      </c>
      <c r="H3" s="27" t="s">
        <v>66</v>
      </c>
      <c r="I3" s="27" t="s">
        <v>61</v>
      </c>
      <c r="J3" s="28" t="s">
        <v>62</v>
      </c>
      <c r="K3" s="12" t="s">
        <v>65</v>
      </c>
      <c r="L3" s="12" t="s">
        <v>37</v>
      </c>
      <c r="M3" s="12" t="s">
        <v>38</v>
      </c>
      <c r="N3" s="12" t="s">
        <v>41</v>
      </c>
      <c r="O3" s="12" t="s">
        <v>39</v>
      </c>
      <c r="P3" s="12" t="s">
        <v>40</v>
      </c>
      <c r="Q3" s="12" t="s">
        <v>42</v>
      </c>
      <c r="R3" s="12" t="s">
        <v>48</v>
      </c>
      <c r="S3" s="12" t="s">
        <v>28</v>
      </c>
    </row>
    <row r="4" spans="1:25" ht="15.75" thickBot="1" x14ac:dyDescent="0.3">
      <c r="A4" s="12">
        <f>(1-Table36[idleRatio])/((Table36[maxTRpm1]-Table36[idleRpm])^2)</f>
        <v>3.0000000000000026E-6</v>
      </c>
      <c r="B4" s="12">
        <f>(Table36[maxT]-Table7[Nm])/Table36[maxT]/(Table36[maxPRpm]-Table36[maxTRpm])</f>
        <v>4.2657041279292737E-4</v>
      </c>
      <c r="C4" s="12">
        <f>(Table36[maxT]-Table7[Nm])/Table36[maxT]/(Table36[maxPRpm]-Table36[maxTRpm])^2</f>
        <v>1.2187726079797926E-6</v>
      </c>
      <c r="D4" s="12">
        <f>(Table36[maxPS]-Table36[PS])/MAX(1,Table36[ratedRpm]-Table36[maxPRpm])^2</f>
        <v>-2.5000000000000001E-5</v>
      </c>
      <c r="E4" s="12">
        <f>Table36[maxPS]/1.36*9550/Table36[maxPRpm]</f>
        <v>997.87151702786366</v>
      </c>
      <c r="F4" s="12">
        <f>Table36[PS]/1.36*9550/Table36[ratedRpm]</f>
        <v>906.17997198879539</v>
      </c>
      <c r="G4" s="23">
        <f>Table7[Nm1000]/Table7[Nm2Eco]</f>
        <v>1.3663584552075885</v>
      </c>
      <c r="H4" s="24">
        <f>Table36[maxTEco]/Table7[Nm2Eco]-1</f>
        <v>0.36635845520758847</v>
      </c>
      <c r="I4" s="24">
        <f>Table36[maxT]/Table7[Nm2]-1</f>
        <v>0.2944448523019263</v>
      </c>
      <c r="J4" s="25">
        <f>1-Table36[maxTRpm]/Table36[ratedRpm]</f>
        <v>0.26190476190476186</v>
      </c>
      <c r="K4" s="12">
        <f>(1-Table7[f1]*(Table36[maxTRpm1]-1000)^2)*Table36[maxTEco]</f>
        <v>1114.3499999999999</v>
      </c>
      <c r="L4" s="12">
        <f>Table36[maxPSEco]/1.36*9550/Table36[maxPRpm]</f>
        <v>916.22748381649308</v>
      </c>
      <c r="M4" s="12">
        <f>Table36[PSEco]/1.36*9550/Table36[ratedRpm]</f>
        <v>815.56197478991601</v>
      </c>
      <c r="N4" s="12">
        <f>(Table36[maxTEco]-Table7[NmEco])/Table36[maxTEco]/(Table36[maxPRpm]-Table36[maxTRpm])</f>
        <v>5.0797714537880974E-4</v>
      </c>
      <c r="O4" s="12">
        <f>(Table36[maxTEco]-Table7[NmEco])/Table36[maxTEco]/(Table36[maxPRpm]-Table36[maxTRpm])^2</f>
        <v>1.4513632725108851E-6</v>
      </c>
      <c r="P4" s="12">
        <f>(Table36[maxPSEco]-Table36[PSEco])/MAX(1,Table36[ratedRpm]-Table36[maxPRpm])^2</f>
        <v>1.0022727272727252E-4</v>
      </c>
      <c r="Q4" s="12">
        <f>(1-Table7[f1]*(Table36[maxTRpm1]-Table36[idleRpm])^2)*Table36[maxT]</f>
        <v>1137.81</v>
      </c>
      <c r="R4" s="12">
        <f>(1-Table7[f1]*(Table36[maxTRpm1]-Table36[idleRpm])^2)*Table36[maxTEco]</f>
        <v>1080.9195</v>
      </c>
      <c r="S4" s="12" t="str">
        <f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f>
        <v xml:space="preserve">        &lt;!-- 1900: 270(248) | 2100: 271(244) | 1000..1550: 1173(1114) | 97 | 0.8 | 300 | 2.2 | 2200 | 1280: 207 --&gt;</v>
      </c>
    </row>
    <row r="6" spans="1:25" s="4" customFormat="1" ht="62.25" thickBot="1" x14ac:dyDescent="0.3">
      <c r="A6" s="4" t="s">
        <v>0</v>
      </c>
      <c r="B6" s="4" t="s">
        <v>5</v>
      </c>
      <c r="C6" s="4" t="s">
        <v>29</v>
      </c>
      <c r="D6" s="4" t="s">
        <v>43</v>
      </c>
      <c r="E6" s="4" t="s">
        <v>44</v>
      </c>
      <c r="F6" s="4" t="s">
        <v>4</v>
      </c>
      <c r="G6" s="4" t="s">
        <v>46</v>
      </c>
      <c r="H6" s="4" t="s">
        <v>1</v>
      </c>
      <c r="I6" s="4" t="s">
        <v>45</v>
      </c>
      <c r="J6" s="4" t="s">
        <v>34</v>
      </c>
      <c r="K6" s="6" t="s">
        <v>3</v>
      </c>
      <c r="L6" s="4" t="s">
        <v>9</v>
      </c>
      <c r="M6" s="4" t="s">
        <v>50</v>
      </c>
      <c r="N6" s="4" t="s">
        <v>51</v>
      </c>
      <c r="O6" s="4" t="s">
        <v>52</v>
      </c>
      <c r="P6" s="4" t="s">
        <v>53</v>
      </c>
      <c r="Q6" s="4" t="s">
        <v>54</v>
      </c>
      <c r="R6" s="4" t="s">
        <v>55</v>
      </c>
      <c r="S6" s="4" t="s">
        <v>56</v>
      </c>
      <c r="T6" s="4" t="s">
        <v>59</v>
      </c>
      <c r="U6" s="4" t="s">
        <v>57</v>
      </c>
      <c r="V6" s="4" t="s">
        <v>58</v>
      </c>
    </row>
    <row r="7" spans="1:25" x14ac:dyDescent="0.25">
      <c r="A7" s="3">
        <v>0</v>
      </c>
      <c r="B7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7" s="20"/>
      <c r="D7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7" s="20"/>
      <c r="F7" s="3">
        <f>Table36[Factor]*IF(Table15[[#This Row],[manualData]]&gt;0,Table15[[#This Row],[manualData]],Table15[[#This Row],[rawData]])</f>
        <v>0</v>
      </c>
      <c r="G7" s="3">
        <f>Table36[Factor]*IF(Table15[[#This Row],[manDataEco]]&gt;0,Table15[[#This Row],[manDataEco]],Table15[[#This Row],[rawDataEco]])</f>
        <v>0</v>
      </c>
      <c r="H7" s="30">
        <f>1.36*Table15[[#This Row],[rpm]]*Table15[[#This Row],[motor]]/9550</f>
        <v>0</v>
      </c>
      <c r="I7" s="30">
        <f>1.36*Table15[[#This Row],[rpm]]*Table15[[#This Row],[motorEco]]/9550</f>
        <v>0</v>
      </c>
      <c r="J7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311.38559556786686</v>
      </c>
      <c r="K7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 xml:space="preserve">        &lt;!-- 1900: 270(248) | 2100: 271(244) | 1000..1550: 1173(1114) | 97 | 0.8 | 300 | 2.2 | 2200 | 1280: 207 --&gt;</v>
      </c>
      <c r="L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&lt;!-- 1900: 270(248) | 2100: 271(244) | 1000..1550: 1173(1114) | 97 | 0.8 | 300 | 2.2 | 2200 | 1280: 207 --&gt;</v>
      </c>
      <c r="M7" s="3">
        <f>(1-(1-Table15[[#This Row],[rpm]]/Table36[idleRpm])^2)*Table7[idleT]</f>
        <v>0</v>
      </c>
      <c r="N7" s="3">
        <f>MAX(0,(1-Table7[f1]*(Table36[maxTRpm1]-Table15[[#This Row],[rpm]])^2)*Table36[maxT])</f>
        <v>0</v>
      </c>
      <c r="O7" s="3" t="e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#DIV/0!</v>
      </c>
      <c r="P7" s="3">
        <f>MAX(0,(Table36[maxPS]-Table7[f4]*(Table15[[#This Row],[rpm]]-Table36[maxPRpm])^2)/1.36*9550/MAX(1,Table15[[#This Row],[rpm]]))</f>
        <v>2529696.6911764704</v>
      </c>
      <c r="Q7" s="3">
        <f>MAX(0,Table7[Nm2]*MIN(Table36[ratedRpm]/MAX(1,Table15[[#This Row],[rpm]]),1-(MAX(0,Table15[[#This Row],[rpm]]-Table36[ratedRpm])/Table36[fadeOut])^Table36[fadeOutExp]))</f>
        <v>906.17997198879539</v>
      </c>
      <c r="R7" s="3">
        <f>(1-(1-Table15[[#This Row],[rpm]]/Table36[idleRpm])^2)*Table7[idleTEco]</f>
        <v>0</v>
      </c>
      <c r="S7" s="3">
        <f>MAX(0,(1-Table7[f1]*(Table36[maxTRpm1]-Table15[[#This Row],[rpm]])^2)*Table36[maxTEco])</f>
        <v>0</v>
      </c>
      <c r="T7" s="3" t="e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#DIV/0!</v>
      </c>
      <c r="U7" s="3">
        <f>MAX(0,(Table36[maxPSEco]-Table7[f4Eco]*(Table15[[#This Row],[rpm]]-Table36[maxPRpm])^2)/1.36*9550/MAX(1,Table15[[#This Row],[rpm]]))</f>
        <v>0</v>
      </c>
      <c r="V7" s="3">
        <f>MAX(0,Table7[Nm2Eco]*MIN(Table36[ratedRpm]/MAX(1,Table15[[#This Row],[rpm]]),1-(MAX(0,Table15[[#This Row],[rpm]]-Table36[ratedRpm])/Table36[fadeOut])^Table36[fadeOutExp]))</f>
        <v>815.56197478991601</v>
      </c>
    </row>
    <row r="8" spans="1:25" x14ac:dyDescent="0.25">
      <c r="A8" s="3">
        <v>100</v>
      </c>
      <c r="B8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212.26633744855968</v>
      </c>
      <c r="C8" s="21"/>
      <c r="D8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201.65302057613169</v>
      </c>
      <c r="E8" s="21"/>
      <c r="F8" s="3">
        <f>Table36[Factor]*IF(Table15[[#This Row],[manualData]]&gt;0,Table15[[#This Row],[manualData]],Table15[[#This Row],[rawData]])</f>
        <v>212.26633744855968</v>
      </c>
      <c r="G8" s="3">
        <f>Table36[Factor]*IF(Table15[[#This Row],[manDataEco]]&gt;0,Table15[[#This Row],[manDataEco]],Table15[[#This Row],[rawDataEco]])</f>
        <v>201.65302057613169</v>
      </c>
      <c r="H8" s="30">
        <f>1.36*Table15[[#This Row],[rpm]]*Table15[[#This Row],[motor]]/9550</f>
        <v>3.0228504600004311</v>
      </c>
      <c r="I8" s="30">
        <f>1.36*Table15[[#This Row],[rpm]]*Table15[[#This Row],[motorEco]]/9550</f>
        <v>2.8717079370004095</v>
      </c>
      <c r="J8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295.71246537396109</v>
      </c>
      <c r="K8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 xml:space="preserve">        &lt;torque rpm="100" motorTorque="212" motorTorqueEco="202" fuelUsageRatio="295.7"/&gt;</v>
      </c>
      <c r="L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normRpm="0.045" torque="0.181"/&gt;</v>
      </c>
      <c r="M8" s="3">
        <f>(1-(1-Table15[[#This Row],[rpm]]/Table36[idleRpm])^2)*Table7[idleT]</f>
        <v>238.79962962962966</v>
      </c>
      <c r="N8" s="3">
        <f>MAX(0,(1-Table7[f1]*(Table36[maxTRpm1]-Table15[[#This Row],[rpm]])^2)*Table36[maxT])</f>
        <v>0</v>
      </c>
      <c r="O8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1152.2705060971757</v>
      </c>
      <c r="P8" s="3">
        <f>MAX(0,(Table36[maxPS]-Table7[f4]*(Table15[[#This Row],[rpm]]-Table36[maxPRpm])^2)/1.36*9550/MAX(1,Table15[[#This Row],[rpm]]))</f>
        <v>24647.426470588231</v>
      </c>
      <c r="Q8" s="3">
        <f>MAX(0,Table7[Nm2]*MIN(Table36[ratedRpm]/MAX(1,Table15[[#This Row],[rpm]]),1-(MAX(0,Table15[[#This Row],[rpm]]-Table36[ratedRpm])/Table36[fadeOut])^Table36[fadeOutExp]))</f>
        <v>906.17997198879539</v>
      </c>
      <c r="R8" s="3">
        <f>(1-(1-Table15[[#This Row],[rpm]]/Table36[idleRpm])^2)*Table7[idleTEco]</f>
        <v>226.85964814814818</v>
      </c>
      <c r="S8" s="3">
        <f>MAX(0,(1-Table7[f1]*(Table36[maxTRpm1]-Table15[[#This Row],[rpm]])^2)*Table36[maxTEco])</f>
        <v>0</v>
      </c>
      <c r="T8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1090.8987633905238</v>
      </c>
      <c r="U8" s="3">
        <f>MAX(0,(Table36[maxPSEco]-Table7[f4Eco]*(Table15[[#This Row],[rpm]]-Table36[maxPRpm])^2)/1.36*9550/MAX(1,Table15[[#This Row],[rpm]]))</f>
        <v>0</v>
      </c>
      <c r="V8" s="3">
        <f>MAX(0,Table7[Nm2Eco]*MIN(Table36[ratedRpm]/MAX(1,Table15[[#This Row],[rpm]]),1-(MAX(0,Table15[[#This Row],[rpm]]-Table36[ratedRpm])/Table36[fadeOut])^Table36[fadeOutExp]))</f>
        <v>815.56197478991601</v>
      </c>
    </row>
    <row r="9" spans="1:25" x14ac:dyDescent="0.25">
      <c r="A9" s="3">
        <v>400</v>
      </c>
      <c r="B9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437.0189300411522</v>
      </c>
      <c r="C9" s="21"/>
      <c r="D9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415.16798353909468</v>
      </c>
      <c r="E9" s="21"/>
      <c r="F9" s="3">
        <f>Table36[Factor]*IF(Table15[[#This Row],[manualData]]&gt;0,Table15[[#This Row],[manualData]],Table15[[#This Row],[rawData]])</f>
        <v>437.0189300411522</v>
      </c>
      <c r="G9" s="3">
        <f>Table36[Factor]*IF(Table15[[#This Row],[manDataEco]]&gt;0,Table15[[#This Row],[manDataEco]],Table15[[#This Row],[rawDataEco]])</f>
        <v>415.16798353909468</v>
      </c>
      <c r="H9" s="30">
        <f>1.36*Table15[[#This Row],[rpm]]*Table15[[#This Row],[motor]]/9550</f>
        <v>24.894062611768252</v>
      </c>
      <c r="I9" s="30">
        <f>1.36*Table15[[#This Row],[rpm]]*Table15[[#This Row],[motorEco]]/9550</f>
        <v>23.649359481179843</v>
      </c>
      <c r="J9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256.33850415512461</v>
      </c>
      <c r="K9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 xml:space="preserve">        &lt;torque rpm="400" motorTorque="437" motorTorqueEco="415" fuelUsageRatio="256.3"/&gt;</v>
      </c>
      <c r="L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normRpm="0.182" torque="0.373"/&gt;</v>
      </c>
      <c r="M9" s="3">
        <f>(1-(1-Table15[[#This Row],[rpm]]/Table36[idleRpm])^2)*Table7[idleT]</f>
        <v>786.63407407407396</v>
      </c>
      <c r="N9" s="3">
        <f>MAX(0,(1-Table7[f1]*(Table36[maxTRpm1]-Table15[[#This Row],[rpm]])^2)*Table36[maxT])</f>
        <v>0</v>
      </c>
      <c r="O9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1255.203165476717</v>
      </c>
      <c r="P9" s="3">
        <f>MAX(0,(Table36[maxPS]-Table7[f4]*(Table15[[#This Row],[rpm]]-Table36[maxPRpm])^2)/1.36*9550/MAX(1,Table15[[#This Row],[rpm]]))</f>
        <v>5727.3667279411757</v>
      </c>
      <c r="Q9" s="3">
        <f>MAX(0,Table7[Nm2]*MIN(Table36[ratedRpm]/MAX(1,Table15[[#This Row],[rpm]]),1-(MAX(0,Table15[[#This Row],[rpm]]-Table36[ratedRpm])/Table36[fadeOut])^Table36[fadeOutExp]))</f>
        <v>906.17997198879539</v>
      </c>
      <c r="R9" s="3">
        <f>(1-(1-Table15[[#This Row],[rpm]]/Table36[idleRpm])^2)*Table7[idleTEco]</f>
        <v>747.30237037037034</v>
      </c>
      <c r="S9" s="3">
        <f>MAX(0,(1-Table7[f1]*(Table36[maxTRpm1]-Table15[[#This Row],[rpm]])^2)*Table36[maxTEco])</f>
        <v>0</v>
      </c>
      <c r="T9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1207.346283106544</v>
      </c>
      <c r="U9" s="3">
        <f>MAX(0,(Table36[maxPSEco]-Table7[f4Eco]*(Table15[[#This Row],[rpm]]-Table36[maxPRpm])^2)/1.36*9550/MAX(1,Table15[[#This Row],[rpm]]))</f>
        <v>393.19539605615779</v>
      </c>
      <c r="V9" s="3">
        <f>MAX(0,Table7[Nm2Eco]*MIN(Table36[ratedRpm]/MAX(1,Table15[[#This Row],[rpm]]),1-(MAX(0,Table15[[#This Row],[rpm]]-Table36[ratedRpm])/Table36[fadeOut])^Table36[fadeOutExp]))</f>
        <v>815.56197478991601</v>
      </c>
    </row>
    <row r="10" spans="1:25" x14ac:dyDescent="0.25">
      <c r="A10" s="3">
        <v>700</v>
      </c>
      <c r="B10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906.36374485596684</v>
      </c>
      <c r="C10" s="21"/>
      <c r="D10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861.04555761316851</v>
      </c>
      <c r="E10" s="21"/>
      <c r="F10" s="3">
        <f>Table36[Factor]*IF(Table15[[#This Row],[manualData]]&gt;0,Table15[[#This Row],[manualData]],Table15[[#This Row],[rawData]])</f>
        <v>906.36374485596684</v>
      </c>
      <c r="G10" s="3">
        <f>Table36[Factor]*IF(Table15[[#This Row],[manDataEco]]&gt;0,Table15[[#This Row],[manDataEco]],Table15[[#This Row],[rawDataEco]])</f>
        <v>861.04555761316851</v>
      </c>
      <c r="H10" s="30">
        <f>1.36*Table15[[#This Row],[rpm]]*Table15[[#This Row],[motor]]/9550</f>
        <v>90.351652890353989</v>
      </c>
      <c r="I10" s="30">
        <f>1.36*Table15[[#This Row],[rpm]]*Table15[[#This Row],[motorEco]]/9550</f>
        <v>85.834070245836287</v>
      </c>
      <c r="J10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228.43268698060939</v>
      </c>
      <c r="K10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 xml:space="preserve">        &lt;torque rpm="700" motorTorque="906" motorTorqueEco="861" fuelUsageRatio="228.4"/&gt;</v>
      </c>
      <c r="L1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normRpm="0.318" torque="0.773"/&gt;</v>
      </c>
      <c r="M10" s="3">
        <f>(1-(1-Table15[[#This Row],[rpm]]/Table36[idleRpm])^2)*Table7[idleT]</f>
        <v>1081.6218518518517</v>
      </c>
      <c r="N10" s="3">
        <f>MAX(0,(1-Table7[f1]*(Table36[maxTRpm1]-Table15[[#This Row],[rpm]])^2)*Table36[maxT])</f>
        <v>856.28999999999974</v>
      </c>
      <c r="O10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1306.6694951664876</v>
      </c>
      <c r="P10" s="3">
        <f>MAX(0,(Table36[maxPS]-Table7[f4]*(Table15[[#This Row],[rpm]]-Table36[maxPRpm])^2)/1.36*9550/MAX(1,Table15[[#This Row],[rpm]]))</f>
        <v>3069.6428571428564</v>
      </c>
      <c r="Q10" s="3">
        <f>MAX(0,Table7[Nm2]*MIN(Table36[ratedRpm]/MAX(1,Table15[[#This Row],[rpm]]),1-(MAX(0,Table15[[#This Row],[rpm]]-Table36[ratedRpm])/Table36[fadeOut])^Table36[fadeOutExp]))</f>
        <v>906.17997198879539</v>
      </c>
      <c r="R10" s="3">
        <f>(1-(1-Table15[[#This Row],[rpm]]/Table36[idleRpm])^2)*Table7[idleTEco]</f>
        <v>1027.5407592592592</v>
      </c>
      <c r="S10" s="3">
        <f>MAX(0,(1-Table7[f1]*(Table36[maxTRpm1]-Table15[[#This Row],[rpm]])^2)*Table36[maxTEco])</f>
        <v>813.47549999999967</v>
      </c>
      <c r="T10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1265.5700429645542</v>
      </c>
      <c r="U10" s="3">
        <f>MAX(0,(Table36[maxPSEco]-Table7[f4Eco]*(Table15[[#This Row],[rpm]]-Table36[maxPRpm])^2)/1.36*9550/MAX(1,Table15[[#This Row],[rpm]]))</f>
        <v>1039.0823147440824</v>
      </c>
      <c r="V10" s="3">
        <f>MAX(0,Table7[Nm2Eco]*MIN(Table36[ratedRpm]/MAX(1,Table15[[#This Row],[rpm]]),1-(MAX(0,Table15[[#This Row],[rpm]]-Table36[ratedRpm])/Table36[fadeOut])^Table36[fadeOutExp]))</f>
        <v>815.56197478991601</v>
      </c>
    </row>
    <row r="11" spans="1:25" x14ac:dyDescent="0.25">
      <c r="A11" s="3">
        <v>800</v>
      </c>
      <c r="B11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1042.4092181069957</v>
      </c>
      <c r="C11" s="21"/>
      <c r="D11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990.28875720164592</v>
      </c>
      <c r="E11" s="21"/>
      <c r="F11" s="3">
        <f>Table36[Factor]*IF(Table15[[#This Row],[manualData]]&gt;0,Table15[[#This Row],[manualData]],Table15[[#This Row],[rawData]])</f>
        <v>1042.4092181069957</v>
      </c>
      <c r="G11" s="3">
        <f>Table36[Factor]*IF(Table15[[#This Row],[manDataEco]]&gt;0,Table15[[#This Row],[manDataEco]],Table15[[#This Row],[rawDataEco]])</f>
        <v>990.28875720164592</v>
      </c>
      <c r="H11" s="30">
        <f>1.36*Table15[[#This Row],[rpm]]*Table15[[#This Row],[motor]]/9550</f>
        <v>118.75824390580225</v>
      </c>
      <c r="I11" s="30">
        <f>1.36*Table15[[#This Row],[rpm]]*Table15[[#This Row],[motorEco]]/9550</f>
        <v>112.82033171051211</v>
      </c>
      <c r="J11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221.67922437673127</v>
      </c>
      <c r="K11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 xml:space="preserve">        &lt;torque rpm="800" motorTorque="1042" motorTorqueEco="990" fuelUsageRatio="221.7"/&gt;</v>
      </c>
      <c r="L1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normRpm="0.364" torque="0.889"/&gt;</v>
      </c>
      <c r="M11" s="3">
        <f>(1-(1-Table15[[#This Row],[rpm]]/Table36[idleRpm])^2)*Table7[idleT]</f>
        <v>1123.7629629629628</v>
      </c>
      <c r="N11" s="3">
        <f>MAX(0,(1-Table7[f1]*(Table36[maxTRpm1]-Table15[[#This Row],[rpm]])^2)*Table36[maxT])</f>
        <v>1032.2399999999998</v>
      </c>
      <c r="O11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1312.3879762431288</v>
      </c>
      <c r="P11" s="3">
        <f>MAX(0,(Table36[maxPS]-Table7[f4]*(Table15[[#This Row],[rpm]]-Table36[maxPRpm])^2)/1.36*9550/MAX(1,Table15[[#This Row],[rpm]]))</f>
        <v>2635.466452205882</v>
      </c>
      <c r="Q11" s="3">
        <f>MAX(0,Table7[Nm2]*MIN(Table36[ratedRpm]/MAX(1,Table15[[#This Row],[rpm]]),1-(MAX(0,Table15[[#This Row],[rpm]]-Table36[ratedRpm])/Table36[fadeOut])^Table36[fadeOutExp]))</f>
        <v>906.17997198879539</v>
      </c>
      <c r="R11" s="3">
        <f>(1-(1-Table15[[#This Row],[rpm]]/Table36[idleRpm])^2)*Table7[idleTEco]</f>
        <v>1067.5748148148148</v>
      </c>
      <c r="S11" s="3">
        <f>MAX(0,(1-Table7[f1]*(Table36[maxTRpm1]-Table15[[#This Row],[rpm]])^2)*Table36[maxTEco])</f>
        <v>980.62799999999982</v>
      </c>
      <c r="T11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1272.0393496154443</v>
      </c>
      <c r="U11" s="3">
        <f>MAX(0,(Table36[maxPSEco]-Table7[f4Eco]*(Table15[[#This Row],[rpm]]-Table36[maxPRpm])^2)/1.36*9550/MAX(1,Table15[[#This Row],[rpm]]))</f>
        <v>1111.5400442847615</v>
      </c>
      <c r="V11" s="3">
        <f>MAX(0,Table7[Nm2Eco]*MIN(Table36[ratedRpm]/MAX(1,Table15[[#This Row],[rpm]]),1-(MAX(0,Table15[[#This Row],[rpm]]-Table36[ratedRpm])/Table36[fadeOut])^Table36[fadeOutExp]))</f>
        <v>815.56197478991601</v>
      </c>
    </row>
    <row r="12" spans="1:25" x14ac:dyDescent="0.25">
      <c r="A12" s="3">
        <v>900</v>
      </c>
      <c r="B12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1137.81</v>
      </c>
      <c r="C12" s="21"/>
      <c r="D12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1080.9195</v>
      </c>
      <c r="E12" s="21"/>
      <c r="F12" s="3">
        <f>Table36[Factor]*IF(Table15[[#This Row],[manualData]]&gt;0,Table15[[#This Row],[manualData]],Table15[[#This Row],[rawData]])</f>
        <v>1137.81</v>
      </c>
      <c r="G12" s="3">
        <f>Table36[Factor]*IF(Table15[[#This Row],[manDataEco]]&gt;0,Table15[[#This Row],[manDataEco]],Table15[[#This Row],[rawDataEco]])</f>
        <v>1080.9195</v>
      </c>
      <c r="H12" s="30">
        <f>1.36*Table15[[#This Row],[rpm]]*Table15[[#This Row],[motor]]/9550</f>
        <v>145.83030785340313</v>
      </c>
      <c r="I12" s="30">
        <f>1.36*Table15[[#This Row],[rpm]]*Table15[[#This Row],[motorEco]]/9550</f>
        <v>138.53879246073296</v>
      </c>
      <c r="J12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216.2</v>
      </c>
      <c r="K12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 xml:space="preserve">        &lt;torque rpm="900" motorTorque="1138" motorTorqueEco="1081" fuelUsageRatio="216.2"/&gt;</v>
      </c>
      <c r="L1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normRpm="0.409" torque="0.97"/&gt;</v>
      </c>
      <c r="M12" s="3">
        <f>(1-(1-Table15[[#This Row],[rpm]]/Table36[idleRpm])^2)*Table7[idleT]</f>
        <v>1137.81</v>
      </c>
      <c r="N12" s="3">
        <f>MAX(0,(1-Table7[f1]*(Table36[maxTRpm1]-Table15[[#This Row],[rpm]])^2)*Table36[maxT])</f>
        <v>1137.81</v>
      </c>
      <c r="O12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1312.3879762431288</v>
      </c>
      <c r="P12" s="3">
        <f>MAX(0,(Table36[maxPS]-Table7[f4]*(Table15[[#This Row],[rpm]]-Table36[maxPRpm])^2)/1.36*9550/MAX(1,Table15[[#This Row],[rpm]]))</f>
        <v>2301.6748366013071</v>
      </c>
      <c r="Q12" s="3">
        <f>MAX(0,Table7[Nm2]*MIN(Table36[ratedRpm]/MAX(1,Table15[[#This Row],[rpm]]),1-(MAX(0,Table15[[#This Row],[rpm]]-Table36[ratedRpm])/Table36[fadeOut])^Table36[fadeOutExp]))</f>
        <v>906.17997198879539</v>
      </c>
      <c r="R12" s="3">
        <f>(1-(1-Table15[[#This Row],[rpm]]/Table36[idleRpm])^2)*Table7[idleTEco]</f>
        <v>1080.9195</v>
      </c>
      <c r="S12" s="3">
        <f>MAX(0,(1-Table7[f1]*(Table36[maxTRpm1]-Table15[[#This Row],[rpm]])^2)*Table36[maxTEco])</f>
        <v>1080.9195</v>
      </c>
      <c r="T12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1272.0393496154441</v>
      </c>
      <c r="U12" s="3">
        <f>MAX(0,(Table36[maxPSEco]-Table7[f4Eco]*(Table15[[#This Row],[rpm]]-Table36[maxPRpm])^2)/1.36*9550/MAX(1,Table15[[#This Row],[rpm]]))</f>
        <v>1152.2560160427822</v>
      </c>
      <c r="V12" s="3">
        <f>MAX(0,Table7[Nm2Eco]*MIN(Table36[ratedRpm]/MAX(1,Table15[[#This Row],[rpm]]),1-(MAX(0,Table15[[#This Row],[rpm]]-Table36[ratedRpm])/Table36[fadeOut])^Table36[fadeOutExp]))</f>
        <v>815.56197478991601</v>
      </c>
    </row>
    <row r="13" spans="1:25" x14ac:dyDescent="0.25">
      <c r="A13" s="3">
        <v>1000</v>
      </c>
      <c r="B13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1173</v>
      </c>
      <c r="C13" s="21"/>
      <c r="D13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1114.3499999999999</v>
      </c>
      <c r="E13" s="21"/>
      <c r="F13" s="3">
        <f>Table36[Factor]*IF(Table15[[#This Row],[manualData]]&gt;0,Table15[[#This Row],[manualData]],Table15[[#This Row],[rawData]])</f>
        <v>1173</v>
      </c>
      <c r="G13" s="3">
        <f>Table36[Factor]*IF(Table15[[#This Row],[manDataEco]]&gt;0,Table15[[#This Row],[manDataEco]],Table15[[#This Row],[rawDataEco]])</f>
        <v>1114.3499999999999</v>
      </c>
      <c r="H13" s="30">
        <f>1.36*Table15[[#This Row],[rpm]]*Table15[[#This Row],[motor]]/9550</f>
        <v>167.04502617801046</v>
      </c>
      <c r="I13" s="30">
        <f>1.36*Table15[[#This Row],[rpm]]*Table15[[#This Row],[motorEco]]/9550</f>
        <v>158.69277486910991</v>
      </c>
      <c r="J13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211.99501385041552</v>
      </c>
      <c r="K13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 xml:space="preserve">        &lt;torque rpm="1000" motorTorque="1173" motorTorqueEco="1114" fuelUsageRatio="212"/&gt;</v>
      </c>
      <c r="L1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normRpm="0.455" torque="1"/&gt;</v>
      </c>
      <c r="M13" s="3">
        <f>(1-(1-Table15[[#This Row],[rpm]]/Table36[idleRpm])^2)*Table7[idleT]</f>
        <v>1123.7629629629628</v>
      </c>
      <c r="N13" s="3">
        <f>MAX(0,(1-Table7[f1]*(Table36[maxTRpm1]-Table15[[#This Row],[rpm]])^2)*Table36[maxT])</f>
        <v>1173</v>
      </c>
      <c r="O13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1306.6694951664876</v>
      </c>
      <c r="P13" s="3">
        <f>MAX(0,(Table36[maxPS]-Table7[f4]*(Table15[[#This Row],[rpm]]-Table36[maxPRpm])^2)/1.36*9550/MAX(1,Table15[[#This Row],[rpm]]))</f>
        <v>2038.1525735294115</v>
      </c>
      <c r="Q13" s="3">
        <f>MAX(0,Table7[Nm2]*MIN(Table36[ratedRpm]/MAX(1,Table15[[#This Row],[rpm]]),1-(MAX(0,Table15[[#This Row],[rpm]]-Table36[ratedRpm])/Table36[fadeOut])^Table36[fadeOutExp]))</f>
        <v>906.17997198879539</v>
      </c>
      <c r="R13" s="3">
        <f>(1-(1-Table15[[#This Row],[rpm]]/Table36[idleRpm])^2)*Table7[idleTEco]</f>
        <v>1067.5748148148148</v>
      </c>
      <c r="S13" s="3">
        <f>MAX(0,(1-Table7[f1]*(Table36[maxTRpm1]-Table15[[#This Row],[rpm]])^2)*Table36[maxTEco])</f>
        <v>1114.3499999999999</v>
      </c>
      <c r="T13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1265.5700429645542</v>
      </c>
      <c r="U13" s="3">
        <f>MAX(0,(Table36[maxPSEco]-Table7[f4Eco]*(Table15[[#This Row],[rpm]]-Table36[maxPRpm])^2)/1.36*9550/MAX(1,Table15[[#This Row],[rpm]]))</f>
        <v>1170.7527573529424</v>
      </c>
      <c r="V13" s="3">
        <f>MAX(0,Table7[Nm2Eco]*MIN(Table36[ratedRpm]/MAX(1,Table15[[#This Row],[rpm]]),1-(MAX(0,Table15[[#This Row],[rpm]]-Table36[ratedRpm])/Table36[fadeOut])^Table36[fadeOutExp]))</f>
        <v>815.56197478991601</v>
      </c>
    </row>
    <row r="14" spans="1:25" x14ac:dyDescent="0.25">
      <c r="A14" s="3">
        <v>1100</v>
      </c>
      <c r="B14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1173</v>
      </c>
      <c r="C14" s="21"/>
      <c r="D14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1114.3499999999999</v>
      </c>
      <c r="E14" s="21"/>
      <c r="F14" s="3">
        <f>Table36[Factor]*IF(Table15[[#This Row],[manualData]]&gt;0,Table15[[#This Row],[manualData]],Table15[[#This Row],[rawData]])</f>
        <v>1173</v>
      </c>
      <c r="G14" s="3">
        <f>Table36[Factor]*IF(Table15[[#This Row],[manDataEco]]&gt;0,Table15[[#This Row],[manDataEco]],Table15[[#This Row],[rawDataEco]])</f>
        <v>1114.3499999999999</v>
      </c>
      <c r="H14" s="30">
        <f>1.36*Table15[[#This Row],[rpm]]*Table15[[#This Row],[motor]]/9550</f>
        <v>183.74952879581153</v>
      </c>
      <c r="I14" s="30">
        <f>1.36*Table15[[#This Row],[rpm]]*Table15[[#This Row],[motorEco]]/9550</f>
        <v>174.56205235602093</v>
      </c>
      <c r="J14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209.06426592797783</v>
      </c>
      <c r="K14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 xml:space="preserve">        &lt;torque rpm="1100" motorTorque="1173" motorTorqueEco="1114" fuelUsageRatio="209.1"/&gt;</v>
      </c>
      <c r="L1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normRpm="0.5" torque="1"/&gt;</v>
      </c>
      <c r="M14" s="3">
        <f>(1-(1-Table15[[#This Row],[rpm]]/Table36[idleRpm])^2)*Table7[idleT]</f>
        <v>1081.6218518518517</v>
      </c>
      <c r="N14" s="3">
        <f>MAX(0,(1-Table7[f1]*(Table36[maxTRpm1]-Table15[[#This Row],[rpm]])^2)*Table36[maxT])</f>
        <v>1137.81</v>
      </c>
      <c r="O14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1295.2325330132053</v>
      </c>
      <c r="P14" s="3">
        <f>MAX(0,(Table36[maxPS]-Table7[f4]*(Table15[[#This Row],[rpm]]-Table36[maxPRpm])^2)/1.36*9550/MAX(1,Table15[[#This Row],[rpm]]))</f>
        <v>1825.7352941176468</v>
      </c>
      <c r="Q14" s="3">
        <f>MAX(0,Table7[Nm2]*MIN(Table36[ratedRpm]/MAX(1,Table15[[#This Row],[rpm]]),1-(MAX(0,Table15[[#This Row],[rpm]]-Table36[ratedRpm])/Table36[fadeOut])^Table36[fadeOutExp]))</f>
        <v>906.17997198879539</v>
      </c>
      <c r="R14" s="3">
        <f>(1-(1-Table15[[#This Row],[rpm]]/Table36[idleRpm])^2)*Table7[idleTEco]</f>
        <v>1027.5407592592592</v>
      </c>
      <c r="S14" s="3">
        <f>MAX(0,(1-Table7[f1]*(Table36[maxTRpm1]-Table15[[#This Row],[rpm]])^2)*Table36[maxTEco])</f>
        <v>1080.9195</v>
      </c>
      <c r="T14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1252.6314296627743</v>
      </c>
      <c r="U14" s="3">
        <f>MAX(0,(Table36[maxPSEco]-Table7[f4Eco]*(Table15[[#This Row],[rpm]]-Table36[maxPRpm])^2)/1.36*9550/MAX(1,Table15[[#This Row],[rpm]]))</f>
        <v>1173.0900583373852</v>
      </c>
      <c r="V14" s="3">
        <f>MAX(0,Table7[Nm2Eco]*MIN(Table36[ratedRpm]/MAX(1,Table15[[#This Row],[rpm]]),1-(MAX(0,Table15[[#This Row],[rpm]]-Table36[ratedRpm])/Table36[fadeOut])^Table36[fadeOutExp]))</f>
        <v>815.56197478991601</v>
      </c>
    </row>
    <row r="15" spans="1:25" x14ac:dyDescent="0.25">
      <c r="A15" s="3">
        <v>1200</v>
      </c>
      <c r="B15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1173</v>
      </c>
      <c r="C15" s="21"/>
      <c r="D15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1114.3499999999999</v>
      </c>
      <c r="E15" s="21"/>
      <c r="F15" s="3">
        <f>Table36[Factor]*IF(Table15[[#This Row],[manualData]]&gt;0,Table15[[#This Row],[manualData]],Table15[[#This Row],[rawData]])</f>
        <v>1173</v>
      </c>
      <c r="G15" s="3">
        <f>Table36[Factor]*IF(Table15[[#This Row],[manDataEco]]&gt;0,Table15[[#This Row],[manDataEco]],Table15[[#This Row],[rawDataEco]])</f>
        <v>1114.3499999999999</v>
      </c>
      <c r="H15" s="30">
        <f>1.36*Table15[[#This Row],[rpm]]*Table15[[#This Row],[motor]]/9550</f>
        <v>200.4540314136126</v>
      </c>
      <c r="I15" s="30">
        <f>1.36*Table15[[#This Row],[rpm]]*Table15[[#This Row],[motorEco]]/9550</f>
        <v>190.43132984293194</v>
      </c>
      <c r="J15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207.40775623268698</v>
      </c>
      <c r="K15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 xml:space="preserve">        &lt;torque rpm="1200" motorTorque="1173" motorTorqueEco="1114" fuelUsageRatio="207.4"/&gt;</v>
      </c>
      <c r="L1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normRpm="0.545" torque="1"/&gt;</v>
      </c>
      <c r="M15" s="3">
        <f>(1-(1-Table15[[#This Row],[rpm]]/Table36[idleRpm])^2)*Table7[idleT]</f>
        <v>1011.3866666666667</v>
      </c>
      <c r="N15" s="3">
        <f>MAX(0,(1-Table7[f1]*(Table36[maxTRpm1]-Table15[[#This Row],[rpm]])^2)*Table36[maxT])</f>
        <v>1032.2399999999998</v>
      </c>
      <c r="O15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1278.0770897832817</v>
      </c>
      <c r="P15" s="3">
        <f>MAX(0,(Table36[maxPS]-Table7[f4]*(Table15[[#This Row],[rpm]]-Table36[maxPRpm])^2)/1.36*9550/MAX(1,Table15[[#This Row],[rpm]]))</f>
        <v>1651.6467524509803</v>
      </c>
      <c r="Q15" s="3">
        <f>MAX(0,Table7[Nm2]*MIN(Table36[ratedRpm]/MAX(1,Table15[[#This Row],[rpm]]),1-(MAX(0,Table15[[#This Row],[rpm]]-Table36[ratedRpm])/Table36[fadeOut])^Table36[fadeOutExp]))</f>
        <v>906.17997198879539</v>
      </c>
      <c r="R15" s="3">
        <f>(1-(1-Table15[[#This Row],[rpm]]/Table36[idleRpm])^2)*Table7[idleTEco]</f>
        <v>960.81733333333341</v>
      </c>
      <c r="S15" s="3">
        <f>MAX(0,(1-Table7[f1]*(Table36[maxTRpm1]-Table15[[#This Row],[rpm]])^2)*Table36[maxTEco])</f>
        <v>980.62799999999982</v>
      </c>
      <c r="T15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1233.2235097101041</v>
      </c>
      <c r="U15" s="3">
        <f>MAX(0,(Table36[maxPSEco]-Table7[f4Eco]*(Table15[[#This Row],[rpm]]-Table36[maxPRpm])^2)/1.36*9550/MAX(1,Table15[[#This Row],[rpm]]))</f>
        <v>1163.3077790775405</v>
      </c>
      <c r="V15" s="3">
        <f>MAX(0,Table7[Nm2Eco]*MIN(Table36[ratedRpm]/MAX(1,Table15[[#This Row],[rpm]]),1-(MAX(0,Table15[[#This Row],[rpm]]-Table36[ratedRpm])/Table36[fadeOut])^Table36[fadeOutExp]))</f>
        <v>815.56197478991601</v>
      </c>
    </row>
    <row r="16" spans="1:25" x14ac:dyDescent="0.25">
      <c r="A16" s="3">
        <v>1300</v>
      </c>
      <c r="B16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1173</v>
      </c>
      <c r="C16" s="21"/>
      <c r="D16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1114.3499999999999</v>
      </c>
      <c r="E16" s="21"/>
      <c r="F16" s="3">
        <f>Table36[Factor]*IF(Table15[[#This Row],[manualData]]&gt;0,Table15[[#This Row],[manualData]],Table15[[#This Row],[rawData]])</f>
        <v>1173</v>
      </c>
      <c r="G16" s="3">
        <f>Table36[Factor]*IF(Table15[[#This Row],[manDataEco]]&gt;0,Table15[[#This Row],[manDataEco]],Table15[[#This Row],[rawDataEco]])</f>
        <v>1114.3499999999999</v>
      </c>
      <c r="H16" s="30">
        <f>1.36*Table15[[#This Row],[rpm]]*Table15[[#This Row],[motor]]/9550</f>
        <v>217.15853403141364</v>
      </c>
      <c r="I16" s="30">
        <f>1.36*Table15[[#This Row],[rpm]]*Table15[[#This Row],[motorEco]]/9550</f>
        <v>206.30060732984293</v>
      </c>
      <c r="J16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207.01368233194526</v>
      </c>
      <c r="K16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 xml:space="preserve">        &lt;torque rpm="1300" motorTorque="1173" motorTorqueEco="1114" fuelUsageRatio="207"/&gt;</v>
      </c>
      <c r="L1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normRpm="0.591" torque="1"/&gt;</v>
      </c>
      <c r="M16" s="3">
        <f>(1-(1-Table15[[#This Row],[rpm]]/Table36[idleRpm])^2)*Table7[idleT]</f>
        <v>913.05740740740737</v>
      </c>
      <c r="N16" s="3">
        <f>MAX(0,(1-Table7[f1]*(Table36[maxTRpm1]-Table15[[#This Row],[rpm]])^2)*Table36[maxT])</f>
        <v>856.28999999999974</v>
      </c>
      <c r="O16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1255.203165476717</v>
      </c>
      <c r="P16" s="3">
        <f>MAX(0,(Table36[maxPS]-Table7[f4]*(Table15[[#This Row],[rpm]]-Table36[maxPRpm])^2)/1.36*9550/MAX(1,Table15[[#This Row],[rpm]]))</f>
        <v>1507.0418552036199</v>
      </c>
      <c r="Q16" s="3">
        <f>MAX(0,Table7[Nm2]*MIN(Table36[ratedRpm]/MAX(1,Table15[[#This Row],[rpm]]),1-(MAX(0,Table15[[#This Row],[rpm]]-Table36[ratedRpm])/Table36[fadeOut])^Table36[fadeOutExp]))</f>
        <v>906.17997198879539</v>
      </c>
      <c r="R16" s="3">
        <f>(1-(1-Table15[[#This Row],[rpm]]/Table36[idleRpm])^2)*Table7[idleTEco]</f>
        <v>867.40453703703702</v>
      </c>
      <c r="S16" s="3">
        <f>MAX(0,(1-Table7[f1]*(Table36[maxTRpm1]-Table15[[#This Row],[rpm]])^2)*Table36[maxTEco])</f>
        <v>813.47549999999967</v>
      </c>
      <c r="T16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1207.3462831065438</v>
      </c>
      <c r="U16" s="3">
        <f>MAX(0,(Table36[maxPSEco]-Table7[f4Eco]*(Table15[[#This Row],[rpm]]-Table36[maxPRpm])^2)/1.36*9550/MAX(1,Table15[[#This Row],[rpm]]))</f>
        <v>1144.2027457836284</v>
      </c>
      <c r="V16" s="3">
        <f>MAX(0,Table7[Nm2Eco]*MIN(Table36[ratedRpm]/MAX(1,Table15[[#This Row],[rpm]]),1-(MAX(0,Table15[[#This Row],[rpm]]-Table36[ratedRpm])/Table36[fadeOut])^Table36[fadeOutExp]))</f>
        <v>815.56197478991601</v>
      </c>
    </row>
    <row r="17" spans="1:22" x14ac:dyDescent="0.25">
      <c r="A17" s="3">
        <v>1400</v>
      </c>
      <c r="B17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1173</v>
      </c>
      <c r="C17" s="21"/>
      <c r="D17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1114.3499999999999</v>
      </c>
      <c r="E17" s="21"/>
      <c r="F17" s="3">
        <f>Table36[Factor]*IF(Table15[[#This Row],[manualData]]&gt;0,Table15[[#This Row],[manualData]],Table15[[#This Row],[rawData]])</f>
        <v>1173</v>
      </c>
      <c r="G17" s="3">
        <f>Table36[Factor]*IF(Table15[[#This Row],[manDataEco]]&gt;0,Table15[[#This Row],[manDataEco]],Table15[[#This Row],[rawDataEco]])</f>
        <v>1114.3499999999999</v>
      </c>
      <c r="H17" s="30">
        <f>1.36*Table15[[#This Row],[rpm]]*Table15[[#This Row],[motor]]/9550</f>
        <v>233.86303664921471</v>
      </c>
      <c r="I17" s="30">
        <f>1.36*Table15[[#This Row],[rpm]]*Table15[[#This Row],[motorEco]]/9550</f>
        <v>222.16988481675392</v>
      </c>
      <c r="J17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207.49256395002973</v>
      </c>
      <c r="K17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 xml:space="preserve">        &lt;torque rpm="1400" motorTorque="1173" motorTorqueEco="1114" fuelUsageRatio="207.5"/&gt;</v>
      </c>
      <c r="L1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normRpm="0.636" torque="1"/&gt;</v>
      </c>
      <c r="M17" s="3">
        <f>(1-(1-Table15[[#This Row],[rpm]]/Table36[idleRpm])^2)*Table7[idleT]</f>
        <v>786.63407407407396</v>
      </c>
      <c r="N17" s="3">
        <f>MAX(0,(1-Table7[f1]*(Table36[maxTRpm1]-Table15[[#This Row],[rpm]])^2)*Table36[maxT])</f>
        <v>609.95999999999947</v>
      </c>
      <c r="O17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1226.6107600935113</v>
      </c>
      <c r="P17" s="3">
        <f>MAX(0,(Table36[maxPS]-Table7[f4]*(Table15[[#This Row],[rpm]]-Table36[maxPRpm])^2)/1.36*9550/MAX(1,Table15[[#This Row],[rpm]]))</f>
        <v>1385.6026785714284</v>
      </c>
      <c r="Q17" s="3">
        <f>MAX(0,Table7[Nm2]*MIN(Table36[ratedRpm]/MAX(1,Table15[[#This Row],[rpm]]),1-(MAX(0,Table15[[#This Row],[rpm]]-Table36[ratedRpm])/Table36[fadeOut])^Table36[fadeOutExp]))</f>
        <v>906.17997198879539</v>
      </c>
      <c r="R17" s="3">
        <f>(1-(1-Table15[[#This Row],[rpm]]/Table36[idleRpm])^2)*Table7[idleTEco]</f>
        <v>747.30237037037034</v>
      </c>
      <c r="S17" s="3">
        <f>MAX(0,(1-Table7[f1]*(Table36[maxTRpm1]-Table15[[#This Row],[rpm]])^2)*Table36[maxTEco])</f>
        <v>579.46199999999953</v>
      </c>
      <c r="T17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1174.9997498520936</v>
      </c>
      <c r="U17" s="3">
        <f>MAX(0,(Table36[maxPSEco]-Table7[f4Eco]*(Table15[[#This Row],[rpm]]-Table36[maxPRpm])^2)/1.36*9550/MAX(1,Table15[[#This Row],[rpm]]))</f>
        <v>1117.7726914629488</v>
      </c>
      <c r="V17" s="3">
        <f>MAX(0,Table7[Nm2Eco]*MIN(Table36[ratedRpm]/MAX(1,Table15[[#This Row],[rpm]]),1-(MAX(0,Table15[[#This Row],[rpm]]-Table36[ratedRpm])/Table36[fadeOut])^Table36[fadeOutExp]))</f>
        <v>815.56197478991601</v>
      </c>
    </row>
    <row r="18" spans="1:22" x14ac:dyDescent="0.25">
      <c r="A18" s="3">
        <v>1500</v>
      </c>
      <c r="B18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1173</v>
      </c>
      <c r="C18" s="21"/>
      <c r="D18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1114.3499999999999</v>
      </c>
      <c r="E18" s="21"/>
      <c r="F18" s="3">
        <f>Table36[Factor]*IF(Table15[[#This Row],[manualData]]&gt;0,Table15[[#This Row],[manualData]],Table15[[#This Row],[rawData]])</f>
        <v>1173</v>
      </c>
      <c r="G18" s="3">
        <f>Table36[Factor]*IF(Table15[[#This Row],[manDataEco]]&gt;0,Table15[[#This Row],[manDataEco]],Table15[[#This Row],[rawDataEco]])</f>
        <v>1114.3499999999999</v>
      </c>
      <c r="H18" s="30">
        <f>1.36*Table15[[#This Row],[rpm]]*Table15[[#This Row],[motor]]/9550</f>
        <v>250.56753926701575</v>
      </c>
      <c r="I18" s="30">
        <f>1.36*Table15[[#This Row],[rpm]]*Table15[[#This Row],[motorEco]]/9550</f>
        <v>238.03916230366491</v>
      </c>
      <c r="J18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208.65556216537775</v>
      </c>
      <c r="K18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 xml:space="preserve">        &lt;torque rpm="1500" motorTorque="1173" motorTorqueEco="1114" fuelUsageRatio="208.7"/&gt;</v>
      </c>
      <c r="L1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normRpm="0.682" torque="1"/&gt;</v>
      </c>
      <c r="M18" s="3">
        <f>(1-(1-Table15[[#This Row],[rpm]]/Table36[idleRpm])^2)*Table7[idleT]</f>
        <v>632.11666666666656</v>
      </c>
      <c r="N18" s="3">
        <f>MAX(0,(1-Table7[f1]*(Table36[maxTRpm1]-Table15[[#This Row],[rpm]])^2)*Table36[maxT])</f>
        <v>293.2499999999992</v>
      </c>
      <c r="O18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1192.2998736336638</v>
      </c>
      <c r="P18" s="3">
        <f>MAX(0,(Table36[maxPS]-Table7[f4]*(Table15[[#This Row],[rpm]]-Table36[maxPRpm])^2)/1.36*9550/MAX(1,Table15[[#This Row],[rpm]]))</f>
        <v>1282.6960784313726</v>
      </c>
      <c r="Q18" s="3">
        <f>MAX(0,Table7[Nm2]*MIN(Table36[ratedRpm]/MAX(1,Table15[[#This Row],[rpm]]),1-(MAX(0,Table15[[#This Row],[rpm]]-Table36[ratedRpm])/Table36[fadeOut])^Table36[fadeOutExp]))</f>
        <v>906.17997198879539</v>
      </c>
      <c r="R18" s="3">
        <f>(1-(1-Table15[[#This Row],[rpm]]/Table36[idleRpm])^2)*Table7[idleTEco]</f>
        <v>600.51083333333327</v>
      </c>
      <c r="S18" s="3">
        <f>MAX(0,(1-Table7[f1]*(Table36[maxTRpm1]-Table15[[#This Row],[rpm]])^2)*Table36[maxTEco])</f>
        <v>278.58749999999924</v>
      </c>
      <c r="T18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1136.1839099467538</v>
      </c>
      <c r="U18" s="3">
        <f>MAX(0,(Table36[maxPSEco]-Table7[f4Eco]*(Table15[[#This Row],[rpm]]-Table36[maxPRpm])^2)/1.36*9550/MAX(1,Table15[[#This Row],[rpm]]))</f>
        <v>1085.4826203208556</v>
      </c>
      <c r="V18" s="3">
        <f>MAX(0,Table7[Nm2Eco]*MIN(Table36[ratedRpm]/MAX(1,Table15[[#This Row],[rpm]]),1-(MAX(0,Table15[[#This Row],[rpm]]-Table36[ratedRpm])/Table36[fadeOut])^Table36[fadeOutExp]))</f>
        <v>815.56197478991601</v>
      </c>
    </row>
    <row r="19" spans="1:22" x14ac:dyDescent="0.25">
      <c r="A19" s="3">
        <v>1600</v>
      </c>
      <c r="B19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1152.2705060971757</v>
      </c>
      <c r="C19" s="21"/>
      <c r="D19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1088.0201370320856</v>
      </c>
      <c r="E19" s="21"/>
      <c r="F19" s="3">
        <f>Table36[Factor]*IF(Table15[[#This Row],[manualData]]&gt;0,Table15[[#This Row],[manualData]],Table15[[#This Row],[rawData]])</f>
        <v>1152.2705060971757</v>
      </c>
      <c r="G19" s="3">
        <f>Table36[Factor]*IF(Table15[[#This Row],[manDataEco]]&gt;0,Table15[[#This Row],[manDataEco]],Table15[[#This Row],[rawDataEco]])</f>
        <v>1088.0201370320856</v>
      </c>
      <c r="H19" s="30">
        <f>1.36*Table15[[#This Row],[rpm]]*Table15[[#This Row],[motor]]/9550</f>
        <v>262.54875615366012</v>
      </c>
      <c r="I19" s="30">
        <f>1.36*Table15[[#This Row],[rpm]]*Table15[[#This Row],[motorEco]]/9550</f>
        <v>247.90909090909093</v>
      </c>
      <c r="J19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210.5026769779893</v>
      </c>
      <c r="K19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 xml:space="preserve">        &lt;torque rpm="1600" motorTorque="1152" motorTorqueEco="1088" fuelUsageRatio="210.5"/&gt;</v>
      </c>
      <c r="L1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normRpm="0.727" torque="0.982"/&gt;</v>
      </c>
      <c r="M19" s="3">
        <f>(1-(1-Table15[[#This Row],[rpm]]/Table36[idleRpm])^2)*Table7[idleT]</f>
        <v>449.50518518518538</v>
      </c>
      <c r="N19" s="3">
        <f>MAX(0,(1-Table7[f1]*(Table36[maxTRpm1]-Table15[[#This Row],[rpm]])^2)*Table36[maxT])</f>
        <v>0</v>
      </c>
      <c r="O19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1152.2705060971757</v>
      </c>
      <c r="P19" s="3">
        <f>MAX(0,(Table36[maxPS]-Table7[f4]*(Table15[[#This Row],[rpm]]-Table36[maxPRpm])^2)/1.36*9550/MAX(1,Table15[[#This Row],[rpm]]))</f>
        <v>1194.8471966911764</v>
      </c>
      <c r="Q19" s="3">
        <f>MAX(0,Table7[Nm2]*MIN(Table36[ratedRpm]/MAX(1,Table15[[#This Row],[rpm]]),1-(MAX(0,Table15[[#This Row],[rpm]]-Table36[ratedRpm])/Table36[fadeOut])^Table36[fadeOutExp]))</f>
        <v>906.17997198879539</v>
      </c>
      <c r="R19" s="3">
        <f>(1-(1-Table15[[#This Row],[rpm]]/Table36[idleRpm])^2)*Table7[idleTEco]</f>
        <v>427.02992592592614</v>
      </c>
      <c r="S19" s="3">
        <f>MAX(0,(1-Table7[f1]*(Table36[maxTRpm1]-Table15[[#This Row],[rpm]])^2)*Table36[maxTEco])</f>
        <v>0</v>
      </c>
      <c r="T19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1088.0201370320856</v>
      </c>
      <c r="U19" s="3">
        <f>MAX(0,(Table36[maxPSEco]-Table7[f4Eco]*(Table15[[#This Row],[rpm]]-Table36[maxPRpm])^2)/1.36*9550/MAX(1,Table15[[#This Row],[rpm]]))</f>
        <v>1048.4312855113637</v>
      </c>
      <c r="V19" s="3">
        <f>MAX(0,Table7[Nm2Eco]*MIN(Table36[ratedRpm]/MAX(1,Table15[[#This Row],[rpm]]),1-(MAX(0,Table15[[#This Row],[rpm]]-Table36[ratedRpm])/Table36[fadeOut])^Table36[fadeOutExp]))</f>
        <v>815.56197478991601</v>
      </c>
    </row>
    <row r="20" spans="1:22" x14ac:dyDescent="0.25">
      <c r="A20" s="3">
        <v>1700</v>
      </c>
      <c r="B20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1106.5226574840462</v>
      </c>
      <c r="C20" s="21"/>
      <c r="D20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1024.0189525007863</v>
      </c>
      <c r="E20" s="21"/>
      <c r="F20" s="3">
        <f>Table36[Factor]*IF(Table15[[#This Row],[manualData]]&gt;0,Table15[[#This Row],[manualData]],Table15[[#This Row],[rawData]])</f>
        <v>1106.5226574840462</v>
      </c>
      <c r="G20" s="3">
        <f>Table36[Factor]*IF(Table15[[#This Row],[manDataEco]]&gt;0,Table15[[#This Row],[manDataEco]],Table15[[#This Row],[rawDataEco]])</f>
        <v>1024.0189525007863</v>
      </c>
      <c r="H20" s="30">
        <f>1.36*Table15[[#This Row],[rpm]]*Table15[[#This Row],[motor]]/9550</f>
        <v>267.88276273331041</v>
      </c>
      <c r="I20" s="30">
        <f>1.36*Table15[[#This Row],[rpm]]*Table15[[#This Row],[motorEco]]/9550</f>
        <v>247.90909090909088</v>
      </c>
      <c r="J20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213.03390838786436</v>
      </c>
      <c r="K20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 xml:space="preserve">        &lt;torque rpm="1700" motorTorque="1107" motorTorqueEco="1024" fuelUsageRatio="213"/&gt;</v>
      </c>
      <c r="L2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normRpm="0.773" torque="0.943"/&gt;</v>
      </c>
      <c r="M20" s="3">
        <f>(1-(1-Table15[[#This Row],[rpm]]/Table36[idleRpm])^2)*Table7[idleT]</f>
        <v>238.79962962962966</v>
      </c>
      <c r="N20" s="3">
        <f>MAX(0,(1-Table7[f1]*(Table36[maxTRpm1]-Table15[[#This Row],[rpm]])^2)*Table36[maxT])</f>
        <v>0</v>
      </c>
      <c r="O20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1106.5226574840462</v>
      </c>
      <c r="P20" s="3">
        <f>MAX(0,(Table36[maxPS]-Table7[f4]*(Table15[[#This Row],[rpm]]-Table36[maxPRpm])^2)/1.36*9550/MAX(1,Table15[[#This Row],[rpm]]))</f>
        <v>1119.3987889273355</v>
      </c>
      <c r="Q20" s="3">
        <f>MAX(0,Table7[Nm2]*MIN(Table36[ratedRpm]/MAX(1,Table15[[#This Row],[rpm]]),1-(MAX(0,Table15[[#This Row],[rpm]]-Table36[ratedRpm])/Table36[fadeOut])^Table36[fadeOutExp]))</f>
        <v>906.17997198879539</v>
      </c>
      <c r="R20" s="3">
        <f>(1-(1-Table15[[#This Row],[rpm]]/Table36[idleRpm])^2)*Table7[idleTEco]</f>
        <v>226.85964814814818</v>
      </c>
      <c r="S20" s="3">
        <f>MAX(0,(1-Table7[f1]*(Table36[maxTRpm1]-Table15[[#This Row],[rpm]])^2)*Table36[maxTEco])</f>
        <v>0</v>
      </c>
      <c r="T20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1024.0189525007863</v>
      </c>
      <c r="U20" s="3">
        <f>MAX(0,(Table36[maxPSEco]-Table7[f4Eco]*(Table15[[#This Row],[rpm]]-Table36[maxPRpm])^2)/1.36*9550/MAX(1,Table15[[#This Row],[rpm]]))</f>
        <v>1007.4589100346021</v>
      </c>
      <c r="V20" s="3">
        <f>MAX(0,Table7[Nm2Eco]*MIN(Table36[ratedRpm]/MAX(1,Table15[[#This Row],[rpm]]),1-(MAX(0,Table15[[#This Row],[rpm]]-Table36[ratedRpm])/Table36[fadeOut])^Table36[fadeOutExp]))</f>
        <v>815.56197478991601</v>
      </c>
    </row>
    <row r="21" spans="1:22" x14ac:dyDescent="0.25">
      <c r="A21" s="3">
        <v>1800</v>
      </c>
      <c r="B21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1053.3088235294117</v>
      </c>
      <c r="C21" s="21"/>
      <c r="D21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967.12901069518705</v>
      </c>
      <c r="E21" s="21"/>
      <c r="F21" s="3">
        <f>Table36[Factor]*IF(Table15[[#This Row],[manualData]]&gt;0,Table15[[#This Row],[manualData]],Table15[[#This Row],[rawData]])</f>
        <v>1053.3088235294117</v>
      </c>
      <c r="G21" s="3">
        <f>Table36[Factor]*IF(Table15[[#This Row],[manDataEco]]&gt;0,Table15[[#This Row],[manDataEco]],Table15[[#This Row],[rawDataEco]])</f>
        <v>967.12901069518705</v>
      </c>
      <c r="H21" s="30">
        <f>1.36*Table15[[#This Row],[rpm]]*Table15[[#This Row],[motor]]/9550</f>
        <v>270</v>
      </c>
      <c r="I21" s="30">
        <f>1.36*Table15[[#This Row],[rpm]]*Table15[[#This Row],[motorEco]]/9550</f>
        <v>247.90909090909088</v>
      </c>
      <c r="J21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216.24925639500299</v>
      </c>
      <c r="K21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 xml:space="preserve">        &lt;torque rpm="1800" motorTorque="1053" motorTorqueEco="967" fuelUsageRatio="216.2"/&gt;</v>
      </c>
      <c r="L2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normRpm="0.818" torque="0.898"/&gt;</v>
      </c>
      <c r="M21" s="3">
        <f>(1-(1-Table15[[#This Row],[rpm]]/Table36[idleRpm])^2)*Table7[idleT]</f>
        <v>0</v>
      </c>
      <c r="N21" s="3">
        <f>MAX(0,(1-Table7[f1]*(Table36[maxTRpm1]-Table15[[#This Row],[rpm]])^2)*Table36[maxT])</f>
        <v>0</v>
      </c>
      <c r="O21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1053.3088235294117</v>
      </c>
      <c r="P21" s="3">
        <f>MAX(0,(Table36[maxPS]-Table7[f4]*(Table15[[#This Row],[rpm]]-Table36[maxPRpm])^2)/1.36*9550/MAX(1,Table15[[#This Row],[rpm]]))</f>
        <v>1054.284109477124</v>
      </c>
      <c r="Q21" s="3">
        <f>MAX(0,Table7[Nm2]*MIN(Table36[ratedRpm]/MAX(1,Table15[[#This Row],[rpm]]),1-(MAX(0,Table15[[#This Row],[rpm]]-Table36[ratedRpm])/Table36[fadeOut])^Table36[fadeOutExp]))</f>
        <v>906.17997198879539</v>
      </c>
      <c r="R21" s="3">
        <f>(1-(1-Table15[[#This Row],[rpm]]/Table36[idleRpm])^2)*Table7[idleTEco]</f>
        <v>0</v>
      </c>
      <c r="S21" s="3">
        <f>MAX(0,(1-Table7[f1]*(Table36[maxTRpm1]-Table15[[#This Row],[rpm]])^2)*Table36[maxTEco])</f>
        <v>0</v>
      </c>
      <c r="T21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967.12901069518705</v>
      </c>
      <c r="U21" s="3">
        <f>MAX(0,(Table36[maxPSEco]-Table7[f4Eco]*(Table15[[#This Row],[rpm]]-Table36[maxPRpm])^2)/1.36*9550/MAX(1,Table15[[#This Row],[rpm]]))</f>
        <v>963.2190006684491</v>
      </c>
      <c r="V21" s="3">
        <f>MAX(0,Table7[Nm2Eco]*MIN(Table36[ratedRpm]/MAX(1,Table15[[#This Row],[rpm]]),1-(MAX(0,Table15[[#This Row],[rpm]]-Table36[ratedRpm])/Table36[fadeOut])^Table36[fadeOutExp]))</f>
        <v>815.56197478991601</v>
      </c>
    </row>
    <row r="22" spans="1:22" x14ac:dyDescent="0.25">
      <c r="A22" s="3">
        <v>1900</v>
      </c>
      <c r="B22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997.87151702786366</v>
      </c>
      <c r="C22" s="21"/>
      <c r="D22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916.22748381649308</v>
      </c>
      <c r="E22" s="21"/>
      <c r="F22" s="3">
        <f>Table36[Factor]*IF(Table15[[#This Row],[manualData]]&gt;0,Table15[[#This Row],[manualData]],Table15[[#This Row],[rawData]])</f>
        <v>997.87151702786366</v>
      </c>
      <c r="G22" s="3">
        <f>Table36[Factor]*IF(Table15[[#This Row],[manDataEco]]&gt;0,Table15[[#This Row],[manDataEco]],Table15[[#This Row],[rawDataEco]])</f>
        <v>916.22748381649308</v>
      </c>
      <c r="H22" s="30">
        <f>1.36*Table15[[#This Row],[rpm]]*Table15[[#This Row],[motor]]/9550</f>
        <v>269.99999999999994</v>
      </c>
      <c r="I22" s="30">
        <f>1.36*Table15[[#This Row],[rpm]]*Table15[[#This Row],[motorEco]]/9550</f>
        <v>247.90909090909088</v>
      </c>
      <c r="J22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220.14872099940513</v>
      </c>
      <c r="K22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 xml:space="preserve">        &lt;torque rpm="1900" motorTorque="998" motorTorqueEco="916" fuelUsageRatio="220.1"/&gt;</v>
      </c>
      <c r="L2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normRpm="0.864" torque="0.851"/&gt;</v>
      </c>
      <c r="M22" s="3">
        <f>(1-(1-Table15[[#This Row],[rpm]]/Table36[idleRpm])^2)*Table7[idleT]</f>
        <v>-266.89370370370386</v>
      </c>
      <c r="N22" s="3">
        <f>MAX(0,(1-Table7[f1]*(Table36[maxTRpm1]-Table15[[#This Row],[rpm]])^2)*Table36[maxT])</f>
        <v>0</v>
      </c>
      <c r="O22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997.87151702786366</v>
      </c>
      <c r="P22" s="3">
        <f>MAX(0,(Table36[maxPS]-Table7[f4]*(Table15[[#This Row],[rpm]]-Table36[maxPRpm])^2)/1.36*9550/MAX(1,Table15[[#This Row],[rpm]]))</f>
        <v>997.87151702786366</v>
      </c>
      <c r="Q22" s="3">
        <f>MAX(0,Table7[Nm2]*MIN(Table36[ratedRpm]/MAX(1,Table15[[#This Row],[rpm]]),1-(MAX(0,Table15[[#This Row],[rpm]]-Table36[ratedRpm])/Table36[fadeOut])^Table36[fadeOutExp]))</f>
        <v>906.17997198879539</v>
      </c>
      <c r="R22" s="3">
        <f>(1-(1-Table15[[#This Row],[rpm]]/Table36[idleRpm])^2)*Table7[idleTEco]</f>
        <v>-253.54901851851866</v>
      </c>
      <c r="S22" s="3">
        <f>MAX(0,(1-Table7[f1]*(Table36[maxTRpm1]-Table15[[#This Row],[rpm]])^2)*Table36[maxTEco])</f>
        <v>0</v>
      </c>
      <c r="T22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916.22748381649308</v>
      </c>
      <c r="U22" s="3">
        <f>MAX(0,(Table36[maxPSEco]-Table7[f4Eco]*(Table15[[#This Row],[rpm]]-Table36[maxPRpm])^2)/1.36*9550/MAX(1,Table15[[#This Row],[rpm]]))</f>
        <v>916.22748381649308</v>
      </c>
      <c r="V22" s="3">
        <f>MAX(0,Table7[Nm2Eco]*MIN(Table36[ratedRpm]/MAX(1,Table15[[#This Row],[rpm]]),1-(MAX(0,Table15[[#This Row],[rpm]]-Table36[ratedRpm])/Table36[fadeOut])^Table36[fadeOutExp]))</f>
        <v>815.56197478991601</v>
      </c>
    </row>
    <row r="23" spans="1:22" x14ac:dyDescent="0.25">
      <c r="A23" s="3">
        <v>2000</v>
      </c>
      <c r="B23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948.85569852941171</v>
      </c>
      <c r="C23" s="21"/>
      <c r="D23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866.89710060160417</v>
      </c>
      <c r="E23" s="21"/>
      <c r="F23" s="3">
        <f>Table36[Factor]*IF(Table15[[#This Row],[manualData]]&gt;0,Table15[[#This Row],[manualData]],Table15[[#This Row],[rawData]])</f>
        <v>948.85569852941171</v>
      </c>
      <c r="G23" s="3">
        <f>Table36[Factor]*IF(Table15[[#This Row],[manDataEco]]&gt;0,Table15[[#This Row],[manDataEco]],Table15[[#This Row],[rawDataEco]])</f>
        <v>866.89710060160417</v>
      </c>
      <c r="H23" s="30">
        <f>1.36*Table15[[#This Row],[rpm]]*Table15[[#This Row],[motor]]/9550</f>
        <v>270.25</v>
      </c>
      <c r="I23" s="30">
        <f>1.36*Table15[[#This Row],[rpm]]*Table15[[#This Row],[motorEco]]/9550</f>
        <v>246.90681818181815</v>
      </c>
      <c r="J23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224.73230220107078</v>
      </c>
      <c r="K23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 xml:space="preserve">        &lt;torque rpm="2000" motorTorque="949" motorTorqueEco="867" fuelUsageRatio="224.7"/&gt;</v>
      </c>
      <c r="L2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normRpm="0.909" torque="0.809"/&gt;</v>
      </c>
      <c r="M23" s="3">
        <f>(1-(1-Table15[[#This Row],[rpm]]/Table36[idleRpm])^2)*Table7[idleT]</f>
        <v>-561.88148148148173</v>
      </c>
      <c r="N23" s="3">
        <f>MAX(0,(1-Table7[f1]*(Table36[maxTRpm1]-Table15[[#This Row],[rpm]])^2)*Table36[maxT])</f>
        <v>0</v>
      </c>
      <c r="O23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934.96822518481054</v>
      </c>
      <c r="P23" s="3">
        <f>MAX(0,(Table36[maxPS]-Table7[f4]*(Table15[[#This Row],[rpm]]-Table36[maxPRpm])^2)/1.36*9550/MAX(1,Table15[[#This Row],[rpm]]))</f>
        <v>948.85569852941171</v>
      </c>
      <c r="Q23" s="3">
        <f>MAX(0,Table7[Nm2]*MIN(Table36[ratedRpm]/MAX(1,Table15[[#This Row],[rpm]]),1-(MAX(0,Table15[[#This Row],[rpm]]-Table36[ratedRpm])/Table36[fadeOut])^Table36[fadeOutExp]))</f>
        <v>906.17997198879539</v>
      </c>
      <c r="R23" s="3">
        <f>(1-(1-Table15[[#This Row],[rpm]]/Table36[idleRpm])^2)*Table7[idleTEco]</f>
        <v>-533.78740740740761</v>
      </c>
      <c r="S23" s="3">
        <f>MAX(0,(1-Table7[f1]*(Table36[maxTRpm1]-Table15[[#This Row],[rpm]])^2)*Table36[maxTEco])</f>
        <v>0</v>
      </c>
      <c r="T23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845.06511065670281</v>
      </c>
      <c r="U23" s="3">
        <f>MAX(0,(Table36[maxPSEco]-Table7[f4Eco]*(Table15[[#This Row],[rpm]]-Table36[maxPRpm])^2)/1.36*9550/MAX(1,Table15[[#This Row],[rpm]]))</f>
        <v>866.89710060160417</v>
      </c>
      <c r="V23" s="3">
        <f>MAX(0,Table7[Nm2Eco]*MIN(Table36[ratedRpm]/MAX(1,Table15[[#This Row],[rpm]]),1-(MAX(0,Table15[[#This Row],[rpm]]-Table36[ratedRpm])/Table36[fadeOut])^Table36[fadeOutExp]))</f>
        <v>815.56197478991601</v>
      </c>
    </row>
    <row r="24" spans="1:22" x14ac:dyDescent="0.25">
      <c r="A24" s="3">
        <v>2100</v>
      </c>
      <c r="B24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906.17997198879539</v>
      </c>
      <c r="C24" s="21"/>
      <c r="D24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815.56197478991601</v>
      </c>
      <c r="E24" s="21"/>
      <c r="F24" s="3">
        <f>Table36[Factor]*IF(Table15[[#This Row],[manualData]]&gt;0,Table15[[#This Row],[manualData]],Table15[[#This Row],[rawData]])</f>
        <v>906.17997198879539</v>
      </c>
      <c r="G24" s="3">
        <f>Table36[Factor]*IF(Table15[[#This Row],[manDataEco]]&gt;0,Table15[[#This Row],[manDataEco]],Table15[[#This Row],[rawDataEco]])</f>
        <v>815.56197478991601</v>
      </c>
      <c r="H24" s="30">
        <f>1.36*Table15[[#This Row],[rpm]]*Table15[[#This Row],[motor]]/9550</f>
        <v>270.99999999999994</v>
      </c>
      <c r="I24" s="30">
        <f>1.36*Table15[[#This Row],[rpm]]*Table15[[#This Row],[motorEco]]/9550</f>
        <v>243.9</v>
      </c>
      <c r="J24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230</v>
      </c>
      <c r="K24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 xml:space="preserve">        &lt;torque rpm="2100" motorTorque="906" motorTorqueEco="816" fuelUsageRatio="230"/&gt;</v>
      </c>
      <c r="L2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normRpm="0.955" torque="0.773"/&gt;</v>
      </c>
      <c r="M24" s="3">
        <f>(1-(1-Table15[[#This Row],[rpm]]/Table36[idleRpm])^2)*Table7[idleT]</f>
        <v>-884.96333333333371</v>
      </c>
      <c r="N24" s="3">
        <f>MAX(0,(1-Table7[f1]*(Table36[maxTRpm1]-Table15[[#This Row],[rpm]])^2)*Table36[maxT])</f>
        <v>0</v>
      </c>
      <c r="O24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866.34645226511634</v>
      </c>
      <c r="P24" s="3">
        <f>MAX(0,(Table36[maxPS]-Table7[f4]*(Table15[[#This Row],[rpm]]-Table36[maxPRpm])^2)/1.36*9550/MAX(1,Table15[[#This Row],[rpm]]))</f>
        <v>906.17997198879539</v>
      </c>
      <c r="Q24" s="3">
        <f>MAX(0,Table7[Nm2]*MIN(Table36[ratedRpm]/MAX(1,Table15[[#This Row],[rpm]]),1-(MAX(0,Table15[[#This Row],[rpm]]-Table36[ratedRpm])/Table36[fadeOut])^Table36[fadeOutExp]))</f>
        <v>906.17997198879539</v>
      </c>
      <c r="R24" s="3">
        <f>(1-(1-Table15[[#This Row],[rpm]]/Table36[idleRpm])^2)*Table7[idleTEco]</f>
        <v>-840.71516666666707</v>
      </c>
      <c r="S24" s="3">
        <f>MAX(0,(1-Table7[f1]*(Table36[maxTRpm1]-Table15[[#This Row],[rpm]])^2)*Table36[maxTEco])</f>
        <v>0</v>
      </c>
      <c r="T24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767.43343084602259</v>
      </c>
      <c r="U24" s="3">
        <f>MAX(0,(Table36[maxPSEco]-Table7[f4Eco]*(Table15[[#This Row],[rpm]]-Table36[maxPRpm])^2)/1.36*9550/MAX(1,Table15[[#This Row],[rpm]]))</f>
        <v>815.56197478991601</v>
      </c>
      <c r="V24" s="3">
        <f>MAX(0,Table7[Nm2Eco]*MIN(Table36[ratedRpm]/MAX(1,Table15[[#This Row],[rpm]]),1-(MAX(0,Table15[[#This Row],[rpm]]-Table36[ratedRpm])/Table36[fadeOut])^Table36[fadeOutExp]))</f>
        <v>815.56197478991601</v>
      </c>
    </row>
    <row r="25" spans="1:22" x14ac:dyDescent="0.25">
      <c r="A25" s="3">
        <v>2200</v>
      </c>
      <c r="B25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825.35460243878128</v>
      </c>
      <c r="C25" s="21"/>
      <c r="D25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742.81914219490329</v>
      </c>
      <c r="E25" s="21"/>
      <c r="F25" s="3">
        <f>Table36[Factor]*IF(Table15[[#This Row],[manualData]]&gt;0,Table15[[#This Row],[manualData]],Table15[[#This Row],[rawData]])</f>
        <v>825.35460243878128</v>
      </c>
      <c r="G25" s="3">
        <f>Table36[Factor]*IF(Table15[[#This Row],[manDataEco]]&gt;0,Table15[[#This Row],[manDataEco]],Table15[[#This Row],[rawDataEco]])</f>
        <v>742.81914219490329</v>
      </c>
      <c r="H25" s="30">
        <f>1.36*Table15[[#This Row],[rpm]]*Table15[[#This Row],[motor]]/9550</f>
        <v>258.58230057558467</v>
      </c>
      <c r="I25" s="30">
        <f>1.36*Table15[[#This Row],[rpm]]*Table15[[#This Row],[motorEco]]/9550</f>
        <v>232.72407051802622</v>
      </c>
      <c r="J25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244.75450687929043</v>
      </c>
      <c r="K25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 xml:space="preserve">        &lt;torque rpm="2200" motorTorque="825" motorTorqueEco="743" fuelUsageRatio="244.8"/&gt;</v>
      </c>
      <c r="L2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normRpm="1" torque="0.704"/&gt;</v>
      </c>
      <c r="M25" s="3">
        <f>(1-(1-Table15[[#This Row],[rpm]]/Table36[idleRpm])^2)*Table7[idleT]</f>
        <v>-1236.1392592592597</v>
      </c>
      <c r="N25" s="3">
        <f>MAX(0,(1-Table7[f1]*(Table36[maxTRpm1]-Table15[[#This Row],[rpm]])^2)*Table36[maxT])</f>
        <v>0</v>
      </c>
      <c r="O25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792.00619826878096</v>
      </c>
      <c r="P25" s="3">
        <f>MAX(0,(Table36[maxPS]-Table7[f4]*(Table15[[#This Row],[rpm]]-Table36[maxPRpm])^2)/1.36*9550/MAX(1,Table15[[#This Row],[rpm]]))</f>
        <v>868.97977941176464</v>
      </c>
      <c r="Q25" s="3">
        <f>MAX(0,Table7[Nm2]*MIN(Table36[ratedRpm]/MAX(1,Table15[[#This Row],[rpm]]),1-(MAX(0,Table15[[#This Row],[rpm]]-Table36[ratedRpm])/Table36[fadeOut])^Table36[fadeOutExp]))</f>
        <v>825.35460243878128</v>
      </c>
      <c r="R25" s="3">
        <f>(1-(1-Table15[[#This Row],[rpm]]/Table36[idleRpm])^2)*Table7[idleTEco]</f>
        <v>-1174.3322962962966</v>
      </c>
      <c r="S25" s="3">
        <f>MAX(0,(1-Table7[f1]*(Table36[maxTRpm1]-Table15[[#This Row],[rpm]])^2)*Table36[maxTEco])</f>
        <v>0</v>
      </c>
      <c r="T25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683.33244438445251</v>
      </c>
      <c r="U25" s="3">
        <f>MAX(0,(Table36[maxPSEco]-Table7[f4Eco]*(Table15[[#This Row],[rpm]]-Table36[maxPRpm])^2)/1.36*9550/MAX(1,Table15[[#This Row],[rpm]]))</f>
        <v>762.49548037190084</v>
      </c>
      <c r="V25" s="3">
        <f>MAX(0,Table7[Nm2Eco]*MIN(Table36[ratedRpm]/MAX(1,Table15[[#This Row],[rpm]]),1-(MAX(0,Table15[[#This Row],[rpm]]-Table36[ratedRpm])/Table36[fadeOut])^Table36[fadeOutExp]))</f>
        <v>742.81914219490329</v>
      </c>
    </row>
    <row r="26" spans="1:22" x14ac:dyDescent="0.25">
      <c r="A26" s="3">
        <v>2300</v>
      </c>
      <c r="B26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534.80409581228059</v>
      </c>
      <c r="C26" s="21"/>
      <c r="D26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481.32368623105259</v>
      </c>
      <c r="E26" s="21"/>
      <c r="F26" s="3">
        <f>Table36[Factor]*IF(Table15[[#This Row],[manualData]]&gt;0,Table15[[#This Row],[manualData]],Table15[[#This Row],[rawData]])</f>
        <v>534.80409581228059</v>
      </c>
      <c r="G26" s="3">
        <f>Table36[Factor]*IF(Table15[[#This Row],[manDataEco]]&gt;0,Table15[[#This Row],[manDataEco]],Table15[[#This Row],[rawDataEco]])</f>
        <v>481.32368623105259</v>
      </c>
      <c r="H26" s="30">
        <f>1.36*Table15[[#This Row],[rpm]]*Table15[[#This Row],[motor]]/9550</f>
        <v>175.16934153935222</v>
      </c>
      <c r="I26" s="30">
        <f>1.36*Table15[[#This Row],[rpm]]*Table15[[#This Row],[motorEco]]/9550</f>
        <v>157.65240738541704</v>
      </c>
      <c r="J26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313.46409493927865</v>
      </c>
      <c r="K26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 xml:space="preserve">        &lt;torque rpm="2300" motorTorque="535" motorTorqueEco="481" fuelUsageRatio="313.5"/&gt;</v>
      </c>
      <c r="L2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6" s="3">
        <f>(1-(1-Table15[[#This Row],[rpm]]/Table36[idleRpm])^2)*Table7[idleT]</f>
        <v>-1615.4092592592583</v>
      </c>
      <c r="N26" s="3">
        <f>MAX(0,(1-Table7[f1]*(Table36[maxTRpm1]-Table15[[#This Row],[rpm]])^2)*Table36[maxT])</f>
        <v>0</v>
      </c>
      <c r="O26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711.94746319580429</v>
      </c>
      <c r="P26" s="3">
        <f>MAX(0,(Table36[maxPS]-Table7[f4]*(Table15[[#This Row],[rpm]]-Table36[maxPRpm])^2)/1.36*9550/MAX(1,Table15[[#This Row],[rpm]]))</f>
        <v>836.54092071611251</v>
      </c>
      <c r="Q26" s="3">
        <f>MAX(0,Table7[Nm2]*MIN(Table36[ratedRpm]/MAX(1,Table15[[#This Row],[rpm]]),1-(MAX(0,Table15[[#This Row],[rpm]]-Table36[ratedRpm])/Table36[fadeOut])^Table36[fadeOutExp]))</f>
        <v>534.80409581228059</v>
      </c>
      <c r="R26" s="3">
        <f>(1-(1-Table15[[#This Row],[rpm]]/Table36[idleRpm])^2)*Table7[idleTEco]</f>
        <v>-1534.6387962962954</v>
      </c>
      <c r="S26" s="3">
        <f>MAX(0,(1-Table7[f1]*(Table36[maxTRpm1]-Table15[[#This Row],[rpm]])^2)*Table36[maxTEco])</f>
        <v>0</v>
      </c>
      <c r="T26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592.76215127199214</v>
      </c>
      <c r="U26" s="3">
        <f>MAX(0,(Table36[maxPSEco]-Table7[f4Eco]*(Table15[[#This Row],[rpm]]-Table36[maxPRpm])^2)/1.36*9550/MAX(1,Table15[[#This Row],[rpm]]))</f>
        <v>707.92344803534058</v>
      </c>
      <c r="V26" s="3">
        <f>MAX(0,Table7[Nm2Eco]*MIN(Table36[ratedRpm]/MAX(1,Table15[[#This Row],[rpm]]),1-(MAX(0,Table15[[#This Row],[rpm]]-Table36[ratedRpm])/Table36[fadeOut])^Table36[fadeOutExp]))</f>
        <v>481.32368623105259</v>
      </c>
    </row>
    <row r="27" spans="1:22" x14ac:dyDescent="0.25">
      <c r="A27" s="3">
        <v>2400</v>
      </c>
      <c r="B27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27" s="21"/>
      <c r="D27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27" s="21"/>
      <c r="F27" s="3">
        <f>Table36[Factor]*IF(Table15[[#This Row],[manualData]]&gt;0,Table15[[#This Row],[manualData]],Table15[[#This Row],[rawData]])</f>
        <v>0</v>
      </c>
      <c r="G27" s="3">
        <f>Table36[Factor]*IF(Table15[[#This Row],[manDataEco]]&gt;0,Table15[[#This Row],[manDataEco]],Table15[[#This Row],[rawDataEco]])</f>
        <v>0</v>
      </c>
      <c r="H27" s="3">
        <f>1.36*Table15[[#This Row],[rpm]]*Table15[[#This Row],[motor]]/9550</f>
        <v>0</v>
      </c>
      <c r="I27" s="3">
        <f>1.36*Table15[[#This Row],[rpm]]*Table15[[#This Row],[motorEco]]/9550</f>
        <v>0</v>
      </c>
      <c r="J27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27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 xml:space="preserve">        &lt;torque rpm="2400" motorTorque="0" motorTorqueEco="0" fuelUsageRatio="460"/&gt;</v>
      </c>
      <c r="L2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7" s="3">
        <f>(1-(1-Table15[[#This Row],[rpm]]/Table36[idleRpm])^2)*Table7[idleT]</f>
        <v>-2022.7733333333326</v>
      </c>
      <c r="N27" s="3">
        <f>MAX(0,(1-Table7[f1]*(Table36[maxTRpm1]-Table15[[#This Row],[rpm]])^2)*Table36[maxT])</f>
        <v>0</v>
      </c>
      <c r="O27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626.17024704618655</v>
      </c>
      <c r="P27" s="3">
        <f>MAX(0,(Table36[maxPS]-Table7[f4]*(Table15[[#This Row],[rpm]]-Table36[maxPRpm])^2)/1.36*9550/MAX(1,Table15[[#This Row],[rpm]]))</f>
        <v>808.26822916666652</v>
      </c>
      <c r="Q27" s="3">
        <f>MAX(0,Table7[Nm2]*MIN(Table36[ratedRpm]/MAX(1,Table15[[#This Row],[rpm]]),1-(MAX(0,Table15[[#This Row],[rpm]]-Table36[ratedRpm])/Table36[fadeOut])^Table36[fadeOutExp]))</f>
        <v>0</v>
      </c>
      <c r="R27" s="3">
        <f>(1-(1-Table15[[#This Row],[rpm]]/Table36[idleRpm])^2)*Table7[idleTEco]</f>
        <v>-1921.6346666666661</v>
      </c>
      <c r="S27" s="3">
        <f>MAX(0,(1-Table7[f1]*(Table36[maxTRpm1]-Table15[[#This Row],[rpm]])^2)*Table36[maxTEco])</f>
        <v>0</v>
      </c>
      <c r="T27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495.72255150864191</v>
      </c>
      <c r="U27" s="3">
        <f>MAX(0,(Table36[maxPSEco]-Table7[f4Eco]*(Table15[[#This Row],[rpm]]-Table36[maxPRpm])^2)/1.36*9550/MAX(1,Table15[[#This Row],[rpm]]))</f>
        <v>652.03407002005349</v>
      </c>
      <c r="V27" s="3">
        <f>MAX(0,Table7[Nm2Eco]*MIN(Table36[ratedRpm]/MAX(1,Table15[[#This Row],[rpm]]),1-(MAX(0,Table15[[#This Row],[rpm]]-Table36[ratedRpm])/Table36[fadeOut])^Table36[fadeOutExp]))</f>
        <v>0</v>
      </c>
    </row>
    <row r="28" spans="1:22" x14ac:dyDescent="0.25">
      <c r="A28" s="3">
        <v>2500</v>
      </c>
      <c r="B28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28" s="21"/>
      <c r="D28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28" s="21"/>
      <c r="F28" s="3">
        <f>Table36[Factor]*IF(Table15[[#This Row],[manualData]]&gt;0,Table15[[#This Row],[manualData]],Table15[[#This Row],[rawData]])</f>
        <v>0</v>
      </c>
      <c r="G28" s="3">
        <f>Table36[Factor]*IF(Table15[[#This Row],[manDataEco]]&gt;0,Table15[[#This Row],[manDataEco]],Table15[[#This Row],[rawDataEco]])</f>
        <v>0</v>
      </c>
      <c r="H28" s="3">
        <f>1.36*Table15[[#This Row],[rpm]]*Table15[[#This Row],[motor]]/9550</f>
        <v>0</v>
      </c>
      <c r="I28" s="3">
        <f>1.36*Table15[[#This Row],[rpm]]*Table15[[#This Row],[motorEco]]/9550</f>
        <v>0</v>
      </c>
      <c r="J28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28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/>
      </c>
      <c r="L2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8" s="3">
        <f>(1-(1-Table15[[#This Row],[rpm]]/Table36[idleRpm])^2)*Table7[idleT]</f>
        <v>-2458.2314814814813</v>
      </c>
      <c r="N28" s="3">
        <f>MAX(0,(1-Table7[f1]*(Table36[maxTRpm1]-Table15[[#This Row],[rpm]])^2)*Table36[maxT])</f>
        <v>0</v>
      </c>
      <c r="O28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534.67454981992751</v>
      </c>
      <c r="P28" s="3">
        <f>MAX(0,(Table36[maxPS]-Table7[f4]*(Table15[[#This Row],[rpm]]-Table36[maxPRpm])^2)/1.36*9550/MAX(1,Table15[[#This Row],[rpm]]))</f>
        <v>783.66176470588232</v>
      </c>
      <c r="Q28" s="3">
        <f>MAX(0,Table7[Nm2]*MIN(Table36[ratedRpm]/MAX(1,Table15[[#This Row],[rpm]]),1-(MAX(0,Table15[[#This Row],[rpm]]-Table36[ratedRpm])/Table36[fadeOut])^Table36[fadeOutExp]))</f>
        <v>0</v>
      </c>
      <c r="R28" s="3">
        <f>(1-(1-Table15[[#This Row],[rpm]]/Table36[idleRpm])^2)*Table7[idleTEco]</f>
        <v>-2335.3199074074073</v>
      </c>
      <c r="S28" s="3">
        <f>MAX(0,(1-Table7[f1]*(Table36[maxTRpm1]-Table15[[#This Row],[rpm]])^2)*Table36[maxTEco])</f>
        <v>0</v>
      </c>
      <c r="T28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392.21364509440167</v>
      </c>
      <c r="U28" s="3">
        <f>MAX(0,(Table36[maxPSEco]-Table7[f4Eco]*(Table15[[#This Row],[rpm]]-Table36[maxPRpm])^2)/1.36*9550/MAX(1,Table15[[#This Row],[rpm]]))</f>
        <v>594.98542780748676</v>
      </c>
      <c r="V28" s="3">
        <f>MAX(0,Table7[Nm2Eco]*MIN(Table36[ratedRpm]/MAX(1,Table15[[#This Row],[rpm]]),1-(MAX(0,Table15[[#This Row],[rpm]]-Table36[ratedRpm])/Table36[fadeOut])^Table36[fadeOutExp]))</f>
        <v>0</v>
      </c>
    </row>
    <row r="29" spans="1:22" x14ac:dyDescent="0.25">
      <c r="A29" s="3">
        <v>2750</v>
      </c>
      <c r="B29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29" s="21"/>
      <c r="D29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29" s="21"/>
      <c r="F29" s="3">
        <f>Table36[Factor]*IF(Table15[[#This Row],[manualData]]&gt;0,Table15[[#This Row],[manualData]],Table15[[#This Row],[rawData]])</f>
        <v>0</v>
      </c>
      <c r="G29" s="3">
        <f>Table36[Factor]*IF(Table15[[#This Row],[manDataEco]]&gt;0,Table15[[#This Row],[manDataEco]],Table15[[#This Row],[rawDataEco]])</f>
        <v>0</v>
      </c>
      <c r="H29" s="3">
        <f>1.36*Table15[[#This Row],[rpm]]*Table15[[#This Row],[motor]]/9550</f>
        <v>0</v>
      </c>
      <c r="I29" s="3">
        <f>1.36*Table15[[#This Row],[rpm]]*Table15[[#This Row],[motorEco]]/9550</f>
        <v>0</v>
      </c>
      <c r="J29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29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/>
      </c>
      <c r="L2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9" s="3">
        <f>(1-(1-Table15[[#This Row],[rpm]]/Table36[idleRpm])^2)*Table7[idleT]</f>
        <v>-3669.7884259259245</v>
      </c>
      <c r="N29" s="3">
        <f>MAX(0,(1-Table7[f1]*(Table36[maxTRpm1]-Table15[[#This Row],[rpm]])^2)*Table36[maxT])</f>
        <v>0</v>
      </c>
      <c r="O29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280.91695204397502</v>
      </c>
      <c r="P29" s="3">
        <f>MAX(0,(Table36[maxPS]-Table7[f4]*(Table15[[#This Row],[rpm]]-Table36[maxPRpm])^2)/1.36*9550/MAX(1,Table15[[#This Row],[rpm]]))</f>
        <v>735.56066176470586</v>
      </c>
      <c r="Q29" s="3">
        <f>MAX(0,Table7[Nm2]*MIN(Table36[ratedRpm]/MAX(1,Table15[[#This Row],[rpm]]),1-(MAX(0,Table15[[#This Row],[rpm]]-Table36[ratedRpm])/Table36[fadeOut])^Table36[fadeOutExp]))</f>
        <v>0</v>
      </c>
      <c r="R29" s="3">
        <f>(1-(1-Table15[[#This Row],[rpm]]/Table36[idleRpm])^2)*Table7[idleTEco]</f>
        <v>-3486.2990046296286</v>
      </c>
      <c r="S29" s="3">
        <f>MAX(0,(1-Table7[f1]*(Table36[maxTRpm1]-Table15[[#This Row],[rpm]])^2)*Table36[maxTEco])</f>
        <v>0</v>
      </c>
      <c r="T29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105.13816246115711</v>
      </c>
      <c r="U29" s="3">
        <f>MAX(0,(Table36[maxPSEco]-Table7[f4Eco]*(Table15[[#This Row],[rpm]]-Table36[maxPRpm])^2)/1.36*9550/MAX(1,Table15[[#This Row],[rpm]]))</f>
        <v>448.12196919056908</v>
      </c>
      <c r="V29" s="3">
        <f>MAX(0,Table7[Nm2Eco]*MIN(Table36[ratedRpm]/MAX(1,Table15[[#This Row],[rpm]]),1-(MAX(0,Table15[[#This Row],[rpm]]-Table36[ratedRpm])/Table36[fadeOut])^Table36[fadeOutExp]))</f>
        <v>0</v>
      </c>
    </row>
    <row r="30" spans="1:22" x14ac:dyDescent="0.25">
      <c r="A30" s="3">
        <v>3000</v>
      </c>
      <c r="B30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0" s="21"/>
      <c r="D30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0" s="21"/>
      <c r="F30" s="3">
        <f>Table36[Factor]*IF(Table15[[#This Row],[manualData]]&gt;0,Table15[[#This Row],[manualData]],Table15[[#This Row],[rawData]])</f>
        <v>0</v>
      </c>
      <c r="G30" s="3">
        <f>Table36[Factor]*IF(Table15[[#This Row],[manDataEco]]&gt;0,Table15[[#This Row],[manDataEco]],Table15[[#This Row],[rawDataEco]])</f>
        <v>0</v>
      </c>
      <c r="H30" s="3">
        <f>1.36*Table15[[#This Row],[rpm]]*Table15[[#This Row],[motor]]/9550</f>
        <v>0</v>
      </c>
      <c r="I30" s="3">
        <f>1.36*Table15[[#This Row],[rpm]]*Table15[[#This Row],[motorEco]]/9550</f>
        <v>0</v>
      </c>
      <c r="J30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0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/>
      </c>
      <c r="L3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0" s="3">
        <f>(1-(1-Table15[[#This Row],[rpm]]/Table36[idleRpm])^2)*Table7[idleT]</f>
        <v>-5056.9333333333343</v>
      </c>
      <c r="N30" s="3">
        <f>MAX(0,(1-Table7[f1]*(Table36[maxTRpm1]-Table15[[#This Row],[rpm]])^2)*Table36[maxT])</f>
        <v>0</v>
      </c>
      <c r="O30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0</v>
      </c>
      <c r="P30" s="3">
        <f>MAX(0,(Table36[maxPS]-Table7[f4]*(Table15[[#This Row],[rpm]]-Table36[maxPRpm])^2)/1.36*9550/MAX(1,Table15[[#This Row],[rpm]]))</f>
        <v>702.7910539215685</v>
      </c>
      <c r="Q30" s="3">
        <f>MAX(0,Table7[Nm2]*MIN(Table36[ratedRpm]/MAX(1,Table15[[#This Row],[rpm]]),1-(MAX(0,Table15[[#This Row],[rpm]]-Table36[ratedRpm])/Table36[fadeOut])^Table36[fadeOutExp]))</f>
        <v>0</v>
      </c>
      <c r="R30" s="3">
        <f>(1-(1-Table15[[#This Row],[rpm]]/Table36[idleRpm])^2)*Table7[idleTEco]</f>
        <v>-4804.086666666668</v>
      </c>
      <c r="S30" s="3">
        <f>MAX(0,(1-Table7[f1]*(Table36[maxTRpm1]-Table15[[#This Row],[rpm]])^2)*Table36[maxTEco])</f>
        <v>0</v>
      </c>
      <c r="T30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0</v>
      </c>
      <c r="U30" s="3">
        <f>MAX(0,(Table36[maxPSEco]-Table7[f4Eco]*(Table15[[#This Row],[rpm]]-Table36[maxPRpm])^2)/1.36*9550/MAX(1,Table15[[#This Row],[rpm]]))</f>
        <v>296.41067847593644</v>
      </c>
      <c r="V30" s="3">
        <f>MAX(0,Table7[Nm2Eco]*MIN(Table36[ratedRpm]/MAX(1,Table15[[#This Row],[rpm]]),1-(MAX(0,Table15[[#This Row],[rpm]]-Table36[ratedRpm])/Table36[fadeOut])^Table36[fadeOutExp]))</f>
        <v>0</v>
      </c>
    </row>
    <row r="31" spans="1:22" x14ac:dyDescent="0.25">
      <c r="A31" s="3">
        <v>3250</v>
      </c>
      <c r="B31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1" s="21"/>
      <c r="D31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1" s="21"/>
      <c r="F31" s="3">
        <f>Table36[Factor]*IF(Table15[[#This Row],[manualData]]&gt;0,Table15[[#This Row],[manualData]],Table15[[#This Row],[rawData]])</f>
        <v>0</v>
      </c>
      <c r="G31" s="3">
        <f>Table36[Factor]*IF(Table15[[#This Row],[manDataEco]]&gt;0,Table15[[#This Row],[manDataEco]],Table15[[#This Row],[rawDataEco]])</f>
        <v>0</v>
      </c>
      <c r="H31" s="3">
        <f>1.36*Table15[[#This Row],[rpm]]*Table15[[#This Row],[motor]]/9550</f>
        <v>0</v>
      </c>
      <c r="I31" s="3">
        <f>1.36*Table15[[#This Row],[rpm]]*Table15[[#This Row],[motorEco]]/9550</f>
        <v>0</v>
      </c>
      <c r="J31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1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/>
      </c>
      <c r="L3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1" s="3">
        <f>(1-(1-Table15[[#This Row],[rpm]]/Table36[idleRpm])^2)*Table7[idleT]</f>
        <v>-6619.6662037037031</v>
      </c>
      <c r="N31" s="3">
        <f>MAX(0,(1-Table7[f1]*(Table36[maxTRpm1]-Table15[[#This Row],[rpm]])^2)*Table36[maxT])</f>
        <v>0</v>
      </c>
      <c r="O31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0</v>
      </c>
      <c r="P31" s="3">
        <f>MAX(0,(Table36[maxPS]-Table7[f4]*(Table15[[#This Row],[rpm]]-Table36[maxPRpm])^2)/1.36*9550/MAX(1,Table15[[#This Row],[rpm]]))</f>
        <v>681.8149038461537</v>
      </c>
      <c r="Q31" s="3">
        <f>MAX(0,Table7[Nm2]*MIN(Table36[ratedRpm]/MAX(1,Table15[[#This Row],[rpm]]),1-(MAX(0,Table15[[#This Row],[rpm]]-Table36[ratedRpm])/Table36[fadeOut])^Table36[fadeOutExp]))</f>
        <v>0</v>
      </c>
      <c r="R31" s="3">
        <f>(1-(1-Table15[[#This Row],[rpm]]/Table36[idleRpm])^2)*Table7[idleTEco]</f>
        <v>-6288.6828935185185</v>
      </c>
      <c r="S31" s="3">
        <f>MAX(0,(1-Table7[f1]*(Table36[maxTRpm1]-Table15[[#This Row],[rpm]])^2)*Table36[maxTEco])</f>
        <v>0</v>
      </c>
      <c r="T31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0</v>
      </c>
      <c r="U31" s="3">
        <f>MAX(0,(Table36[maxPSEco]-Table7[f4Eco]*(Table15[[#This Row],[rpm]]-Table36[maxPRpm])^2)/1.36*9550/MAX(1,Table15[[#This Row],[rpm]]))</f>
        <v>140.97028614767666</v>
      </c>
      <c r="V31" s="3">
        <f>MAX(0,Table7[Nm2Eco]*MIN(Table36[ratedRpm]/MAX(1,Table15[[#This Row],[rpm]]),1-(MAX(0,Table15[[#This Row],[rpm]]-Table36[ratedRpm])/Table36[fadeOut])^Table36[fadeOutExp]))</f>
        <v>0</v>
      </c>
    </row>
    <row r="32" spans="1:22" x14ac:dyDescent="0.25">
      <c r="A32" s="3">
        <v>3500</v>
      </c>
      <c r="B32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2" s="21"/>
      <c r="D32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2" s="21"/>
      <c r="F32" s="3">
        <f>Table36[Factor]*IF(Table15[[#This Row],[manualData]]&gt;0,Table15[[#This Row],[manualData]],Table15[[#This Row],[rawData]])</f>
        <v>0</v>
      </c>
      <c r="G32" s="3">
        <f>Table36[Factor]*IF(Table15[[#This Row],[manDataEco]]&gt;0,Table15[[#This Row],[manDataEco]],Table15[[#This Row],[rawDataEco]])</f>
        <v>0</v>
      </c>
      <c r="H32" s="3">
        <f>1.36*Table15[[#This Row],[rpm]]*Table15[[#This Row],[motor]]/9550</f>
        <v>0</v>
      </c>
      <c r="I32" s="3">
        <f>1.36*Table15[[#This Row],[rpm]]*Table15[[#This Row],[motorEco]]/9550</f>
        <v>0</v>
      </c>
      <c r="J32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2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/>
      </c>
      <c r="L3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2" s="3">
        <f>(1-(1-Table15[[#This Row],[rpm]]/Table36[idleRpm])^2)*Table7[idleT]</f>
        <v>-8357.9870370370372</v>
      </c>
      <c r="N32" s="3">
        <f>MAX(0,(1-Table7[f1]*(Table36[maxTRpm1]-Table15[[#This Row],[rpm]])^2)*Table36[maxT])</f>
        <v>0</v>
      </c>
      <c r="O32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0</v>
      </c>
      <c r="P32" s="3">
        <f>MAX(0,(Table36[maxPS]-Table7[f4]*(Table15[[#This Row],[rpm]]-Table36[maxPRpm])^2)/1.36*9550/MAX(1,Table15[[#This Row],[rpm]]))</f>
        <v>670.10504201680658</v>
      </c>
      <c r="Q32" s="3">
        <f>MAX(0,Table7[Nm2]*MIN(Table36[ratedRpm]/MAX(1,Table15[[#This Row],[rpm]]),1-(MAX(0,Table15[[#This Row],[rpm]]-Table36[ratedRpm])/Table36[fadeOut])^Table36[fadeOutExp]))</f>
        <v>0</v>
      </c>
      <c r="R32" s="3">
        <f>(1-(1-Table15[[#This Row],[rpm]]/Table36[idleRpm])^2)*Table7[idleTEco]</f>
        <v>-7940.0876851851845</v>
      </c>
      <c r="S32" s="3">
        <f>MAX(0,(1-Table7[f1]*(Table36[maxTRpm1]-Table15[[#This Row],[rpm]])^2)*Table36[maxTEco])</f>
        <v>0</v>
      </c>
      <c r="T32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0</v>
      </c>
      <c r="U32" s="3">
        <f>MAX(0,(Table36[maxPSEco]-Table7[f4Eco]*(Table15[[#This Row],[rpm]]-Table36[maxPRpm])^2)/1.36*9550/MAX(1,Table15[[#This Row],[rpm]]))</f>
        <v>0</v>
      </c>
      <c r="V32" s="3">
        <f>MAX(0,Table7[Nm2Eco]*MIN(Table36[ratedRpm]/MAX(1,Table15[[#This Row],[rpm]]),1-(MAX(0,Table15[[#This Row],[rpm]]-Table36[ratedRpm])/Table36[fadeOut])^Table36[fadeOutExp]))</f>
        <v>0</v>
      </c>
    </row>
    <row r="33" spans="1:22" x14ac:dyDescent="0.25">
      <c r="A33" s="3">
        <v>3750</v>
      </c>
      <c r="B33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3" s="21"/>
      <c r="D33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3" s="21"/>
      <c r="F33" s="3">
        <f>Table36[Factor]*IF(Table15[[#This Row],[manualData]]&gt;0,Table15[[#This Row],[manualData]],Table15[[#This Row],[rawData]])</f>
        <v>0</v>
      </c>
      <c r="G33" s="3">
        <f>Table36[Factor]*IF(Table15[[#This Row],[manDataEco]]&gt;0,Table15[[#This Row],[manDataEco]],Table15[[#This Row],[rawDataEco]])</f>
        <v>0</v>
      </c>
      <c r="H33" s="3">
        <f>1.36*Table15[[#This Row],[rpm]]*Table15[[#This Row],[motor]]/9550</f>
        <v>0</v>
      </c>
      <c r="I33" s="3">
        <f>1.36*Table15[[#This Row],[rpm]]*Table15[[#This Row],[motorEco]]/9550</f>
        <v>0</v>
      </c>
      <c r="J33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3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/>
      </c>
      <c r="L3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3" s="3">
        <f>(1-(1-Table15[[#This Row],[rpm]]/Table36[idleRpm])^2)*Table7[idleT]</f>
        <v>-10271.895833333336</v>
      </c>
      <c r="N33" s="3">
        <f>MAX(0,(1-Table7[f1]*(Table36[maxTRpm1]-Table15[[#This Row],[rpm]])^2)*Table36[maxT])</f>
        <v>0</v>
      </c>
      <c r="O33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0</v>
      </c>
      <c r="P33" s="3">
        <f>MAX(0,(Table36[maxPS]-Table7[f4]*(Table15[[#This Row],[rpm]]-Table36[maxPRpm])^2)/1.36*9550/MAX(1,Table15[[#This Row],[rpm]]))</f>
        <v>665.80821078431359</v>
      </c>
      <c r="Q33" s="3">
        <f>MAX(0,Table7[Nm2]*MIN(Table36[ratedRpm]/MAX(1,Table15[[#This Row],[rpm]]),1-(MAX(0,Table15[[#This Row],[rpm]]-Table36[ratedRpm])/Table36[fadeOut])^Table36[fadeOutExp]))</f>
        <v>0</v>
      </c>
      <c r="R33" s="3">
        <f>(1-(1-Table15[[#This Row],[rpm]]/Table36[idleRpm])^2)*Table7[idleTEco]</f>
        <v>-9758.3010416666693</v>
      </c>
      <c r="S33" s="3">
        <f>MAX(0,(1-Table7[f1]*(Table36[maxTRpm1]-Table15[[#This Row],[rpm]])^2)*Table36[maxTEco])</f>
        <v>0</v>
      </c>
      <c r="T33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0</v>
      </c>
      <c r="U33" s="3">
        <f>MAX(0,(Table36[maxPSEco]-Table7[f4Eco]*(Table15[[#This Row],[rpm]]-Table36[maxPRpm])^2)/1.36*9550/MAX(1,Table15[[#This Row],[rpm]]))</f>
        <v>0</v>
      </c>
      <c r="V33" s="3">
        <f>MAX(0,Table7[Nm2Eco]*MIN(Table36[ratedRpm]/MAX(1,Table15[[#This Row],[rpm]]),1-(MAX(0,Table15[[#This Row],[rpm]]-Table36[ratedRpm])/Table36[fadeOut])^Table36[fadeOutExp]))</f>
        <v>0</v>
      </c>
    </row>
    <row r="34" spans="1:22" x14ac:dyDescent="0.25">
      <c r="A34" s="3">
        <v>4000</v>
      </c>
      <c r="B34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4" s="21"/>
      <c r="D34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4" s="21"/>
      <c r="F34" s="3">
        <f>Table36[Factor]*IF(Table15[[#This Row],[manualData]]&gt;0,Table15[[#This Row],[manualData]],Table15[[#This Row],[rawData]])</f>
        <v>0</v>
      </c>
      <c r="G34" s="3">
        <f>Table36[Factor]*IF(Table15[[#This Row],[manDataEco]]&gt;0,Table15[[#This Row],[manDataEco]],Table15[[#This Row],[rawDataEco]])</f>
        <v>0</v>
      </c>
      <c r="H34" s="3">
        <f>1.36*Table15[[#This Row],[rpm]]*Table15[[#This Row],[motor]]/9550</f>
        <v>0</v>
      </c>
      <c r="I34" s="3">
        <f>1.36*Table15[[#This Row],[rpm]]*Table15[[#This Row],[motorEco]]/9550</f>
        <v>0</v>
      </c>
      <c r="J34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4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/>
      </c>
      <c r="L3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4" s="3">
        <f>(1-(1-Table15[[#This Row],[rpm]]/Table36[idleRpm])^2)*Table7[idleT]</f>
        <v>-12361.392592592594</v>
      </c>
      <c r="N34" s="3">
        <f>MAX(0,(1-Table7[f1]*(Table36[maxTRpm1]-Table15[[#This Row],[rpm]])^2)*Table36[maxT])</f>
        <v>0</v>
      </c>
      <c r="O34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0</v>
      </c>
      <c r="P34" s="3">
        <f>MAX(0,(Table36[maxPS]-Table7[f4]*(Table15[[#This Row],[rpm]]-Table36[maxPRpm])^2)/1.36*9550/MAX(1,Table15[[#This Row],[rpm]]))</f>
        <v>667.53446691176464</v>
      </c>
      <c r="Q34" s="3">
        <f>MAX(0,Table7[Nm2]*MIN(Table36[ratedRpm]/MAX(1,Table15[[#This Row],[rpm]]),1-(MAX(0,Table15[[#This Row],[rpm]]-Table36[ratedRpm])/Table36[fadeOut])^Table36[fadeOutExp]))</f>
        <v>0</v>
      </c>
      <c r="R34" s="3">
        <f>(1-(1-Table15[[#This Row],[rpm]]/Table36[idleRpm])^2)*Table7[idleTEco]</f>
        <v>-11743.322962962964</v>
      </c>
      <c r="S34" s="3">
        <f>MAX(0,(1-Table7[f1]*(Table36[maxTRpm1]-Table15[[#This Row],[rpm]])^2)*Table36[maxTEco])</f>
        <v>0</v>
      </c>
      <c r="T34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0</v>
      </c>
      <c r="U34" s="3">
        <f>MAX(0,(Table36[maxPSEco]-Table7[f4Eco]*(Table15[[#This Row],[rpm]]-Table36[maxPRpm])^2)/1.36*9550/MAX(1,Table15[[#This Row],[rpm]]))</f>
        <v>0</v>
      </c>
      <c r="V34" s="3">
        <f>MAX(0,Table7[Nm2Eco]*MIN(Table36[ratedRpm]/MAX(1,Table15[[#This Row],[rpm]]),1-(MAX(0,Table15[[#This Row],[rpm]]-Table36[ratedRpm])/Table36[fadeOut])^Table36[fadeOutExp]))</f>
        <v>0</v>
      </c>
    </row>
    <row r="35" spans="1:22" x14ac:dyDescent="0.25">
      <c r="A35" s="3">
        <v>4250</v>
      </c>
      <c r="B35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5" s="21"/>
      <c r="D35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5" s="21"/>
      <c r="F35" s="3">
        <f>Table36[Factor]*IF(Table15[[#This Row],[manualData]]&gt;0,Table15[[#This Row],[manualData]],Table15[[#This Row],[rawData]])</f>
        <v>0</v>
      </c>
      <c r="G35" s="3">
        <f>Table36[Factor]*IF(Table15[[#This Row],[manDataEco]]&gt;0,Table15[[#This Row],[manDataEco]],Table15[[#This Row],[rawDataEco]])</f>
        <v>0</v>
      </c>
      <c r="H35" s="3">
        <f>1.36*Table15[[#This Row],[rpm]]*Table15[[#This Row],[motor]]/9550</f>
        <v>0</v>
      </c>
      <c r="I35" s="3">
        <f>1.36*Table15[[#This Row],[rpm]]*Table15[[#This Row],[motorEco]]/9550</f>
        <v>0</v>
      </c>
      <c r="J35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5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/>
      </c>
      <c r="L3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5" s="3">
        <f>(1-(1-Table15[[#This Row],[rpm]]/Table36[idleRpm])^2)*Table7[idleT]</f>
        <v>-14626.477314814814</v>
      </c>
      <c r="N35" s="3">
        <f>MAX(0,(1-Table7[f1]*(Table36[maxTRpm1]-Table15[[#This Row],[rpm]])^2)*Table36[maxT])</f>
        <v>0</v>
      </c>
      <c r="O35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0</v>
      </c>
      <c r="P35" s="3">
        <f>MAX(0,(Table36[maxPS]-Table7[f4]*(Table15[[#This Row],[rpm]]-Table36[maxPRpm])^2)/1.36*9550/MAX(1,Table15[[#This Row],[rpm]]))</f>
        <v>674.22091262975778</v>
      </c>
      <c r="Q35" s="3">
        <f>MAX(0,Table7[Nm2]*MIN(Table36[ratedRpm]/MAX(1,Table15[[#This Row],[rpm]]),1-(MAX(0,Table15[[#This Row],[rpm]]-Table36[ratedRpm])/Table36[fadeOut])^Table36[fadeOutExp]))</f>
        <v>0</v>
      </c>
      <c r="R35" s="3">
        <f>(1-(1-Table15[[#This Row],[rpm]]/Table36[idleRpm])^2)*Table7[idleTEco]</f>
        <v>-13895.153449074074</v>
      </c>
      <c r="S35" s="3">
        <f>MAX(0,(1-Table7[f1]*(Table36[maxTRpm1]-Table15[[#This Row],[rpm]])^2)*Table36[maxTEco])</f>
        <v>0</v>
      </c>
      <c r="T35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0</v>
      </c>
      <c r="U35" s="3">
        <f>MAX(0,(Table36[maxPSEco]-Table7[f4Eco]*(Table15[[#This Row],[rpm]]-Table36[maxPRpm])^2)/1.36*9550/MAX(1,Table15[[#This Row],[rpm]]))</f>
        <v>0</v>
      </c>
      <c r="V35" s="3">
        <f>MAX(0,Table7[Nm2Eco]*MIN(Table36[ratedRpm]/MAX(1,Table15[[#This Row],[rpm]]),1-(MAX(0,Table15[[#This Row],[rpm]]-Table36[ratedRpm])/Table36[fadeOut])^Table36[fadeOutExp]))</f>
        <v>0</v>
      </c>
    </row>
    <row r="36" spans="1:22" x14ac:dyDescent="0.25">
      <c r="A36" s="3">
        <v>4500</v>
      </c>
      <c r="B36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6" s="21"/>
      <c r="D36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6" s="21"/>
      <c r="F36" s="3">
        <f>Table36[Factor]*IF(Table15[[#This Row],[manualData]]&gt;0,Table15[[#This Row],[manualData]],Table15[[#This Row],[rawData]])</f>
        <v>0</v>
      </c>
      <c r="G36" s="3">
        <f>Table36[Factor]*IF(Table15[[#This Row],[manDataEco]]&gt;0,Table15[[#This Row],[manDataEco]],Table15[[#This Row],[rawDataEco]])</f>
        <v>0</v>
      </c>
      <c r="H36" s="3">
        <f>1.36*Table15[[#This Row],[rpm]]*Table15[[#This Row],[motor]]/9550</f>
        <v>0</v>
      </c>
      <c r="I36" s="3">
        <f>1.36*Table15[[#This Row],[rpm]]*Table15[[#This Row],[motorEco]]/9550</f>
        <v>0</v>
      </c>
      <c r="J36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6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/>
      </c>
      <c r="L3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6" s="3">
        <f>(1-(1-Table15[[#This Row],[rpm]]/Table36[idleRpm])^2)*Table7[idleT]</f>
        <v>-17067.149999999998</v>
      </c>
      <c r="N36" s="3">
        <f>MAX(0,(1-Table7[f1]*(Table36[maxTRpm1]-Table15[[#This Row],[rpm]])^2)*Table36[maxT])</f>
        <v>0</v>
      </c>
      <c r="O36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0</v>
      </c>
      <c r="P36" s="3">
        <f>MAX(0,(Table36[maxPS]-Table7[f4]*(Table15[[#This Row],[rpm]]-Table36[maxPRpm])^2)/1.36*9550/MAX(1,Table15[[#This Row],[rpm]]))</f>
        <v>685.04084967320262</v>
      </c>
      <c r="Q36" s="3">
        <f>MAX(0,Table7[Nm2]*MIN(Table36[ratedRpm]/MAX(1,Table15[[#This Row],[rpm]]),1-(MAX(0,Table15[[#This Row],[rpm]]-Table36[ratedRpm])/Table36[fadeOut])^Table36[fadeOutExp]))</f>
        <v>0</v>
      </c>
      <c r="R36" s="3">
        <f>(1-(1-Table15[[#This Row],[rpm]]/Table36[idleRpm])^2)*Table7[idleTEco]</f>
        <v>-16213.7925</v>
      </c>
      <c r="S36" s="3">
        <f>MAX(0,(1-Table7[f1]*(Table36[maxTRpm1]-Table15[[#This Row],[rpm]])^2)*Table36[maxTEco])</f>
        <v>0</v>
      </c>
      <c r="T36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0</v>
      </c>
      <c r="U36" s="3">
        <f>MAX(0,(Table36[maxPSEco]-Table7[f4Eco]*(Table15[[#This Row],[rpm]]-Table36[maxPRpm])^2)/1.36*9550/MAX(1,Table15[[#This Row],[rpm]]))</f>
        <v>0</v>
      </c>
      <c r="V36" s="3">
        <f>MAX(0,Table7[Nm2Eco]*MIN(Table36[ratedRpm]/MAX(1,Table15[[#This Row],[rpm]]),1-(MAX(0,Table15[[#This Row],[rpm]]-Table36[ratedRpm])/Table36[fadeOut])^Table36[fadeOutExp]))</f>
        <v>0</v>
      </c>
    </row>
    <row r="37" spans="1:22" x14ac:dyDescent="0.25">
      <c r="A37" s="3">
        <v>4750</v>
      </c>
      <c r="B37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7" s="21"/>
      <c r="D37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7" s="21"/>
      <c r="F37" s="3">
        <f>Table36[Factor]*IF(Table15[[#This Row],[manualData]]&gt;0,Table15[[#This Row],[manualData]],Table15[[#This Row],[rawData]])</f>
        <v>0</v>
      </c>
      <c r="G37" s="3">
        <f>Table36[Factor]*IF(Table15[[#This Row],[manDataEco]]&gt;0,Table15[[#This Row],[manDataEco]],Table15[[#This Row],[rawDataEco]])</f>
        <v>0</v>
      </c>
      <c r="H37" s="3">
        <f>1.36*Table15[[#This Row],[rpm]]*Table15[[#This Row],[motor]]/9550</f>
        <v>0</v>
      </c>
      <c r="I37" s="3">
        <f>1.36*Table15[[#This Row],[rpm]]*Table15[[#This Row],[motorEco]]/9550</f>
        <v>0</v>
      </c>
      <c r="J37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7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/>
      </c>
      <c r="L3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7" s="3">
        <f>(1-(1-Table15[[#This Row],[rpm]]/Table36[idleRpm])^2)*Table7[idleT]</f>
        <v>-19683.410648148147</v>
      </c>
      <c r="N37" s="3">
        <f>MAX(0,(1-Table7[f1]*(Table36[maxTRpm1]-Table15[[#This Row],[rpm]])^2)*Table36[maxT])</f>
        <v>0</v>
      </c>
      <c r="O37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0</v>
      </c>
      <c r="P37" s="3">
        <f>MAX(0,(Table36[maxPS]-Table7[f4]*(Table15[[#This Row],[rpm]]-Table36[maxPRpm])^2)/1.36*9550/MAX(1,Table15[[#This Row],[rpm]]))</f>
        <v>699.34162151702787</v>
      </c>
      <c r="Q37" s="3">
        <f>MAX(0,Table7[Nm2]*MIN(Table36[ratedRpm]/MAX(1,Table15[[#This Row],[rpm]]),1-(MAX(0,Table15[[#This Row],[rpm]]-Table36[ratedRpm])/Table36[fadeOut])^Table36[fadeOutExp]))</f>
        <v>0</v>
      </c>
      <c r="R37" s="3">
        <f>(1-(1-Table15[[#This Row],[rpm]]/Table36[idleRpm])^2)*Table7[idleTEco]</f>
        <v>-18699.24011574074</v>
      </c>
      <c r="S37" s="3">
        <f>MAX(0,(1-Table7[f1]*(Table36[maxTRpm1]-Table15[[#This Row],[rpm]])^2)*Table36[maxTEco])</f>
        <v>0</v>
      </c>
      <c r="T37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0</v>
      </c>
      <c r="U37" s="3">
        <f>MAX(0,(Table36[maxPSEco]-Table7[f4Eco]*(Table15[[#This Row],[rpm]]-Table36[maxPRpm])^2)/1.36*9550/MAX(1,Table15[[#This Row],[rpm]]))</f>
        <v>0</v>
      </c>
      <c r="V37" s="3">
        <f>MAX(0,Table7[Nm2Eco]*MIN(Table36[ratedRpm]/MAX(1,Table15[[#This Row],[rpm]]),1-(MAX(0,Table15[[#This Row],[rpm]]-Table36[ratedRpm])/Table36[fadeOut])^Table36[fadeOutExp]))</f>
        <v>0</v>
      </c>
    </row>
    <row r="38" spans="1:22" x14ac:dyDescent="0.25">
      <c r="A38" s="3">
        <v>5000</v>
      </c>
      <c r="B38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8" s="21"/>
      <c r="D38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8" s="21"/>
      <c r="F38" s="3">
        <f>Table36[Factor]*IF(Table15[[#This Row],[manualData]]&gt;0,Table15[[#This Row],[manualData]],Table15[[#This Row],[rawData]])</f>
        <v>0</v>
      </c>
      <c r="G38" s="3">
        <f>Table36[Factor]*IF(Table15[[#This Row],[manDataEco]]&gt;0,Table15[[#This Row],[manDataEco]],Table15[[#This Row],[rawDataEco]])</f>
        <v>0</v>
      </c>
      <c r="H38" s="3">
        <f>1.36*Table15[[#This Row],[rpm]]*Table15[[#This Row],[motor]]/9550</f>
        <v>0</v>
      </c>
      <c r="I38" s="3">
        <f>1.36*Table15[[#This Row],[rpm]]*Table15[[#This Row],[motorEco]]/9550</f>
        <v>0</v>
      </c>
      <c r="J38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8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/>
      </c>
      <c r="L3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8" s="3">
        <f>(1-(1-Table15[[#This Row],[rpm]]/Table36[idleRpm])^2)*Table7[idleT]</f>
        <v>-22475.259259259255</v>
      </c>
      <c r="N38" s="3">
        <f>MAX(0,(1-Table7[f1]*(Table36[maxTRpm1]-Table15[[#This Row],[rpm]])^2)*Table36[maxT])</f>
        <v>0</v>
      </c>
      <c r="O38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0</v>
      </c>
      <c r="P38" s="3">
        <f>MAX(0,(Table36[maxPS]-Table7[f4]*(Table15[[#This Row],[rpm]]-Table36[maxPRpm])^2)/1.36*9550/MAX(1,Table15[[#This Row],[rpm]]))</f>
        <v>716.60110294117635</v>
      </c>
      <c r="Q38" s="3">
        <f>MAX(0,Table7[Nm2]*MIN(Table36[ratedRpm]/MAX(1,Table15[[#This Row],[rpm]]),1-(MAX(0,Table15[[#This Row],[rpm]]-Table36[ratedRpm])/Table36[fadeOut])^Table36[fadeOutExp]))</f>
        <v>0</v>
      </c>
      <c r="R38" s="3">
        <f>(1-(1-Table15[[#This Row],[rpm]]/Table36[idleRpm])^2)*Table7[idleTEco]</f>
        <v>-21351.496296296296</v>
      </c>
      <c r="S38" s="3">
        <f>MAX(0,(1-Table7[f1]*(Table36[maxTRpm1]-Table15[[#This Row],[rpm]])^2)*Table36[maxTEco])</f>
        <v>0</v>
      </c>
      <c r="T38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0</v>
      </c>
      <c r="U38" s="3">
        <f>MAX(0,(Table36[maxPSEco]-Table7[f4Eco]*(Table15[[#This Row],[rpm]]-Table36[maxPRpm])^2)/1.36*9550/MAX(1,Table15[[#This Row],[rpm]]))</f>
        <v>0</v>
      </c>
      <c r="V38" s="3">
        <f>MAX(0,Table7[Nm2Eco]*MIN(Table36[ratedRpm]/MAX(1,Table15[[#This Row],[rpm]]),1-(MAX(0,Table15[[#This Row],[rpm]]-Table36[ratedRpm])/Table36[fadeOut])^Table36[fadeOutExp]))</f>
        <v>0</v>
      </c>
    </row>
    <row r="39" spans="1:22" x14ac:dyDescent="0.25">
      <c r="A39" s="3">
        <v>5250</v>
      </c>
      <c r="B39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9" s="21"/>
      <c r="D39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9" s="21"/>
      <c r="F39" s="3">
        <f>Table36[Factor]*IF(Table15[[#This Row],[manualData]]&gt;0,Table15[[#This Row],[manualData]],Table15[[#This Row],[rawData]])</f>
        <v>0</v>
      </c>
      <c r="G39" s="3">
        <f>Table36[Factor]*IF(Table15[[#This Row],[manDataEco]]&gt;0,Table15[[#This Row],[manDataEco]],Table15[[#This Row],[rawDataEco]])</f>
        <v>0</v>
      </c>
      <c r="H39" s="3">
        <f>1.36*Table15[[#This Row],[rpm]]*Table15[[#This Row],[motor]]/9550</f>
        <v>0</v>
      </c>
      <c r="I39" s="3">
        <f>1.36*Table15[[#This Row],[rpm]]*Table15[[#This Row],[motorEco]]/9550</f>
        <v>0</v>
      </c>
      <c r="J39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9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/>
      </c>
      <c r="L3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9" s="3">
        <f>(1-(1-Table15[[#This Row],[rpm]]/Table36[idleRpm])^2)*Table7[idleT]</f>
        <v>-25442.695833333328</v>
      </c>
      <c r="N39" s="3">
        <f>MAX(0,(1-Table7[f1]*(Table36[maxTRpm1]-Table15[[#This Row],[rpm]])^2)*Table36[maxT])</f>
        <v>0</v>
      </c>
      <c r="O39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0</v>
      </c>
      <c r="P39" s="3">
        <f>MAX(0,(Table36[maxPS]-Table7[f4]*(Table15[[#This Row],[rpm]]-Table36[maxPRpm])^2)/1.36*9550/MAX(1,Table15[[#This Row],[rpm]]))</f>
        <v>736.3966211484593</v>
      </c>
      <c r="Q39" s="3">
        <f>MAX(0,Table7[Nm2]*MIN(Table36[ratedRpm]/MAX(1,Table15[[#This Row],[rpm]]),1-(MAX(0,Table15[[#This Row],[rpm]]-Table36[ratedRpm])/Table36[fadeOut])^Table36[fadeOutExp]))</f>
        <v>0</v>
      </c>
      <c r="R39" s="3">
        <f>(1-(1-Table15[[#This Row],[rpm]]/Table36[idleRpm])^2)*Table7[idleTEco]</f>
        <v>-24170.56104166666</v>
      </c>
      <c r="S39" s="3">
        <f>MAX(0,(1-Table7[f1]*(Table36[maxTRpm1]-Table15[[#This Row],[rpm]])^2)*Table36[maxTEco])</f>
        <v>0</v>
      </c>
      <c r="T39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0</v>
      </c>
      <c r="U39" s="3">
        <f>MAX(0,(Table36[maxPSEco]-Table7[f4Eco]*(Table15[[#This Row],[rpm]]-Table36[maxPRpm])^2)/1.36*9550/MAX(1,Table15[[#This Row],[rpm]]))</f>
        <v>0</v>
      </c>
      <c r="V39" s="3">
        <f>MAX(0,Table7[Nm2Eco]*MIN(Table36[ratedRpm]/MAX(1,Table15[[#This Row],[rpm]]),1-(MAX(0,Table15[[#This Row],[rpm]]-Table36[ratedRpm])/Table36[fadeOut])^Table36[fadeOutExp]))</f>
        <v>0</v>
      </c>
    </row>
    <row r="40" spans="1:22" x14ac:dyDescent="0.25">
      <c r="A40" s="3">
        <v>5500</v>
      </c>
      <c r="B40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40" s="21"/>
      <c r="D40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40" s="21"/>
      <c r="F40" s="3">
        <f>Table36[Factor]*IF(Table15[[#This Row],[manualData]]&gt;0,Table15[[#This Row],[manualData]],Table15[[#This Row],[rawData]])</f>
        <v>0</v>
      </c>
      <c r="G40" s="3">
        <f>Table36[Factor]*IF(Table15[[#This Row],[manDataEco]]&gt;0,Table15[[#This Row],[manDataEco]],Table15[[#This Row],[rawDataEco]])</f>
        <v>0</v>
      </c>
      <c r="H40" s="3">
        <f>1.36*Table15[[#This Row],[rpm]]*Table15[[#This Row],[motor]]/9550</f>
        <v>0</v>
      </c>
      <c r="I40" s="3">
        <f>1.36*Table15[[#This Row],[rpm]]*Table15[[#This Row],[motorEco]]/9550</f>
        <v>0</v>
      </c>
      <c r="J40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40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/>
      </c>
      <c r="L4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0" s="3">
        <f>(1-(1-Table15[[#This Row],[rpm]]/Table36[idleRpm])^2)*Table7[idleT]</f>
        <v>-28585.720370370364</v>
      </c>
      <c r="N40" s="3">
        <f>MAX(0,(1-Table7[f1]*(Table36[maxTRpm1]-Table15[[#This Row],[rpm]])^2)*Table36[maxT])</f>
        <v>0</v>
      </c>
      <c r="O40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0</v>
      </c>
      <c r="P40" s="3">
        <f>MAX(0,(Table36[maxPS]-Table7[f4]*(Table15[[#This Row],[rpm]]-Table36[maxPRpm])^2)/1.36*9550/MAX(1,Table15[[#This Row],[rpm]]))</f>
        <v>758.38235294117646</v>
      </c>
      <c r="Q40" s="3">
        <f>MAX(0,Table7[Nm2]*MIN(Table36[ratedRpm]/MAX(1,Table15[[#This Row],[rpm]]),1-(MAX(0,Table15[[#This Row],[rpm]]-Table36[ratedRpm])/Table36[fadeOut])^Table36[fadeOutExp]))</f>
        <v>0</v>
      </c>
      <c r="R40" s="3">
        <f>(1-(1-Table15[[#This Row],[rpm]]/Table36[idleRpm])^2)*Table7[idleTEco]</f>
        <v>-27156.434351851847</v>
      </c>
      <c r="S40" s="3">
        <f>MAX(0,(1-Table7[f1]*(Table36[maxTRpm1]-Table15[[#This Row],[rpm]])^2)*Table36[maxTEco])</f>
        <v>0</v>
      </c>
      <c r="T40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0</v>
      </c>
      <c r="U40" s="3">
        <f>MAX(0,(Table36[maxPSEco]-Table7[f4Eco]*(Table15[[#This Row],[rpm]]-Table36[maxPRpm])^2)/1.36*9550/MAX(1,Table15[[#This Row],[rpm]]))</f>
        <v>0</v>
      </c>
      <c r="V40" s="3">
        <f>MAX(0,Table7[Nm2Eco]*MIN(Table36[ratedRpm]/MAX(1,Table15[[#This Row],[rpm]]),1-(MAX(0,Table15[[#This Row],[rpm]]-Table36[ratedRpm])/Table36[fadeOut])^Table36[fadeOutExp]))</f>
        <v>0</v>
      </c>
    </row>
    <row r="41" spans="1:22" x14ac:dyDescent="0.25">
      <c r="A41" s="3">
        <v>5750</v>
      </c>
      <c r="B41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41" s="21"/>
      <c r="D41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41" s="21"/>
      <c r="F41" s="3">
        <f>Table36[Factor]*IF(Table15[[#This Row],[manualData]]&gt;0,Table15[[#This Row],[manualData]],Table15[[#This Row],[rawData]])</f>
        <v>0</v>
      </c>
      <c r="G41" s="3">
        <f>Table36[Factor]*IF(Table15[[#This Row],[manDataEco]]&gt;0,Table15[[#This Row],[manDataEco]],Table15[[#This Row],[rawDataEco]])</f>
        <v>0</v>
      </c>
      <c r="H41" s="3">
        <f>1.36*Table15[[#This Row],[rpm]]*Table15[[#This Row],[motor]]/9550</f>
        <v>0</v>
      </c>
      <c r="I41" s="3">
        <f>1.36*Table15[[#This Row],[rpm]]*Table15[[#This Row],[motorEco]]/9550</f>
        <v>0</v>
      </c>
      <c r="J41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41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/>
      </c>
      <c r="L4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1" s="3">
        <f>(1-(1-Table15[[#This Row],[rpm]]/Table36[idleRpm])^2)*Table7[idleT]</f>
        <v>-31904.332870370374</v>
      </c>
      <c r="N41" s="3">
        <f>MAX(0,(1-Table7[f1]*(Table36[maxTRpm1]-Table15[[#This Row],[rpm]])^2)*Table36[maxT])</f>
        <v>0</v>
      </c>
      <c r="O41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0</v>
      </c>
      <c r="P41" s="3">
        <f>MAX(0,(Table36[maxPS]-Table7[f4]*(Table15[[#This Row],[rpm]]-Table36[maxPRpm])^2)/1.36*9550/MAX(1,Table15[[#This Row],[rpm]]))</f>
        <v>782.27261828644498</v>
      </c>
      <c r="Q41" s="3">
        <f>MAX(0,Table7[Nm2]*MIN(Table36[ratedRpm]/MAX(1,Table15[[#This Row],[rpm]]),1-(MAX(0,Table15[[#This Row],[rpm]]-Table36[ratedRpm])/Table36[fadeOut])^Table36[fadeOutExp]))</f>
        <v>0</v>
      </c>
      <c r="R41" s="3">
        <f>(1-(1-Table15[[#This Row],[rpm]]/Table36[idleRpm])^2)*Table7[idleTEco]</f>
        <v>-30309.116226851856</v>
      </c>
      <c r="S41" s="3">
        <f>MAX(0,(1-Table7[f1]*(Table36[maxTRpm1]-Table15[[#This Row],[rpm]])^2)*Table36[maxTEco])</f>
        <v>0</v>
      </c>
      <c r="T41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0</v>
      </c>
      <c r="U41" s="3">
        <f>MAX(0,(Table36[maxPSEco]-Table7[f4Eco]*(Table15[[#This Row],[rpm]]-Table36[maxPRpm])^2)/1.36*9550/MAX(1,Table15[[#This Row],[rpm]]))</f>
        <v>0</v>
      </c>
      <c r="V41" s="3">
        <f>MAX(0,Table7[Nm2Eco]*MIN(Table36[ratedRpm]/MAX(1,Table15[[#This Row],[rpm]]),1-(MAX(0,Table15[[#This Row],[rpm]]-Table36[ratedRpm])/Table36[fadeOut])^Table36[fadeOutExp]))</f>
        <v>0</v>
      </c>
    </row>
    <row r="42" spans="1:22" ht="15.75" thickBot="1" x14ac:dyDescent="0.3">
      <c r="A42" s="3">
        <v>6000</v>
      </c>
      <c r="B42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42" s="22"/>
      <c r="D42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42" s="22"/>
      <c r="F42" s="3">
        <f>Table36[Factor]*IF(Table15[[#This Row],[manualData]]&gt;0,Table15[[#This Row],[manualData]],Table15[[#This Row],[rawData]])</f>
        <v>0</v>
      </c>
      <c r="G42" s="3">
        <f>Table36[Factor]*IF(Table15[[#This Row],[manDataEco]]&gt;0,Table15[[#This Row],[manDataEco]],Table15[[#This Row],[rawDataEco]])</f>
        <v>0</v>
      </c>
      <c r="H42" s="3">
        <f>1.36*Table15[[#This Row],[rpm]]*Table15[[#This Row],[motor]]/9550</f>
        <v>0</v>
      </c>
      <c r="I42" s="3">
        <f>1.36*Table15[[#This Row],[rpm]]*Table15[[#This Row],[motorEco]]/9550</f>
        <v>0</v>
      </c>
      <c r="J42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42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Row],[fuelUsageRatio]],1),"""/&gt;",IF(Table15[[#This Row],[manualData]]&gt;0,CONCATENATE("&lt;!-- manualData: ",Table15[[#This Row],[manualData]],"--&gt;"),""))))</f>
        <v/>
      </c>
      <c r="L4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2" s="3">
        <f>(1-(1-Table15[[#This Row],[rpm]]/Table36[idleRpm])^2)*Table7[idleT]</f>
        <v>-35398.533333333333</v>
      </c>
      <c r="N42" s="3">
        <f>MAX(0,(1-Table7[f1]*(Table36[maxTRpm1]-Table15[[#This Row],[rpm]])^2)*Table36[maxT])</f>
        <v>0</v>
      </c>
      <c r="O42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0</v>
      </c>
      <c r="P42" s="3">
        <f>MAX(0,(Table36[maxPS]-Table7[f4]*(Table15[[#This Row],[rpm]]-Table36[maxPRpm])^2)/1.36*9550/MAX(1,Table15[[#This Row],[rpm]]))</f>
        <v>807.82935049019602</v>
      </c>
      <c r="Q42" s="3">
        <f>MAX(0,Table7[Nm2]*MIN(Table36[ratedRpm]/MAX(1,Table15[[#This Row],[rpm]]),1-(MAX(0,Table15[[#This Row],[rpm]]-Table36[ratedRpm])/Table36[fadeOut])^Table36[fadeOutExp]))</f>
        <v>0</v>
      </c>
      <c r="R42" s="3">
        <f>(1-(1-Table15[[#This Row],[rpm]]/Table36[idleRpm])^2)*Table7[idleTEco]</f>
        <v>-33628.606666666667</v>
      </c>
      <c r="S42" s="3">
        <f>MAX(0,(1-Table7[f1]*(Table36[maxTRpm1]-Table15[[#This Row],[rpm]])^2)*Table36[maxTEco])</f>
        <v>0</v>
      </c>
      <c r="T42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0</v>
      </c>
      <c r="U42" s="3">
        <f>MAX(0,(Table36[maxPSEco]-Table7[f4Eco]*(Table15[[#This Row],[rpm]]-Table36[maxPRpm])^2)/1.36*9550/MAX(1,Table15[[#This Row],[rpm]]))</f>
        <v>0</v>
      </c>
      <c r="V42" s="3">
        <f>MAX(0,Table7[Nm2Eco]*MIN(Table36[ratedRpm]/MAX(1,Table15[[#This Row],[rpm]]),1-(MAX(0,Table15[[#This Row],[rpm]]-Table36[ratedRpm])/Table36[fadeOut])^Table36[fadeOutExp]))</f>
        <v>0</v>
      </c>
    </row>
  </sheetData>
  <conditionalFormatting sqref="I7:I25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{E1C56E9C-EE7A-4A8D-B0DC-E752B34F8D7C}</x14:id>
        </ext>
      </extLst>
    </cfRule>
  </conditionalFormatting>
  <conditionalFormatting sqref="F7:G25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{38D9AB0E-4856-4112-B342-A97DADB3E4E7}</x14:id>
        </ext>
      </extLst>
    </cfRule>
  </conditionalFormatting>
  <conditionalFormatting sqref="H7:H42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{16AE14AC-497A-431B-A55E-276DD076547C}</x14:id>
        </ext>
      </extLst>
    </cfRule>
  </conditionalFormatting>
  <conditionalFormatting sqref="H7:I4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{DC5EE46E-370E-4713-8616-D3D113139AC2}</x14:id>
        </ext>
      </extLst>
    </cfRule>
  </conditionalFormatting>
  <conditionalFormatting sqref="F7:G4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{98050814-2C89-45D9-81C5-8AFF6038F3C7}</x14:id>
        </ext>
      </extLst>
    </cfRule>
  </conditionalFormatting>
  <conditionalFormatting sqref="J7:J4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{43DDCF38-9659-4E25-8C46-2A3E5E72C923}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C56E9C-EE7A-4A8D-B0DC-E752B34F8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I7:I25</xm:sqref>
        </x14:conditionalFormatting>
        <x14:conditionalFormatting xmlns:xm="http://schemas.microsoft.com/office/excel/2006/main">
          <x14:cfRule type="dataBar" id="{38D9AB0E-4856-4112-B342-A97DADB3E4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F7:G25</xm:sqref>
        </x14:conditionalFormatting>
        <x14:conditionalFormatting xmlns:xm="http://schemas.microsoft.com/office/excel/2006/main">
          <x14:cfRule type="dataBar" id="{16AE14AC-497A-431B-A55E-276DD07654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H7:H42</xm:sqref>
        </x14:conditionalFormatting>
        <x14:conditionalFormatting xmlns:xm="http://schemas.microsoft.com/office/excel/2006/main">
          <x14:cfRule type="dataBar" id="{DC5EE46E-370E-4713-8616-D3D113139A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H7:I42</xm:sqref>
        </x14:conditionalFormatting>
        <x14:conditionalFormatting xmlns:xm="http://schemas.microsoft.com/office/excel/2006/main">
          <x14:cfRule type="dataBar" id="{98050814-2C89-45D9-81C5-8AFF6038F3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F7:G42</xm:sqref>
        </x14:conditionalFormatting>
        <x14:conditionalFormatting xmlns:xm="http://schemas.microsoft.com/office/excel/2006/main">
          <x14:cfRule type="dataBar" id="{43DDCF38-9659-4E25-8C46-2A3E5E72C9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J7:J42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" sqref="G2:G17"/>
    </sheetView>
  </sheetViews>
  <sheetFormatPr defaultRowHeight="15" x14ac:dyDescent="0.25"/>
  <cols>
    <col min="2" max="2" width="11.85546875" customWidth="1"/>
    <col min="7" max="7" width="13.28515625" customWidth="1"/>
    <col min="8" max="8" width="16.140625" customWidth="1"/>
  </cols>
  <sheetData>
    <row r="1" spans="1:8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  <c r="H1" t="s">
        <v>9</v>
      </c>
    </row>
    <row r="2" spans="1:8" x14ac:dyDescent="0.25">
      <c r="A2">
        <v>800</v>
      </c>
      <c r="B2">
        <v>2600</v>
      </c>
      <c r="C2">
        <f>$A$22*Table1[[#This Row],[rawData]]</f>
        <v>2444</v>
      </c>
      <c r="D2" s="1">
        <f>A2*C2/9550</f>
        <v>204.73298429319371</v>
      </c>
      <c r="E2" s="1">
        <f>Table1[[#This Row],[kw_pto]]*1.36/0.94</f>
        <v>296.20942408376965</v>
      </c>
      <c r="F2">
        <f t="shared" ref="F2" si="0">C2/0.94</f>
        <v>2600</v>
      </c>
      <c r="G2" s="1" t="str">
        <f>CONCATENATE("&lt;torque rpm=""",Table1[[#This Row],[rpm]],""" motorTorque=""",ROUND(Table1[[#This Row],[motor]],0),"""/&gt;")</f>
        <v>&lt;torque rpm="800" motorTorque="2600"/&gt;</v>
      </c>
      <c r="H2" s="1" t="str">
        <f>CONCATENATE("&lt;torque normRpm=""",ROUND(Table1[[#This Row],[rpm]]/Table3[ratedRpm],3),""" torque=""",ROUND(Table1[[#This Row],[motor]]/MAX(Table1[motor]),3),"""/&gt;")</f>
        <v>&lt;torque normRpm="0.381" torque="0.884"/&gt;</v>
      </c>
    </row>
    <row r="3" spans="1:8" x14ac:dyDescent="0.25">
      <c r="A3">
        <v>900</v>
      </c>
      <c r="B3">
        <v>2730</v>
      </c>
      <c r="C3">
        <f>$A$22*Table1[[#This Row],[rawData]]</f>
        <v>2566.1999999999998</v>
      </c>
      <c r="D3" s="1">
        <f>A3*C3/9550</f>
        <v>241.84083769633509</v>
      </c>
      <c r="E3" s="1">
        <f>Table1[[#This Row],[kw_pto]]*1.36/0.94</f>
        <v>349.89738219895293</v>
      </c>
      <c r="F3">
        <f t="shared" ref="F3:F18" si="1">C3/0.94</f>
        <v>2730</v>
      </c>
      <c r="G3" s="1" t="str">
        <f>CONCATENATE("&lt;torque rpm=""",Table1[[#This Row],[rpm]],""" motorTorque=""",ROUND(Table1[[#This Row],[motor]],0),"""/&gt;")</f>
        <v>&lt;torque rpm="900" motorTorque="2730"/&gt;</v>
      </c>
      <c r="H3" s="1" t="str">
        <f>CONCATENATE("&lt;torque normRpm=""",ROUND(Table1[[#This Row],[rpm]]/Table3[ratedRpm],3),""" torque=""",ROUND(Table1[[#This Row],[motor]]/MAX(Table1[motor]),3),"""/&gt;")</f>
        <v>&lt;torque normRpm="0.429" torque="0.928"/&gt;</v>
      </c>
    </row>
    <row r="4" spans="1:8" x14ac:dyDescent="0.25">
      <c r="A4">
        <v>1000</v>
      </c>
      <c r="B4">
        <v>2800</v>
      </c>
      <c r="C4">
        <f>$A$22*Table1[[#This Row],[rawData]]</f>
        <v>2632</v>
      </c>
      <c r="D4">
        <f t="shared" ref="D4:D18" si="2">A4*C4/9550</f>
        <v>275.60209424083769</v>
      </c>
      <c r="E4">
        <f>Table1[[#This Row],[kw_pto]]*1.36/0.94</f>
        <v>398.74345549738223</v>
      </c>
      <c r="F4">
        <f t="shared" si="1"/>
        <v>2800</v>
      </c>
      <c r="G4" t="str">
        <f>CONCATENATE("&lt;torque rpm=""",Table1[[#This Row],[rpm]],""" motorTorque=""",ROUND(Table1[[#This Row],[motor]],0),"""/&gt;")</f>
        <v>&lt;torque rpm="1000" motorTorque="2800"/&gt;</v>
      </c>
      <c r="H4" s="1" t="str">
        <f>CONCATENATE("&lt;torque normRpm=""",ROUND(Table1[[#This Row],[rpm]]/Table3[ratedRpm],3),""" torque=""",ROUND(Table1[[#This Row],[motor]]/MAX(Table1[motor]),3),"""/&gt;")</f>
        <v>&lt;torque normRpm="0.476" torque="0.952"/&gt;</v>
      </c>
    </row>
    <row r="5" spans="1:8" x14ac:dyDescent="0.25">
      <c r="A5">
        <v>1100</v>
      </c>
      <c r="B5">
        <v>2850</v>
      </c>
      <c r="C5">
        <f>$A$22*Table1[[#This Row],[rawData]]</f>
        <v>2679</v>
      </c>
      <c r="D5">
        <f t="shared" si="2"/>
        <v>308.57591623036649</v>
      </c>
      <c r="E5">
        <f>Table1[[#This Row],[kw_pto]]*1.36/0.94</f>
        <v>446.45026178010477</v>
      </c>
      <c r="F5">
        <f t="shared" si="1"/>
        <v>2850</v>
      </c>
      <c r="G5" t="str">
        <f>CONCATENATE("&lt;torque rpm=""",Table1[[#This Row],[rpm]],""" motorTorque=""",ROUND(Table1[[#This Row],[motor]],0),"""/&gt;")</f>
        <v>&lt;torque rpm="1100" motorTorque="2850"/&gt;</v>
      </c>
      <c r="H5" s="1" t="str">
        <f>CONCATENATE("&lt;torque normRpm=""",ROUND(Table1[[#This Row],[rpm]]/Table3[ratedRpm],3),""" torque=""",ROUND(Table1[[#This Row],[motor]]/MAX(Table1[motor]),3),"""/&gt;")</f>
        <v>&lt;torque normRpm="0.524" torque="0.969"/&gt;</v>
      </c>
    </row>
    <row r="6" spans="1:8" x14ac:dyDescent="0.25">
      <c r="A6">
        <v>1200</v>
      </c>
      <c r="B6">
        <v>2890</v>
      </c>
      <c r="C6">
        <f>$A$22*Table1[[#This Row],[rawData]]</f>
        <v>2716.6</v>
      </c>
      <c r="D6">
        <f t="shared" si="2"/>
        <v>341.35287958115185</v>
      </c>
      <c r="E6">
        <f>Table1[[#This Row],[kw_pto]]*1.36/0.94</f>
        <v>493.87225130890062</v>
      </c>
      <c r="F6">
        <f t="shared" si="1"/>
        <v>2890</v>
      </c>
      <c r="G6" t="str">
        <f>CONCATENATE("&lt;torque rpm=""",Table1[[#This Row],[rpm]],""" motorTorque=""",ROUND(Table1[[#This Row],[motor]],0),"""/&gt;")</f>
        <v>&lt;torque rpm="1200" motorTorque="2890"/&gt;</v>
      </c>
      <c r="H6" s="1" t="str">
        <f>CONCATENATE("&lt;torque normRpm=""",ROUND(Table1[[#This Row],[rpm]]/Table3[ratedRpm],3),""" torque=""",ROUND(Table1[[#This Row],[motor]]/MAX(Table1[motor]),3),"""/&gt;")</f>
        <v>&lt;torque normRpm="0.571" torque="0.983"/&gt;</v>
      </c>
    </row>
    <row r="7" spans="1:8" x14ac:dyDescent="0.25">
      <c r="A7">
        <v>1300</v>
      </c>
      <c r="B7">
        <v>2920</v>
      </c>
      <c r="C7">
        <f>$A$22*Table1[[#This Row],[rawData]]</f>
        <v>2744.7999999999997</v>
      </c>
      <c r="D7">
        <f t="shared" si="2"/>
        <v>373.63769633507849</v>
      </c>
      <c r="E7">
        <f>Table1[[#This Row],[kw_pto]]*1.36/0.94</f>
        <v>540.58219895287959</v>
      </c>
      <c r="F7">
        <f t="shared" si="1"/>
        <v>2920</v>
      </c>
      <c r="G7" t="str">
        <f>CONCATENATE("&lt;torque rpm=""",Table1[[#This Row],[rpm]],""" motorTorque=""",ROUND(Table1[[#This Row],[motor]],0),"""/&gt;")</f>
        <v>&lt;torque rpm="1300" motorTorque="2920"/&gt;</v>
      </c>
      <c r="H7" s="1" t="str">
        <f>CONCATENATE("&lt;torque normRpm=""",ROUND(Table1[[#This Row],[rpm]]/Table3[ratedRpm],3),""" torque=""",ROUND(Table1[[#This Row],[motor]]/MAX(Table1[motor]),3),"""/&gt;")</f>
        <v>&lt;torque normRpm="0.619" torque="0.993"/&gt;</v>
      </c>
    </row>
    <row r="8" spans="1:8" x14ac:dyDescent="0.25">
      <c r="A8">
        <v>1400</v>
      </c>
      <c r="B8">
        <v>2941</v>
      </c>
      <c r="C8">
        <f>$A$22*Table1[[#This Row],[rawData]]</f>
        <v>2764.54</v>
      </c>
      <c r="D8">
        <f t="shared" si="2"/>
        <v>405.27287958115181</v>
      </c>
      <c r="E8">
        <f>Table1[[#This Row],[kw_pto]]*1.36/0.94</f>
        <v>586.35225130890058</v>
      </c>
      <c r="F8">
        <f t="shared" si="1"/>
        <v>2941</v>
      </c>
      <c r="G8" t="str">
        <f>CONCATENATE("&lt;torque rpm=""",Table1[[#This Row],[rpm]],""" motorTorque=""",ROUND(Table1[[#This Row],[motor]],0),"""/&gt;")</f>
        <v>&lt;torque rpm="1400" motorTorque="2941"/&gt;</v>
      </c>
      <c r="H8" s="1" t="str">
        <f>CONCATENATE("&lt;torque normRpm=""",ROUND(Table1[[#This Row],[rpm]]/Table3[ratedRpm],3),""" torque=""",ROUND(Table1[[#This Row],[motor]]/MAX(Table1[motor]),3),"""/&gt;")</f>
        <v>&lt;torque normRpm="0.667" torque="1"/&gt;</v>
      </c>
    </row>
    <row r="9" spans="1:8" x14ac:dyDescent="0.25">
      <c r="A9">
        <v>1500</v>
      </c>
      <c r="B9">
        <v>2900</v>
      </c>
      <c r="C9">
        <f>$A$22*Table1[[#This Row],[rawData]]</f>
        <v>2726</v>
      </c>
      <c r="D9">
        <f t="shared" si="2"/>
        <v>428.16753926701568</v>
      </c>
      <c r="E9">
        <f>Table1[[#This Row],[kw_pto]]*1.36/0.94</f>
        <v>619.47643979057602</v>
      </c>
      <c r="F9">
        <f t="shared" si="1"/>
        <v>2900</v>
      </c>
      <c r="G9" t="str">
        <f>CONCATENATE("&lt;torque rpm=""",Table1[[#This Row],[rpm]],""" motorTorque=""",ROUND(Table1[[#This Row],[motor]],0),"""/&gt;")</f>
        <v>&lt;torque rpm="1500" motorTorque="2900"/&gt;</v>
      </c>
      <c r="H9" s="1" t="str">
        <f>CONCATENATE("&lt;torque normRpm=""",ROUND(Table1[[#This Row],[rpm]]/Table3[ratedRpm],3),""" torque=""",ROUND(Table1[[#This Row],[motor]]/MAX(Table1[motor]),3),"""/&gt;")</f>
        <v>&lt;torque normRpm="0.714" torque="0.986"/&gt;</v>
      </c>
    </row>
    <row r="10" spans="1:8" x14ac:dyDescent="0.25">
      <c r="A10">
        <v>1600</v>
      </c>
      <c r="B10">
        <v>2830</v>
      </c>
      <c r="C10">
        <f>$A$22*Table1[[#This Row],[rawData]]</f>
        <v>2660.2</v>
      </c>
      <c r="D10">
        <f t="shared" si="2"/>
        <v>445.68795811518322</v>
      </c>
      <c r="E10">
        <f>Table1[[#This Row],[kw_pto]]*1.36/0.94</f>
        <v>644.82513089005238</v>
      </c>
      <c r="F10">
        <f t="shared" si="1"/>
        <v>2830</v>
      </c>
      <c r="G10" t="str">
        <f>CONCATENATE("&lt;torque rpm=""",Table1[[#This Row],[rpm]],""" motorTorque=""",ROUND(Table1[[#This Row],[motor]],0),"""/&gt;")</f>
        <v>&lt;torque rpm="1600" motorTorque="2830"/&gt;</v>
      </c>
      <c r="H10" s="1" t="str">
        <f>CONCATENATE("&lt;torque normRpm=""",ROUND(Table1[[#This Row],[rpm]]/Table3[ratedRpm],3),""" torque=""",ROUND(Table1[[#This Row],[motor]]/MAX(Table1[motor]),3),"""/&gt;")</f>
        <v>&lt;torque normRpm="0.762" torque="0.962"/&gt;</v>
      </c>
    </row>
    <row r="11" spans="1:8" x14ac:dyDescent="0.25">
      <c r="A11">
        <v>1700</v>
      </c>
      <c r="B11">
        <v>2740</v>
      </c>
      <c r="C11">
        <f>$A$22*Table1[[#This Row],[rawData]]</f>
        <v>2575.6</v>
      </c>
      <c r="D11">
        <f t="shared" si="2"/>
        <v>458.48376963350785</v>
      </c>
      <c r="E11">
        <f>Table1[[#This Row],[kw_pto]]*1.36/0.94</f>
        <v>663.33821989528803</v>
      </c>
      <c r="F11">
        <f t="shared" si="1"/>
        <v>2740</v>
      </c>
      <c r="G11" t="str">
        <f>CONCATENATE("&lt;torque rpm=""",Table1[[#This Row],[rpm]],""" motorTorque=""",ROUND(Table1[[#This Row],[motor]],0),"""/&gt;")</f>
        <v>&lt;torque rpm="1700" motorTorque="2740"/&gt;</v>
      </c>
      <c r="H11" s="1" t="str">
        <f>CONCATENATE("&lt;torque normRpm=""",ROUND(Table1[[#This Row],[rpm]]/Table3[ratedRpm],3),""" torque=""",ROUND(Table1[[#This Row],[motor]]/MAX(Table1[motor]),3),"""/&gt;")</f>
        <v>&lt;torque normRpm="0.81" torque="0.932"/&gt;</v>
      </c>
    </row>
    <row r="12" spans="1:8" x14ac:dyDescent="0.25">
      <c r="A12">
        <v>1800</v>
      </c>
      <c r="B12">
        <v>2650</v>
      </c>
      <c r="C12">
        <f>$A$22*Table1[[#This Row],[rawData]]</f>
        <v>2491</v>
      </c>
      <c r="D12">
        <f t="shared" si="2"/>
        <v>469.50785340314138</v>
      </c>
      <c r="E12">
        <f>Table1[[#This Row],[kw_pto]]*1.36/0.94</f>
        <v>679.2879581151833</v>
      </c>
      <c r="F12">
        <f t="shared" si="1"/>
        <v>2650</v>
      </c>
      <c r="G12" t="str">
        <f>CONCATENATE("&lt;torque rpm=""",Table1[[#This Row],[rpm]],""" motorTorque=""",ROUND(Table1[[#This Row],[motor]],0),"""/&gt;")</f>
        <v>&lt;torque rpm="1800" motorTorque="2650"/&gt;</v>
      </c>
      <c r="H12" s="1" t="str">
        <f>CONCATENATE("&lt;torque normRpm=""",ROUND(Table1[[#This Row],[rpm]]/Table3[ratedRpm],3),""" torque=""",ROUND(Table1[[#This Row],[motor]]/MAX(Table1[motor]),3),"""/&gt;")</f>
        <v>&lt;torque normRpm="0.857" torque="0.901"/&gt;</v>
      </c>
    </row>
    <row r="13" spans="1:8" x14ac:dyDescent="0.25">
      <c r="A13">
        <v>1900</v>
      </c>
      <c r="B13">
        <f>0.94*Table3[PS]/1.36*9550/Table1[[#This Row],[rpm]]/Table3[Factor]</f>
        <v>2557.5077399380802</v>
      </c>
      <c r="C13">
        <f>$A$22*Table1[[#This Row],[rawData]]</f>
        <v>2404.0572755417952</v>
      </c>
      <c r="D13">
        <f t="shared" si="2"/>
        <v>478.29411764705873</v>
      </c>
      <c r="E13">
        <f>Table1[[#This Row],[kw_pto]]*1.36/0.94</f>
        <v>691.99999999999989</v>
      </c>
      <c r="F13">
        <f t="shared" si="1"/>
        <v>2557.5077399380802</v>
      </c>
      <c r="G13" t="str">
        <f>CONCATENATE("&lt;torque rpm=""",Table1[[#This Row],[rpm]],""" motorTorque=""",ROUND(Table1[[#This Row],[motor]],0),"""/&gt;")</f>
        <v>&lt;torque rpm="1900" motorTorque="2558"/&gt;</v>
      </c>
      <c r="H13" s="1" t="str">
        <f>CONCATENATE("&lt;torque normRpm=""",ROUND(Table1[[#This Row],[rpm]]/Table3[ratedRpm],3),""" torque=""",ROUND(Table1[[#This Row],[motor]]/MAX(Table1[motor]),3),"""/&gt;")</f>
        <v>&lt;torque normRpm="0.905" torque="0.87"/&gt;</v>
      </c>
    </row>
    <row r="14" spans="1:8" x14ac:dyDescent="0.25">
      <c r="A14">
        <v>2000</v>
      </c>
      <c r="B14">
        <f>0.94*Table3[PS]/1.36*9550/Table1[[#This Row],[rpm]]/Table3[Factor]</f>
        <v>2429.6323529411766</v>
      </c>
      <c r="C14">
        <f>$A$22*Table1[[#This Row],[rawData]]</f>
        <v>2283.8544117647057</v>
      </c>
      <c r="D14">
        <f t="shared" si="2"/>
        <v>478.29411764705873</v>
      </c>
      <c r="E14">
        <f>Table1[[#This Row],[kw_pto]]*1.36/0.94</f>
        <v>691.99999999999989</v>
      </c>
      <c r="F14">
        <f t="shared" si="1"/>
        <v>2429.6323529411766</v>
      </c>
      <c r="G14" t="str">
        <f>CONCATENATE("&lt;torque rpm=""",Table1[[#This Row],[rpm]],""" motorTorque=""",ROUND(Table1[[#This Row],[motor]],0),"""/&gt;")</f>
        <v>&lt;torque rpm="2000" motorTorque="2430"/&gt;</v>
      </c>
      <c r="H14" s="1" t="str">
        <f>CONCATENATE("&lt;torque normRpm=""",ROUND(Table1[[#This Row],[rpm]]/Table3[ratedRpm],3),""" torque=""",ROUND(Table1[[#This Row],[motor]]/MAX(Table1[motor]),3),"""/&gt;")</f>
        <v>&lt;torque normRpm="0.952" torque="0.826"/&gt;</v>
      </c>
    </row>
    <row r="15" spans="1:8" x14ac:dyDescent="0.25">
      <c r="A15">
        <v>2100</v>
      </c>
      <c r="B15">
        <f>0.94*Table3[PS]/1.36*9550/Table1[[#This Row],[rpm]]/Table3[Factor]</f>
        <v>2313.9355742296916</v>
      </c>
      <c r="C15">
        <f>$A$22*Table1[[#This Row],[rawData]]</f>
        <v>2175.09943977591</v>
      </c>
      <c r="D15">
        <f t="shared" si="2"/>
        <v>478.29411764705873</v>
      </c>
      <c r="E15">
        <f>Table1[[#This Row],[kw_pto]]*1.36/0.94</f>
        <v>691.99999999999989</v>
      </c>
      <c r="F15">
        <f t="shared" si="1"/>
        <v>2313.9355742296916</v>
      </c>
      <c r="G15" t="str">
        <f>CONCATENATE("&lt;torque rpm=""",Table1[[#This Row],[rpm]],""" motorTorque=""",ROUND(Table1[[#This Row],[motor]],0),"""/&gt;")</f>
        <v>&lt;torque rpm="2100" motorTorque="2314"/&gt;</v>
      </c>
      <c r="H15" s="1" t="str">
        <f>CONCATENATE("&lt;torque normRpm=""",ROUND(Table1[[#This Row],[rpm]]/Table3[ratedRpm],3),""" torque=""",ROUND(Table1[[#This Row],[motor]]/MAX(Table1[motor]),3),"""/&gt;")</f>
        <v>&lt;torque normRpm="1" torque="0.787"/&gt;</v>
      </c>
    </row>
    <row r="16" spans="1:8" x14ac:dyDescent="0.25">
      <c r="A16">
        <v>2200</v>
      </c>
      <c r="B16">
        <v>2000</v>
      </c>
      <c r="C16">
        <f>$A$22*Table1[[#This Row],[rawData]]</f>
        <v>1880</v>
      </c>
      <c r="D16">
        <f t="shared" si="2"/>
        <v>433.08900523560209</v>
      </c>
      <c r="E16">
        <f>Table1[[#This Row],[kw_pto]]*1.36/0.94</f>
        <v>626.59685863874358</v>
      </c>
      <c r="F16">
        <f t="shared" si="1"/>
        <v>2000</v>
      </c>
      <c r="G16" t="str">
        <f>CONCATENATE("&lt;torque rpm=""",Table1[[#This Row],[rpm]],""" motorTorque=""",ROUND(Table1[[#This Row],[motor]],0),"""/&gt;")</f>
        <v>&lt;torque rpm="2200" motorTorque="2000"/&gt;</v>
      </c>
      <c r="H16" s="1" t="str">
        <f>CONCATENATE("&lt;torque normRpm=""",ROUND(Table1[[#This Row],[rpm]]/Table3[ratedRpm],3),""" torque=""",ROUND(Table1[[#This Row],[motor]]/MAX(Table1[motor]),3),"""/&gt;")</f>
        <v>&lt;torque normRpm="1.048" torque="0.68"/&gt;</v>
      </c>
    </row>
    <row r="17" spans="1:8" x14ac:dyDescent="0.25">
      <c r="A17">
        <v>2300</v>
      </c>
      <c r="B17">
        <v>0</v>
      </c>
      <c r="C17">
        <f>$A$22*Table1[[#This Row],[rawData]]</f>
        <v>0</v>
      </c>
      <c r="D17">
        <f t="shared" si="2"/>
        <v>0</v>
      </c>
      <c r="E17">
        <f>Table1[[#This Row],[kw_pto]]*1.36/0.94</f>
        <v>0</v>
      </c>
      <c r="F17">
        <f t="shared" si="1"/>
        <v>0</v>
      </c>
      <c r="G17" t="str">
        <f>CONCATENATE("&lt;torque rpm=""",Table1[[#This Row],[rpm]],""" motorTorque=""",ROUND(Table1[[#This Row],[motor]],0),"""/&gt;")</f>
        <v>&lt;torque rpm="2300" motorTorque="0"/&gt;</v>
      </c>
      <c r="H17" s="1" t="str">
        <f>CONCATENATE("&lt;torque normRpm=""",ROUND(Table1[[#This Row],[rpm]]/Table3[ratedRpm],3),""" torque=""",ROUND(Table1[[#This Row],[motor]]/MAX(Table1[motor]),3),"""/&gt;")</f>
        <v>&lt;torque normRpm="1.095" torque="0"/&gt;</v>
      </c>
    </row>
    <row r="18" spans="1:8" x14ac:dyDescent="0.25">
      <c r="A18">
        <v>2400</v>
      </c>
      <c r="B18">
        <v>0</v>
      </c>
      <c r="C18">
        <f>$A$22*Table1[[#This Row],[rawData]]</f>
        <v>0</v>
      </c>
      <c r="D18">
        <f t="shared" si="2"/>
        <v>0</v>
      </c>
      <c r="E18">
        <f>Table1[[#This Row],[kw_pto]]*1.36/0.94</f>
        <v>0</v>
      </c>
      <c r="F18">
        <f t="shared" si="1"/>
        <v>0</v>
      </c>
      <c r="G18" t="str">
        <f>CONCATENATE("&lt;torque rpm=""",Table1[[#This Row],[rpm]],""" motorTorque=""",ROUND(Table1[[#This Row],[motor]],0),"""/&gt;")</f>
        <v>&lt;torque rpm="2400" motorTorque="0"/&gt;</v>
      </c>
      <c r="H18" s="1" t="str">
        <f>CONCATENATE("&lt;torque normRpm=""",ROUND(Table1[[#This Row],[rpm]]/Table3[ratedRpm],3),""" torque=""",ROUND(Table1[[#This Row],[motor]]/MAX(Table1[motor]),3),"""/&gt;")</f>
        <v>&lt;torque normRpm="1.143" torque="0"/&gt;</v>
      </c>
    </row>
    <row r="19" spans="1:8" x14ac:dyDescent="0.25">
      <c r="A19">
        <v>2500</v>
      </c>
      <c r="B19">
        <v>0</v>
      </c>
      <c r="C19">
        <f>$A$22*Table1[[#This Row],[rawData]]</f>
        <v>0</v>
      </c>
      <c r="D19" s="1">
        <f>A19*C19/9550</f>
        <v>0</v>
      </c>
      <c r="E19" s="1">
        <f>Table1[[#This Row],[kw_pto]]*1.36/0.94</f>
        <v>0</v>
      </c>
      <c r="G19" s="1" t="str">
        <f>CONCATENATE("&lt;torque rpm=""",Table1[[#This Row],[rpm]],""" motorTorque=""",ROUND(Table1[[#This Row],[motor]],0),"""/&gt;")</f>
        <v>&lt;torque rpm="2500" motorTorque="0"/&gt;</v>
      </c>
      <c r="H19" s="1" t="str">
        <f>CONCATENATE("&lt;torque normRpm=""",ROUND(Table1[[#This Row],[rpm]]/Table3[ratedRpm],3),""" torque=""",ROUND(Table1[[#This Row],[motor]]/MAX(Table1[motor]),3),"""/&gt;")</f>
        <v>&lt;torque normRpm="1.19" torque="0"/&gt;</v>
      </c>
    </row>
    <row r="21" spans="1:8" x14ac:dyDescent="0.25">
      <c r="A21" t="s">
        <v>7</v>
      </c>
      <c r="B21" t="s">
        <v>8</v>
      </c>
      <c r="C21" t="s">
        <v>10</v>
      </c>
      <c r="D21" t="s">
        <v>11</v>
      </c>
      <c r="E21" s="2"/>
    </row>
    <row r="22" spans="1:8" x14ac:dyDescent="0.25">
      <c r="A22">
        <f>0.94</f>
        <v>0.94</v>
      </c>
      <c r="B22">
        <v>2100</v>
      </c>
      <c r="C22">
        <v>692</v>
      </c>
      <c r="D22">
        <f>Table3[PS]/1.36*9548/Table3[ratedRpm]</f>
        <v>2313.4509803921569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35" sqref="I35"/>
    </sheetView>
  </sheetViews>
  <sheetFormatPr defaultRowHeight="15" x14ac:dyDescent="0.25"/>
  <cols>
    <col min="7" max="7" width="39.42578125" bestFit="1" customWidth="1"/>
  </cols>
  <sheetData>
    <row r="1" spans="1:9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</row>
    <row r="2" spans="1:9" x14ac:dyDescent="0.25">
      <c r="A2">
        <v>900</v>
      </c>
      <c r="B2">
        <v>0</v>
      </c>
      <c r="C2">
        <f>$I$2*Table13[[#This Row],[rawData]]</f>
        <v>0</v>
      </c>
      <c r="D2">
        <f t="shared" ref="D2:D17" si="0">A2*C2/9550</f>
        <v>0</v>
      </c>
      <c r="E2">
        <f>Table13[[#This Row],[kw_pto]]*1.36/0.94</f>
        <v>0</v>
      </c>
      <c r="F2">
        <f t="shared" ref="F2:F17" si="1">C2/0.94</f>
        <v>0</v>
      </c>
      <c r="G2" t="str">
        <f>CONCATENATE("&lt;torque rpm=""",Table13[[#This Row],[rpm]],""" motorTorque=""",ROUND(Table13[[#This Row],[motor]],0),"""/&gt;")</f>
        <v>&lt;torque rpm="900" motorTorque="0"/&gt;</v>
      </c>
      <c r="I2">
        <f>1.35581795*0.94</f>
        <v>1.274468873</v>
      </c>
    </row>
    <row r="3" spans="1:9" x14ac:dyDescent="0.25">
      <c r="A3">
        <v>1000</v>
      </c>
      <c r="B3">
        <v>1850</v>
      </c>
      <c r="C3">
        <f>$I$2*Table13[[#This Row],[rawData]]</f>
        <v>2357.7674150500002</v>
      </c>
      <c r="D3">
        <f t="shared" si="0"/>
        <v>246.88664031937174</v>
      </c>
      <c r="E3">
        <f>Table13[[#This Row],[kw_pto]]*1.36/0.94</f>
        <v>357.1976923769634</v>
      </c>
      <c r="F3">
        <f t="shared" si="1"/>
        <v>2508.2632075000001</v>
      </c>
      <c r="G3" t="str">
        <f>CONCATENATE("&lt;torque rpm=""",Table13[[#This Row],[rpm]],""" motorTorque=""",ROUND(Table13[[#This Row],[motor]],0),"""/&gt;")</f>
        <v>&lt;torque rpm="1000" motorTorque="2508"/&gt;</v>
      </c>
    </row>
    <row r="4" spans="1:9" x14ac:dyDescent="0.25">
      <c r="A4">
        <v>1100</v>
      </c>
      <c r="B4">
        <v>1850</v>
      </c>
      <c r="C4">
        <f>$I$2*Table13[[#This Row],[rawData]]</f>
        <v>2357.7674150500002</v>
      </c>
      <c r="D4">
        <f t="shared" si="0"/>
        <v>271.57530435130894</v>
      </c>
      <c r="E4">
        <f>Table13[[#This Row],[kw_pto]]*1.36/0.94</f>
        <v>392.91746161465977</v>
      </c>
      <c r="F4">
        <f t="shared" si="1"/>
        <v>2508.2632075000001</v>
      </c>
      <c r="G4" t="str">
        <f>CONCATENATE("&lt;torque rpm=""",Table13[[#This Row],[rpm]],""" motorTorque=""",ROUND(Table13[[#This Row],[motor]],0),"""/&gt;")</f>
        <v>&lt;torque rpm="1100" motorTorque="2508"/&gt;</v>
      </c>
    </row>
    <row r="5" spans="1:9" x14ac:dyDescent="0.25">
      <c r="A5">
        <v>1200</v>
      </c>
      <c r="B5">
        <v>1850</v>
      </c>
      <c r="C5">
        <f>$I$2*Table13[[#This Row],[rawData]]</f>
        <v>2357.7674150500002</v>
      </c>
      <c r="D5">
        <f t="shared" si="0"/>
        <v>296.26396838324609</v>
      </c>
      <c r="E5">
        <f>Table13[[#This Row],[kw_pto]]*1.36/0.94</f>
        <v>428.63723085235614</v>
      </c>
      <c r="F5">
        <f t="shared" si="1"/>
        <v>2508.2632075000001</v>
      </c>
      <c r="G5" t="str">
        <f>CONCATENATE("&lt;torque rpm=""",Table13[[#This Row],[rpm]],""" motorTorque=""",ROUND(Table13[[#This Row],[motor]],0),"""/&gt;")</f>
        <v>&lt;torque rpm="1200" motorTorque="2508"/&gt;</v>
      </c>
    </row>
    <row r="6" spans="1:9" x14ac:dyDescent="0.25">
      <c r="A6">
        <v>1300</v>
      </c>
      <c r="B6">
        <v>1850</v>
      </c>
      <c r="C6">
        <f>$I$2*Table13[[#This Row],[rawData]]</f>
        <v>2357.7674150500002</v>
      </c>
      <c r="D6">
        <f t="shared" si="0"/>
        <v>320.9526324151833</v>
      </c>
      <c r="E6">
        <f>Table13[[#This Row],[kw_pto]]*1.36/0.94</f>
        <v>464.35700009005245</v>
      </c>
      <c r="F6">
        <f t="shared" si="1"/>
        <v>2508.2632075000001</v>
      </c>
      <c r="G6" t="str">
        <f>CONCATENATE("&lt;torque rpm=""",Table13[[#This Row],[rpm]],""" motorTorque=""",ROUND(Table13[[#This Row],[motor]],0),"""/&gt;")</f>
        <v>&lt;torque rpm="1300" motorTorque="2508"/&gt;</v>
      </c>
    </row>
    <row r="7" spans="1:9" x14ac:dyDescent="0.25">
      <c r="A7">
        <v>1400</v>
      </c>
      <c r="B7">
        <v>1810</v>
      </c>
      <c r="C7">
        <f>$I$2*Table13[[#This Row],[rawData]]</f>
        <v>2306.7886601300002</v>
      </c>
      <c r="D7">
        <f t="shared" si="0"/>
        <v>338.16797111853407</v>
      </c>
      <c r="E7">
        <f>Table13[[#This Row],[kw_pto]]*1.36/0.94</f>
        <v>489.26429863958128</v>
      </c>
      <c r="F7">
        <f t="shared" si="1"/>
        <v>2454.0304895000004</v>
      </c>
      <c r="G7" t="str">
        <f>CONCATENATE("&lt;torque rpm=""",Table13[[#This Row],[rpm]],""" motorTorque=""",ROUND(Table13[[#This Row],[motor]],0),"""/&gt;")</f>
        <v>&lt;torque rpm="1400" motorTorque="2454"/&gt;</v>
      </c>
    </row>
    <row r="8" spans="1:9" x14ac:dyDescent="0.25">
      <c r="A8">
        <v>1500</v>
      </c>
      <c r="B8">
        <v>1690</v>
      </c>
      <c r="C8">
        <f>$I$2*Table13[[#This Row],[rawData]]</f>
        <v>2153.8523953700001</v>
      </c>
      <c r="D8">
        <f t="shared" si="0"/>
        <v>338.30142335654449</v>
      </c>
      <c r="E8">
        <f>Table13[[#This Row],[kw_pto]]*1.36/0.94</f>
        <v>489.45737847329849</v>
      </c>
      <c r="F8">
        <f t="shared" si="1"/>
        <v>2291.3323355000002</v>
      </c>
      <c r="G8" t="str">
        <f>CONCATENATE("&lt;torque rpm=""",Table13[[#This Row],[rpm]],""" motorTorque=""",ROUND(Table13[[#This Row],[motor]],0),"""/&gt;")</f>
        <v>&lt;torque rpm="1500" motorTorque="2291"/&gt;</v>
      </c>
    </row>
    <row r="9" spans="1:9" x14ac:dyDescent="0.25">
      <c r="A9">
        <v>1600</v>
      </c>
      <c r="B9">
        <v>1585</v>
      </c>
      <c r="C9">
        <f>$I$2*Table13[[#This Row],[rawData]]</f>
        <v>2020.0331637050001</v>
      </c>
      <c r="D9">
        <f t="shared" si="0"/>
        <v>338.43487559455502</v>
      </c>
      <c r="E9">
        <f>Table13[[#This Row],[kw_pto]]*1.36/0.94</f>
        <v>489.65045830701581</v>
      </c>
      <c r="F9">
        <f t="shared" si="1"/>
        <v>2148.9714507500003</v>
      </c>
      <c r="G9" t="str">
        <f>CONCATENATE("&lt;torque rpm=""",Table13[[#This Row],[rpm]],""" motorTorque=""",ROUND(Table13[[#This Row],[motor]],0),"""/&gt;")</f>
        <v>&lt;torque rpm="1600" motorTorque="2149"/&gt;</v>
      </c>
    </row>
    <row r="10" spans="1:9" x14ac:dyDescent="0.25">
      <c r="A10">
        <v>1700</v>
      </c>
      <c r="B10">
        <v>1492</v>
      </c>
      <c r="C10">
        <f>$I$2*Table13[[#This Row],[rawData]]</f>
        <v>1901.507558516</v>
      </c>
      <c r="D10">
        <f t="shared" si="0"/>
        <v>338.48825648975912</v>
      </c>
      <c r="E10">
        <f>Table13[[#This Row],[kw_pto]]*1.36/0.94</f>
        <v>489.72769024050262</v>
      </c>
      <c r="F10">
        <f t="shared" si="1"/>
        <v>2022.8803814</v>
      </c>
      <c r="G10" t="str">
        <f>CONCATENATE("&lt;torque rpm=""",Table13[[#This Row],[rpm]],""" motorTorque=""",ROUND(Table13[[#This Row],[motor]],0),"""/&gt;")</f>
        <v>&lt;torque rpm="1700" motorTorque="2023"/&gt;</v>
      </c>
    </row>
    <row r="11" spans="1:9" x14ac:dyDescent="0.25">
      <c r="A11">
        <v>1800</v>
      </c>
      <c r="B11">
        <v>1410</v>
      </c>
      <c r="C11">
        <f>$I$2*Table13[[#This Row],[rawData]]</f>
        <v>1797.0011109300001</v>
      </c>
      <c r="D11">
        <f t="shared" si="0"/>
        <v>338.70178007057592</v>
      </c>
      <c r="E11">
        <f>Table13[[#This Row],[kw_pto]]*1.36/0.94</f>
        <v>490.03661797445034</v>
      </c>
      <c r="F11">
        <f t="shared" si="1"/>
        <v>1911.7033095000002</v>
      </c>
      <c r="G11" t="str">
        <f>CONCATENATE("&lt;torque rpm=""",Table13[[#This Row],[rpm]],""" motorTorque=""",ROUND(Table13[[#This Row],[motor]],0),"""/&gt;")</f>
        <v>&lt;torque rpm="1800" motorTorque="1912"/&gt;</v>
      </c>
    </row>
    <row r="12" spans="1:9" x14ac:dyDescent="0.25">
      <c r="A12">
        <v>1900</v>
      </c>
      <c r="B12">
        <v>1320</v>
      </c>
      <c r="C12">
        <f>$I$2*Table13[[#This Row],[rawData]]</f>
        <v>1682.29891236</v>
      </c>
      <c r="D12">
        <f t="shared" si="0"/>
        <v>334.69821293026177</v>
      </c>
      <c r="E12">
        <f>Table13[[#This Row],[kw_pto]]*1.36/0.94</f>
        <v>484.24422296293199</v>
      </c>
      <c r="F12">
        <f t="shared" si="1"/>
        <v>1789.6796940000002</v>
      </c>
      <c r="G12" t="str">
        <f>CONCATENATE("&lt;torque rpm=""",Table13[[#This Row],[rpm]],""" motorTorque=""",ROUND(Table13[[#This Row],[motor]],0),"""/&gt;")</f>
        <v>&lt;torque rpm="1900" motorTorque="1790"/&gt;</v>
      </c>
    </row>
    <row r="13" spans="1:9" x14ac:dyDescent="0.25">
      <c r="A13">
        <v>2000</v>
      </c>
      <c r="B13">
        <v>1250</v>
      </c>
      <c r="C13">
        <f>$I$2*Table13[[#This Row],[rawData]]</f>
        <v>1593.08609125</v>
      </c>
      <c r="D13">
        <f t="shared" si="0"/>
        <v>333.63059502617801</v>
      </c>
      <c r="E13">
        <f>Table13[[#This Row],[kw_pto]]*1.36/0.94</f>
        <v>482.69958429319377</v>
      </c>
      <c r="F13">
        <f t="shared" si="1"/>
        <v>1694.7724375</v>
      </c>
      <c r="G13" t="str">
        <f>CONCATENATE("&lt;torque rpm=""",Table13[[#This Row],[rpm]],""" motorTorque=""",ROUND(Table13[[#This Row],[motor]],0),"""/&gt;")</f>
        <v>&lt;torque rpm="2000" motorTorque="1695"/&gt;</v>
      </c>
    </row>
    <row r="14" spans="1:9" x14ac:dyDescent="0.25">
      <c r="A14">
        <v>2100</v>
      </c>
      <c r="B14">
        <v>1180</v>
      </c>
      <c r="C14">
        <f>$I$2*Table13[[#This Row],[rawData]]</f>
        <v>1503.8732701399999</v>
      </c>
      <c r="D14">
        <f t="shared" si="0"/>
        <v>330.69464578994763</v>
      </c>
      <c r="E14">
        <f>Table13[[#This Row],[kw_pto]]*1.36/0.94</f>
        <v>478.45182795141369</v>
      </c>
      <c r="F14">
        <f t="shared" si="1"/>
        <v>1599.8651810000001</v>
      </c>
      <c r="G14" t="str">
        <f>CONCATENATE("&lt;torque rpm=""",Table13[[#This Row],[rpm]],""" motorTorque=""",ROUND(Table13[[#This Row],[motor]],0),"""/&gt;")</f>
        <v>&lt;torque rpm="2100" motorTorque="1600"/&gt;</v>
      </c>
    </row>
    <row r="15" spans="1:9" x14ac:dyDescent="0.25">
      <c r="A15">
        <v>2200</v>
      </c>
      <c r="B15">
        <v>500</v>
      </c>
      <c r="C15">
        <f>$I$2*Table13[[#This Row],[rawData]]</f>
        <v>637.23443650000002</v>
      </c>
      <c r="D15">
        <f t="shared" si="0"/>
        <v>146.79746181151833</v>
      </c>
      <c r="E15">
        <f>Table13[[#This Row],[kw_pto]]*1.36/0.94</f>
        <v>212.3878170890053</v>
      </c>
      <c r="F15">
        <f t="shared" si="1"/>
        <v>677.90897500000005</v>
      </c>
      <c r="G15" t="str">
        <f>CONCATENATE("&lt;torque rpm=""",Table13[[#This Row],[rpm]],""" motorTorque=""",ROUND(Table13[[#This Row],[motor]],0),"""/&gt;")</f>
        <v>&lt;torque rpm="2200" motorTorque="678"/&gt;</v>
      </c>
    </row>
    <row r="16" spans="1:9" x14ac:dyDescent="0.25">
      <c r="A16">
        <v>2300</v>
      </c>
      <c r="B16">
        <v>0</v>
      </c>
      <c r="C16">
        <f>$I$2*Table13[[#This Row],[rawData]]</f>
        <v>0</v>
      </c>
      <c r="D16">
        <f t="shared" si="0"/>
        <v>0</v>
      </c>
      <c r="E16">
        <f>Table13[[#This Row],[kw_pto]]*1.36/0.94</f>
        <v>0</v>
      </c>
      <c r="F16">
        <f t="shared" si="1"/>
        <v>0</v>
      </c>
      <c r="G16" t="str">
        <f>CONCATENATE("&lt;torque rpm=""",Table13[[#This Row],[rpm]],""" motorTorque=""",ROUND(Table13[[#This Row],[motor]],0),"""/&gt;")</f>
        <v>&lt;torque rpm="2300" motorTorque="0"/&gt;</v>
      </c>
    </row>
    <row r="17" spans="1:7" x14ac:dyDescent="0.25">
      <c r="A17">
        <v>2300</v>
      </c>
      <c r="B17">
        <v>0</v>
      </c>
      <c r="C17">
        <f>$I$2*Table13[[#This Row],[rawData]]</f>
        <v>0</v>
      </c>
      <c r="D17">
        <f t="shared" si="0"/>
        <v>0</v>
      </c>
      <c r="E17">
        <f>Table13[[#This Row],[kw_pto]]*1.36/0.94</f>
        <v>0</v>
      </c>
      <c r="F17">
        <f t="shared" si="1"/>
        <v>0</v>
      </c>
      <c r="G17" t="str">
        <f>CONCATENATE("&lt;torque rpm=""",Table13[[#This Row],[rpm]],""" motorTorque=""",ROUND(Table13[[#This Row],[motor]],0),"""/&gt;")</f>
        <v>&lt;torque rpm="2300" motorTorque="0"/&gt;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from Values</vt:lpstr>
      <vt:lpstr>Sheet1</vt:lpstr>
      <vt:lpstr>Sheet1 (2)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2015-02-21T09:03:51Z</dcterms:created>
  <dcterms:modified xsi:type="dcterms:W3CDTF">2015-11-06T08:13:13Z</dcterms:modified>
</cp:coreProperties>
</file>