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1872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3" l="1"/>
  <c r="J25" i="3" s="1"/>
  <c r="S4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V2" i="3"/>
  <c r="Y2" i="3" l="1"/>
  <c r="C2" i="3" s="1"/>
  <c r="T2" i="3" l="1"/>
  <c r="J2" i="3"/>
  <c r="F2" i="3"/>
  <c r="J4" i="3"/>
  <c r="K31" i="3" l="1"/>
  <c r="K32" i="3"/>
  <c r="K33" i="3"/>
  <c r="K34" i="3"/>
  <c r="K35" i="3"/>
  <c r="K36" i="3"/>
  <c r="K37" i="3"/>
  <c r="K38" i="3"/>
  <c r="K39" i="3"/>
  <c r="K40" i="3"/>
  <c r="K41" i="3"/>
  <c r="K42" i="3"/>
  <c r="L31" i="3"/>
  <c r="S2" i="3"/>
  <c r="L42" i="3" l="1"/>
  <c r="L34" i="3"/>
  <c r="L30" i="3"/>
  <c r="L41" i="3"/>
  <c r="L38" i="3"/>
  <c r="L37" i="3"/>
  <c r="L33" i="3"/>
  <c r="L29" i="3"/>
  <c r="L40" i="3"/>
  <c r="L36" i="3"/>
  <c r="L32" i="3"/>
  <c r="L39" i="3"/>
  <c r="L35" i="3"/>
  <c r="L4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M4" i="3"/>
  <c r="O4" i="3"/>
  <c r="H4" i="3" l="1"/>
  <c r="D28" i="3"/>
  <c r="G28" i="3" s="1"/>
  <c r="I28" i="3" s="1"/>
  <c r="D41" i="3"/>
  <c r="G41" i="3" s="1"/>
  <c r="I41" i="3" s="1"/>
  <c r="D40" i="3"/>
  <c r="G40" i="3" s="1"/>
  <c r="I40" i="3" s="1"/>
  <c r="D36" i="3"/>
  <c r="G36" i="3" s="1"/>
  <c r="I36" i="3" s="1"/>
  <c r="D32" i="3"/>
  <c r="G32" i="3" s="1"/>
  <c r="I32" i="3" s="1"/>
  <c r="D39" i="3"/>
  <c r="G39" i="3" s="1"/>
  <c r="I39" i="3" s="1"/>
  <c r="D35" i="3"/>
  <c r="G35" i="3" s="1"/>
  <c r="I35" i="3" s="1"/>
  <c r="D31" i="3"/>
  <c r="G31" i="3" s="1"/>
  <c r="I31" i="3" s="1"/>
  <c r="D27" i="3"/>
  <c r="G27" i="3" s="1"/>
  <c r="I27" i="3" s="1"/>
  <c r="D42" i="3"/>
  <c r="G42" i="3" s="1"/>
  <c r="I42" i="3" s="1"/>
  <c r="D38" i="3"/>
  <c r="G38" i="3" s="1"/>
  <c r="I38" i="3" s="1"/>
  <c r="D34" i="3"/>
  <c r="G34" i="3" s="1"/>
  <c r="I34" i="3" s="1"/>
  <c r="D30" i="3"/>
  <c r="G30" i="3" s="1"/>
  <c r="I30" i="3" s="1"/>
  <c r="D37" i="3"/>
  <c r="G37" i="3" s="1"/>
  <c r="I37" i="3" s="1"/>
  <c r="D33" i="3"/>
  <c r="G33" i="3" s="1"/>
  <c r="I33" i="3" s="1"/>
  <c r="D29" i="3"/>
  <c r="G29" i="3" s="1"/>
  <c r="I29" i="3" s="1"/>
  <c r="N4" i="3"/>
  <c r="P4" i="3"/>
  <c r="T11" i="3" l="1"/>
  <c r="T15" i="3"/>
  <c r="T19" i="3"/>
  <c r="T23" i="3"/>
  <c r="T27" i="3"/>
  <c r="T31" i="3"/>
  <c r="T35" i="3"/>
  <c r="T39" i="3"/>
  <c r="T12" i="3"/>
  <c r="T16" i="3"/>
  <c r="T20" i="3"/>
  <c r="T24" i="3"/>
  <c r="T28" i="3"/>
  <c r="T32" i="3"/>
  <c r="T36" i="3"/>
  <c r="T40" i="3"/>
  <c r="T7" i="3"/>
  <c r="T9" i="3"/>
  <c r="T13" i="3"/>
  <c r="T17" i="3"/>
  <c r="T21" i="3"/>
  <c r="T25" i="3"/>
  <c r="T29" i="3"/>
  <c r="T33" i="3"/>
  <c r="T37" i="3"/>
  <c r="T41" i="3"/>
  <c r="T14" i="3"/>
  <c r="T30" i="3"/>
  <c r="T26" i="3"/>
  <c r="T18" i="3"/>
  <c r="T34" i="3"/>
  <c r="T42" i="3"/>
  <c r="T8" i="3"/>
  <c r="T22" i="3"/>
  <c r="T38" i="3"/>
  <c r="T10" i="3"/>
  <c r="U11" i="3"/>
  <c r="U15" i="3"/>
  <c r="U19" i="3"/>
  <c r="U23" i="3"/>
  <c r="D23" i="3" s="1"/>
  <c r="G23" i="3" s="1"/>
  <c r="I23" i="3" s="1"/>
  <c r="U27" i="3"/>
  <c r="U31" i="3"/>
  <c r="U35" i="3"/>
  <c r="U39" i="3"/>
  <c r="U12" i="3"/>
  <c r="U16" i="3"/>
  <c r="U20" i="3"/>
  <c r="U24" i="3"/>
  <c r="D24" i="3" s="1"/>
  <c r="G24" i="3" s="1"/>
  <c r="I24" i="3" s="1"/>
  <c r="U28" i="3"/>
  <c r="U32" i="3"/>
  <c r="U36" i="3"/>
  <c r="U40" i="3"/>
  <c r="U7" i="3"/>
  <c r="U9" i="3"/>
  <c r="U13" i="3"/>
  <c r="U17" i="3"/>
  <c r="U21" i="3"/>
  <c r="D21" i="3" s="1"/>
  <c r="G21" i="3" s="1"/>
  <c r="I21" i="3" s="1"/>
  <c r="U25" i="3"/>
  <c r="D25" i="3" s="1"/>
  <c r="G25" i="3" s="1"/>
  <c r="I25" i="3" s="1"/>
  <c r="U29" i="3"/>
  <c r="U33" i="3"/>
  <c r="U37" i="3"/>
  <c r="U41" i="3"/>
  <c r="U10" i="3"/>
  <c r="U26" i="3"/>
  <c r="D26" i="3" s="1"/>
  <c r="G26" i="3" s="1"/>
  <c r="I26" i="3" s="1"/>
  <c r="U42" i="3"/>
  <c r="U14" i="3"/>
  <c r="U30" i="3"/>
  <c r="U18" i="3"/>
  <c r="U34" i="3"/>
  <c r="U8" i="3"/>
  <c r="U22" i="3"/>
  <c r="D22" i="3" s="1"/>
  <c r="G22" i="3" s="1"/>
  <c r="I22" i="3" s="1"/>
  <c r="U38" i="3"/>
  <c r="D20" i="3" l="1"/>
  <c r="G20" i="3" s="1"/>
  <c r="I20" i="3" s="1"/>
  <c r="D19" i="3"/>
  <c r="D18" i="3"/>
  <c r="D4" i="3"/>
  <c r="E4" i="3"/>
  <c r="B4" i="3" s="1"/>
  <c r="A4" i="3"/>
  <c r="F4" i="3"/>
  <c r="I4" i="3" l="1"/>
  <c r="B41" i="3"/>
  <c r="B26" i="3"/>
  <c r="K4" i="3"/>
  <c r="G4" i="3" s="1"/>
  <c r="S18" i="3"/>
  <c r="S34" i="3"/>
  <c r="S24" i="3"/>
  <c r="S21" i="3"/>
  <c r="S11" i="3"/>
  <c r="S27" i="3"/>
  <c r="S8" i="3"/>
  <c r="S36" i="3"/>
  <c r="S33" i="3"/>
  <c r="S16" i="3"/>
  <c r="S28" i="3"/>
  <c r="R4" i="3"/>
  <c r="S22" i="3"/>
  <c r="S38" i="3"/>
  <c r="S32" i="3"/>
  <c r="S29" i="3"/>
  <c r="S15" i="3"/>
  <c r="S31" i="3"/>
  <c r="S12" i="3"/>
  <c r="S9" i="3"/>
  <c r="S37" i="3"/>
  <c r="S14" i="3"/>
  <c r="D14" i="3" s="1"/>
  <c r="G14" i="3" s="1"/>
  <c r="I14" i="3" s="1"/>
  <c r="S30" i="3"/>
  <c r="S7" i="3"/>
  <c r="S23" i="3"/>
  <c r="S10" i="3"/>
  <c r="S26" i="3"/>
  <c r="S42" i="3"/>
  <c r="S40" i="3"/>
  <c r="S41" i="3"/>
  <c r="S19" i="3"/>
  <c r="S35" i="3"/>
  <c r="S20" i="3"/>
  <c r="S17" i="3"/>
  <c r="S13" i="3"/>
  <c r="S39" i="3"/>
  <c r="S25" i="3"/>
  <c r="D15" i="3"/>
  <c r="G15" i="3" s="1"/>
  <c r="I15" i="3" s="1"/>
  <c r="N11" i="3"/>
  <c r="N15" i="3"/>
  <c r="B15" i="3" s="1"/>
  <c r="N19" i="3"/>
  <c r="N23" i="3"/>
  <c r="N27" i="3"/>
  <c r="N31" i="3"/>
  <c r="N35" i="3"/>
  <c r="D16" i="3"/>
  <c r="G16" i="3" s="1"/>
  <c r="I16" i="3" s="1"/>
  <c r="N12" i="3"/>
  <c r="N16" i="3"/>
  <c r="N20" i="3"/>
  <c r="N24" i="3"/>
  <c r="D13" i="3"/>
  <c r="G13" i="3" s="1"/>
  <c r="I13" i="3" s="1"/>
  <c r="D17" i="3"/>
  <c r="G17" i="3" s="1"/>
  <c r="I17" i="3" s="1"/>
  <c r="N7" i="3"/>
  <c r="N9" i="3"/>
  <c r="N13" i="3"/>
  <c r="B13" i="3" s="1"/>
  <c r="N17" i="3"/>
  <c r="N21" i="3"/>
  <c r="N25" i="3"/>
  <c r="N29" i="3"/>
  <c r="N33" i="3"/>
  <c r="N37" i="3"/>
  <c r="N14" i="3"/>
  <c r="B14" i="3" s="1"/>
  <c r="N28" i="3"/>
  <c r="N36" i="3"/>
  <c r="N41" i="3"/>
  <c r="N34" i="3"/>
  <c r="N18" i="3"/>
  <c r="N30" i="3"/>
  <c r="N38" i="3"/>
  <c r="N42" i="3"/>
  <c r="N40" i="3"/>
  <c r="N8" i="3"/>
  <c r="N22" i="3"/>
  <c r="N32" i="3"/>
  <c r="N39" i="3"/>
  <c r="N10" i="3"/>
  <c r="N26" i="3"/>
  <c r="P11" i="3"/>
  <c r="P15" i="3"/>
  <c r="P19" i="3"/>
  <c r="P23" i="3"/>
  <c r="P27" i="3"/>
  <c r="P31" i="3"/>
  <c r="P35" i="3"/>
  <c r="P39" i="3"/>
  <c r="P12" i="3"/>
  <c r="P16" i="3"/>
  <c r="P20" i="3"/>
  <c r="P24" i="3"/>
  <c r="P28" i="3"/>
  <c r="P32" i="3"/>
  <c r="P36" i="3"/>
  <c r="P40" i="3"/>
  <c r="P7" i="3"/>
  <c r="P9" i="3"/>
  <c r="P13" i="3"/>
  <c r="P17" i="3"/>
  <c r="P21" i="3"/>
  <c r="P25" i="3"/>
  <c r="P29" i="3"/>
  <c r="P33" i="3"/>
  <c r="P37" i="3"/>
  <c r="P41" i="3"/>
  <c r="P8" i="3"/>
  <c r="P22" i="3"/>
  <c r="P38" i="3"/>
  <c r="P34" i="3"/>
  <c r="P10" i="3"/>
  <c r="P26" i="3"/>
  <c r="P42" i="3"/>
  <c r="P18" i="3"/>
  <c r="P14" i="3"/>
  <c r="P30" i="3"/>
  <c r="B29" i="3"/>
  <c r="B33" i="3"/>
  <c r="B37" i="3"/>
  <c r="B28" i="3"/>
  <c r="B40" i="3"/>
  <c r="B30" i="3"/>
  <c r="B34" i="3"/>
  <c r="B38" i="3"/>
  <c r="B42" i="3"/>
  <c r="B32" i="3"/>
  <c r="B27" i="3"/>
  <c r="B31" i="3"/>
  <c r="B35" i="3"/>
  <c r="B39" i="3"/>
  <c r="B36" i="3"/>
  <c r="G18" i="3"/>
  <c r="I18" i="3" s="1"/>
  <c r="G19" i="3"/>
  <c r="I19" i="3" s="1"/>
  <c r="Q4" i="3"/>
  <c r="C4" i="3"/>
  <c r="B13" i="1"/>
  <c r="B14" i="1"/>
  <c r="B15" i="1"/>
  <c r="A22" i="1"/>
  <c r="R7" i="3" l="1"/>
  <c r="D7" i="3" s="1"/>
  <c r="R9" i="3"/>
  <c r="D9" i="3" s="1"/>
  <c r="G9" i="3" s="1"/>
  <c r="I9" i="3" s="1"/>
  <c r="R13" i="3"/>
  <c r="R17" i="3"/>
  <c r="R21" i="3"/>
  <c r="R25" i="3"/>
  <c r="R29" i="3"/>
  <c r="R33" i="3"/>
  <c r="R37" i="3"/>
  <c r="R41" i="3"/>
  <c r="R16" i="3"/>
  <c r="R28" i="3"/>
  <c r="R36" i="3"/>
  <c r="R8" i="3"/>
  <c r="D8" i="3" s="1"/>
  <c r="G8" i="3" s="1"/>
  <c r="I8" i="3" s="1"/>
  <c r="R10" i="3"/>
  <c r="D10" i="3" s="1"/>
  <c r="G10" i="3" s="1"/>
  <c r="I10" i="3" s="1"/>
  <c r="R14" i="3"/>
  <c r="R18" i="3"/>
  <c r="R22" i="3"/>
  <c r="R26" i="3"/>
  <c r="R30" i="3"/>
  <c r="R34" i="3"/>
  <c r="R38" i="3"/>
  <c r="R42" i="3"/>
  <c r="R20" i="3"/>
  <c r="R32" i="3"/>
  <c r="R11" i="3"/>
  <c r="D11" i="3" s="1"/>
  <c r="G11" i="3" s="1"/>
  <c r="I11" i="3" s="1"/>
  <c r="R15" i="3"/>
  <c r="R19" i="3"/>
  <c r="R23" i="3"/>
  <c r="R27" i="3"/>
  <c r="R31" i="3"/>
  <c r="R35" i="3"/>
  <c r="R39" i="3"/>
  <c r="R12" i="3"/>
  <c r="D12" i="3" s="1"/>
  <c r="G12" i="3" s="1"/>
  <c r="I12" i="3" s="1"/>
  <c r="R24" i="3"/>
  <c r="R40" i="3"/>
  <c r="O8" i="3"/>
  <c r="O41" i="3"/>
  <c r="O40" i="3"/>
  <c r="O34" i="3"/>
  <c r="O30" i="3"/>
  <c r="O26" i="3"/>
  <c r="O37" i="3"/>
  <c r="O21" i="3"/>
  <c r="B21" i="3" s="1"/>
  <c r="F21" i="3" s="1"/>
  <c r="O7" i="3"/>
  <c r="O36" i="3"/>
  <c r="O20" i="3"/>
  <c r="B20" i="3" s="1"/>
  <c r="F20" i="3" s="1"/>
  <c r="O31" i="3"/>
  <c r="O15" i="3"/>
  <c r="O25" i="3"/>
  <c r="B25" i="3" s="1"/>
  <c r="F25" i="3" s="1"/>
  <c r="O24" i="3"/>
  <c r="B24" i="3" s="1"/>
  <c r="F24" i="3" s="1"/>
  <c r="O35" i="3"/>
  <c r="O18" i="3"/>
  <c r="B18" i="3" s="1"/>
  <c r="O14" i="3"/>
  <c r="O10" i="3"/>
  <c r="O33" i="3"/>
  <c r="O17" i="3"/>
  <c r="B17" i="3" s="1"/>
  <c r="F17" i="3" s="1"/>
  <c r="O32" i="3"/>
  <c r="O16" i="3"/>
  <c r="B16" i="3" s="1"/>
  <c r="F16" i="3" s="1"/>
  <c r="O27" i="3"/>
  <c r="O11" i="3"/>
  <c r="O42" i="3"/>
  <c r="O9" i="3"/>
  <c r="O19" i="3"/>
  <c r="B19" i="3" s="1"/>
  <c r="F19" i="3" s="1"/>
  <c r="O22" i="3"/>
  <c r="B22" i="3" s="1"/>
  <c r="F22" i="3" s="1"/>
  <c r="O38" i="3"/>
  <c r="O29" i="3"/>
  <c r="O13" i="3"/>
  <c r="O28" i="3"/>
  <c r="O12" i="3"/>
  <c r="O39" i="3"/>
  <c r="O23" i="3"/>
  <c r="B23" i="3" s="1"/>
  <c r="F23" i="3" s="1"/>
  <c r="M7" i="3"/>
  <c r="B7" i="3" s="1"/>
  <c r="M9" i="3"/>
  <c r="B9" i="3" s="1"/>
  <c r="M11" i="3"/>
  <c r="B11" i="3" s="1"/>
  <c r="F11" i="3" s="1"/>
  <c r="M15" i="3"/>
  <c r="M19" i="3"/>
  <c r="M23" i="3"/>
  <c r="M27" i="3"/>
  <c r="M31" i="3"/>
  <c r="M35" i="3"/>
  <c r="M39" i="3"/>
  <c r="M18" i="3"/>
  <c r="M34" i="3"/>
  <c r="M8" i="3"/>
  <c r="B8" i="3" s="1"/>
  <c r="M12" i="3"/>
  <c r="B12" i="3" s="1"/>
  <c r="F12" i="3" s="1"/>
  <c r="M16" i="3"/>
  <c r="M20" i="3"/>
  <c r="M24" i="3"/>
  <c r="M28" i="3"/>
  <c r="M32" i="3"/>
  <c r="M36" i="3"/>
  <c r="M40" i="3"/>
  <c r="M10" i="3"/>
  <c r="B10" i="3" s="1"/>
  <c r="F10" i="3" s="1"/>
  <c r="M22" i="3"/>
  <c r="M30" i="3"/>
  <c r="M13" i="3"/>
  <c r="M17" i="3"/>
  <c r="M21" i="3"/>
  <c r="M25" i="3"/>
  <c r="M29" i="3"/>
  <c r="M33" i="3"/>
  <c r="M37" i="3"/>
  <c r="M41" i="3"/>
  <c r="M14" i="3"/>
  <c r="M26" i="3"/>
  <c r="M38" i="3"/>
  <c r="M42" i="3"/>
  <c r="F30" i="3"/>
  <c r="K30" i="3" s="1"/>
  <c r="F13" i="3"/>
  <c r="F41" i="3"/>
  <c r="F36" i="3"/>
  <c r="F27" i="3"/>
  <c r="F42" i="3"/>
  <c r="F26" i="3"/>
  <c r="F40" i="3"/>
  <c r="F31" i="3"/>
  <c r="F15" i="3"/>
  <c r="F18" i="3"/>
  <c r="F29" i="3"/>
  <c r="K29" i="3" s="1"/>
  <c r="F32" i="3"/>
  <c r="F33" i="3"/>
  <c r="F39" i="3"/>
  <c r="F37" i="3"/>
  <c r="F38" i="3"/>
  <c r="F14" i="3"/>
  <c r="F28" i="3"/>
  <c r="F35" i="3"/>
  <c r="F34" i="3"/>
  <c r="G7" i="3"/>
  <c r="I7" i="3" s="1"/>
  <c r="D22" i="1"/>
  <c r="K28" i="3" l="1"/>
  <c r="K23" i="3"/>
  <c r="K19" i="3"/>
  <c r="K14" i="3"/>
  <c r="K21" i="3"/>
  <c r="K15" i="3"/>
  <c r="K26" i="3"/>
  <c r="K11" i="3"/>
  <c r="K20" i="3"/>
  <c r="K24" i="3"/>
  <c r="K25" i="3"/>
  <c r="K17" i="3"/>
  <c r="K13" i="3"/>
  <c r="K12" i="3"/>
  <c r="K18" i="3"/>
  <c r="K16" i="3"/>
  <c r="K10" i="3"/>
  <c r="K22" i="3"/>
  <c r="K27" i="3"/>
  <c r="H39" i="3"/>
  <c r="H19" i="3"/>
  <c r="H34" i="3"/>
  <c r="H14" i="3"/>
  <c r="H21" i="3"/>
  <c r="H33" i="3"/>
  <c r="H15" i="3"/>
  <c r="H26" i="3"/>
  <c r="H41" i="3"/>
  <c r="H11" i="3"/>
  <c r="H20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L28" i="3" l="1"/>
  <c r="L23" i="3"/>
  <c r="L27" i="3"/>
  <c r="L19" i="3"/>
  <c r="L10" i="3"/>
  <c r="L26" i="3"/>
  <c r="L13" i="3"/>
  <c r="L20" i="3"/>
  <c r="L21" i="3"/>
  <c r="K9" i="3"/>
  <c r="L9" i="3"/>
  <c r="K8" i="3"/>
  <c r="L8" i="3"/>
  <c r="L16" i="3"/>
  <c r="L12" i="3"/>
  <c r="L17" i="3"/>
  <c r="L24" i="3"/>
  <c r="L11" i="3"/>
  <c r="L15" i="3"/>
  <c r="K7" i="3"/>
  <c r="L7" i="3"/>
  <c r="L18" i="3"/>
  <c r="L25" i="3"/>
  <c r="L22" i="3"/>
  <c r="L14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<sst xmlns="http://schemas.openxmlformats.org/spreadsheetml/2006/main" count="85" uniqueCount="69">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</sst>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9" fontId="0" fillId="0" borderId="3" xfId="1" applyFont="1" applyBorder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9" fontId="4" fillId="2" borderId="11" xfId="1" applyFont="1" applyFill="1" applyBorder="1"/>
    <xf numFmtId="9" fontId="4" fillId="2" borderId="12" xfId="1" applyFont="1" applyFill="1" applyBorder="1"/>
    <xf numFmtId="9" fontId="4" fillId="2" borderId="13" xfId="1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5" fillId="0" borderId="1" xfId="0" applyFont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73">
    <dxf>
      <numFmt numFmtId="1" formatCode="0"/>
    </dxf>
    <dxf>
      <numFmt numFmtId="1" formatCode="0"/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Values'!$F$7:$F$42</c:f>
              <c:numCache>
                <c:formatCode>0</c:formatCode>
                <c:ptCount val="36"/>
                <c:pt idx="0">
                  <c:v>0</c:v>
                </c:pt>
                <c:pt idx="1">
                  <c:v>212.26633744855968</c:v>
                </c:pt>
                <c:pt idx="2">
                  <c:v>437.0189300411522</c:v>
                </c:pt>
                <c:pt idx="3">
                  <c:v>906.36374485596684</c:v>
                </c:pt>
                <c:pt idx="4">
                  <c:v>1042.4092181069957</c:v>
                </c:pt>
                <c:pt idx="5">
                  <c:v>1137.81</c:v>
                </c:pt>
                <c:pt idx="6">
                  <c:v>1173</c:v>
                </c:pt>
                <c:pt idx="7">
                  <c:v>1173</c:v>
                </c:pt>
                <c:pt idx="8">
                  <c:v>1173</c:v>
                </c:pt>
                <c:pt idx="9">
                  <c:v>1173</c:v>
                </c:pt>
                <c:pt idx="10">
                  <c:v>1173</c:v>
                </c:pt>
                <c:pt idx="11">
                  <c:v>1173</c:v>
                </c:pt>
                <c:pt idx="12">
                  <c:v>1147.9816452896948</c:v>
                </c:pt>
                <c:pt idx="13">
                  <c:v>1097.9449358690845</c:v>
                </c:pt>
                <c:pt idx="14">
                  <c:v>1047.9082264484741</c:v>
                </c:pt>
                <c:pt idx="15">
                  <c:v>997.87151702786366</c:v>
                </c:pt>
                <c:pt idx="16">
                  <c:v>948.85569852941171</c:v>
                </c:pt>
                <c:pt idx="17">
                  <c:v>906.17997198879539</c:v>
                </c:pt>
                <c:pt idx="18">
                  <c:v>825.35460243878128</c:v>
                </c:pt>
                <c:pt idx="19">
                  <c:v>534.80409581228059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Values'!$G$7:$G$42</c:f>
              <c:numCache>
                <c:formatCode>0</c:formatCode>
                <c:ptCount val="36"/>
                <c:pt idx="0">
                  <c:v>0</c:v>
                </c:pt>
                <c:pt idx="1">
                  <c:v>199.5303572016461</c:v>
                </c:pt>
                <c:pt idx="2">
                  <c:v>410.79779423868308</c:v>
                </c:pt>
                <c:pt idx="3">
                  <c:v>851.98192016460882</c:v>
                </c:pt>
                <c:pt idx="4">
                  <c:v>979.86466502057601</c:v>
                </c:pt>
                <c:pt idx="5">
                  <c:v>1069.5413999999998</c:v>
                </c:pt>
                <c:pt idx="6">
                  <c:v>1102.6199999999999</c:v>
                </c:pt>
                <c:pt idx="7">
                  <c:v>1102.6199999999999</c:v>
                </c:pt>
                <c:pt idx="8">
                  <c:v>1102.6199999999999</c:v>
                </c:pt>
                <c:pt idx="9">
                  <c:v>1102.6199999999999</c:v>
                </c:pt>
                <c:pt idx="10">
                  <c:v>1102.6199999999999</c:v>
                </c:pt>
                <c:pt idx="11">
                  <c:v>1102.6199999999999</c:v>
                </c:pt>
                <c:pt idx="12">
                  <c:v>1066.8561415906074</c:v>
                </c:pt>
                <c:pt idx="13">
                  <c:v>995.3284247718226</c:v>
                </c:pt>
                <c:pt idx="14">
                  <c:v>923.80070795303766</c:v>
                </c:pt>
                <c:pt idx="15">
                  <c:v>852.27299113425283</c:v>
                </c:pt>
                <c:pt idx="16">
                  <c:v>798.73166151403746</c:v>
                </c:pt>
                <c:pt idx="17">
                  <c:v>729.47487745098033</c:v>
                </c:pt>
                <c:pt idx="18">
                  <c:v>664.41045496321897</c:v>
                </c:pt>
                <c:pt idx="19">
                  <c:v>430.51729712888584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80800"/>
        <c:axId val="24998197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Values'!$H$7:$H$42</c:f>
              <c:numCache>
                <c:formatCode>0.0</c:formatCode>
                <c:ptCount val="36"/>
                <c:pt idx="0">
                  <c:v>0</c:v>
                </c:pt>
                <c:pt idx="1">
                  <c:v>3.0228504600004311</c:v>
                </c:pt>
                <c:pt idx="2">
                  <c:v>24.894062611768252</c:v>
                </c:pt>
                <c:pt idx="3">
                  <c:v>90.351652890353989</c:v>
                </c:pt>
                <c:pt idx="4">
                  <c:v>118.75824390580225</c:v>
                </c:pt>
                <c:pt idx="5">
                  <c:v>145.83030785340313</c:v>
                </c:pt>
                <c:pt idx="6">
                  <c:v>167.04502617801046</c:v>
                </c:pt>
                <c:pt idx="7">
                  <c:v>183.74952879581153</c:v>
                </c:pt>
                <c:pt idx="8">
                  <c:v>200.4540314136126</c:v>
                </c:pt>
                <c:pt idx="9">
                  <c:v>217.15853403141364</c:v>
                </c:pt>
                <c:pt idx="10">
                  <c:v>233.86303664921471</c:v>
                </c:pt>
                <c:pt idx="11">
                  <c:v>250.56753926701575</c:v>
                </c:pt>
                <c:pt idx="12">
                  <c:v>261.57152462307602</c:v>
                </c:pt>
                <c:pt idx="13">
                  <c:v>265.8061457308192</c:v>
                </c:pt>
                <c:pt idx="14">
                  <c:v>268.61563752312719</c:v>
                </c:pt>
                <c:pt idx="15">
                  <c:v>269.99999999999994</c:v>
                </c:pt>
                <c:pt idx="16">
                  <c:v>270.25</c:v>
                </c:pt>
                <c:pt idx="17">
                  <c:v>270.99999999999994</c:v>
                </c:pt>
                <c:pt idx="18">
                  <c:v>258.58230057558467</c:v>
                </c:pt>
                <c:pt idx="19">
                  <c:v>175.16934153935222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Values'!$I$7:$I$42</c:f>
              <c:numCache>
                <c:formatCode>0.0</c:formatCode>
                <c:ptCount val="36"/>
                <c:pt idx="0">
                  <c:v>0</c:v>
                </c:pt>
                <c:pt idx="1">
                  <c:v>2.8414794324004049</c:v>
                </c:pt>
                <c:pt idx="2">
                  <c:v>23.400418855062156</c:v>
                </c:pt>
                <c:pt idx="3">
                  <c:v>84.930553716932749</c:v>
                </c:pt>
                <c:pt idx="4">
                  <c:v>111.63274927145412</c:v>
                </c:pt>
                <c:pt idx="5">
                  <c:v>137.08048938219895</c:v>
                </c:pt>
                <c:pt idx="6">
                  <c:v>157.02232460732984</c:v>
                </c:pt>
                <c:pt idx="7">
                  <c:v>172.72455706806281</c:v>
                </c:pt>
                <c:pt idx="8">
                  <c:v>188.42678952879581</c:v>
                </c:pt>
                <c:pt idx="9">
                  <c:v>204.12902198952881</c:v>
                </c:pt>
                <c:pt idx="10">
                  <c:v>219.83125445026178</c:v>
                </c:pt>
                <c:pt idx="11">
                  <c:v>235.53348691099475</c:v>
                </c:pt>
                <c:pt idx="12">
                  <c:v>243.08680252368185</c:v>
                </c:pt>
                <c:pt idx="13">
                  <c:v>240.96327937931457</c:v>
                </c:pt>
                <c:pt idx="14">
                  <c:v>236.80252702293572</c:v>
                </c:pt>
                <c:pt idx="15">
                  <c:v>230.60454545454547</c:v>
                </c:pt>
                <c:pt idx="16">
                  <c:v>227.49215909090907</c:v>
                </c:pt>
                <c:pt idx="17">
                  <c:v>218.15499999999997</c:v>
                </c:pt>
                <c:pt idx="18">
                  <c:v>208.15875196334568</c:v>
                </c:pt>
                <c:pt idx="19">
                  <c:v>141.01131993917852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71392"/>
        <c:axId val="249974920"/>
      </c:scatterChart>
      <c:valAx>
        <c:axId val="249980800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81976"/>
        <c:crosses val="autoZero"/>
        <c:crossBetween val="midCat"/>
        <c:majorUnit val="500"/>
      </c:valAx>
      <c:valAx>
        <c:axId val="2499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80800"/>
        <c:crosses val="autoZero"/>
        <c:crossBetween val="midCat"/>
      </c:valAx>
      <c:valAx>
        <c:axId val="2499749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71392"/>
        <c:crosses val="max"/>
        <c:crossBetween val="midCat"/>
      </c:valAx>
      <c:valAx>
        <c:axId val="3272713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4997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Values'!$A$7:$A$42</c:f>
              <c:numCache>
                <c:formatCode>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  <c:pt idx="28">
                  <c:v>4250</c:v>
                </c:pt>
                <c:pt idx="29">
                  <c:v>4500</c:v>
                </c:pt>
                <c:pt idx="30">
                  <c:v>4750</c:v>
                </c:pt>
                <c:pt idx="31">
                  <c:v>5000</c:v>
                </c:pt>
                <c:pt idx="32">
                  <c:v>5250</c:v>
                </c:pt>
                <c:pt idx="33">
                  <c:v>5500</c:v>
                </c:pt>
                <c:pt idx="34">
                  <c:v>5750</c:v>
                </c:pt>
                <c:pt idx="35">
                  <c:v>6000</c:v>
                </c:pt>
              </c:numCache>
            </c:numRef>
          </c:xVal>
          <c:yVal>
            <c:numRef>
              <c:f>'Calculate from Values'!$J$7:$J$42</c:f>
              <c:numCache>
                <c:formatCode>0</c:formatCode>
                <c:ptCount val="36"/>
                <c:pt idx="0">
                  <c:v>260.79918367346932</c:v>
                </c:pt>
                <c:pt idx="1">
                  <c:v>251.38217687074825</c:v>
                </c:pt>
                <c:pt idx="2">
                  <c:v>227.58013605442176</c:v>
                </c:pt>
                <c:pt idx="3">
                  <c:v>210.45156462585035</c:v>
                </c:pt>
                <c:pt idx="4">
                  <c:v>206.22503401360544</c:v>
                </c:pt>
                <c:pt idx="5">
                  <c:v>202.74</c:v>
                </c:pt>
                <c:pt idx="6">
                  <c:v>199.99646258503404</c:v>
                </c:pt>
                <c:pt idx="7">
                  <c:v>197.9944217687075</c:v>
                </c:pt>
                <c:pt idx="8">
                  <c:v>196.73387755102041</c:v>
                </c:pt>
                <c:pt idx="9">
                  <c:v>196.21482993197282</c:v>
                </c:pt>
                <c:pt idx="10">
                  <c:v>196.42932281393823</c:v>
                </c:pt>
                <c:pt idx="11">
                  <c:v>197.36094674556216</c:v>
                </c:pt>
                <c:pt idx="12">
                  <c:v>199.00920447074296</c:v>
                </c:pt>
                <c:pt idx="13">
                  <c:v>201.37409598948062</c:v>
                </c:pt>
                <c:pt idx="14">
                  <c:v>204.45562130177515</c:v>
                </c:pt>
                <c:pt idx="15">
                  <c:v>208.25378040762658</c:v>
                </c:pt>
                <c:pt idx="16">
                  <c:v>212.76857330703484</c:v>
                </c:pt>
                <c:pt idx="17">
                  <c:v>218</c:v>
                </c:pt>
                <c:pt idx="18">
                  <c:v>242.22222222222223</c:v>
                </c:pt>
                <c:pt idx="19">
                  <c:v>314.88888888888891</c:v>
                </c:pt>
                <c:pt idx="20">
                  <c:v>436</c:v>
                </c:pt>
                <c:pt idx="21">
                  <c:v>436</c:v>
                </c:pt>
                <c:pt idx="22">
                  <c:v>436</c:v>
                </c:pt>
                <c:pt idx="23">
                  <c:v>436</c:v>
                </c:pt>
                <c:pt idx="24">
                  <c:v>436</c:v>
                </c:pt>
                <c:pt idx="25">
                  <c:v>436</c:v>
                </c:pt>
                <c:pt idx="26">
                  <c:v>436</c:v>
                </c:pt>
                <c:pt idx="27">
                  <c:v>436</c:v>
                </c:pt>
                <c:pt idx="28">
                  <c:v>436</c:v>
                </c:pt>
                <c:pt idx="29">
                  <c:v>436</c:v>
                </c:pt>
                <c:pt idx="30">
                  <c:v>436</c:v>
                </c:pt>
                <c:pt idx="31">
                  <c:v>436</c:v>
                </c:pt>
                <c:pt idx="32">
                  <c:v>436</c:v>
                </c:pt>
                <c:pt idx="33">
                  <c:v>436</c:v>
                </c:pt>
                <c:pt idx="34">
                  <c:v>436</c:v>
                </c:pt>
                <c:pt idx="35">
                  <c:v>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91288"/>
        <c:axId val="334793248"/>
      </c:scatterChart>
      <c:valAx>
        <c:axId val="334791288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3248"/>
        <c:crosses val="autoZero"/>
        <c:crossBetween val="midCat"/>
        <c:majorUnit val="500"/>
      </c:valAx>
      <c:valAx>
        <c:axId val="334793248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128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87760"/>
        <c:axId val="334792072"/>
      </c:scatterChart>
      <c:valAx>
        <c:axId val="334787760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2072"/>
        <c:crosses val="autoZero"/>
        <c:crossBetween val="midCat"/>
      </c:valAx>
      <c:valAx>
        <c:axId val="3347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90896"/>
        <c:axId val="334786584"/>
      </c:scatterChart>
      <c:valAx>
        <c:axId val="334790896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86584"/>
        <c:crosses val="autoZero"/>
        <c:crossBetween val="midCat"/>
      </c:valAx>
      <c:valAx>
        <c:axId val="3347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28575</xdr:rowOff>
    </xdr:from>
    <xdr:to>
      <xdr:col>41</xdr:col>
      <xdr:colOff>1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76201</xdr:colOff>
      <xdr:row>30</xdr:row>
      <xdr:rowOff>66675</xdr:rowOff>
    </xdr:from>
    <xdr:to>
      <xdr:col>40</xdr:col>
      <xdr:colOff>19051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42" totalsRowShown="0" headerRowDxfId="72" dataDxfId="71">
  <autoFilter ref="A6:V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rpm" dataDxfId="70"/>
    <tableColumn id="7" name="rawData" dataDxfId="69">
      <calculatedColumnFormula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calculatedColumnFormula>
    </tableColumn>
    <tableColumn id="9" name="manualData" dataDxfId="68"/>
    <tableColumn id="12" name="rawDataEco" dataDxfId="67">
      <calculatedColumnFormula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calculatedColumnFormula>
    </tableColumn>
    <tableColumn id="11" name="manDataEco" dataDxfId="66"/>
    <tableColumn id="4" name="motor" dataDxfId="65">
      <calculatedColumnFormula>Table36[Factor]*IF(Table15[[#This Row],[manualData]]&gt;0,Table15[[#This Row],[manualData]],Table15[[#This Row],[rawData]])</calculatedColumnFormula>
    </tableColumn>
    <tableColumn id="14" name="motorEco" dataDxfId="64">
      <calculatedColumnFormula>Table36[Factor]*IF(Table15[[#This Row],[manDataEco]]&gt;0,Table15[[#This Row],[manDataEco]],Table15[[#This Row],[rawDataEco]])</calculatedColumnFormula>
    </tableColumn>
    <tableColumn id="3" name="ps" dataDxfId="63">
      <calculatedColumnFormula>1.36*Table15[[#This Row],[rpm]]*Table15[[#This Row],[motor]]/9550</calculatedColumnFormula>
    </tableColumn>
    <tableColumn id="13" name="psEco" dataDxfId="62">
      <calculatedColumnFormula>1.36*Table15[[#This Row],[rpm]]*Table15[[#This Row],[motorEco]]/9550</calculatedColumnFormula>
    </tableColumn>
    <tableColumn id="10" name="fuelUsageRatio" dataDxfId="61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calculatedColumnFormula>
    </tableColumn>
    <tableColumn id="5" name="xml" dataDxfId="60">
      <calculatedColumnFormula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calculatedColumnFormula>
    </tableColumn>
    <tableColumn id="8" name="xml2" dataDxfId="59">
      <calculatedColumnFormula>IF(Table15[[#This Row],[rpm]]&gt;Table36[normRpm],"",CONCATENATE("&lt;torque normRpm=""",ROUND(Table15[[#This Row],[rpm]]/Table36[normRpm],3),""" torque=""",ROUND(Table15[[#This Row],[motor]]/MAX(Table15[motor]),3),"""/&gt;"))</calculatedColumnFormula>
    </tableColumn>
    <tableColumn id="15" name="t1" dataDxfId="58">
      <calculatedColumnFormula>(1-(1-Table15[[#This Row],[rpm]]/Table36[idleRpm])^2)*Table7[idleT]</calculatedColumnFormula>
    </tableColumn>
    <tableColumn id="18" name="t2" dataDxfId="57">
      <calculatedColumnFormula>MAX(0,(1-Table7[f1]*(Table36[maxTRpm1]-Table15[[#This Row],[rpm]])^2)*Table36[maxT])</calculatedColumnFormula>
    </tableColumn>
    <tableColumn id="19" name="t3" dataDxfId="56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5">
      <calculatedColumnFormula>MAX(0,(Table36[maxPS]-Table7[f4]*(Table15[[#This Row],[rpm]]-Table36[maxPRpm])^2)/1.36*9550/MAX(1,Table15[[#This Row],[rpm]]))</calculatedColumnFormula>
    </tableColumn>
    <tableColumn id="17" name="t5" dataDxfId="1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4">
      <calculatedColumnFormula>(1-(1-Table15[[#This Row],[rpm]]/Table36[idleRpm])^2)*Table7[idleTEco]</calculatedColumnFormula>
    </tableColumn>
    <tableColumn id="22" name="t2E" dataDxfId="53">
      <calculatedColumnFormula>MAX(0,(1-Table7[f1]*(Table36[maxTRpm1]-Table15[[#This Row],[rpm]])^2)*Table36[maxTEco])</calculatedColumnFormula>
    </tableColumn>
    <tableColumn id="23" name="t3E" dataDxfId="52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1">
      <calculatedColumnFormula>MAX(0,(Table36[maxPSEco]-Table7[f4Eco]*(Table15[[#This Row],[rpm]]-Table36[maxPRpm])^2)/1.36*9550/MAX(1,Table15[[#This Row],[rpm]]))</calculatedColumnFormula>
    </tableColumn>
    <tableColumn id="25" name="t5E" dataDxfId="0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0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49"/>
    <tableColumn id="14" name="maxPS" dataDxfId="48"/>
    <tableColumn id="19" name="maxPSEco" dataDxfId="47">
      <calculatedColumnFormula>Table36[maxPsEcoRate]*Table36[maxPS]</calculatedColumnFormula>
    </tableColumn>
    <tableColumn id="2" name="ratedRpm"/>
    <tableColumn id="3" name="PS"/>
    <tableColumn id="20" name="PSEco" dataDxfId="46">
      <calculatedColumnFormula>Table36[PSEcoRate]*Table36[PS]</calculatedColumnFormula>
    </tableColumn>
    <tableColumn id="12" name="maxTRpm1" dataDxfId="45"/>
    <tableColumn id="4" name="maxTRpm" dataDxfId="44"/>
    <tableColumn id="5" name="maxT" dataDxfId="43"/>
    <tableColumn id="21" name="maxTEco" dataDxfId="42">
      <calculatedColumnFormula>Table36[NmEcoRate]*Table36[maxT]</calculatedColumnFormula>
    </tableColumn>
    <tableColumn id="6" name="idleRpm"/>
    <tableColumn id="7" name="idleRatio" dataCellStyle="Percent"/>
    <tableColumn id="11" name="fadeOut" dataDxfId="41"/>
    <tableColumn id="15" name="linearDown" dataDxfId="40"/>
    <tableColumn id="25" name="fadeOutExp" dataDxfId="2"/>
    <tableColumn id="22" name="Efficiency" dataDxfId="39"/>
    <tableColumn id="16" name="Factor" dataDxfId="38"/>
    <tableColumn id="9" name="fuelMinRpm" dataDxfId="37">
      <calculatedColumnFormula>ROUND(0.65*Table36[idleRpm]+0.35*Table36[ratedRpm],-1)</calculatedColumnFormula>
    </tableColumn>
    <tableColumn id="13" name="fuelMinRate" dataDxfId="36">
      <calculatedColumnFormula>0.9*Table36[fuelRatedRate]</calculatedColumnFormula>
    </tableColumn>
    <tableColumn id="17" name="fuelIdleRate" dataDxfId="35">
      <calculatedColumnFormula>0.93*Table36[fuelRatedRate]</calculatedColumnFormula>
    </tableColumn>
    <tableColumn id="18" name="fuelRatedRate" dataDxfId="34"/>
    <tableColumn id="1" name="normRpm" dataDxfId="3">
      <calculatedColumnFormula>ROUND(Table36[ratedRpm]+0.49*Table36[fadeOut],-2)</calculatedColumnFormula>
    </tableColumn>
    <tableColumn id="8" name="PSEcoRate" dataDxfId="33"/>
    <tableColumn id="23" name="NmEcoRate"/>
    <tableColumn id="24" name="maxPsEcoRate" dataDxfId="32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S4" totalsRowShown="0" headerRowDxfId="31" dataDxfId="30">
  <autoFilter ref="A3:S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f1" dataDxfId="29">
      <calculatedColumnFormula>(1-Table36[idleRatio])/((Table36[maxTRpm1]-Table36[idleRpm])^2)</calculatedColumnFormula>
    </tableColumn>
    <tableColumn id="2" name="f2" dataDxfId="28">
      <calculatedColumnFormula>(Table36[maxT]-Table7[Nm])/Table36[maxT]/(Table36[maxPRpm]-Table36[maxTRpm])</calculatedColumnFormula>
    </tableColumn>
    <tableColumn id="5" name="f3" dataDxfId="27">
      <calculatedColumnFormula>(Table36[maxT]-Table7[Nm])/Table36[maxT]/(Table36[maxPRpm]-Table36[maxTRpm])^2</calculatedColumnFormula>
    </tableColumn>
    <tableColumn id="6" name="f4" dataDxfId="26">
      <calculatedColumnFormula>(Table36[maxPS]-Table36[PS])/MAX(1,Table36[ratedRpm]-Table36[maxPRpm])^2</calculatedColumnFormula>
    </tableColumn>
    <tableColumn id="3" name="Nm" dataDxfId="25">
      <calculatedColumnFormula>Table36[maxPS]/1.36*9550/Table36[maxPRpm]</calculatedColumnFormula>
    </tableColumn>
    <tableColumn id="4" name="Nm2" dataDxfId="24">
      <calculatedColumnFormula>Table36[PS]/1.36*9550/Table36[ratedRpm]</calculatedColumnFormula>
    </tableColumn>
    <tableColumn id="7" name="Anfahrmoment" dataDxfId="23" dataCellStyle="Percent">
      <calculatedColumnFormula>Table7[Nm1000]/Table7[Nm2Eco]</calculatedColumnFormula>
    </tableColumn>
    <tableColumn id="17" name="AnstiegE" dataDxfId="22" dataCellStyle="Percent">
      <calculatedColumnFormula>Table36[maxTEco]/Table7[Nm2Eco]-1</calculatedColumnFormula>
    </tableColumn>
    <tableColumn id="14" name="Anstieg" dataDxfId="21" dataCellStyle="Percent">
      <calculatedColumnFormula>Table36[maxT]/Table7[Nm2]-1</calculatedColumnFormula>
    </tableColumn>
    <tableColumn id="15" name="Abfall" dataDxfId="20" dataCellStyle="Percent">
      <calculatedColumnFormula>1-Table36[maxTRpm]/Table36[ratedRpm]</calculatedColumnFormula>
    </tableColumn>
    <tableColumn id="16" name="Nm1000" dataDxfId="19" dataCellStyle="Percent">
      <calculatedColumnFormula>(1-Table7[f1]*(Table36[maxTRpm1]-1000)^2)*Table36[maxTEco]</calculatedColumnFormula>
    </tableColumn>
    <tableColumn id="8" name="NmEco" dataDxfId="18">
      <calculatedColumnFormula>Table36[maxPSEco]/1.36*9550/Table36[maxPRpm]</calculatedColumnFormula>
    </tableColumn>
    <tableColumn id="9" name="Nm2Eco" dataDxfId="17">
      <calculatedColumnFormula>Table36[PSEco]/1.36*9550/Table36[ratedRpm]</calculatedColumnFormula>
    </tableColumn>
    <tableColumn id="12" name="f2Eco" dataDxfId="16">
      <calculatedColumnFormula>(Table36[maxTEco]-Table7[NmEco])/Table36[maxTEco]/(Table36[maxPRpm]-Table36[maxTRpm])</calculatedColumnFormula>
    </tableColumn>
    <tableColumn id="10" name="f3Eco" dataDxfId="15">
      <calculatedColumnFormula>(Table36[maxTEco]-Table7[NmEco])/Table36[maxTEco]/(Table36[maxPRpm]-Table36[maxTRpm])^2</calculatedColumnFormula>
    </tableColumn>
    <tableColumn id="11" name="f4Eco" dataDxfId="14">
      <calculatedColumnFormula>(Table36[maxPSEco]-Table36[PSEco])/MAX(1,Table36[ratedRpm]-Table36[maxPRpm])^2</calculatedColumnFormula>
    </tableColumn>
    <tableColumn id="13" name="idleT" dataDxfId="13">
      <calculatedColumnFormula>(1-Table7[f1]*(Table36[maxTRpm1]-Table36[idleRpm])^2)*Table36[maxT]</calculatedColumnFormula>
    </tableColumn>
    <tableColumn id="19" name="idleTEco" dataDxfId="12">
      <calculatedColumnFormula>(1-Table7[f1]*(Table36[maxTRpm1]-Table36[idleRpm])^2)*Table36[maxTEco]</calculatedColumnFormula>
    </tableColumn>
    <tableColumn id="21" name="xmlComment" dataDxfId="11">
      <calculatedColumnFormula>CONCATENATE("&lt;!-- ",Table36[maxPRpm],": ",Table36[maxPS],"(",Table36[maxPSEco],") | ",Table36[ratedRpm],": ",Table36[PS],"(",Table36[PSEco],") | ",Table36[maxTRpm1],"..",Table36[maxTRpm],": ",Table36[maxT],"(",Table36[maxTEco],") | ",Table36[idleRatio]*100," | ",Table36[linearDown]," | ",Table36[fadeOut]," | ",Table36[fadeOutExp],"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0">
      <calculatedColumnFormula>A2*C2/9550</calculatedColumnFormula>
    </tableColumn>
    <tableColumn id="3" name="ps" dataDxfId="9">
      <calculatedColumnFormula>Table1[[#This Row],[kw_pto]]*1.36/0.94</calculatedColumnFormula>
    </tableColumn>
    <tableColumn id="4" name="motor"/>
    <tableColumn id="5" name="xml" dataDxfId="8">
      <calculatedColumnFormula>CONCATENATE("&lt;torque rpm=""",Table1[[#This Row],[rpm]],""" motorTorque=""",ROUND(Table1[[#This Row],[motor]],0),"""/&gt;")</calculatedColumnFormula>
    </tableColumn>
    <tableColumn id="8" name="xml2" dataDxfId="7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4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G19" sqref="G19"/>
    </sheetView>
  </sheetViews>
  <sheetFormatPr defaultColWidth="7.140625" defaultRowHeight="15" x14ac:dyDescent="0.25"/>
  <cols>
    <col min="1" max="1" width="10" bestFit="1" customWidth="1"/>
    <col min="2" max="2" width="7.28515625" bestFit="1" customWidth="1"/>
    <col min="3" max="3" width="12" bestFit="1" customWidth="1"/>
    <col min="4" max="4" width="7.28515625" bestFit="1" customWidth="1"/>
    <col min="5" max="5" width="10.85546875" customWidth="1"/>
    <col min="6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3">
        <v>1900</v>
      </c>
      <c r="B2" s="14">
        <v>270</v>
      </c>
      <c r="C2" s="18">
        <f>Table36[maxPsEcoRate]*Table36[maxPS]</f>
        <v>230.60454545454547</v>
      </c>
      <c r="D2" s="7">
        <v>2100</v>
      </c>
      <c r="E2" s="8">
        <v>271</v>
      </c>
      <c r="F2" s="19">
        <f>Table36[PSEcoRate]*Table36[PS]</f>
        <v>218.155</v>
      </c>
      <c r="G2" s="13">
        <v>1000</v>
      </c>
      <c r="H2" s="14">
        <v>1550</v>
      </c>
      <c r="I2" s="14">
        <v>1173</v>
      </c>
      <c r="J2" s="18">
        <f>Table36[NmEcoRate]*Table36[maxT]</f>
        <v>1102.6199999999999</v>
      </c>
      <c r="K2" s="7">
        <v>900</v>
      </c>
      <c r="L2" s="11">
        <v>0.97</v>
      </c>
      <c r="M2" s="9">
        <v>300</v>
      </c>
      <c r="N2" s="13">
        <v>1</v>
      </c>
      <c r="O2" s="14">
        <v>2.2000000000000002</v>
      </c>
      <c r="P2" s="14">
        <v>0.94</v>
      </c>
      <c r="Q2" s="15">
        <v>1</v>
      </c>
      <c r="R2" s="16">
        <f>ROUND(0.65*Table36[idleRpm]+0.35*Table36[ratedRpm],-1)</f>
        <v>1320</v>
      </c>
      <c r="S2" s="17">
        <f>0.9*Table36[fuelRatedRate]</f>
        <v>196.20000000000002</v>
      </c>
      <c r="T2" s="17">
        <f>0.93*Table36[fuelRatedRate]</f>
        <v>202.74</v>
      </c>
      <c r="U2" s="9">
        <v>218</v>
      </c>
      <c r="V2" s="16">
        <f>ROUND(Table36[ratedRpm]+0.49*Table36[fadeOut],-2)</f>
        <v>2200</v>
      </c>
      <c r="W2" s="7">
        <v>0.80500000000000005</v>
      </c>
      <c r="X2" s="9">
        <v>0.94</v>
      </c>
      <c r="Y2" s="29">
        <f>Table36[PSEcoRate]* (Table36[maxPRpm]-Table36[maxTRpm])/(Table36[ratedRpm]-Table36[maxTRpm]) + Table36[NmEcoRate]* (1- (Table36[maxPRpm]-Table36[maxTRpm])/(Table36[ratedRpm]-Table36[maxTRpm]))</f>
        <v>0.85409090909090912</v>
      </c>
    </row>
    <row r="3" spans="1:25" x14ac:dyDescent="0.25">
      <c r="A3" s="12" t="s">
        <v>16</v>
      </c>
      <c r="B3" s="12" t="s">
        <v>17</v>
      </c>
      <c r="C3" s="12" t="s">
        <v>24</v>
      </c>
      <c r="D3" s="12" t="s">
        <v>26</v>
      </c>
      <c r="E3" s="12" t="s">
        <v>19</v>
      </c>
      <c r="F3" s="12" t="s">
        <v>20</v>
      </c>
      <c r="G3" s="26" t="s">
        <v>27</v>
      </c>
      <c r="H3" s="27" t="s">
        <v>66</v>
      </c>
      <c r="I3" s="27" t="s">
        <v>61</v>
      </c>
      <c r="J3" s="28" t="s">
        <v>62</v>
      </c>
      <c r="K3" s="12" t="s">
        <v>65</v>
      </c>
      <c r="L3" s="12" t="s">
        <v>37</v>
      </c>
      <c r="M3" s="12" t="s">
        <v>38</v>
      </c>
      <c r="N3" s="12" t="s">
        <v>41</v>
      </c>
      <c r="O3" s="12" t="s">
        <v>39</v>
      </c>
      <c r="P3" s="12" t="s">
        <v>40</v>
      </c>
      <c r="Q3" s="12" t="s">
        <v>42</v>
      </c>
      <c r="R3" s="12" t="s">
        <v>48</v>
      </c>
      <c r="S3" s="12" t="s">
        <v>28</v>
      </c>
    </row>
    <row r="4" spans="1:25" ht="15.75" thickBot="1" x14ac:dyDescent="0.3">
      <c r="A4" s="12">
        <f>(1-Table36[idleRatio])/((Table36[maxTRpm1]-Table36[idleRpm])^2)</f>
        <v>3.0000000000000026E-6</v>
      </c>
      <c r="B4" s="12">
        <f>(Table36[maxT]-Table7[Nm])/Table36[maxT]/(Table36[maxPRpm]-Table36[maxTRpm])</f>
        <v>4.2657041279292737E-4</v>
      </c>
      <c r="C4" s="12">
        <f>(Table36[maxT]-Table7[Nm])/Table36[maxT]/(Table36[maxPRpm]-Table36[maxTRpm])^2</f>
        <v>1.2187726079797926E-6</v>
      </c>
      <c r="D4" s="12">
        <f>(Table36[maxPS]-Table36[PS])/MAX(1,Table36[ratedRpm]-Table36[maxPRpm])^2</f>
        <v>-2.5000000000000001E-5</v>
      </c>
      <c r="E4" s="12">
        <f>Table36[maxPS]/1.36*9550/Table36[maxPRpm]</f>
        <v>997.87151702786366</v>
      </c>
      <c r="F4" s="12">
        <f>Table36[PS]/1.36*9550/Table36[ratedRpm]</f>
        <v>906.17997198879539</v>
      </c>
      <c r="G4" s="23">
        <f>Table7[Nm1000]/Table7[Nm2Eco]</f>
        <v>1.5115256660420007</v>
      </c>
      <c r="H4" s="24">
        <f>Table36[maxTEco]/Table7[Nm2Eco]-1</f>
        <v>0.51152566604200067</v>
      </c>
      <c r="I4" s="24">
        <f>Table36[maxT]/Table7[Nm2]-1</f>
        <v>0.2944448523019263</v>
      </c>
      <c r="J4" s="25">
        <f>1-Table36[maxTRpm]/Table36[ratedRpm]</f>
        <v>0.26190476190476186</v>
      </c>
      <c r="K4" s="12">
        <f>(1-Table7[f1]*(Table36[maxTRpm1]-1000)^2)*Table36[maxTEco]</f>
        <v>1102.6199999999999</v>
      </c>
      <c r="L4" s="12">
        <f>Table36[maxPSEco]/1.36*9550/Table36[maxPRpm]</f>
        <v>852.27299113425283</v>
      </c>
      <c r="M4" s="12">
        <f>Table36[PSEco]/1.36*9550/Table36[ratedRpm]</f>
        <v>729.47487745098033</v>
      </c>
      <c r="N4" s="12">
        <f>(Table36[maxTEco]-Table7[NmEco])/Table36[maxTEco]/(Table36[maxPRpm]-Table36[maxTRpm])</f>
        <v>6.4870686926397924E-4</v>
      </c>
      <c r="O4" s="12">
        <f>(Table36[maxTEco]-Table7[NmEco])/Table36[maxTEco]/(Table36[maxPRpm]-Table36[maxTRpm])^2</f>
        <v>1.8534481978970834E-6</v>
      </c>
      <c r="P4" s="12">
        <f>(Table36[maxPSEco]-Table36[PSEco])/MAX(1,Table36[ratedRpm]-Table36[maxPRpm])^2</f>
        <v>3.1123863636363678E-4</v>
      </c>
      <c r="Q4" s="12">
        <f>(1-Table7[f1]*(Table36[maxTRpm1]-Table36[idleRpm])^2)*Table36[maxT]</f>
        <v>1137.81</v>
      </c>
      <c r="R4" s="12">
        <f>(1-Table7[f1]*(Table36[maxTRpm1]-Table36[idleRpm])^2)*Table36[maxTEco]</f>
        <v>1069.5413999999998</v>
      </c>
      <c r="S4" s="12" t="str">
        <f>CONCATENATE("&lt;!-- ",Table36[maxPRpm],": ",Table36[maxPS],"(",Table36[maxPSEco],") | ",Table36[ratedRpm],": ",Table36[PS],"(",Table36[PSEco],") | ",Table36[maxTRpm1],"..",Table36[maxTRpm],": ",Table36[maxT],"(",Table36[maxTEco],") | ",Table36[idleRatio]*100," | ",Table36[linearDown]," | ",Table36[fadeOut]," | ",Table36[fadeOutExp]," --&gt;")</f>
        <v>&lt;!-- 1900: 270(230.604545454545) | 2100: 271(218.155) | 1000..1550: 1173(1102.62) | 97 | 1 | 300 | 2.2 --&gt;</v>
      </c>
    </row>
    <row r="6" spans="1:25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7" s="20"/>
      <c r="D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7" s="20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30">
        <f>1.36*Table15[[#This Row],[rpm]]*Table15[[#This Row],[motor]]/9550</f>
        <v>0</v>
      </c>
      <c r="I7" s="30">
        <f>1.36*Table15[[#This Row],[rpm]]*Table15[[#This Row],[motorEco]]/9550</f>
        <v>0</v>
      </c>
      <c r="J7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260.79918367346932</v>
      </c>
      <c r="K7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rpm="0" motorTorque="0" motorTorqueEco="0" fuelUsageRatio="261"/&gt;&lt;!-- 1900: 270(230.604545454545) | 2100: 271(218.155) | 1000..1550: 1173(1102.62) | 97 | 1 | 300 | 2.2 --&gt;</v>
      </c>
      <c r="L7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normRpm="0" torque="0"/&gt;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0</v>
      </c>
      <c r="O7" s="3">
        <f>MAX(0,(Table36[linearDown]*(1-Table7[f2]*(Table15[[#This Row],[rpm]]-Table36[maxTRpm]))+(1-Table36[linearDown])*(1-Table7[f3]*(Table15[[#This Row],[rpm]]-Table36[maxTRpm])^2))*Table36[maxT])</f>
        <v>1948.5689960194609</v>
      </c>
      <c r="P7" s="3">
        <f>MAX(0,(Table36[maxPS]-Table7[f4]*(Table15[[#This Row],[rpm]]-Table36[maxPRpm])^2)/1.36*9550/MAX(1,Table15[[#This Row],[rpm]]))</f>
        <v>2529696.6911764704</v>
      </c>
      <c r="Q7" s="3">
        <f>MAX(0,Table7[Nm2]*MIN(Table36[ratedRpm]/MAX(1,Table15[[#This Row],[rpm]]),1-(MAX(0,Table15[[#This Row],[rpm]]-Table36[ratedRpm])/Table36[fadeOut])^Table36[fadeOutExp]))</f>
        <v>906.17997198879539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0</v>
      </c>
      <c r="T7" s="3">
        <f>MAX(0,(Table36[linearDown]*(1-Table7[f2Eco]*(Table15[[#This Row],[rpm]]-Table36[maxTRpm]))+(1-Table36[linearDown])*(1-Table7[f3Eco]*(Table15[[#This Row],[rpm]]-Table36[maxTRpm])^2))*Table36[maxTEco])</f>
        <v>2211.2996106911655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729.47487745098033</v>
      </c>
    </row>
    <row r="8" spans="1:25" x14ac:dyDescent="0.25">
      <c r="A8" s="3">
        <v>100</v>
      </c>
      <c r="B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212.26633744855968</v>
      </c>
      <c r="C8" s="21"/>
      <c r="D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199.5303572016461</v>
      </c>
      <c r="E8" s="21"/>
      <c r="F8" s="3">
        <f>Table36[Factor]*IF(Table15[[#This Row],[manualData]]&gt;0,Table15[[#This Row],[manualData]],Table15[[#This Row],[rawData]])</f>
        <v>212.26633744855968</v>
      </c>
      <c r="G8" s="3">
        <f>Table36[Factor]*IF(Table15[[#This Row],[manDataEco]]&gt;0,Table15[[#This Row],[manDataEco]],Table15[[#This Row],[rawDataEco]])</f>
        <v>199.5303572016461</v>
      </c>
      <c r="H8" s="30">
        <f>1.36*Table15[[#This Row],[rpm]]*Table15[[#This Row],[motor]]/9550</f>
        <v>3.0228504600004311</v>
      </c>
      <c r="I8" s="30">
        <f>1.36*Table15[[#This Row],[rpm]]*Table15[[#This Row],[motorEco]]/9550</f>
        <v>2.8414794324004049</v>
      </c>
      <c r="J8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251.38217687074825</v>
      </c>
      <c r="K8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rpm="100" motorTorque="212" motorTorqueEco="200" fuelUsageRatio="251"/&gt;</v>
      </c>
      <c r="L8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normRpm="0.045" torque="0.181"/&gt;</v>
      </c>
      <c r="M8" s="3">
        <f>(1-(1-Table15[[#This Row],[rpm]]/Table36[idleRpm])^2)*Table7[idleT]</f>
        <v>238.79962962962966</v>
      </c>
      <c r="N8" s="3">
        <f>MAX(0,(1-Table7[f1]*(Table36[maxTRpm1]-Table15[[#This Row],[rpm]])^2)*Table36[maxT])</f>
        <v>0</v>
      </c>
      <c r="O8" s="3">
        <f>MAX(0,(Table36[linearDown]*(1-Table7[f2]*(Table15[[#This Row],[rpm]]-Table36[maxTRpm]))+(1-Table36[linearDown])*(1-Table7[f3]*(Table15[[#This Row],[rpm]]-Table36[maxTRpm])^2))*Table36[maxT])</f>
        <v>1898.5322865988505</v>
      </c>
      <c r="P8" s="3">
        <f>MAX(0,(Table36[maxPS]-Table7[f4]*(Table15[[#This Row],[rpm]]-Table36[maxPRpm])^2)/1.36*9550/MAX(1,Table15[[#This Row],[rpm]]))</f>
        <v>24647.426470588231</v>
      </c>
      <c r="Q8" s="3">
        <f>MAX(0,Table7[Nm2]*MIN(Table36[ratedRpm]/MAX(1,Table15[[#This Row],[rpm]]),1-(MAX(0,Table15[[#This Row],[rpm]]-Table36[ratedRpm])/Table36[fadeOut])^Table36[fadeOutExp]))</f>
        <v>906.17997198879539</v>
      </c>
      <c r="R8" s="3">
        <f>(1-(1-Table15[[#This Row],[rpm]]/Table36[idleRpm])^2)*Table7[idleTEco]</f>
        <v>224.47165185185187</v>
      </c>
      <c r="S8" s="3">
        <f>MAX(0,(1-Table7[f1]*(Table36[maxTRpm1]-Table15[[#This Row],[rpm]])^2)*Table36[maxTEco])</f>
        <v>0</v>
      </c>
      <c r="T8" s="3">
        <f>MAX(0,(Table36[linearDown]*(1-Table7[f2Eco]*(Table15[[#This Row],[rpm]]-Table36[maxTRpm]))+(1-Table36[linearDown])*(1-Table7[f3Eco]*(Table15[[#This Row],[rpm]]-Table36[maxTRpm])^2))*Table36[maxTEco])</f>
        <v>2139.7718938723806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729.47487745098033</v>
      </c>
    </row>
    <row r="9" spans="1:25" x14ac:dyDescent="0.25">
      <c r="A9" s="3">
        <v>400</v>
      </c>
      <c r="B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437.0189300411522</v>
      </c>
      <c r="C9" s="21"/>
      <c r="D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410.79779423868308</v>
      </c>
      <c r="E9" s="21"/>
      <c r="F9" s="3">
        <f>Table36[Factor]*IF(Table15[[#This Row],[manualData]]&gt;0,Table15[[#This Row],[manualData]],Table15[[#This Row],[rawData]])</f>
        <v>437.0189300411522</v>
      </c>
      <c r="G9" s="3">
        <f>Table36[Factor]*IF(Table15[[#This Row],[manDataEco]]&gt;0,Table15[[#This Row],[manDataEco]],Table15[[#This Row],[rawDataEco]])</f>
        <v>410.79779423868308</v>
      </c>
      <c r="H9" s="30">
        <f>1.36*Table15[[#This Row],[rpm]]*Table15[[#This Row],[motor]]/9550</f>
        <v>24.894062611768252</v>
      </c>
      <c r="I9" s="30">
        <f>1.36*Table15[[#This Row],[rpm]]*Table15[[#This Row],[motorEco]]/9550</f>
        <v>23.400418855062156</v>
      </c>
      <c r="J9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227.58013605442176</v>
      </c>
      <c r="K9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rpm="400" motorTorque="437" motorTorqueEco="411" fuelUsageRatio="228"/&gt;</v>
      </c>
      <c r="L9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normRpm="0.182" torque="0.373"/&gt;</v>
      </c>
      <c r="M9" s="3">
        <f>(1-(1-Table15[[#This Row],[rpm]]/Table36[idleRpm])^2)*Table7[idleT]</f>
        <v>786.63407407407396</v>
      </c>
      <c r="N9" s="3">
        <f>MAX(0,(1-Table7[f1]*(Table36[maxTRpm1]-Table15[[#This Row],[rpm]])^2)*Table36[maxT])</f>
        <v>0</v>
      </c>
      <c r="O9" s="3">
        <f>MAX(0,(Table36[linearDown]*(1-Table7[f2]*(Table15[[#This Row],[rpm]]-Table36[maxTRpm]))+(1-Table36[linearDown])*(1-Table7[f3]*(Table15[[#This Row],[rpm]]-Table36[maxTRpm])^2))*Table36[maxT])</f>
        <v>1748.4221583370193</v>
      </c>
      <c r="P9" s="3">
        <f>MAX(0,(Table36[maxPS]-Table7[f4]*(Table15[[#This Row],[rpm]]-Table36[maxPRpm])^2)/1.36*9550/MAX(1,Table15[[#This Row],[rpm]]))</f>
        <v>5727.3667279411757</v>
      </c>
      <c r="Q9" s="3">
        <f>MAX(0,Table7[Nm2]*MIN(Table36[ratedRpm]/MAX(1,Table15[[#This Row],[rpm]]),1-(MAX(0,Table15[[#This Row],[rpm]]-Table36[ratedRpm])/Table36[fadeOut])^Table36[fadeOutExp]))</f>
        <v>906.17997198879539</v>
      </c>
      <c r="R9" s="3">
        <f>(1-(1-Table15[[#This Row],[rpm]]/Table36[idleRpm])^2)*Table7[idleTEco]</f>
        <v>739.4360296296295</v>
      </c>
      <c r="S9" s="3">
        <f>MAX(0,(1-Table7[f1]*(Table36[maxTRpm1]-Table15[[#This Row],[rpm]])^2)*Table36[maxTEco])</f>
        <v>0</v>
      </c>
      <c r="T9" s="3">
        <f>MAX(0,(Table36[linearDown]*(1-Table7[f2Eco]*(Table15[[#This Row],[rpm]]-Table36[maxTRpm]))+(1-Table36[linearDown])*(1-Table7[f3Eco]*(Table15[[#This Row],[rpm]]-Table36[maxTRpm])^2))*Table36[maxTEco])</f>
        <v>1925.1887434160258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729.47487745098033</v>
      </c>
    </row>
    <row r="10" spans="1:25" x14ac:dyDescent="0.25">
      <c r="A10" s="3">
        <v>700</v>
      </c>
      <c r="B1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906.36374485596684</v>
      </c>
      <c r="C10" s="21"/>
      <c r="D1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851.98192016460882</v>
      </c>
      <c r="E10" s="21"/>
      <c r="F10" s="3">
        <f>Table36[Factor]*IF(Table15[[#This Row],[manualData]]&gt;0,Table15[[#This Row],[manualData]],Table15[[#This Row],[rawData]])</f>
        <v>906.36374485596684</v>
      </c>
      <c r="G10" s="3">
        <f>Table36[Factor]*IF(Table15[[#This Row],[manDataEco]]&gt;0,Table15[[#This Row],[manDataEco]],Table15[[#This Row],[rawDataEco]])</f>
        <v>851.98192016460882</v>
      </c>
      <c r="H10" s="30">
        <f>1.36*Table15[[#This Row],[rpm]]*Table15[[#This Row],[motor]]/9550</f>
        <v>90.351652890353989</v>
      </c>
      <c r="I10" s="30">
        <f>1.36*Table15[[#This Row],[rpm]]*Table15[[#This Row],[motorEco]]/9550</f>
        <v>84.930553716932749</v>
      </c>
      <c r="J10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210.45156462585035</v>
      </c>
      <c r="K10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rpm="700" motorTorque="906" motorTorqueEco="852" fuelUsageRatio="210"/&gt;</v>
      </c>
      <c r="L10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normRpm="0.318" torque="0.773"/&gt;</v>
      </c>
      <c r="M10" s="3">
        <f>(1-(1-Table15[[#This Row],[rpm]]/Table36[idleRpm])^2)*Table7[idleT]</f>
        <v>1081.6218518518517</v>
      </c>
      <c r="N10" s="3">
        <f>MAX(0,(1-Table7[f1]*(Table36[maxTRpm1]-Table15[[#This Row],[rpm]])^2)*Table36[maxT])</f>
        <v>856.28999999999974</v>
      </c>
      <c r="O10" s="3">
        <f>MAX(0,(Table36[linearDown]*(1-Table7[f2]*(Table15[[#This Row],[rpm]]-Table36[maxTRpm]))+(1-Table36[linearDown])*(1-Table7[f3]*(Table15[[#This Row],[rpm]]-Table36[maxTRpm])^2))*Table36[maxT])</f>
        <v>1598.3120300751882</v>
      </c>
      <c r="P10" s="3">
        <f>MAX(0,(Table36[maxPS]-Table7[f4]*(Table15[[#This Row],[rpm]]-Table36[maxPRpm])^2)/1.36*9550/MAX(1,Table15[[#This Row],[rpm]]))</f>
        <v>3069.6428571428564</v>
      </c>
      <c r="Q10" s="3">
        <f>MAX(0,Table7[Nm2]*MIN(Table36[ratedRpm]/MAX(1,Table15[[#This Row],[rpm]]),1-(MAX(0,Table15[[#This Row],[rpm]]-Table36[ratedRpm])/Table36[fadeOut])^Table36[fadeOutExp]))</f>
        <v>906.17997198879539</v>
      </c>
      <c r="R10" s="3">
        <f>(1-(1-Table15[[#This Row],[rpm]]/Table36[idleRpm])^2)*Table7[idleTEco]</f>
        <v>1016.7245407407406</v>
      </c>
      <c r="S10" s="3">
        <f>MAX(0,(1-Table7[f1]*(Table36[maxTRpm1]-Table15[[#This Row],[rpm]])^2)*Table36[maxTEco])</f>
        <v>804.91259999999966</v>
      </c>
      <c r="T10" s="3">
        <f>MAX(0,(Table36[linearDown]*(1-Table7[f2Eco]*(Table15[[#This Row],[rpm]]-Table36[maxTRpm]))+(1-Table36[linearDown])*(1-Table7[f3Eco]*(Table15[[#This Row],[rpm]]-Table36[maxTRpm])^2))*Table36[maxTEco])</f>
        <v>1710.6055929596714</v>
      </c>
      <c r="U10" s="3">
        <f>MAX(0,(Table36[maxPSEco]-Table7[f4Eco]*(Table15[[#This Row],[rpm]]-Table36[maxPRpm])^2)/1.36*9550/MAX(1,Table15[[#This Row],[rpm]]))</f>
        <v>0</v>
      </c>
      <c r="V10" s="3">
        <f>MAX(0,Table7[Nm2Eco]*MIN(Table36[ratedRpm]/MAX(1,Table15[[#This Row],[rpm]]),1-(MAX(0,Table15[[#This Row],[rpm]]-Table36[ratedRpm])/Table36[fadeOut])^Table36[fadeOutExp]))</f>
        <v>729.47487745098033</v>
      </c>
    </row>
    <row r="11" spans="1:25" x14ac:dyDescent="0.25">
      <c r="A11" s="3">
        <v>800</v>
      </c>
      <c r="B1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1042.4092181069957</v>
      </c>
      <c r="C11" s="21"/>
      <c r="D1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979.86466502057601</v>
      </c>
      <c r="E11" s="21"/>
      <c r="F11" s="3">
        <f>Table36[Factor]*IF(Table15[[#This Row],[manualData]]&gt;0,Table15[[#This Row],[manualData]],Table15[[#This Row],[rawData]])</f>
        <v>1042.4092181069957</v>
      </c>
      <c r="G11" s="3">
        <f>Table36[Factor]*IF(Table15[[#This Row],[manDataEco]]&gt;0,Table15[[#This Row],[manDataEco]],Table15[[#This Row],[rawDataEco]])</f>
        <v>979.86466502057601</v>
      </c>
      <c r="H11" s="30">
        <f>1.36*Table15[[#This Row],[rpm]]*Table15[[#This Row],[motor]]/9550</f>
        <v>118.75824390580225</v>
      </c>
      <c r="I11" s="30">
        <f>1.36*Table15[[#This Row],[rpm]]*Table15[[#This Row],[motorEco]]/9550</f>
        <v>111.63274927145412</v>
      </c>
      <c r="J11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206.22503401360544</v>
      </c>
      <c r="K11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rpm="800" motorTorque="1042" motorTorqueEco="980" fuelUsageRatio="206"/&gt;</v>
      </c>
      <c r="L11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normRpm="0.364" torque="0.889"/&gt;</v>
      </c>
      <c r="M11" s="3">
        <f>(1-(1-Table15[[#This Row],[rpm]]/Table36[idleRpm])^2)*Table7[idleT]</f>
        <v>1123.7629629629628</v>
      </c>
      <c r="N11" s="3">
        <f>MAX(0,(1-Table7[f1]*(Table36[maxTRpm1]-Table15[[#This Row],[rpm]])^2)*Table36[maxT])</f>
        <v>1032.2399999999998</v>
      </c>
      <c r="O11" s="3">
        <f>MAX(0,(Table36[linearDown]*(1-Table7[f2]*(Table15[[#This Row],[rpm]]-Table36[maxTRpm]))+(1-Table36[linearDown])*(1-Table7[f3]*(Table15[[#This Row],[rpm]]-Table36[maxTRpm])^2))*Table36[maxT])</f>
        <v>1548.2753206545779</v>
      </c>
      <c r="P11" s="3">
        <f>MAX(0,(Table36[maxPS]-Table7[f4]*(Table15[[#This Row],[rpm]]-Table36[maxPRpm])^2)/1.36*9550/MAX(1,Table15[[#This Row],[rpm]]))</f>
        <v>2635.466452205882</v>
      </c>
      <c r="Q11" s="3">
        <f>MAX(0,Table7[Nm2]*MIN(Table36[ratedRpm]/MAX(1,Table15[[#This Row],[rpm]]),1-(MAX(0,Table15[[#This Row],[rpm]]-Table36[ratedRpm])/Table36[fadeOut])^Table36[fadeOutExp]))</f>
        <v>906.17997198879539</v>
      </c>
      <c r="R11" s="3">
        <f>(1-(1-Table15[[#This Row],[rpm]]/Table36[idleRpm])^2)*Table7[idleTEco]</f>
        <v>1056.337185185185</v>
      </c>
      <c r="S11" s="3">
        <f>MAX(0,(1-Table7[f1]*(Table36[maxTRpm1]-Table15[[#This Row],[rpm]])^2)*Table36[maxTEco])</f>
        <v>970.3055999999998</v>
      </c>
      <c r="T11" s="3">
        <f>MAX(0,(Table36[linearDown]*(1-Table7[f2Eco]*(Table15[[#This Row],[rpm]]-Table36[maxTRpm]))+(1-Table36[linearDown])*(1-Table7[f3Eco]*(Table15[[#This Row],[rpm]]-Table36[maxTRpm])^2))*Table36[maxTEco])</f>
        <v>1639.0778761408865</v>
      </c>
      <c r="U11" s="3">
        <f>MAX(0,(Table36[maxPSEco]-Table7[f4Eco]*(Table15[[#This Row],[rpm]]-Table36[maxPRpm])^2)/1.36*9550/MAX(1,Table15[[#This Row],[rpm]]))</f>
        <v>0</v>
      </c>
      <c r="V11" s="3">
        <f>MAX(0,Table7[Nm2Eco]*MIN(Table36[ratedRpm]/MAX(1,Table15[[#This Row],[rpm]]),1-(MAX(0,Table15[[#This Row],[rpm]]-Table36[ratedRpm])/Table36[fadeOut])^Table36[fadeOutExp]))</f>
        <v>729.47487745098033</v>
      </c>
    </row>
    <row r="12" spans="1:25" x14ac:dyDescent="0.25">
      <c r="A12" s="3">
        <v>900</v>
      </c>
      <c r="B1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1137.81</v>
      </c>
      <c r="C12" s="21"/>
      <c r="D1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1069.5413999999998</v>
      </c>
      <c r="E12" s="21"/>
      <c r="F12" s="3">
        <f>Table36[Factor]*IF(Table15[[#This Row],[manualData]]&gt;0,Table15[[#This Row],[manualData]],Table15[[#This Row],[rawData]])</f>
        <v>1137.81</v>
      </c>
      <c r="G12" s="3">
        <f>Table36[Factor]*IF(Table15[[#This Row],[manDataEco]]&gt;0,Table15[[#This Row],[manDataEco]],Table15[[#This Row],[rawDataEco]])</f>
        <v>1069.5413999999998</v>
      </c>
      <c r="H12" s="30">
        <f>1.36*Table15[[#This Row],[rpm]]*Table15[[#This Row],[motor]]/9550</f>
        <v>145.83030785340313</v>
      </c>
      <c r="I12" s="30">
        <f>1.36*Table15[[#This Row],[rpm]]*Table15[[#This Row],[motorEco]]/9550</f>
        <v>137.08048938219895</v>
      </c>
      <c r="J12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202.74</v>
      </c>
      <c r="K12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rpm="900" motorTorque="1138" motorTorqueEco="1070" fuelUsageRatio="203"/&gt;</v>
      </c>
      <c r="L12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normRpm="0.409" torque="0.97"/&gt;</v>
      </c>
      <c r="M12" s="3">
        <f>(1-(1-Table15[[#This Row],[rpm]]/Table36[idleRpm])^2)*Table7[idleT]</f>
        <v>1137.81</v>
      </c>
      <c r="N12" s="3">
        <f>MAX(0,(1-Table7[f1]*(Table36[maxTRpm1]-Table15[[#This Row],[rpm]])^2)*Table36[maxT])</f>
        <v>1137.81</v>
      </c>
      <c r="O12" s="3">
        <f>MAX(0,(Table36[linearDown]*(1-Table7[f2]*(Table15[[#This Row],[rpm]]-Table36[maxTRpm]))+(1-Table36[linearDown])*(1-Table7[f3]*(Table15[[#This Row],[rpm]]-Table36[maxTRpm])^2))*Table36[maxT])</f>
        <v>1498.2386112339675</v>
      </c>
      <c r="P12" s="3">
        <f>MAX(0,(Table36[maxPS]-Table7[f4]*(Table15[[#This Row],[rpm]]-Table36[maxPRpm])^2)/1.36*9550/MAX(1,Table15[[#This Row],[rpm]]))</f>
        <v>2301.6748366013071</v>
      </c>
      <c r="Q12" s="3">
        <f>MAX(0,Table7[Nm2]*MIN(Table36[ratedRpm]/MAX(1,Table15[[#This Row],[rpm]]),1-(MAX(0,Table15[[#This Row],[rpm]]-Table36[ratedRpm])/Table36[fadeOut])^Table36[fadeOutExp]))</f>
        <v>906.17997198879539</v>
      </c>
      <c r="R12" s="3">
        <f>(1-(1-Table15[[#This Row],[rpm]]/Table36[idleRpm])^2)*Table7[idleTEco]</f>
        <v>1069.5413999999998</v>
      </c>
      <c r="S12" s="3">
        <f>MAX(0,(1-Table7[f1]*(Table36[maxTRpm1]-Table15[[#This Row],[rpm]])^2)*Table36[maxTEco])</f>
        <v>1069.5413999999998</v>
      </c>
      <c r="T12" s="3">
        <f>MAX(0,(Table36[linearDown]*(1-Table7[f2Eco]*(Table15[[#This Row],[rpm]]-Table36[maxTRpm]))+(1-Table36[linearDown])*(1-Table7[f3Eco]*(Table15[[#This Row],[rpm]]-Table36[maxTRpm])^2))*Table36[maxTEco])</f>
        <v>1567.5501593221015</v>
      </c>
      <c r="U12" s="3">
        <f>MAX(0,(Table36[maxPSEco]-Table7[f4Eco]*(Table15[[#This Row],[rpm]]-Table36[maxPRpm])^2)/1.36*9550/MAX(1,Table15[[#This Row],[rpm]]))</f>
        <v>0</v>
      </c>
      <c r="V12" s="3">
        <f>MAX(0,Table7[Nm2Eco]*MIN(Table36[ratedRpm]/MAX(1,Table15[[#This Row],[rpm]]),1-(MAX(0,Table15[[#This Row],[rpm]]-Table36[ratedRpm])/Table36[fadeOut])^Table36[fadeOutExp]))</f>
        <v>729.47487745098033</v>
      </c>
    </row>
    <row r="13" spans="1:25" x14ac:dyDescent="0.25">
      <c r="A13" s="3">
        <v>1000</v>
      </c>
      <c r="B1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3" s="21"/>
      <c r="D1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1102.6199999999999</v>
      </c>
      <c r="E13" s="21"/>
      <c r="F13" s="3">
        <f>Table36[Factor]*IF(Table15[[#This Row],[manualData]]&gt;0,Table15[[#This Row],[manualData]],Table15[[#This Row],[rawData]])</f>
        <v>1173</v>
      </c>
      <c r="G13" s="3">
        <f>Table36[Factor]*IF(Table15[[#This Row],[manDataEco]]&gt;0,Table15[[#This Row],[manDataEco]],Table15[[#This Row],[rawDataEco]])</f>
        <v>1102.6199999999999</v>
      </c>
      <c r="H13" s="30">
        <f>1.36*Table15[[#This Row],[rpm]]*Table15[[#This Row],[motor]]/9550</f>
        <v>167.04502617801046</v>
      </c>
      <c r="I13" s="30">
        <f>1.36*Table15[[#This Row],[rpm]]*Table15[[#This Row],[motorEco]]/9550</f>
        <v>157.02232460732984</v>
      </c>
      <c r="J13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199.99646258503404</v>
      </c>
      <c r="K13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rpm="1000" motorTorque="1173" motorTorqueEco="1103" fuelUsageRatio="200"/&gt;</v>
      </c>
      <c r="L13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normRpm="0.455" torque="1"/&gt;</v>
      </c>
      <c r="M13" s="3">
        <f>(1-(1-Table15[[#This Row],[rpm]]/Table36[idleRpm])^2)*Table7[idleT]</f>
        <v>1123.7629629629628</v>
      </c>
      <c r="N13" s="3">
        <f>MAX(0,(1-Table7[f1]*(Table36[maxTRpm1]-Table15[[#This Row],[rpm]])^2)*Table36[maxT])</f>
        <v>1173</v>
      </c>
      <c r="O13" s="3">
        <f>MAX(0,(Table36[linearDown]*(1-Table7[f2]*(Table15[[#This Row],[rpm]]-Table36[maxTRpm]))+(1-Table36[linearDown])*(1-Table7[f3]*(Table15[[#This Row],[rpm]]-Table36[maxTRpm])^2))*Table36[maxT])</f>
        <v>1448.2019018133569</v>
      </c>
      <c r="P13" s="3">
        <f>MAX(0,(Table36[maxPS]-Table7[f4]*(Table15[[#This Row],[rpm]]-Table36[maxPRpm])^2)/1.36*9550/MAX(1,Table15[[#This Row],[rpm]]))</f>
        <v>2038.1525735294115</v>
      </c>
      <c r="Q13" s="3">
        <f>MAX(0,Table7[Nm2]*MIN(Table36[ratedRpm]/MAX(1,Table15[[#This Row],[rpm]]),1-(MAX(0,Table15[[#This Row],[rpm]]-Table36[ratedRpm])/Table36[fadeOut])^Table36[fadeOutExp]))</f>
        <v>906.17997198879539</v>
      </c>
      <c r="R13" s="3">
        <f>(1-(1-Table15[[#This Row],[rpm]]/Table36[idleRpm])^2)*Table7[idleTEco]</f>
        <v>1056.337185185185</v>
      </c>
      <c r="S13" s="3">
        <f>MAX(0,(1-Table7[f1]*(Table36[maxTRpm1]-Table15[[#This Row],[rpm]])^2)*Table36[maxTEco])</f>
        <v>1102.6199999999999</v>
      </c>
      <c r="T13" s="3">
        <f>MAX(0,(Table36[linearDown]*(1-Table7[f2Eco]*(Table15[[#This Row],[rpm]]-Table36[maxTRpm]))+(1-Table36[linearDown])*(1-Table7[f3Eco]*(Table15[[#This Row],[rpm]]-Table36[maxTRpm])^2))*Table36[maxTEco])</f>
        <v>1496.0224425033168</v>
      </c>
      <c r="U13" s="3">
        <f>MAX(0,(Table36[maxPSEco]-Table7[f4Eco]*(Table15[[#This Row],[rpm]]-Table36[maxPRpm])^2)/1.36*9550/MAX(1,Table15[[#This Row],[rpm]]))</f>
        <v>0</v>
      </c>
      <c r="V13" s="3">
        <f>MAX(0,Table7[Nm2Eco]*MIN(Table36[ratedRpm]/MAX(1,Table15[[#This Row],[rpm]]),1-(MAX(0,Table15[[#This Row],[rpm]]-Table36[ratedRpm])/Table36[fadeOut])^Table36[fadeOutExp]))</f>
        <v>729.47487745098033</v>
      </c>
    </row>
    <row r="14" spans="1:25" x14ac:dyDescent="0.25">
      <c r="A14" s="3">
        <v>1100</v>
      </c>
      <c r="B1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4" s="21"/>
      <c r="D1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1102.6199999999999</v>
      </c>
      <c r="E14" s="21"/>
      <c r="F14" s="3">
        <f>Table36[Factor]*IF(Table15[[#This Row],[manualData]]&gt;0,Table15[[#This Row],[manualData]],Table15[[#This Row],[rawData]])</f>
        <v>1173</v>
      </c>
      <c r="G14" s="3">
        <f>Table36[Factor]*IF(Table15[[#This Row],[manDataEco]]&gt;0,Table15[[#This Row],[manDataEco]],Table15[[#This Row],[rawDataEco]])</f>
        <v>1102.6199999999999</v>
      </c>
      <c r="H14" s="30">
        <f>1.36*Table15[[#This Row],[rpm]]*Table15[[#This Row],[motor]]/9550</f>
        <v>183.74952879581153</v>
      </c>
      <c r="I14" s="30">
        <f>1.36*Table15[[#This Row],[rpm]]*Table15[[#This Row],[motorEco]]/9550</f>
        <v>172.72455706806281</v>
      </c>
      <c r="J14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197.9944217687075</v>
      </c>
      <c r="K14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rpm="1100" motorTorque="1173" motorTorqueEco="1103" fuelUsageRatio="198"/&gt;</v>
      </c>
      <c r="L14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normRpm="0.5" torque="1"/&gt;</v>
      </c>
      <c r="M14" s="3">
        <f>(1-(1-Table15[[#This Row],[rpm]]/Table36[idleRpm])^2)*Table7[idleT]</f>
        <v>1081.6218518518517</v>
      </c>
      <c r="N14" s="3">
        <f>MAX(0,(1-Table7[f1]*(Table36[maxTRpm1]-Table15[[#This Row],[rpm]])^2)*Table36[maxT])</f>
        <v>1137.81</v>
      </c>
      <c r="O14" s="3">
        <f>MAX(0,(Table36[linearDown]*(1-Table7[f2]*(Table15[[#This Row],[rpm]]-Table36[maxTRpm]))+(1-Table36[linearDown])*(1-Table7[f3]*(Table15[[#This Row],[rpm]]-Table36[maxTRpm])^2))*Table36[maxT])</f>
        <v>1398.1651923927468</v>
      </c>
      <c r="P14" s="3">
        <f>MAX(0,(Table36[maxPS]-Table7[f4]*(Table15[[#This Row],[rpm]]-Table36[maxPRpm])^2)/1.36*9550/MAX(1,Table15[[#This Row],[rpm]]))</f>
        <v>1825.7352941176468</v>
      </c>
      <c r="Q14" s="3">
        <f>MAX(0,Table7[Nm2]*MIN(Table36[ratedRpm]/MAX(1,Table15[[#This Row],[rpm]]),1-(MAX(0,Table15[[#This Row],[rpm]]-Table36[ratedRpm])/Table36[fadeOut])^Table36[fadeOutExp]))</f>
        <v>906.17997198879539</v>
      </c>
      <c r="R14" s="3">
        <f>(1-(1-Table15[[#This Row],[rpm]]/Table36[idleRpm])^2)*Table7[idleTEco]</f>
        <v>1016.7245407407406</v>
      </c>
      <c r="S14" s="3">
        <f>MAX(0,(1-Table7[f1]*(Table36[maxTRpm1]-Table15[[#This Row],[rpm]])^2)*Table36[maxTEco])</f>
        <v>1069.5413999999998</v>
      </c>
      <c r="T14" s="3">
        <f>MAX(0,(Table36[linearDown]*(1-Table7[f2Eco]*(Table15[[#This Row],[rpm]]-Table36[maxTRpm]))+(1-Table36[linearDown])*(1-Table7[f3Eco]*(Table15[[#This Row],[rpm]]-Table36[maxTRpm])^2))*Table36[maxTEco])</f>
        <v>1424.4947256845319</v>
      </c>
      <c r="U14" s="3">
        <f>MAX(0,(Table36[maxPSEco]-Table7[f4Eco]*(Table15[[#This Row],[rpm]]-Table36[maxPRpm])^2)/1.36*9550/MAX(1,Table15[[#This Row],[rpm]]))</f>
        <v>200.52330456976009</v>
      </c>
      <c r="V14" s="3">
        <f>MAX(0,Table7[Nm2Eco]*MIN(Table36[ratedRpm]/MAX(1,Table15[[#This Row],[rpm]]),1-(MAX(0,Table15[[#This Row],[rpm]]-Table36[ratedRpm])/Table36[fadeOut])^Table36[fadeOutExp]))</f>
        <v>729.47487745098033</v>
      </c>
    </row>
    <row r="15" spans="1:25" x14ac:dyDescent="0.25">
      <c r="A15" s="3">
        <v>1200</v>
      </c>
      <c r="B1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5" s="21"/>
      <c r="D1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1102.6199999999999</v>
      </c>
      <c r="E15" s="21"/>
      <c r="F15" s="3">
        <f>Table36[Factor]*IF(Table15[[#This Row],[manualData]]&gt;0,Table15[[#This Row],[manualData]],Table15[[#This Row],[rawData]])</f>
        <v>1173</v>
      </c>
      <c r="G15" s="3">
        <f>Table36[Factor]*IF(Table15[[#This Row],[manDataEco]]&gt;0,Table15[[#This Row],[manDataEco]],Table15[[#This Row],[rawDataEco]])</f>
        <v>1102.6199999999999</v>
      </c>
      <c r="H15" s="30">
        <f>1.36*Table15[[#This Row],[rpm]]*Table15[[#This Row],[motor]]/9550</f>
        <v>200.4540314136126</v>
      </c>
      <c r="I15" s="30">
        <f>1.36*Table15[[#This Row],[rpm]]*Table15[[#This Row],[motorEco]]/9550</f>
        <v>188.42678952879581</v>
      </c>
      <c r="J15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196.73387755102041</v>
      </c>
      <c r="K15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rpm="1200" motorTorque="1173" motorTorqueEco="1103" fuelUsageRatio="197"/&gt;</v>
      </c>
      <c r="L15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normRpm="0.545" torque="1"/&gt;</v>
      </c>
      <c r="M15" s="3">
        <f>(1-(1-Table15[[#This Row],[rpm]]/Table36[idleRpm])^2)*Table7[idleT]</f>
        <v>1011.3866666666667</v>
      </c>
      <c r="N15" s="3">
        <f>MAX(0,(1-Table7[f1]*(Table36[maxTRpm1]-Table15[[#This Row],[rpm]])^2)*Table36[maxT])</f>
        <v>1032.2399999999998</v>
      </c>
      <c r="O15" s="3">
        <f>MAX(0,(Table36[linearDown]*(1-Table7[f2]*(Table15[[#This Row],[rpm]]-Table36[maxTRpm]))+(1-Table36[linearDown])*(1-Table7[f3]*(Table15[[#This Row],[rpm]]-Table36[maxTRpm])^2))*Table36[maxT])</f>
        <v>1348.1284829721362</v>
      </c>
      <c r="P15" s="3">
        <f>MAX(0,(Table36[maxPS]-Table7[f4]*(Table15[[#This Row],[rpm]]-Table36[maxPRpm])^2)/1.36*9550/MAX(1,Table15[[#This Row],[rpm]]))</f>
        <v>1651.6467524509803</v>
      </c>
      <c r="Q15" s="3">
        <f>MAX(0,Table7[Nm2]*MIN(Table36[ratedRpm]/MAX(1,Table15[[#This Row],[rpm]]),1-(MAX(0,Table15[[#This Row],[rpm]]-Table36[ratedRpm])/Table36[fadeOut])^Table36[fadeOutExp]))</f>
        <v>906.17997198879539</v>
      </c>
      <c r="R15" s="3">
        <f>(1-(1-Table15[[#This Row],[rpm]]/Table36[idleRpm])^2)*Table7[idleTEco]</f>
        <v>950.7034666666666</v>
      </c>
      <c r="S15" s="3">
        <f>MAX(0,(1-Table7[f1]*(Table36[maxTRpm1]-Table15[[#This Row],[rpm]])^2)*Table36[maxTEco])</f>
        <v>970.3055999999998</v>
      </c>
      <c r="T15" s="3">
        <f>MAX(0,(Table36[linearDown]*(1-Table7[f2Eco]*(Table15[[#This Row],[rpm]]-Table36[maxTRpm]))+(1-Table36[linearDown])*(1-Table7[f3Eco]*(Table15[[#This Row],[rpm]]-Table36[maxTRpm])^2))*Table36[maxTEco])</f>
        <v>1352.9670088657469</v>
      </c>
      <c r="U15" s="3">
        <f>MAX(0,(Table36[maxPSEco]-Table7[f4Eco]*(Table15[[#This Row],[rpm]]-Table36[maxPRpm])^2)/1.36*9550/MAX(1,Table15[[#This Row],[rpm]]))</f>
        <v>457.0050307765141</v>
      </c>
      <c r="V15" s="3">
        <f>MAX(0,Table7[Nm2Eco]*MIN(Table36[ratedRpm]/MAX(1,Table15[[#This Row],[rpm]]),1-(MAX(0,Table15[[#This Row],[rpm]]-Table36[ratedRpm])/Table36[fadeOut])^Table36[fadeOutExp]))</f>
        <v>729.47487745098033</v>
      </c>
    </row>
    <row r="16" spans="1:25" x14ac:dyDescent="0.25">
      <c r="A16" s="3">
        <v>1300</v>
      </c>
      <c r="B1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6" s="21"/>
      <c r="D1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1102.6199999999999</v>
      </c>
      <c r="E16" s="21"/>
      <c r="F16" s="3">
        <f>Table36[Factor]*IF(Table15[[#This Row],[manualData]]&gt;0,Table15[[#This Row],[manualData]],Table15[[#This Row],[rawData]])</f>
        <v>1173</v>
      </c>
      <c r="G16" s="3">
        <f>Table36[Factor]*IF(Table15[[#This Row],[manDataEco]]&gt;0,Table15[[#This Row],[manDataEco]],Table15[[#This Row],[rawDataEco]])</f>
        <v>1102.6199999999999</v>
      </c>
      <c r="H16" s="30">
        <f>1.36*Table15[[#This Row],[rpm]]*Table15[[#This Row],[motor]]/9550</f>
        <v>217.15853403141364</v>
      </c>
      <c r="I16" s="30">
        <f>1.36*Table15[[#This Row],[rpm]]*Table15[[#This Row],[motorEco]]/9550</f>
        <v>204.12902198952881</v>
      </c>
      <c r="J16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196.21482993197282</v>
      </c>
      <c r="K16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rpm="1300" motorTorque="1173" motorTorqueEco="1103" fuelUsageRatio="196"/&gt;</v>
      </c>
      <c r="L16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normRpm="0.591" torque="1"/&gt;</v>
      </c>
      <c r="M16" s="3">
        <f>(1-(1-Table15[[#This Row],[rpm]]/Table36[idleRpm])^2)*Table7[idleT]</f>
        <v>913.05740740740737</v>
      </c>
      <c r="N16" s="3">
        <f>MAX(0,(1-Table7[f1]*(Table36[maxTRpm1]-Table15[[#This Row],[rpm]])^2)*Table36[maxT])</f>
        <v>856.28999999999974</v>
      </c>
      <c r="O16" s="3">
        <f>MAX(0,(Table36[linearDown]*(1-Table7[f2]*(Table15[[#This Row],[rpm]]-Table36[maxTRpm]))+(1-Table36[linearDown])*(1-Table7[f3]*(Table15[[#This Row],[rpm]]-Table36[maxTRpm])^2))*Table36[maxT])</f>
        <v>1298.0917735515261</v>
      </c>
      <c r="P16" s="3">
        <f>MAX(0,(Table36[maxPS]-Table7[f4]*(Table15[[#This Row],[rpm]]-Table36[maxPRpm])^2)/1.36*9550/MAX(1,Table15[[#This Row],[rpm]]))</f>
        <v>1507.0418552036199</v>
      </c>
      <c r="Q16" s="3">
        <f>MAX(0,Table7[Nm2]*MIN(Table36[ratedRpm]/MAX(1,Table15[[#This Row],[rpm]]),1-(MAX(0,Table15[[#This Row],[rpm]]-Table36[ratedRpm])/Table36[fadeOut])^Table36[fadeOutExp]))</f>
        <v>906.17997198879539</v>
      </c>
      <c r="R16" s="3">
        <f>(1-(1-Table15[[#This Row],[rpm]]/Table36[idleRpm])^2)*Table7[idleTEco]</f>
        <v>858.27396296296286</v>
      </c>
      <c r="S16" s="3">
        <f>MAX(0,(1-Table7[f1]*(Table36[maxTRpm1]-Table15[[#This Row],[rpm]])^2)*Table36[maxTEco])</f>
        <v>804.91259999999966</v>
      </c>
      <c r="T16" s="3">
        <f>MAX(0,(Table36[linearDown]*(1-Table7[f2Eco]*(Table15[[#This Row],[rpm]]-Table36[maxTRpm]))+(1-Table36[linearDown])*(1-Table7[f3Eco]*(Table15[[#This Row],[rpm]]-Table36[maxTRpm])^2))*Table36[maxTEco])</f>
        <v>1281.439292046962</v>
      </c>
      <c r="U16" s="3">
        <f>MAX(0,(Table36[maxPSEco]-Table7[f4Eco]*(Table15[[#This Row],[rpm]]-Table36[maxPRpm])^2)/1.36*9550/MAX(1,Table15[[#This Row],[rpm]]))</f>
        <v>640.40439890991286</v>
      </c>
      <c r="V16" s="3">
        <f>MAX(0,Table7[Nm2Eco]*MIN(Table36[ratedRpm]/MAX(1,Table15[[#This Row],[rpm]]),1-(MAX(0,Table15[[#This Row],[rpm]]-Table36[ratedRpm])/Table36[fadeOut])^Table36[fadeOutExp]))</f>
        <v>729.47487745098033</v>
      </c>
    </row>
    <row r="17" spans="1:22" x14ac:dyDescent="0.25">
      <c r="A17" s="3">
        <v>1400</v>
      </c>
      <c r="B1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7" s="21"/>
      <c r="D1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1102.6199999999999</v>
      </c>
      <c r="E17" s="21"/>
      <c r="F17" s="3">
        <f>Table36[Factor]*IF(Table15[[#This Row],[manualData]]&gt;0,Table15[[#This Row],[manualData]],Table15[[#This Row],[rawData]])</f>
        <v>1173</v>
      </c>
      <c r="G17" s="3">
        <f>Table36[Factor]*IF(Table15[[#This Row],[manDataEco]]&gt;0,Table15[[#This Row],[manDataEco]],Table15[[#This Row],[rawDataEco]])</f>
        <v>1102.6199999999999</v>
      </c>
      <c r="H17" s="30">
        <f>1.36*Table15[[#This Row],[rpm]]*Table15[[#This Row],[motor]]/9550</f>
        <v>233.86303664921471</v>
      </c>
      <c r="I17" s="30">
        <f>1.36*Table15[[#This Row],[rpm]]*Table15[[#This Row],[motorEco]]/9550</f>
        <v>219.83125445026178</v>
      </c>
      <c r="J17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196.42932281393823</v>
      </c>
      <c r="K17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rpm="1400" motorTorque="1173" motorTorqueEco="1103" fuelUsageRatio="196"/&gt;</v>
      </c>
      <c r="L17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normRpm="0.636" torque="1"/&gt;</v>
      </c>
      <c r="M17" s="3">
        <f>(1-(1-Table15[[#This Row],[rpm]]/Table36[idleRpm])^2)*Table7[idleT]</f>
        <v>786.63407407407396</v>
      </c>
      <c r="N17" s="3">
        <f>MAX(0,(1-Table7[f1]*(Table36[maxTRpm1]-Table15[[#This Row],[rpm]])^2)*Table36[maxT])</f>
        <v>609.95999999999947</v>
      </c>
      <c r="O17" s="3">
        <f>MAX(0,(Table36[linearDown]*(1-Table7[f2]*(Table15[[#This Row],[rpm]]-Table36[maxTRpm]))+(1-Table36[linearDown])*(1-Table7[f3]*(Table15[[#This Row],[rpm]]-Table36[maxTRpm])^2))*Table36[maxT])</f>
        <v>1248.0550641309155</v>
      </c>
      <c r="P17" s="3">
        <f>MAX(0,(Table36[maxPS]-Table7[f4]*(Table15[[#This Row],[rpm]]-Table36[maxPRpm])^2)/1.36*9550/MAX(1,Table15[[#This Row],[rpm]]))</f>
        <v>1385.6026785714284</v>
      </c>
      <c r="Q17" s="3">
        <f>MAX(0,Table7[Nm2]*MIN(Table36[ratedRpm]/MAX(1,Table15[[#This Row],[rpm]]),1-(MAX(0,Table15[[#This Row],[rpm]]-Table36[ratedRpm])/Table36[fadeOut])^Table36[fadeOutExp]))</f>
        <v>906.17997198879539</v>
      </c>
      <c r="R17" s="3">
        <f>(1-(1-Table15[[#This Row],[rpm]]/Table36[idleRpm])^2)*Table7[idleTEco]</f>
        <v>739.4360296296295</v>
      </c>
      <c r="S17" s="3">
        <f>MAX(0,(1-Table7[f1]*(Table36[maxTRpm1]-Table15[[#This Row],[rpm]])^2)*Table36[maxTEco])</f>
        <v>573.36239999999952</v>
      </c>
      <c r="T17" s="3">
        <f>MAX(0,(Table36[linearDown]*(1-Table7[f2Eco]*(Table15[[#This Row],[rpm]]-Table36[maxTRpm]))+(1-Table36[linearDown])*(1-Table7[f3Eco]*(Table15[[#This Row],[rpm]]-Table36[maxTRpm])^2))*Table36[maxTEco])</f>
        <v>1209.9115752281773</v>
      </c>
      <c r="U17" s="3">
        <f>MAX(0,(Table36[maxPSEco]-Table7[f4Eco]*(Table15[[#This Row],[rpm]]-Table36[maxPRpm])^2)/1.36*9550/MAX(1,Table15[[#This Row],[rpm]]))</f>
        <v>766.38191427138997</v>
      </c>
      <c r="V17" s="3">
        <f>MAX(0,Table7[Nm2Eco]*MIN(Table36[ratedRpm]/MAX(1,Table15[[#This Row],[rpm]]),1-(MAX(0,Table15[[#This Row],[rpm]]-Table36[ratedRpm])/Table36[fadeOut])^Table36[fadeOutExp]))</f>
        <v>729.47487745098033</v>
      </c>
    </row>
    <row r="18" spans="1:22" x14ac:dyDescent="0.25">
      <c r="A18" s="3">
        <v>1500</v>
      </c>
      <c r="B1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1173</v>
      </c>
      <c r="C18" s="21"/>
      <c r="D1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1102.6199999999999</v>
      </c>
      <c r="E18" s="21"/>
      <c r="F18" s="3">
        <f>Table36[Factor]*IF(Table15[[#This Row],[manualData]]&gt;0,Table15[[#This Row],[manualData]],Table15[[#This Row],[rawData]])</f>
        <v>1173</v>
      </c>
      <c r="G18" s="3">
        <f>Table36[Factor]*IF(Table15[[#This Row],[manDataEco]]&gt;0,Table15[[#This Row],[manDataEco]],Table15[[#This Row],[rawDataEco]])</f>
        <v>1102.6199999999999</v>
      </c>
      <c r="H18" s="30">
        <f>1.36*Table15[[#This Row],[rpm]]*Table15[[#This Row],[motor]]/9550</f>
        <v>250.56753926701575</v>
      </c>
      <c r="I18" s="30">
        <f>1.36*Table15[[#This Row],[rpm]]*Table15[[#This Row],[motorEco]]/9550</f>
        <v>235.53348691099475</v>
      </c>
      <c r="J18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197.36094674556216</v>
      </c>
      <c r="K18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rpm="1500" motorTorque="1173" motorTorqueEco="1103" fuelUsageRatio="197"/&gt;</v>
      </c>
      <c r="L18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normRpm="0.682" torque="1"/&gt;</v>
      </c>
      <c r="M18" s="3">
        <f>(1-(1-Table15[[#This Row],[rpm]]/Table36[idleRpm])^2)*Table7[idleT]</f>
        <v>632.11666666666656</v>
      </c>
      <c r="N18" s="3">
        <f>MAX(0,(1-Table7[f1]*(Table36[maxTRpm1]-Table15[[#This Row],[rpm]])^2)*Table36[maxT])</f>
        <v>293.2499999999992</v>
      </c>
      <c r="O18" s="3">
        <f>MAX(0,(Table36[linearDown]*(1-Table7[f2]*(Table15[[#This Row],[rpm]]-Table36[maxTRpm]))+(1-Table36[linearDown])*(1-Table7[f3]*(Table15[[#This Row],[rpm]]-Table36[maxTRpm])^2))*Table36[maxT])</f>
        <v>1198.0183547103052</v>
      </c>
      <c r="P18" s="3">
        <f>MAX(0,(Table36[maxPS]-Table7[f4]*(Table15[[#This Row],[rpm]]-Table36[maxPRpm])^2)/1.36*9550/MAX(1,Table15[[#This Row],[rpm]]))</f>
        <v>1282.6960784313726</v>
      </c>
      <c r="Q18" s="3">
        <f>MAX(0,Table7[Nm2]*MIN(Table36[ratedRpm]/MAX(1,Table15[[#This Row],[rpm]]),1-(MAX(0,Table15[[#This Row],[rpm]]-Table36[ratedRpm])/Table36[fadeOut])^Table36[fadeOutExp]))</f>
        <v>906.17997198879539</v>
      </c>
      <c r="R18" s="3">
        <f>(1-(1-Table15[[#This Row],[rpm]]/Table36[idleRpm])^2)*Table7[idleTEco]</f>
        <v>594.18966666666654</v>
      </c>
      <c r="S18" s="3">
        <f>MAX(0,(1-Table7[f1]*(Table36[maxTRpm1]-Table15[[#This Row],[rpm]])^2)*Table36[maxTEco])</f>
        <v>275.65499999999923</v>
      </c>
      <c r="T18" s="3">
        <f>MAX(0,(Table36[linearDown]*(1-Table7[f2Eco]*(Table15[[#This Row],[rpm]]-Table36[maxTRpm]))+(1-Table36[linearDown])*(1-Table7[f3Eco]*(Table15[[#This Row],[rpm]]-Table36[maxTRpm])^2))*Table36[maxTEco])</f>
        <v>1138.3838584093924</v>
      </c>
      <c r="U18" s="3">
        <f>MAX(0,(Table36[maxPSEco]-Table7[f4Eco]*(Table15[[#This Row],[rpm]]-Table36[maxPRpm])^2)/1.36*9550/MAX(1,Table15[[#This Row],[rpm]]))</f>
        <v>846.42194741532956</v>
      </c>
      <c r="V18" s="3">
        <f>MAX(0,Table7[Nm2Eco]*MIN(Table36[ratedRpm]/MAX(1,Table15[[#This Row],[rpm]]),1-(MAX(0,Table15[[#This Row],[rpm]]-Table36[ratedRpm])/Table36[fadeOut])^Table36[fadeOutExp]))</f>
        <v>729.47487745098033</v>
      </c>
    </row>
    <row r="19" spans="1:22" x14ac:dyDescent="0.25">
      <c r="A19" s="3">
        <v>1600</v>
      </c>
      <c r="B1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1147.9816452896948</v>
      </c>
      <c r="C19" s="21"/>
      <c r="D1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1066.8561415906074</v>
      </c>
      <c r="E19" s="21"/>
      <c r="F19" s="3">
        <f>Table36[Factor]*IF(Table15[[#This Row],[manualData]]&gt;0,Table15[[#This Row],[manualData]],Table15[[#This Row],[rawData]])</f>
        <v>1147.9816452896948</v>
      </c>
      <c r="G19" s="3">
        <f>Table36[Factor]*IF(Table15[[#This Row],[manDataEco]]&gt;0,Table15[[#This Row],[manDataEco]],Table15[[#This Row],[rawDataEco]])</f>
        <v>1066.8561415906074</v>
      </c>
      <c r="H19" s="30">
        <f>1.36*Table15[[#This Row],[rpm]]*Table15[[#This Row],[motor]]/9550</f>
        <v>261.57152462307602</v>
      </c>
      <c r="I19" s="30">
        <f>1.36*Table15[[#This Row],[rpm]]*Table15[[#This Row],[motorEco]]/9550</f>
        <v>243.08680252368185</v>
      </c>
      <c r="J19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199.00920447074296</v>
      </c>
      <c r="K19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rpm="1600" motorTorque="1148" motorTorqueEco="1067" fuelUsageRatio="199"/&gt;</v>
      </c>
      <c r="L19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normRpm="0.727" torque="0.979"/&gt;</v>
      </c>
      <c r="M19" s="3">
        <f>(1-(1-Table15[[#This Row],[rpm]]/Table36[idleRpm])^2)*Table7[idleT]</f>
        <v>449.50518518518538</v>
      </c>
      <c r="N19" s="3">
        <f>MAX(0,(1-Table7[f1]*(Table36[maxTRpm1]-Table15[[#This Row],[rpm]])^2)*Table36[maxT])</f>
        <v>0</v>
      </c>
      <c r="O19" s="3">
        <f>MAX(0,(Table36[linearDown]*(1-Table7[f2]*(Table15[[#This Row],[rpm]]-Table36[maxTRpm]))+(1-Table36[linearDown])*(1-Table7[f3]*(Table15[[#This Row],[rpm]]-Table36[maxTRpm])^2))*Table36[maxT])</f>
        <v>1147.9816452896948</v>
      </c>
      <c r="P19" s="3">
        <f>MAX(0,(Table36[maxPS]-Table7[f4]*(Table15[[#This Row],[rpm]]-Table36[maxPRpm])^2)/1.36*9550/MAX(1,Table15[[#This Row],[rpm]]))</f>
        <v>1194.8471966911764</v>
      </c>
      <c r="Q19" s="3">
        <f>MAX(0,Table7[Nm2]*MIN(Table36[ratedRpm]/MAX(1,Table15[[#This Row],[rpm]]),1-(MAX(0,Table15[[#This Row],[rpm]]-Table36[ratedRpm])/Table36[fadeOut])^Table36[fadeOutExp]))</f>
        <v>906.17997198879539</v>
      </c>
      <c r="R19" s="3">
        <f>(1-(1-Table15[[#This Row],[rpm]]/Table36[idleRpm])^2)*Table7[idleTEco]</f>
        <v>422.53487407407425</v>
      </c>
      <c r="S19" s="3">
        <f>MAX(0,(1-Table7[f1]*(Table36[maxTRpm1]-Table15[[#This Row],[rpm]])^2)*Table36[maxTEco])</f>
        <v>0</v>
      </c>
      <c r="T19" s="3">
        <f>MAX(0,(Table36[linearDown]*(1-Table7[f2Eco]*(Table15[[#This Row],[rpm]]-Table36[maxTRpm]))+(1-Table36[linearDown])*(1-Table7[f3Eco]*(Table15[[#This Row],[rpm]]-Table36[maxTRpm])^2))*Table36[maxTEco])</f>
        <v>1066.8561415906074</v>
      </c>
      <c r="U19" s="3">
        <f>MAX(0,(Table36[maxPSEco]-Table7[f4Eco]*(Table15[[#This Row],[rpm]]-Table36[maxPRpm])^2)/1.36*9550/MAX(1,Table15[[#This Row],[rpm]]))</f>
        <v>889.13777625751982</v>
      </c>
      <c r="V19" s="3">
        <f>MAX(0,Table7[Nm2Eco]*MIN(Table36[ratedRpm]/MAX(1,Table15[[#This Row],[rpm]]),1-(MAX(0,Table15[[#This Row],[rpm]]-Table36[ratedRpm])/Table36[fadeOut])^Table36[fadeOutExp]))</f>
        <v>729.47487745098033</v>
      </c>
    </row>
    <row r="20" spans="1:22" x14ac:dyDescent="0.25">
      <c r="A20" s="3">
        <v>1700</v>
      </c>
      <c r="B2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1097.9449358690845</v>
      </c>
      <c r="C20" s="21"/>
      <c r="D2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995.3284247718226</v>
      </c>
      <c r="E20" s="21"/>
      <c r="F20" s="3">
        <f>Table36[Factor]*IF(Table15[[#This Row],[manualData]]&gt;0,Table15[[#This Row],[manualData]],Table15[[#This Row],[rawData]])</f>
        <v>1097.9449358690845</v>
      </c>
      <c r="G20" s="3">
        <f>Table36[Factor]*IF(Table15[[#This Row],[manDataEco]]&gt;0,Table15[[#This Row],[manDataEco]],Table15[[#This Row],[rawDataEco]])</f>
        <v>995.3284247718226</v>
      </c>
      <c r="H20" s="30">
        <f>1.36*Table15[[#This Row],[rpm]]*Table15[[#This Row],[motor]]/9550</f>
        <v>265.8061457308192</v>
      </c>
      <c r="I20" s="30">
        <f>1.36*Table15[[#This Row],[rpm]]*Table15[[#This Row],[motorEco]]/9550</f>
        <v>240.96327937931457</v>
      </c>
      <c r="J20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201.37409598948062</v>
      </c>
      <c r="K20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rpm="1700" motorTorque="1098" motorTorqueEco="995" fuelUsageRatio="201"/&gt;</v>
      </c>
      <c r="L20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normRpm="0.773" torque="0.936"/&gt;</v>
      </c>
      <c r="M20" s="3">
        <f>(1-(1-Table15[[#This Row],[rpm]]/Table36[idleRpm])^2)*Table7[idleT]</f>
        <v>238.79962962962966</v>
      </c>
      <c r="N20" s="3">
        <f>MAX(0,(1-Table7[f1]*(Table36[maxTRpm1]-Table15[[#This Row],[rpm]])^2)*Table36[maxT])</f>
        <v>0</v>
      </c>
      <c r="O20" s="3">
        <f>MAX(0,(Table36[linearDown]*(1-Table7[f2]*(Table15[[#This Row],[rpm]]-Table36[maxTRpm]))+(1-Table36[linearDown])*(1-Table7[f3]*(Table15[[#This Row],[rpm]]-Table36[maxTRpm])^2))*Table36[maxT])</f>
        <v>1097.9449358690845</v>
      </c>
      <c r="P20" s="3">
        <f>MAX(0,(Table36[maxPS]-Table7[f4]*(Table15[[#This Row],[rpm]]-Table36[maxPRpm])^2)/1.36*9550/MAX(1,Table15[[#This Row],[rpm]]))</f>
        <v>1119.3987889273355</v>
      </c>
      <c r="Q20" s="3">
        <f>MAX(0,Table7[Nm2]*MIN(Table36[ratedRpm]/MAX(1,Table15[[#This Row],[rpm]]),1-(MAX(0,Table15[[#This Row],[rpm]]-Table36[ratedRpm])/Table36[fadeOut])^Table36[fadeOutExp]))</f>
        <v>906.17997198879539</v>
      </c>
      <c r="R20" s="3">
        <f>(1-(1-Table15[[#This Row],[rpm]]/Table36[idleRpm])^2)*Table7[idleTEco]</f>
        <v>224.47165185185187</v>
      </c>
      <c r="S20" s="3">
        <f>MAX(0,(1-Table7[f1]*(Table36[maxTRpm1]-Table15[[#This Row],[rpm]])^2)*Table36[maxTEco])</f>
        <v>0</v>
      </c>
      <c r="T20" s="3">
        <f>MAX(0,(Table36[linearDown]*(1-Table7[f2Eco]*(Table15[[#This Row],[rpm]]-Table36[maxTRpm]))+(1-Table36[linearDown])*(1-Table7[f3Eco]*(Table15[[#This Row],[rpm]]-Table36[maxTRpm])^2))*Table36[maxTEco])</f>
        <v>995.3284247718226</v>
      </c>
      <c r="U20" s="3">
        <f>MAX(0,(Table36[maxPSEco]-Table7[f4Eco]*(Table15[[#This Row],[rpm]]-Table36[maxPRpm])^2)/1.36*9550/MAX(1,Table15[[#This Row],[rpm]]))</f>
        <v>901.11602508650515</v>
      </c>
      <c r="V20" s="3">
        <f>MAX(0,Table7[Nm2Eco]*MIN(Table36[ratedRpm]/MAX(1,Table15[[#This Row],[rpm]]),1-(MAX(0,Table15[[#This Row],[rpm]]-Table36[ratedRpm])/Table36[fadeOut])^Table36[fadeOutExp]))</f>
        <v>729.47487745098033</v>
      </c>
    </row>
    <row r="21" spans="1:22" x14ac:dyDescent="0.25">
      <c r="A21" s="3">
        <v>1800</v>
      </c>
      <c r="B2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1047.9082264484741</v>
      </c>
      <c r="C21" s="21"/>
      <c r="D2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923.80070795303766</v>
      </c>
      <c r="E21" s="21"/>
      <c r="F21" s="3">
        <f>Table36[Factor]*IF(Table15[[#This Row],[manualData]]&gt;0,Table15[[#This Row],[manualData]],Table15[[#This Row],[rawData]])</f>
        <v>1047.9082264484741</v>
      </c>
      <c r="G21" s="3">
        <f>Table36[Factor]*IF(Table15[[#This Row],[manDataEco]]&gt;0,Table15[[#This Row],[manDataEco]],Table15[[#This Row],[rawDataEco]])</f>
        <v>923.80070795303766</v>
      </c>
      <c r="H21" s="30">
        <f>1.36*Table15[[#This Row],[rpm]]*Table15[[#This Row],[motor]]/9550</f>
        <v>268.61563752312719</v>
      </c>
      <c r="I21" s="30">
        <f>1.36*Table15[[#This Row],[rpm]]*Table15[[#This Row],[motorEco]]/9550</f>
        <v>236.80252702293572</v>
      </c>
      <c r="J21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204.45562130177515</v>
      </c>
      <c r="K21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rpm="1800" motorTorque="1048" motorTorqueEco="924" fuelUsageRatio="204"/&gt;</v>
      </c>
      <c r="L21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normRpm="0.818" torque="0.893"/&gt;</v>
      </c>
      <c r="M21" s="3">
        <f>(1-(1-Table15[[#This Row],[rpm]]/Table36[idleRpm])^2)*Table7[idleT]</f>
        <v>0</v>
      </c>
      <c r="N21" s="3">
        <f>MAX(0,(1-Table7[f1]*(Table36[maxTRpm1]-Table15[[#This Row],[rpm]])^2)*Table36[maxT])</f>
        <v>0</v>
      </c>
      <c r="O21" s="3">
        <f>MAX(0,(Table36[linearDown]*(1-Table7[f2]*(Table15[[#This Row],[rpm]]-Table36[maxTRpm]))+(1-Table36[linearDown])*(1-Table7[f3]*(Table15[[#This Row],[rpm]]-Table36[maxTRpm])^2))*Table36[maxT])</f>
        <v>1047.9082264484741</v>
      </c>
      <c r="P21" s="3">
        <f>MAX(0,(Table36[maxPS]-Table7[f4]*(Table15[[#This Row],[rpm]]-Table36[maxPRpm])^2)/1.36*9550/MAX(1,Table15[[#This Row],[rpm]]))</f>
        <v>1054.284109477124</v>
      </c>
      <c r="Q21" s="3">
        <f>MAX(0,Table7[Nm2]*MIN(Table36[ratedRpm]/MAX(1,Table15[[#This Row],[rpm]]),1-(MAX(0,Table15[[#This Row],[rpm]]-Table36[ratedRpm])/Table36[fadeOut])^Table36[fadeOutExp]))</f>
        <v>906.17997198879539</v>
      </c>
      <c r="R21" s="3">
        <f>(1-(1-Table15[[#This Row],[rpm]]/Table36[idleRpm])^2)*Table7[idleTEco]</f>
        <v>0</v>
      </c>
      <c r="S21" s="3">
        <f>MAX(0,(1-Table7[f1]*(Table36[maxTRpm1]-Table15[[#This Row],[rpm]])^2)*Table36[maxTEco])</f>
        <v>0</v>
      </c>
      <c r="T21" s="3">
        <f>MAX(0,(Table36[linearDown]*(1-Table7[f2Eco]*(Table15[[#This Row],[rpm]]-Table36[maxTRpm]))+(1-Table36[linearDown])*(1-Table7[f3Eco]*(Table15[[#This Row],[rpm]]-Table36[maxTRpm])^2))*Table36[maxTEco])</f>
        <v>923.80070795303766</v>
      </c>
      <c r="U21" s="3">
        <f>MAX(0,(Table36[maxPSEco]-Table7[f4Eco]*(Table15[[#This Row],[rpm]]-Table36[maxPRpm])^2)/1.36*9550/MAX(1,Table15[[#This Row],[rpm]]))</f>
        <v>887.47962390448606</v>
      </c>
      <c r="V21" s="3">
        <f>MAX(0,Table7[Nm2Eco]*MIN(Table36[ratedRpm]/MAX(1,Table15[[#This Row],[rpm]]),1-(MAX(0,Table15[[#This Row],[rpm]]-Table36[ratedRpm])/Table36[fadeOut])^Table36[fadeOutExp]))</f>
        <v>729.47487745098033</v>
      </c>
    </row>
    <row r="22" spans="1:22" x14ac:dyDescent="0.25">
      <c r="A22" s="3">
        <v>1900</v>
      </c>
      <c r="B2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997.87151702786366</v>
      </c>
      <c r="C22" s="21"/>
      <c r="D2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852.27299113425283</v>
      </c>
      <c r="E22" s="21"/>
      <c r="F22" s="3">
        <f>Table36[Factor]*IF(Table15[[#This Row],[manualData]]&gt;0,Table15[[#This Row],[manualData]],Table15[[#This Row],[rawData]])</f>
        <v>997.87151702786366</v>
      </c>
      <c r="G22" s="3">
        <f>Table36[Factor]*IF(Table15[[#This Row],[manDataEco]]&gt;0,Table15[[#This Row],[manDataEco]],Table15[[#This Row],[rawDataEco]])</f>
        <v>852.27299113425283</v>
      </c>
      <c r="H22" s="30">
        <f>1.36*Table15[[#This Row],[rpm]]*Table15[[#This Row],[motor]]/9550</f>
        <v>269.99999999999994</v>
      </c>
      <c r="I22" s="30">
        <f>1.36*Table15[[#This Row],[rpm]]*Table15[[#This Row],[motorEco]]/9550</f>
        <v>230.60454545454547</v>
      </c>
      <c r="J22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208.25378040762658</v>
      </c>
      <c r="K22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rpm="1900" motorTorque="998" motorTorqueEco="852" fuelUsageRatio="208"/&gt;</v>
      </c>
      <c r="L22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normRpm="0.864" torque="0.851"/&gt;</v>
      </c>
      <c r="M22" s="3">
        <f>(1-(1-Table15[[#This Row],[rpm]]/Table36[idleRpm])^2)*Table7[idleT]</f>
        <v>-266.89370370370386</v>
      </c>
      <c r="N22" s="3">
        <f>MAX(0,(1-Table7[f1]*(Table36[maxTRpm1]-Table15[[#This Row],[rpm]])^2)*Table36[maxT])</f>
        <v>0</v>
      </c>
      <c r="O22" s="3">
        <f>MAX(0,(Table36[linearDown]*(1-Table7[f2]*(Table15[[#This Row],[rpm]]-Table36[maxTRpm]))+(1-Table36[linearDown])*(1-Table7[f3]*(Table15[[#This Row],[rpm]]-Table36[maxTRpm])^2))*Table36[maxT])</f>
        <v>997.87151702786377</v>
      </c>
      <c r="P22" s="3">
        <f>MAX(0,(Table36[maxPS]-Table7[f4]*(Table15[[#This Row],[rpm]]-Table36[maxPRpm])^2)/1.36*9550/MAX(1,Table15[[#This Row],[rpm]]))</f>
        <v>997.87151702786366</v>
      </c>
      <c r="Q22" s="3">
        <f>MAX(0,Table7[Nm2]*MIN(Table36[ratedRpm]/MAX(1,Table15[[#This Row],[rpm]]),1-(MAX(0,Table15[[#This Row],[rpm]]-Table36[ratedRpm])/Table36[fadeOut])^Table36[fadeOutExp]))</f>
        <v>906.17997198879539</v>
      </c>
      <c r="R22" s="3">
        <f>(1-(1-Table15[[#This Row],[rpm]]/Table36[idleRpm])^2)*Table7[idleTEco]</f>
        <v>-250.8800814814816</v>
      </c>
      <c r="S22" s="3">
        <f>MAX(0,(1-Table7[f1]*(Table36[maxTRpm1]-Table15[[#This Row],[rpm]])^2)*Table36[maxTEco])</f>
        <v>0</v>
      </c>
      <c r="T22" s="3">
        <f>MAX(0,(Table36[linearDown]*(1-Table7[f2Eco]*(Table15[[#This Row],[rpm]]-Table36[maxTRpm]))+(1-Table36[linearDown])*(1-Table7[f3Eco]*(Table15[[#This Row],[rpm]]-Table36[maxTRpm])^2))*Table36[maxTEco])</f>
        <v>852.27299113425295</v>
      </c>
      <c r="U22" s="3">
        <f>MAX(0,(Table36[maxPSEco]-Table7[f4Eco]*(Table15[[#This Row],[rpm]]-Table36[maxPRpm])^2)/1.36*9550/MAX(1,Table15[[#This Row],[rpm]]))</f>
        <v>852.27299113425283</v>
      </c>
      <c r="V22" s="3">
        <f>MAX(0,Table7[Nm2Eco]*MIN(Table36[ratedRpm]/MAX(1,Table15[[#This Row],[rpm]]),1-(MAX(0,Table15[[#This Row],[rpm]]-Table36[ratedRpm])/Table36[fadeOut])^Table36[fadeOutExp]))</f>
        <v>729.47487745098033</v>
      </c>
    </row>
    <row r="23" spans="1:22" x14ac:dyDescent="0.25">
      <c r="A23" s="3">
        <v>2000</v>
      </c>
      <c r="B2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948.85569852941171</v>
      </c>
      <c r="C23" s="21"/>
      <c r="D2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798.73166151403746</v>
      </c>
      <c r="E23" s="21"/>
      <c r="F23" s="3">
        <f>Table36[Factor]*IF(Table15[[#This Row],[manualData]]&gt;0,Table15[[#This Row],[manualData]],Table15[[#This Row],[rawData]])</f>
        <v>948.85569852941171</v>
      </c>
      <c r="G23" s="3">
        <f>Table36[Factor]*IF(Table15[[#This Row],[manDataEco]]&gt;0,Table15[[#This Row],[manDataEco]],Table15[[#This Row],[rawDataEco]])</f>
        <v>798.73166151403746</v>
      </c>
      <c r="H23" s="30">
        <f>1.36*Table15[[#This Row],[rpm]]*Table15[[#This Row],[motor]]/9550</f>
        <v>270.25</v>
      </c>
      <c r="I23" s="30">
        <f>1.36*Table15[[#This Row],[rpm]]*Table15[[#This Row],[motorEco]]/9550</f>
        <v>227.49215909090907</v>
      </c>
      <c r="J23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212.76857330703484</v>
      </c>
      <c r="K23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rpm="2000" motorTorque="949" motorTorqueEco="799" fuelUsageRatio="213"/&gt;</v>
      </c>
      <c r="L23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normRpm="0.909" torque="0.809"/&gt;</v>
      </c>
      <c r="M23" s="3">
        <f>(1-(1-Table15[[#This Row],[rpm]]/Table36[idleRpm])^2)*Table7[idleT]</f>
        <v>-561.88148148148173</v>
      </c>
      <c r="N23" s="3">
        <f>MAX(0,(1-Table7[f1]*(Table36[maxTRpm1]-Table15[[#This Row],[rpm]])^2)*Table36[maxT])</f>
        <v>0</v>
      </c>
      <c r="O23" s="3">
        <f>MAX(0,(Table36[linearDown]*(1-Table7[f2]*(Table15[[#This Row],[rpm]]-Table36[maxTRpm]))+(1-Table36[linearDown])*(1-Table7[f3]*(Table15[[#This Row],[rpm]]-Table36[maxTRpm])^2))*Table36[maxT])</f>
        <v>947.8348076072532</v>
      </c>
      <c r="P23" s="3">
        <f>MAX(0,(Table36[maxPS]-Table7[f4]*(Table15[[#This Row],[rpm]]-Table36[maxPRpm])^2)/1.36*9550/MAX(1,Table15[[#This Row],[rpm]]))</f>
        <v>948.85569852941171</v>
      </c>
      <c r="Q23" s="3">
        <f>MAX(0,Table7[Nm2]*MIN(Table36[ratedRpm]/MAX(1,Table15[[#This Row],[rpm]]),1-(MAX(0,Table15[[#This Row],[rpm]]-Table36[ratedRpm])/Table36[fadeOut])^Table36[fadeOutExp]))</f>
        <v>906.17997198879539</v>
      </c>
      <c r="R23" s="3">
        <f>(1-(1-Table15[[#This Row],[rpm]]/Table36[idleRpm])^2)*Table7[idleTEco]</f>
        <v>-528.16859259259274</v>
      </c>
      <c r="S23" s="3">
        <f>MAX(0,(1-Table7[f1]*(Table36[maxTRpm1]-Table15[[#This Row],[rpm]])^2)*Table36[maxTEco])</f>
        <v>0</v>
      </c>
      <c r="T23" s="3">
        <f>MAX(0,(Table36[linearDown]*(1-Table7[f2Eco]*(Table15[[#This Row],[rpm]]-Table36[maxTRpm]))+(1-Table36[linearDown])*(1-Table7[f3Eco]*(Table15[[#This Row],[rpm]]-Table36[maxTRpm])^2))*Table36[maxTEco])</f>
        <v>780.74527431546801</v>
      </c>
      <c r="U23" s="3">
        <f>MAX(0,(Table36[maxPSEco]-Table7[f4Eco]*(Table15[[#This Row],[rpm]]-Table36[maxPRpm])^2)/1.36*9550/MAX(1,Table15[[#This Row],[rpm]]))</f>
        <v>798.73166151403746</v>
      </c>
      <c r="V23" s="3">
        <f>MAX(0,Table7[Nm2Eco]*MIN(Table36[ratedRpm]/MAX(1,Table15[[#This Row],[rpm]]),1-(MAX(0,Table15[[#This Row],[rpm]]-Table36[ratedRpm])/Table36[fadeOut])^Table36[fadeOutExp]))</f>
        <v>729.47487745098033</v>
      </c>
    </row>
    <row r="24" spans="1:22" x14ac:dyDescent="0.25">
      <c r="A24" s="3">
        <v>2100</v>
      </c>
      <c r="B2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906.17997198879539</v>
      </c>
      <c r="C24" s="21"/>
      <c r="D2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729.47487745098033</v>
      </c>
      <c r="E24" s="21"/>
      <c r="F24" s="3">
        <f>Table36[Factor]*IF(Table15[[#This Row],[manualData]]&gt;0,Table15[[#This Row],[manualData]],Table15[[#This Row],[rawData]])</f>
        <v>906.17997198879539</v>
      </c>
      <c r="G24" s="3">
        <f>Table36[Factor]*IF(Table15[[#This Row],[manDataEco]]&gt;0,Table15[[#This Row],[manDataEco]],Table15[[#This Row],[rawDataEco]])</f>
        <v>729.47487745098033</v>
      </c>
      <c r="H24" s="30">
        <f>1.36*Table15[[#This Row],[rpm]]*Table15[[#This Row],[motor]]/9550</f>
        <v>270.99999999999994</v>
      </c>
      <c r="I24" s="30">
        <f>1.36*Table15[[#This Row],[rpm]]*Table15[[#This Row],[motorEco]]/9550</f>
        <v>218.15499999999997</v>
      </c>
      <c r="J24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218</v>
      </c>
      <c r="K24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rpm="2100" motorTorque="906" motorTorqueEco="729" fuelUsageRatio="218"/&gt;</v>
      </c>
      <c r="L24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normRpm="0.955" torque="0.773"/&gt;</v>
      </c>
      <c r="M24" s="3">
        <f>(1-(1-Table15[[#This Row],[rpm]]/Table36[idleRpm])^2)*Table7[idleT]</f>
        <v>-884.96333333333371</v>
      </c>
      <c r="N24" s="3">
        <f>MAX(0,(1-Table7[f1]*(Table36[maxTRpm1]-Table15[[#This Row],[rpm]])^2)*Table36[maxT])</f>
        <v>0</v>
      </c>
      <c r="O24" s="3">
        <f>MAX(0,(Table36[linearDown]*(1-Table7[f2]*(Table15[[#This Row],[rpm]]-Table36[maxTRpm]))+(1-Table36[linearDown])*(1-Table7[f3]*(Table15[[#This Row],[rpm]]-Table36[maxTRpm])^2))*Table36[maxT])</f>
        <v>897.79809818664296</v>
      </c>
      <c r="P24" s="3">
        <f>MAX(0,(Table36[maxPS]-Table7[f4]*(Table15[[#This Row],[rpm]]-Table36[maxPRpm])^2)/1.36*9550/MAX(1,Table15[[#This Row],[rpm]]))</f>
        <v>906.17997198879539</v>
      </c>
      <c r="Q24" s="3">
        <f>MAX(0,Table7[Nm2]*MIN(Table36[ratedRpm]/MAX(1,Table15[[#This Row],[rpm]]),1-(MAX(0,Table15[[#This Row],[rpm]]-Table36[ratedRpm])/Table36[fadeOut])^Table36[fadeOutExp]))</f>
        <v>906.17997198879539</v>
      </c>
      <c r="R24" s="3">
        <f>(1-(1-Table15[[#This Row],[rpm]]/Table36[idleRpm])^2)*Table7[idleTEco]</f>
        <v>-831.86553333333359</v>
      </c>
      <c r="S24" s="3">
        <f>MAX(0,(1-Table7[f1]*(Table36[maxTRpm1]-Table15[[#This Row],[rpm]])^2)*Table36[maxTEco])</f>
        <v>0</v>
      </c>
      <c r="T24" s="3">
        <f>MAX(0,(Table36[linearDown]*(1-Table7[f2Eco]*(Table15[[#This Row],[rpm]]-Table36[maxTRpm]))+(1-Table36[linearDown])*(1-Table7[f3Eco]*(Table15[[#This Row],[rpm]]-Table36[maxTRpm])^2))*Table36[maxTEco])</f>
        <v>709.21755749668307</v>
      </c>
      <c r="U24" s="3">
        <f>MAX(0,(Table36[maxPSEco]-Table7[f4Eco]*(Table15[[#This Row],[rpm]]-Table36[maxPRpm])^2)/1.36*9550/MAX(1,Table15[[#This Row],[rpm]]))</f>
        <v>729.47487745098033</v>
      </c>
      <c r="V24" s="3">
        <f>MAX(0,Table7[Nm2Eco]*MIN(Table36[ratedRpm]/MAX(1,Table15[[#This Row],[rpm]]),1-(MAX(0,Table15[[#This Row],[rpm]]-Table36[ratedRpm])/Table36[fadeOut])^Table36[fadeOutExp]))</f>
        <v>729.47487745098033</v>
      </c>
    </row>
    <row r="25" spans="1:22" x14ac:dyDescent="0.25">
      <c r="A25" s="3">
        <v>2200</v>
      </c>
      <c r="B2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825.35460243878128</v>
      </c>
      <c r="C25" s="21"/>
      <c r="D2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664.41045496321897</v>
      </c>
      <c r="E25" s="21"/>
      <c r="F25" s="3">
        <f>Table36[Factor]*IF(Table15[[#This Row],[manualData]]&gt;0,Table15[[#This Row],[manualData]],Table15[[#This Row],[rawData]])</f>
        <v>825.35460243878128</v>
      </c>
      <c r="G25" s="3">
        <f>Table36[Factor]*IF(Table15[[#This Row],[manDataEco]]&gt;0,Table15[[#This Row],[manDataEco]],Table15[[#This Row],[rawDataEco]])</f>
        <v>664.41045496321897</v>
      </c>
      <c r="H25" s="30">
        <f>1.36*Table15[[#This Row],[rpm]]*Table15[[#This Row],[motor]]/9550</f>
        <v>258.58230057558467</v>
      </c>
      <c r="I25" s="30">
        <f>1.36*Table15[[#This Row],[rpm]]*Table15[[#This Row],[motorEco]]/9550</f>
        <v>208.15875196334568</v>
      </c>
      <c r="J25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242.22222222222223</v>
      </c>
      <c r="K25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rpm="2200" motorTorque="825" motorTorqueEco="664" fuelUsageRatio="242"/&gt;</v>
      </c>
      <c r="L25" s="10" t="str">
        <f>IF(Table15[[#This Row],[rpm]]&gt;Table36[normRpm],"",CONCATENATE("&lt;torque normRpm=""",ROUND(Table15[[#This Row],[rpm]]/Table36[normRpm],3),""" torque=""",ROUND(Table15[[#This Row],[motor]]/MAX(Table15[motor]),3),"""/&gt;"))</f>
        <v>&lt;torque normRpm="1" torque="0.704"/&gt;</v>
      </c>
      <c r="M25" s="3">
        <f>(1-(1-Table15[[#This Row],[rpm]]/Table36[idleRpm])^2)*Table7[idleT]</f>
        <v>-1236.1392592592597</v>
      </c>
      <c r="N25" s="3">
        <f>MAX(0,(1-Table7[f1]*(Table36[maxTRpm1]-Table15[[#This Row],[rpm]])^2)*Table36[maxT])</f>
        <v>0</v>
      </c>
      <c r="O25" s="3">
        <f>MAX(0,(Table36[linearDown]*(1-Table7[f2]*(Table15[[#This Row],[rpm]]-Table36[maxTRpm]))+(1-Table36[linearDown])*(1-Table7[f3]*(Table15[[#This Row],[rpm]]-Table36[maxTRpm])^2))*Table36[maxT])</f>
        <v>847.76138876603261</v>
      </c>
      <c r="P25" s="3">
        <f>MAX(0,(Table36[maxPS]-Table7[f4]*(Table15[[#This Row],[rpm]]-Table36[maxPRpm])^2)/1.36*9550/MAX(1,Table15[[#This Row],[rpm]]))</f>
        <v>868.97977941176464</v>
      </c>
      <c r="Q25" s="3">
        <f>MAX(0,Table7[Nm2]*MIN(Table36[ratedRpm]/MAX(1,Table15[[#This Row],[rpm]]),1-(MAX(0,Table15[[#This Row],[rpm]]-Table36[ratedRpm])/Table36[fadeOut])^Table36[fadeOutExp]))</f>
        <v>825.35460243878128</v>
      </c>
      <c r="R25" s="3">
        <f>(1-(1-Table15[[#This Row],[rpm]]/Table36[idleRpm])^2)*Table7[idleTEco]</f>
        <v>-1161.9709037037039</v>
      </c>
      <c r="S25" s="3">
        <f>MAX(0,(1-Table7[f1]*(Table36[maxTRpm1]-Table15[[#This Row],[rpm]])^2)*Table36[maxTEco])</f>
        <v>0</v>
      </c>
      <c r="T25" s="3">
        <f>MAX(0,(Table36[linearDown]*(1-Table7[f2Eco]*(Table15[[#This Row],[rpm]]-Table36[maxTRpm]))+(1-Table36[linearDown])*(1-Table7[f3Eco]*(Table15[[#This Row],[rpm]]-Table36[maxTRpm])^2))*Table36[maxTEco])</f>
        <v>637.68984067789813</v>
      </c>
      <c r="U25" s="3">
        <f>MAX(0,(Table36[maxPSEco]-Table7[f4Eco]*(Table15[[#This Row],[rpm]]-Table36[maxPRpm])^2)/1.36*9550/MAX(1,Table15[[#This Row],[rpm]]))</f>
        <v>646.6456554600145</v>
      </c>
      <c r="V25" s="3">
        <f>MAX(0,Table7[Nm2Eco]*MIN(Table36[ratedRpm]/MAX(1,Table15[[#This Row],[rpm]]),1-(MAX(0,Table15[[#This Row],[rpm]]-Table36[ratedRpm])/Table36[fadeOut])^Table36[fadeOutExp]))</f>
        <v>664.41045496321897</v>
      </c>
    </row>
    <row r="26" spans="1:22" x14ac:dyDescent="0.25">
      <c r="A26" s="3">
        <v>2300</v>
      </c>
      <c r="B2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534.80409581228059</v>
      </c>
      <c r="C26" s="21"/>
      <c r="D2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430.51729712888584</v>
      </c>
      <c r="E26" s="21"/>
      <c r="F26" s="3">
        <f>Table36[Factor]*IF(Table15[[#This Row],[manualData]]&gt;0,Table15[[#This Row],[manualData]],Table15[[#This Row],[rawData]])</f>
        <v>534.80409581228059</v>
      </c>
      <c r="G26" s="3">
        <f>Table36[Factor]*IF(Table15[[#This Row],[manDataEco]]&gt;0,Table15[[#This Row],[manDataEco]],Table15[[#This Row],[rawDataEco]])</f>
        <v>430.51729712888584</v>
      </c>
      <c r="H26" s="30">
        <f>1.36*Table15[[#This Row],[rpm]]*Table15[[#This Row],[motor]]/9550</f>
        <v>175.16934153935222</v>
      </c>
      <c r="I26" s="30">
        <f>1.36*Table15[[#This Row],[rpm]]*Table15[[#This Row],[motorEco]]/9550</f>
        <v>141.01131993917852</v>
      </c>
      <c r="J26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314.88888888888891</v>
      </c>
      <c r="K26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rpm="2300" motorTorque="535" motorTorqueEco="431" fuelUsageRatio="315"/&gt;</v>
      </c>
      <c r="L26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26" s="3">
        <f>(1-(1-Table15[[#This Row],[rpm]]/Table36[idleRpm])^2)*Table7[idleT]</f>
        <v>-1615.4092592592583</v>
      </c>
      <c r="N26" s="3">
        <f>MAX(0,(1-Table7[f1]*(Table36[maxTRpm1]-Table15[[#This Row],[rpm]])^2)*Table36[maxT])</f>
        <v>0</v>
      </c>
      <c r="O26" s="3">
        <f>MAX(0,(Table36[linearDown]*(1-Table7[f2]*(Table15[[#This Row],[rpm]]-Table36[maxTRpm]))+(1-Table36[linearDown])*(1-Table7[f3]*(Table15[[#This Row],[rpm]]-Table36[maxTRpm])^2))*Table36[maxT])</f>
        <v>797.72467934542203</v>
      </c>
      <c r="P26" s="3">
        <f>MAX(0,(Table36[maxPS]-Table7[f4]*(Table15[[#This Row],[rpm]]-Table36[maxPRpm])^2)/1.36*9550/MAX(1,Table15[[#This Row],[rpm]]))</f>
        <v>836.54092071611251</v>
      </c>
      <c r="Q26" s="3">
        <f>MAX(0,Table7[Nm2]*MIN(Table36[ratedRpm]/MAX(1,Table15[[#This Row],[rpm]]),1-(MAX(0,Table15[[#This Row],[rpm]]-Table36[ratedRpm])/Table36[fadeOut])^Table36[fadeOutExp]))</f>
        <v>534.80409581228059</v>
      </c>
      <c r="R26" s="3">
        <f>(1-(1-Table15[[#This Row],[rpm]]/Table36[idleRpm])^2)*Table7[idleTEco]</f>
        <v>-1518.4847037037025</v>
      </c>
      <c r="S26" s="3">
        <f>MAX(0,(1-Table7[f1]*(Table36[maxTRpm1]-Table15[[#This Row],[rpm]])^2)*Table36[maxTEco])</f>
        <v>0</v>
      </c>
      <c r="T26" s="3">
        <f>MAX(0,(Table36[linearDown]*(1-Table7[f2Eco]*(Table15[[#This Row],[rpm]]-Table36[maxTRpm]))+(1-Table36[linearDown])*(1-Table7[f3Eco]*(Table15[[#This Row],[rpm]]-Table36[maxTRpm])^2))*Table36[maxTEco])</f>
        <v>566.16212385911331</v>
      </c>
      <c r="U26" s="3">
        <f>MAX(0,(Table36[maxPSEco]-Table7[f4Eco]*(Table15[[#This Row],[rpm]]-Table36[maxPRpm])^2)/1.36*9550/MAX(1,Table15[[#This Row],[rpm]]))</f>
        <v>552.01431353173666</v>
      </c>
      <c r="V26" s="3">
        <f>MAX(0,Table7[Nm2Eco]*MIN(Table36[ratedRpm]/MAX(1,Table15[[#This Row],[rpm]]),1-(MAX(0,Table15[[#This Row],[rpm]]-Table36[ratedRpm])/Table36[fadeOut])^Table36[fadeOutExp]))</f>
        <v>430.51729712888584</v>
      </c>
    </row>
    <row r="27" spans="1:22" x14ac:dyDescent="0.25">
      <c r="A27" s="3">
        <v>2400</v>
      </c>
      <c r="B2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7" s="21"/>
      <c r="D2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7" s="21"/>
      <c r="F27" s="3">
        <f>Table36[Factor]*IF(Table15[[#This Row],[manualData]]&gt;0,Table15[[#This Row],[manualData]],Table15[[#This Row],[rawData]])</f>
        <v>0</v>
      </c>
      <c r="G27" s="3">
        <f>Table36[Factor]*IF(Table15[[#This Row],[manDataEco]]&gt;0,Table15[[#This Row],[manDataEco]],Table15[[#This Row],[rawDataEco]])</f>
        <v>0</v>
      </c>
      <c r="H27" s="3">
        <f>1.36*Table15[[#This Row],[rpm]]*Table15[[#This Row],[motor]]/9550</f>
        <v>0</v>
      </c>
      <c r="I27" s="3">
        <f>1.36*Table15[[#This Row],[rpm]]*Table15[[#This Row],[motorEco]]/9550</f>
        <v>0</v>
      </c>
      <c r="J27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27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 xml:space="preserve">        &lt;torque rpm="2400" motorTorque="0" motorTorqueEco="0" fuelUsageRatio="436"/&gt;</v>
      </c>
      <c r="L27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27" s="3">
        <f>(1-(1-Table15[[#This Row],[rpm]]/Table36[idleRpm])^2)*Table7[idleT]</f>
        <v>-2022.7733333333326</v>
      </c>
      <c r="N27" s="3">
        <f>MAX(0,(1-Table7[f1]*(Table36[maxTRpm1]-Table15[[#This Row],[rpm]])^2)*Table36[maxT])</f>
        <v>0</v>
      </c>
      <c r="O27" s="3">
        <f>MAX(0,(Table36[linearDown]*(1-Table7[f2]*(Table15[[#This Row],[rpm]]-Table36[maxTRpm]))+(1-Table36[linearDown])*(1-Table7[f3]*(Table15[[#This Row],[rpm]]-Table36[maxTRpm])^2))*Table36[maxT])</f>
        <v>747.6879699248118</v>
      </c>
      <c r="P27" s="3">
        <f>MAX(0,(Table36[maxPS]-Table7[f4]*(Table15[[#This Row],[rpm]]-Table36[maxPRpm])^2)/1.36*9550/MAX(1,Table15[[#This Row],[rpm]]))</f>
        <v>808.26822916666652</v>
      </c>
      <c r="Q27" s="3">
        <f>MAX(0,Table7[Nm2]*MIN(Table36[ratedRpm]/MAX(1,Table15[[#This Row],[rpm]]),1-(MAX(0,Table15[[#This Row],[rpm]]-Table36[ratedRpm])/Table36[fadeOut])^Table36[fadeOutExp]))</f>
        <v>0</v>
      </c>
      <c r="R27" s="3">
        <f>(1-(1-Table15[[#This Row],[rpm]]/Table36[idleRpm])^2)*Table7[idleTEco]</f>
        <v>-1901.4069333333325</v>
      </c>
      <c r="S27" s="3">
        <f>MAX(0,(1-Table7[f1]*(Table36[maxTRpm1]-Table15[[#This Row],[rpm]])^2)*Table36[maxTEco])</f>
        <v>0</v>
      </c>
      <c r="T27" s="3">
        <f>MAX(0,(Table36[linearDown]*(1-Table7[f2Eco]*(Table15[[#This Row],[rpm]]-Table36[maxTRpm]))+(1-Table36[linearDown])*(1-Table7[f3Eco]*(Table15[[#This Row],[rpm]]-Table36[maxTRpm])^2))*Table36[maxTEco])</f>
        <v>494.63440704032843</v>
      </c>
      <c r="U27" s="3">
        <f>MAX(0,(Table36[maxPSEco]-Table7[f4Eco]*(Table15[[#This Row],[rpm]]-Table36[maxPRpm])^2)/1.36*9550/MAX(1,Table15[[#This Row],[rpm]]))</f>
        <v>447.05611665831083</v>
      </c>
      <c r="V27" s="3">
        <f>MAX(0,Table7[Nm2Eco]*MIN(Table36[ratedRpm]/MAX(1,Table15[[#This Row],[rpm]]),1-(MAX(0,Table15[[#This Row],[rpm]]-Table36[ratedRpm])/Table36[fadeOut])^Table36[fadeOutExp]))</f>
        <v>0</v>
      </c>
    </row>
    <row r="28" spans="1:22" x14ac:dyDescent="0.25">
      <c r="A28" s="3">
        <v>2500</v>
      </c>
      <c r="B2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8" s="21"/>
      <c r="D2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8" s="21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28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28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28" s="3">
        <f>(1-(1-Table15[[#This Row],[rpm]]/Table36[idleRpm])^2)*Table7[idleT]</f>
        <v>-2458.2314814814813</v>
      </c>
      <c r="N28" s="3">
        <f>MAX(0,(1-Table7[f1]*(Table36[maxTRpm1]-Table15[[#This Row],[rpm]])^2)*Table36[maxT])</f>
        <v>0</v>
      </c>
      <c r="O28" s="3">
        <f>MAX(0,(Table36[linearDown]*(1-Table7[f2]*(Table15[[#This Row],[rpm]]-Table36[maxTRpm]))+(1-Table36[linearDown])*(1-Table7[f3]*(Table15[[#This Row],[rpm]]-Table36[maxTRpm])^2))*Table36[maxT])</f>
        <v>697.65126050420145</v>
      </c>
      <c r="P28" s="3">
        <f>MAX(0,(Table36[maxPS]-Table7[f4]*(Table15[[#This Row],[rpm]]-Table36[maxPRpm])^2)/1.36*9550/MAX(1,Table15[[#This Row],[rpm]]))</f>
        <v>783.66176470588232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-2310.7375925925921</v>
      </c>
      <c r="S28" s="3">
        <f>MAX(0,(1-Table7[f1]*(Table36[maxTRpm1]-Table15[[#This Row],[rpm]])^2)*Table36[maxTEco])</f>
        <v>0</v>
      </c>
      <c r="T28" s="3">
        <f>MAX(0,(Table36[linearDown]*(1-Table7[f2Eco]*(Table15[[#This Row],[rpm]]-Table36[maxTRpm]))+(1-Table36[linearDown])*(1-Table7[f3Eco]*(Table15[[#This Row],[rpm]]-Table36[maxTRpm])^2))*Table36[maxTEco])</f>
        <v>423.1066902215436</v>
      </c>
      <c r="U28" s="3">
        <f>MAX(0,(Table36[maxPSEco]-Table7[f4Eco]*(Table15[[#This Row],[rpm]]-Table36[maxPRpm])^2)/1.36*9550/MAX(1,Table15[[#This Row],[rpm]]))</f>
        <v>333.0102874331547</v>
      </c>
      <c r="V28" s="3">
        <f>MAX(0,Table7[Nm2Eco]*MIN(Table36[ratedRpm]/MAX(1,Table15[[#This Row],[rpm]]),1-(MAX(0,Table15[[#This Row],[rpm]]-Table36[ratedRpm])/Table36[fadeOut])^Table36[fadeOutExp]))</f>
        <v>0</v>
      </c>
    </row>
    <row r="29" spans="1:22" x14ac:dyDescent="0.25">
      <c r="A29" s="3">
        <v>2750</v>
      </c>
      <c r="B2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29" s="21"/>
      <c r="D2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29" s="21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29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29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29" s="3">
        <f>(1-(1-Table15[[#This Row],[rpm]]/Table36[idleRpm])^2)*Table7[idleT]</f>
        <v>-3669.7884259259245</v>
      </c>
      <c r="N29" s="3">
        <f>MAX(0,(1-Table7[f1]*(Table36[maxTRpm1]-Table15[[#This Row],[rpm]])^2)*Table36[maxT])</f>
        <v>0</v>
      </c>
      <c r="O29" s="3">
        <f>MAX(0,(Table36[linearDown]*(1-Table7[f2]*(Table15[[#This Row],[rpm]]-Table36[maxTRpm]))+(1-Table36[linearDown])*(1-Table7[f3]*(Table15[[#This Row],[rpm]]-Table36[maxTRpm])^2))*Table36[maxT])</f>
        <v>572.55948695267546</v>
      </c>
      <c r="P29" s="3">
        <f>MAX(0,(Table36[maxPS]-Table7[f4]*(Table15[[#This Row],[rpm]]-Table36[maxPRpm])^2)/1.36*9550/MAX(1,Table15[[#This Row],[rpm]]))</f>
        <v>735.56066176470586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-3449.6011203703688</v>
      </c>
      <c r="S29" s="3">
        <f>MAX(0,(1-Table7[f1]*(Table36[maxTRpm1]-Table15[[#This Row],[rpm]])^2)*Table36[maxTEco])</f>
        <v>0</v>
      </c>
      <c r="T29" s="3">
        <f>MAX(0,(Table36[linearDown]*(1-Table7[f2Eco]*(Table15[[#This Row],[rpm]]-Table36[maxTRpm]))+(1-Table36[linearDown])*(1-Table7[f3Eco]*(Table15[[#This Row],[rpm]]-Table36[maxTRpm])^2))*Table36[maxTEco])</f>
        <v>244.28739817458145</v>
      </c>
      <c r="U29" s="3">
        <f>MAX(0,(Table36[maxPSEco]-Table7[f4Eco]*(Table15[[#This Row],[rpm]]-Table36[maxPRpm])^2)/1.36*9550/MAX(1,Table15[[#This Row],[rpm]]))</f>
        <v>14.643241446887926</v>
      </c>
      <c r="V29" s="3">
        <f>MAX(0,Table7[Nm2Eco]*MIN(Table36[ratedRpm]/MAX(1,Table15[[#This Row],[rpm]]),1-(MAX(0,Table15[[#This Row],[rpm]]-Table36[ratedRpm])/Table36[fadeOut])^Table36[fadeOutExp]))</f>
        <v>0</v>
      </c>
    </row>
    <row r="30" spans="1:22" x14ac:dyDescent="0.25">
      <c r="A30" s="3">
        <v>3000</v>
      </c>
      <c r="B3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0" s="21"/>
      <c r="D3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0" s="21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0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0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0" s="3">
        <f>(1-(1-Table15[[#This Row],[rpm]]/Table36[idleRpm])^2)*Table7[idleT]</f>
        <v>-5056.9333333333343</v>
      </c>
      <c r="N30" s="3">
        <f>MAX(0,(1-Table7[f1]*(Table36[maxTRpm1]-Table15[[#This Row],[rpm]])^2)*Table36[maxT])</f>
        <v>0</v>
      </c>
      <c r="O30" s="3">
        <f>MAX(0,(Table36[linearDown]*(1-Table7[f2]*(Table15[[#This Row],[rpm]]-Table36[maxTRpm]))+(1-Table36[linearDown])*(1-Table7[f3]*(Table15[[#This Row],[rpm]]-Table36[maxTRpm])^2))*Table36[maxT])</f>
        <v>447.46771340114952</v>
      </c>
      <c r="P30" s="3">
        <f>MAX(0,(Table36[maxPS]-Table7[f4]*(Table15[[#This Row],[rpm]]-Table36[maxPRpm])^2)/1.36*9550/MAX(1,Table15[[#This Row],[rpm]]))</f>
        <v>702.7910539215685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-4753.5173333333341</v>
      </c>
      <c r="S30" s="3">
        <f>MAX(0,(1-Table7[f1]*(Table36[maxTRpm1]-Table15[[#This Row],[rpm]])^2)*Table36[maxTEco])</f>
        <v>0</v>
      </c>
      <c r="T30" s="3">
        <f>MAX(0,(Table36[linearDown]*(1-Table7[f2Eco]*(Table15[[#This Row],[rpm]]-Table36[maxTRpm]))+(1-Table36[linearDown])*(1-Table7[f3Eco]*(Table15[[#This Row],[rpm]]-Table36[maxTRpm])^2))*Table36[maxTEco])</f>
        <v>65.468106127619265</v>
      </c>
      <c r="U30" s="3">
        <f>MAX(0,(Table36[maxPSEco]-Table7[f4Eco]*(Table15[[#This Row],[rpm]]-Table36[maxPRpm])^2)/1.36*9550/MAX(1,Table15[[#This Row],[rpm]]))</f>
        <v>0</v>
      </c>
      <c r="V30" s="3">
        <f>MAX(0,Table7[Nm2Eco]*MIN(Table36[ratedRpm]/MAX(1,Table15[[#This Row],[rpm]]),1-(MAX(0,Table15[[#This Row],[rpm]]-Table36[ratedRpm])/Table36[fadeOut])^Table36[fadeOutExp]))</f>
        <v>0</v>
      </c>
    </row>
    <row r="31" spans="1:22" x14ac:dyDescent="0.25">
      <c r="A31" s="3">
        <v>3250</v>
      </c>
      <c r="B3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1" s="21"/>
      <c r="D3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1" s="21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1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1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1" s="3">
        <f>(1-(1-Table15[[#This Row],[rpm]]/Table36[idleRpm])^2)*Table7[idleT]</f>
        <v>-6619.6662037037031</v>
      </c>
      <c r="N31" s="3">
        <f>MAX(0,(1-Table7[f1]*(Table36[maxTRpm1]-Table15[[#This Row],[rpm]])^2)*Table36[maxT])</f>
        <v>0</v>
      </c>
      <c r="O31" s="3">
        <f>MAX(0,(Table36[linearDown]*(1-Table7[f2]*(Table15[[#This Row],[rpm]]-Table36[maxTRpm]))+(1-Table36[linearDown])*(1-Table7[f3]*(Table15[[#This Row],[rpm]]-Table36[maxTRpm])^2))*Table36[maxT])</f>
        <v>322.37593984962348</v>
      </c>
      <c r="P31" s="3">
        <f>MAX(0,(Table36[maxPS]-Table7[f4]*(Table15[[#This Row],[rpm]]-Table36[maxPRpm])^2)/1.36*9550/MAX(1,Table15[[#This Row],[rpm]]))</f>
        <v>681.8149038461537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-6222.48623148148</v>
      </c>
      <c r="S31" s="3">
        <f>MAX(0,(1-Table7[f1]*(Table36[maxTRpm1]-Table15[[#This Row],[rpm]])^2)*Table36[maxTEco])</f>
        <v>0</v>
      </c>
      <c r="T31" s="3">
        <f>MAX(0,(Table36[linearDown]*(1-Table7[f2Eco]*(Table15[[#This Row],[rpm]]-Table36[maxTRpm]))+(1-Table36[linearDown])*(1-Table7[f3Eco]*(Table15[[#This Row],[rpm]]-Table36[maxTRpm])^2))*Table36[maxTEco])</f>
        <v>0</v>
      </c>
      <c r="U31" s="3">
        <f>MAX(0,(Table36[maxPSEco]-Table7[f4Eco]*(Table15[[#This Row],[rpm]]-Table36[maxPRpm])^2)/1.36*9550/MAX(1,Table15[[#This Row],[rpm]]))</f>
        <v>0</v>
      </c>
      <c r="V31" s="3">
        <f>MAX(0,Table7[Nm2Eco]*MIN(Table36[ratedRpm]/MAX(1,Table15[[#This Row],[rpm]]),1-(MAX(0,Table15[[#This Row],[rpm]]-Table36[ratedRpm])/Table36[fadeOut])^Table36[fadeOutExp]))</f>
        <v>0</v>
      </c>
    </row>
    <row r="32" spans="1:22" x14ac:dyDescent="0.25">
      <c r="A32" s="3">
        <v>3500</v>
      </c>
      <c r="B3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2" s="21"/>
      <c r="D3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2" s="21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2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2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2" s="3">
        <f>(1-(1-Table15[[#This Row],[rpm]]/Table36[idleRpm])^2)*Table7[idleT]</f>
        <v>-8357.9870370370372</v>
      </c>
      <c r="N32" s="3">
        <f>MAX(0,(1-Table7[f1]*(Table36[maxTRpm1]-Table15[[#This Row],[rpm]])^2)*Table36[maxT])</f>
        <v>0</v>
      </c>
      <c r="O32" s="3">
        <f>MAX(0,(Table36[linearDown]*(1-Table7[f2]*(Table15[[#This Row],[rpm]]-Table36[maxTRpm]))+(1-Table36[linearDown])*(1-Table7[f3]*(Table15[[#This Row],[rpm]]-Table36[maxTRpm])^2))*Table36[maxT])</f>
        <v>197.28416629809755</v>
      </c>
      <c r="P32" s="3">
        <f>MAX(0,(Table36[maxPS]-Table7[f4]*(Table15[[#This Row],[rpm]]-Table36[maxPRpm])^2)/1.36*9550/MAX(1,Table15[[#This Row],[rpm]]))</f>
        <v>670.10504201680658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-7856.5078148148132</v>
      </c>
      <c r="S32" s="3">
        <f>MAX(0,(1-Table7[f1]*(Table36[maxTRpm1]-Table15[[#This Row],[rpm]])^2)*Table36[maxTEco])</f>
        <v>0</v>
      </c>
      <c r="T32" s="3">
        <f>MAX(0,(Table36[linearDown]*(1-Table7[f2Eco]*(Table15[[#This Row],[rpm]]-Table36[maxTRpm]))+(1-Table36[linearDown])*(1-Table7[f3Eco]*(Table15[[#This Row],[rpm]]-Table36[maxTRpm])^2))*Table36[maxTEco])</f>
        <v>0</v>
      </c>
      <c r="U32" s="3">
        <f>MAX(0,(Table36[maxPSEco]-Table7[f4Eco]*(Table15[[#This Row],[rpm]]-Table36[maxPRpm])^2)/1.36*9550/MAX(1,Table15[[#This Row],[rpm]]))</f>
        <v>0</v>
      </c>
      <c r="V32" s="3">
        <f>MAX(0,Table7[Nm2Eco]*MIN(Table36[ratedRpm]/MAX(1,Table15[[#This Row],[rpm]]),1-(MAX(0,Table15[[#This Row],[rpm]]-Table36[ratedRpm])/Table36[fadeOut])^Table36[fadeOutExp]))</f>
        <v>0</v>
      </c>
    </row>
    <row r="33" spans="1:22" x14ac:dyDescent="0.25">
      <c r="A33" s="3">
        <v>3750</v>
      </c>
      <c r="B33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3" s="21"/>
      <c r="D33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3" s="21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3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3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3" s="3">
        <f>(1-(1-Table15[[#This Row],[rpm]]/Table36[idleRpm])^2)*Table7[idleT]</f>
        <v>-10271.895833333336</v>
      </c>
      <c r="N33" s="3">
        <f>MAX(0,(1-Table7[f1]*(Table36[maxTRpm1]-Table15[[#This Row],[rpm]])^2)*Table36[maxT])</f>
        <v>0</v>
      </c>
      <c r="O33" s="3">
        <f>MAX(0,(Table36[linearDown]*(1-Table7[f2]*(Table15[[#This Row],[rpm]]-Table36[maxTRpm]))+(1-Table36[linearDown])*(1-Table7[f3]*(Table15[[#This Row],[rpm]]-Table36[maxTRpm])^2))*Table36[maxT])</f>
        <v>72.192392746571628</v>
      </c>
      <c r="P33" s="3">
        <f>MAX(0,(Table36[maxPS]-Table7[f4]*(Table15[[#This Row],[rpm]]-Table36[maxPRpm])^2)/1.36*9550/MAX(1,Table15[[#This Row],[rpm]]))</f>
        <v>665.80821078431359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-9655.5820833333346</v>
      </c>
      <c r="S33" s="3">
        <f>MAX(0,(1-Table7[f1]*(Table36[maxTRpm1]-Table15[[#This Row],[rpm]])^2)*Table36[maxTEco])</f>
        <v>0</v>
      </c>
      <c r="T33" s="3">
        <f>MAX(0,(Table36[linearDown]*(1-Table7[f2Eco]*(Table15[[#This Row],[rpm]]-Table36[maxTRpm]))+(1-Table36[linearDown])*(1-Table7[f3Eco]*(Table15[[#This Row],[rpm]]-Table36[maxTRpm])^2))*Table36[maxTEco])</f>
        <v>0</v>
      </c>
      <c r="U33" s="3">
        <f>MAX(0,(Table36[maxPSEco]-Table7[f4Eco]*(Table15[[#This Row],[rpm]]-Table36[maxPRpm])^2)/1.36*9550/MAX(1,Table15[[#This Row],[rpm]]))</f>
        <v>0</v>
      </c>
      <c r="V33" s="3">
        <f>MAX(0,Table7[Nm2Eco]*MIN(Table36[ratedRpm]/MAX(1,Table15[[#This Row],[rpm]]),1-(MAX(0,Table15[[#This Row],[rpm]]-Table36[ratedRpm])/Table36[fadeOut])^Table36[fadeOutExp]))</f>
        <v>0</v>
      </c>
    </row>
    <row r="34" spans="1:22" x14ac:dyDescent="0.25">
      <c r="A34" s="3">
        <v>4000</v>
      </c>
      <c r="B34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4" s="21"/>
      <c r="D34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4" s="21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4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4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4" s="3">
        <f>(1-(1-Table15[[#This Row],[rpm]]/Table36[idleRpm])^2)*Table7[idleT]</f>
        <v>-12361.392592592594</v>
      </c>
      <c r="N34" s="3">
        <f>MAX(0,(1-Table7[f1]*(Table36[maxTRpm1]-Table15[[#This Row],[rpm]])^2)*Table36[maxT])</f>
        <v>0</v>
      </c>
      <c r="O34" s="3">
        <f>MAX(0,(Table36[linearDown]*(1-Table7[f2]*(Table15[[#This Row],[rpm]]-Table36[maxTRpm]))+(1-Table36[linearDown])*(1-Table7[f3]*(Table15[[#This Row],[rpm]]-Table36[maxTRpm])^2))*Table36[maxT])</f>
        <v>0</v>
      </c>
      <c r="P34" s="3">
        <f>MAX(0,(Table36[maxPS]-Table7[f4]*(Table15[[#This Row],[rpm]]-Table36[maxPRpm])^2)/1.36*9550/MAX(1,Table15[[#This Row],[rpm]]))</f>
        <v>667.53446691176464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-11619.709037037037</v>
      </c>
      <c r="S34" s="3">
        <f>MAX(0,(1-Table7[f1]*(Table36[maxTRpm1]-Table15[[#This Row],[rpm]])^2)*Table36[maxTEco])</f>
        <v>0</v>
      </c>
      <c r="T34" s="3">
        <f>MAX(0,(Table36[linearDown]*(1-Table7[f2Eco]*(Table15[[#This Row],[rpm]]-Table36[maxTRpm]))+(1-Table36[linearDown])*(1-Table7[f3Eco]*(Table15[[#This Row],[rpm]]-Table36[maxTRpm])^2))*Table36[maxTEco])</f>
        <v>0</v>
      </c>
      <c r="U34" s="3">
        <f>MAX(0,(Table36[maxPSEco]-Table7[f4Eco]*(Table15[[#This Row],[rpm]]-Table36[maxPRpm])^2)/1.36*9550/MAX(1,Table15[[#This Row],[rpm]]))</f>
        <v>0</v>
      </c>
      <c r="V34" s="3">
        <f>MAX(0,Table7[Nm2Eco]*MIN(Table36[ratedRpm]/MAX(1,Table15[[#This Row],[rpm]]),1-(MAX(0,Table15[[#This Row],[rpm]]-Table36[ratedRpm])/Table36[fadeOut])^Table36[fadeOutExp]))</f>
        <v>0</v>
      </c>
    </row>
    <row r="35" spans="1:22" x14ac:dyDescent="0.25">
      <c r="A35" s="3">
        <v>4250</v>
      </c>
      <c r="B35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5" s="21"/>
      <c r="D35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5" s="21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5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5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5" s="3">
        <f>(1-(1-Table15[[#This Row],[rpm]]/Table36[idleRpm])^2)*Table7[idleT]</f>
        <v>-14626.477314814814</v>
      </c>
      <c r="N35" s="3">
        <f>MAX(0,(1-Table7[f1]*(Table36[maxTRpm1]-Table15[[#This Row],[rpm]])^2)*Table36[maxT])</f>
        <v>0</v>
      </c>
      <c r="O35" s="3">
        <f>MAX(0,(Table36[linearDown]*(1-Table7[f2]*(Table15[[#This Row],[rpm]]-Table36[maxTRpm]))+(1-Table36[linearDown])*(1-Table7[f3]*(Table15[[#This Row],[rpm]]-Table36[maxTRpm])^2))*Table36[maxT])</f>
        <v>0</v>
      </c>
      <c r="P35" s="3">
        <f>MAX(0,(Table36[maxPS]-Table7[f4]*(Table15[[#This Row],[rpm]]-Table36[maxPRpm])^2)/1.36*9550/MAX(1,Table15[[#This Row],[rpm]]))</f>
        <v>674.22091262975778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-13748.888675925924</v>
      </c>
      <c r="S35" s="3">
        <f>MAX(0,(1-Table7[f1]*(Table36[maxTRpm1]-Table15[[#This Row],[rpm]])^2)*Table36[maxTEco])</f>
        <v>0</v>
      </c>
      <c r="T35" s="3">
        <f>MAX(0,(Table36[linearDown]*(1-Table7[f2Eco]*(Table15[[#This Row],[rpm]]-Table36[maxTRpm]))+(1-Table36[linearDown])*(1-Table7[f3Eco]*(Table15[[#This Row],[rpm]]-Table36[maxTRpm])^2))*Table36[maxTEco])</f>
        <v>0</v>
      </c>
      <c r="U35" s="3">
        <f>MAX(0,(Table36[maxPSEco]-Table7[f4Eco]*(Table15[[#This Row],[rpm]]-Table36[maxPRpm])^2)/1.36*9550/MAX(1,Table15[[#This Row],[rpm]]))</f>
        <v>0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4500</v>
      </c>
      <c r="B36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6" s="21"/>
      <c r="D36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6" s="21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6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6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6" s="3">
        <f>(1-(1-Table15[[#This Row],[rpm]]/Table36[idleRpm])^2)*Table7[idleT]</f>
        <v>-17067.149999999998</v>
      </c>
      <c r="N36" s="3">
        <f>MAX(0,(1-Table7[f1]*(Table36[maxTRpm1]-Table15[[#This Row],[rpm]])^2)*Table36[maxT])</f>
        <v>0</v>
      </c>
      <c r="O36" s="3">
        <f>MAX(0,(Table36[linearDown]*(1-Table7[f2]*(Table15[[#This Row],[rpm]]-Table36[maxTRpm]))+(1-Table36[linearDown])*(1-Table7[f3]*(Table15[[#This Row],[rpm]]-Table36[maxTRpm])^2))*Table36[maxT])</f>
        <v>0</v>
      </c>
      <c r="P36" s="3">
        <f>MAX(0,(Table36[maxPS]-Table7[f4]*(Table15[[#This Row],[rpm]]-Table36[maxPRpm])^2)/1.36*9550/MAX(1,Table15[[#This Row],[rpm]]))</f>
        <v>685.04084967320262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-16043.120999999997</v>
      </c>
      <c r="S36" s="3">
        <f>MAX(0,(1-Table7[f1]*(Table36[maxTRpm1]-Table15[[#This Row],[rpm]])^2)*Table36[maxTEco])</f>
        <v>0</v>
      </c>
      <c r="T36" s="3">
        <f>MAX(0,(Table36[linearDown]*(1-Table7[f2Eco]*(Table15[[#This Row],[rpm]]-Table36[maxTRpm]))+(1-Table36[linearDown])*(1-Table7[f3Eco]*(Table15[[#This Row],[rpm]]-Table36[maxTRpm])^2))*Table36[maxTEco])</f>
        <v>0</v>
      </c>
      <c r="U36" s="3">
        <f>MAX(0,(Table36[maxPSEco]-Table7[f4Eco]*(Table15[[#This Row],[rpm]]-Table36[maxPRpm])^2)/1.36*9550/MAX(1,Table15[[#This Row],[rpm]]))</f>
        <v>0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4750</v>
      </c>
      <c r="B37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7" s="21"/>
      <c r="D37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7" s="21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7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7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7" s="3">
        <f>(1-(1-Table15[[#This Row],[rpm]]/Table36[idleRpm])^2)*Table7[idleT]</f>
        <v>-19683.410648148147</v>
      </c>
      <c r="N37" s="3">
        <f>MAX(0,(1-Table7[f1]*(Table36[maxTRpm1]-Table15[[#This Row],[rpm]])^2)*Table36[maxT])</f>
        <v>0</v>
      </c>
      <c r="O37" s="3">
        <f>MAX(0,(Table36[linearDown]*(1-Table7[f2]*(Table15[[#This Row],[rpm]]-Table36[maxTRpm]))+(1-Table36[linearDown])*(1-Table7[f3]*(Table15[[#This Row],[rpm]]-Table36[maxTRpm])^2))*Table36[maxT])</f>
        <v>0</v>
      </c>
      <c r="P37" s="3">
        <f>MAX(0,(Table36[maxPS]-Table7[f4]*(Table15[[#This Row],[rpm]]-Table36[maxPRpm])^2)/1.36*9550/MAX(1,Table15[[#This Row],[rpm]]))</f>
        <v>699.34162151702787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-18502.406009259255</v>
      </c>
      <c r="S37" s="3">
        <f>MAX(0,(1-Table7[f1]*(Table36[maxTRpm1]-Table15[[#This Row],[rpm]])^2)*Table36[maxTEco])</f>
        <v>0</v>
      </c>
      <c r="T37" s="3">
        <f>MAX(0,(Table36[linearDown]*(1-Table7[f2Eco]*(Table15[[#This Row],[rpm]]-Table36[maxTRpm]))+(1-Table36[linearDown])*(1-Table7[f3Eco]*(Table15[[#This Row],[rpm]]-Table36[maxTRpm])^2))*Table36[maxTEco])</f>
        <v>0</v>
      </c>
      <c r="U37" s="3">
        <f>MAX(0,(Table36[maxPSEco]-Table7[f4Eco]*(Table15[[#This Row],[rpm]]-Table36[maxPRpm])^2)/1.36*9550/MAX(1,Table15[[#This Row],[rpm]]))</f>
        <v>0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5000</v>
      </c>
      <c r="B38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8" s="21"/>
      <c r="D38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8" s="21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8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8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8" s="3">
        <f>(1-(1-Table15[[#This Row],[rpm]]/Table36[idleRpm])^2)*Table7[idleT]</f>
        <v>-22475.259259259255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0</v>
      </c>
      <c r="P38" s="3">
        <f>MAX(0,(Table36[maxPS]-Table7[f4]*(Table15[[#This Row],[rpm]]-Table36[maxPRpm])^2)/1.36*9550/MAX(1,Table15[[#This Row],[rpm]]))</f>
        <v>716.60110294117635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-21126.743703703698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0</v>
      </c>
      <c r="U38" s="3">
        <f>MAX(0,(Table36[maxPSEco]-Table7[f4Eco]*(Table15[[#This Row],[rpm]]-Table36[maxPRpm])^2)/1.36*9550/MAX(1,Table15[[#This Row],[rpm]]))</f>
        <v>0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5250</v>
      </c>
      <c r="B39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39" s="21"/>
      <c r="D39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39" s="21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39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39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39" s="3">
        <f>(1-(1-Table15[[#This Row],[rpm]]/Table36[idleRpm])^2)*Table7[idleT]</f>
        <v>-25442.695833333328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0</v>
      </c>
      <c r="P39" s="3">
        <f>MAX(0,(Table36[maxPS]-Table7[f4]*(Table15[[#This Row],[rpm]]-Table36[maxPRpm])^2)/1.36*9550/MAX(1,Table15[[#This Row],[rpm]]))</f>
        <v>736.3966211484593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-23916.134083333327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5500</v>
      </c>
      <c r="B40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0" s="21"/>
      <c r="D40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0" s="21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40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40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40" s="3">
        <f>(1-(1-Table15[[#This Row],[rpm]]/Table36[idleRpm])^2)*Table7[idleT]</f>
        <v>-28585.720370370364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758.38235294117646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-26870.577148148139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5750</v>
      </c>
      <c r="B41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1" s="21"/>
      <c r="D41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1" s="21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41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41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41" s="3">
        <f>(1-(1-Table15[[#This Row],[rpm]]/Table36[idleRpm])^2)*Table7[idleT]</f>
        <v>-31904.332870370374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782.27261828644498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-29990.072898148148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ht="15.75" thickBot="1" x14ac:dyDescent="0.3">
      <c r="A42" s="3">
        <v>6000</v>
      </c>
      <c r="B42" s="3">
        <f>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</f>
        <v>0</v>
      </c>
      <c r="C42" s="22"/>
      <c r="D42" s="3">
        <f>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</f>
        <v>0</v>
      </c>
      <c r="E42" s="22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3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Row],[rpm]]-Table36[ratedRpm])/Table36[fadeOut])^2,Table36[fuelRatedRate]*2)))</f>
        <v>436</v>
      </c>
      <c r="K42" s="10" t="str">
        <f>IF(Table15[[#This Row],[rpm]]&gt;Table36[ratedRpm]+Table36[fadeOut],"",CONCATENATE("        &lt;torque rpm=""",Table15[[#This Row],[rpm]],""" motorTorque=""",ROUND(Table15[[#This Row],[motor]],0),""" motorTorqueEco=""",ROUND(Table15[[#This Row],[motorEco]],0),""" fuelUsageRatio=""",ROUND(Table15[[#This Row],[fuelUsageRatio]],0),"""/&gt;",IF(Table15[[#This Row],[rpm]]&lt;1,Table7[xmlComment],IF(Table15[[#This Row],[manualData]]&gt;0,CONCATENATE("&lt;!-- manualData: ",Table15[[#This Row],[manualData]],"--&gt;"),""))))</f>
        <v/>
      </c>
      <c r="L42" s="10" t="str">
        <f>IF(Table15[[#This Row],[rpm]]&gt;Table36[normRpm],"",CONCATENATE("&lt;torque normRpm=""",ROUND(Table15[[#This Row],[rpm]]/Table36[normRpm],3),""" torque=""",ROUND(Table15[[#This Row],[motor]]/MAX(Table15[motor]),3),"""/&gt;"))</f>
        <v/>
      </c>
      <c r="M42" s="3">
        <f>(1-(1-Table15[[#This Row],[rpm]]/Table36[idleRpm])^2)*Table7[idleT]</f>
        <v>-35398.533333333333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807.82935049019602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-33274.621333333329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42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4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H7:H42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H7:I42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F7:G42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2015-10-29T10:47:10Z</dcterms:modified>
</cp:coreProperties>
</file>