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26100" yWindow="0" windowWidth="13200" windowHeight="11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H5" i="1"/>
  <c r="A13" i="1" s="1"/>
  <c r="A9" i="1" l="1"/>
  <c r="A10" i="1"/>
  <c r="A12" i="1"/>
  <c r="D5" i="1"/>
  <c r="N5" i="1" l="1"/>
  <c r="F19" i="1"/>
  <c r="C5" i="1"/>
  <c r="B5" i="1" s="1"/>
  <c r="D11" i="1" s="1"/>
  <c r="A32" i="1" s="1"/>
  <c r="L5" i="1"/>
  <c r="M5" i="1"/>
  <c r="E11" i="1" l="1"/>
  <c r="A37" i="1" s="1"/>
  <c r="F18" i="1"/>
  <c r="A5" i="1"/>
  <c r="E5" i="1" s="1"/>
  <c r="F17" i="1"/>
  <c r="B12" i="1"/>
  <c r="B10" i="1"/>
  <c r="B11" i="1"/>
  <c r="F11" i="1"/>
  <c r="A42" i="1" s="1"/>
  <c r="B8" i="1"/>
  <c r="B13" i="1"/>
  <c r="B9" i="1"/>
  <c r="B35" i="1" l="1"/>
  <c r="B40" i="1"/>
  <c r="B30" i="1"/>
  <c r="B25" i="1"/>
  <c r="B42" i="1"/>
  <c r="B32" i="1"/>
  <c r="B27" i="1"/>
  <c r="B37" i="1"/>
  <c r="B39" i="1"/>
  <c r="B44" i="1"/>
  <c r="B34" i="1"/>
  <c r="B29" i="1"/>
  <c r="B26" i="1"/>
  <c r="B36" i="1"/>
  <c r="B41" i="1"/>
  <c r="B31" i="1"/>
  <c r="B24" i="1"/>
  <c r="B43" i="1"/>
  <c r="B33" i="1"/>
  <c r="B28" i="1"/>
  <c r="B38" i="1"/>
  <c r="C11" i="1"/>
  <c r="A27" i="1" s="1"/>
  <c r="A8" i="1"/>
  <c r="G17" i="1" s="1"/>
  <c r="F16" i="1"/>
  <c r="H16" i="1" s="1"/>
  <c r="H18" i="1"/>
  <c r="H17" i="1"/>
  <c r="H19" i="1"/>
  <c r="H11" i="1"/>
  <c r="J11" i="1"/>
  <c r="G11" i="1"/>
  <c r="K11" i="1" s="1"/>
  <c r="L11" i="1" s="1"/>
  <c r="J17" i="1"/>
  <c r="J19" i="1"/>
  <c r="J18" i="1"/>
  <c r="I19" i="1"/>
  <c r="I18" i="1"/>
  <c r="I17" i="1"/>
  <c r="D9" i="1"/>
  <c r="A30" i="1" s="1"/>
  <c r="E9" i="1"/>
  <c r="A35" i="1" s="1"/>
  <c r="D13" i="1"/>
  <c r="A34" i="1" s="1"/>
  <c r="E13" i="1"/>
  <c r="A39" i="1" s="1"/>
  <c r="D12" i="1"/>
  <c r="A33" i="1" s="1"/>
  <c r="E12" i="1"/>
  <c r="A38" i="1" s="1"/>
  <c r="E10" i="1"/>
  <c r="A36" i="1" s="1"/>
  <c r="D10" i="1"/>
  <c r="A31" i="1" s="1"/>
  <c r="C9" i="1"/>
  <c r="A25" i="1" s="1"/>
  <c r="F9" i="1"/>
  <c r="A40" i="1" s="1"/>
  <c r="D8" i="1" l="1"/>
  <c r="I11" i="1"/>
  <c r="G18" i="1"/>
  <c r="K18" i="1" s="1"/>
  <c r="L18" i="1" s="1"/>
  <c r="E8" i="1"/>
  <c r="G16" i="1"/>
  <c r="I16" i="1"/>
  <c r="G19" i="1"/>
  <c r="K19" i="1" s="1"/>
  <c r="L19" i="1" s="1"/>
  <c r="J16" i="1"/>
  <c r="G9" i="1"/>
  <c r="K9" i="1" s="1"/>
  <c r="L9" i="1" s="1"/>
  <c r="I9" i="1"/>
  <c r="H9" i="1"/>
  <c r="J9" i="1"/>
  <c r="K17" i="1"/>
  <c r="L17" i="1" s="1"/>
  <c r="C10" i="1"/>
  <c r="F10" i="1"/>
  <c r="A41" i="1" s="1"/>
  <c r="F8" i="1"/>
  <c r="F12" i="1"/>
  <c r="A43" i="1" s="1"/>
  <c r="F13" i="1"/>
  <c r="A44" i="1" s="1"/>
  <c r="C8" i="1"/>
  <c r="C12" i="1"/>
  <c r="C13" i="1"/>
  <c r="A29" i="1" s="1"/>
  <c r="I12" i="1" l="1"/>
  <c r="A28" i="1"/>
  <c r="I8" i="1"/>
  <c r="A24" i="1"/>
  <c r="I10" i="1"/>
  <c r="A26" i="1"/>
  <c r="K16" i="1"/>
  <c r="L16" i="1" s="1"/>
  <c r="I13" i="1"/>
  <c r="H10" i="1"/>
  <c r="J10" i="1"/>
  <c r="H13" i="1"/>
  <c r="J13" i="1"/>
  <c r="H12" i="1"/>
  <c r="J12" i="1"/>
  <c r="H8" i="1"/>
  <c r="J8" i="1"/>
  <c r="G13" i="1"/>
  <c r="G12" i="1"/>
  <c r="K12" i="1" s="1"/>
  <c r="L12" i="1" s="1"/>
  <c r="G8" i="1"/>
  <c r="K8" i="1" s="1"/>
  <c r="L8" i="1" s="1"/>
  <c r="G10" i="1"/>
  <c r="K10" i="1" s="1"/>
  <c r="L10" i="1" s="1"/>
  <c r="K13" i="1"/>
  <c r="L13" i="1" s="1"/>
</calcChain>
</file>

<file path=xl/sharedStrings.xml><?xml version="1.0" encoding="utf-8"?>
<sst xmlns="http://schemas.openxmlformats.org/spreadsheetml/2006/main" count="47" uniqueCount="44">
  <si>
    <t>ratio</t>
  </si>
  <si>
    <t>factor</t>
  </si>
  <si>
    <t>speed1</t>
  </si>
  <si>
    <t>speed2</t>
  </si>
  <si>
    <t>xml</t>
  </si>
  <si>
    <t>idle</t>
  </si>
  <si>
    <t>rated</t>
  </si>
  <si>
    <t>ratio1</t>
  </si>
  <si>
    <t>ratio2</t>
  </si>
  <si>
    <t>idleSpeed1</t>
  </si>
  <si>
    <t>minSpeed</t>
  </si>
  <si>
    <t>minRatio</t>
  </si>
  <si>
    <t>range</t>
  </si>
  <si>
    <t>minEff</t>
  </si>
  <si>
    <t>maxEff</t>
  </si>
  <si>
    <t>zeroEff</t>
  </si>
  <si>
    <t>constF1</t>
  </si>
  <si>
    <t>constF2</t>
  </si>
  <si>
    <t>s1</t>
  </si>
  <si>
    <t>s2</t>
  </si>
  <si>
    <t>s3</t>
  </si>
  <si>
    <t>s4</t>
  </si>
  <si>
    <t>rpm40</t>
  </si>
  <si>
    <t>rpm50</t>
  </si>
  <si>
    <t>rpm60</t>
  </si>
  <si>
    <t>speed4</t>
  </si>
  <si>
    <t>speed3</t>
  </si>
  <si>
    <t>gear</t>
  </si>
  <si>
    <t>speed</t>
  </si>
  <si>
    <t>fromSpeed</t>
  </si>
  <si>
    <t>toSpeed</t>
  </si>
  <si>
    <t xml:space="preserve">      &lt;hydrostatic&gt;</t>
  </si>
  <si>
    <t xml:space="preserve">      &lt;/hydrostatic&gt;</t>
  </si>
  <si>
    <t xml:space="preserve">      &lt;gears shiftTimeMs="-1" clutchRatio="1" defaultGear="1" reverseReset="false" automatic="true"&gt;</t>
  </si>
  <si>
    <t xml:space="preserve">      &lt;/gears&gt;</t>
  </si>
  <si>
    <t>idleSpeed4</t>
  </si>
  <si>
    <t>idleSpeed</t>
  </si>
  <si>
    <t>maxSpeed</t>
  </si>
  <si>
    <t>rpm</t>
  </si>
  <si>
    <t>gear2gear</t>
  </si>
  <si>
    <t>gears</t>
  </si>
  <si>
    <t>km/h</t>
  </si>
  <si>
    <t>Efficiency</t>
  </si>
  <si>
    <t xml:space="preserve">      &lt;reverse ratio="1" shiftTimeMs="1000" 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</si>
</sst>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167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2" fontId="0" fillId="0" borderId="1" xfId="0" applyNumberFormat="1" applyFont="1" applyBorder="1"/>
  </cellXfs>
  <cellStyles count="1">
    <cellStyle name="Normal" xfId="0" builtinId="0"/>
  </cellStyles>
  <dxfs count="32">
    <dxf>
      <numFmt numFmtId="2" formatCode="0.00"/>
    </dxf>
    <dxf>
      <numFmt numFmtId="0" formatCode="General"/>
    </dxf>
    <dxf>
      <numFmt numFmtId="165" formatCode="0.0"/>
    </dxf>
    <dxf>
      <numFmt numFmtId="165" formatCode="0.0"/>
    </dxf>
    <dxf>
      <numFmt numFmtId="165" formatCode="0.0"/>
    </dxf>
    <dxf>
      <numFmt numFmtId="2" formatCode="0.00"/>
    </dxf>
    <dxf>
      <numFmt numFmtId="2" formatCode="0.0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7" formatCode="0.00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numFmt numFmtId="0" formatCode="General"/>
    </dxf>
    <dxf>
      <numFmt numFmtId="1" formatCode="0"/>
    </dxf>
    <dxf>
      <numFmt numFmtId="1" formatCode="0"/>
    </dxf>
    <dxf>
      <numFmt numFmtId="167" formatCode="0.00000"/>
    </dxf>
    <dxf>
      <numFmt numFmtId="166" formatCode="0.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Sheet1!$C$7</c:f>
              <c:strCache>
                <c:ptCount val="1"/>
                <c:pt idx="0">
                  <c:v>speed1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Sheet1!$A$8:$A$13</c:f>
              <c:numCache>
                <c:formatCode>General</c:formatCode>
                <c:ptCount val="6"/>
                <c:pt idx="0" formatCode="0.00000">
                  <c:v>2.4888888888888891E-2</c:v>
                </c:pt>
                <c:pt idx="1">
                  <c:v>0.66666666666666674</c:v>
                </c:pt>
                <c:pt idx="2">
                  <c:v>0.83333333333333337</c:v>
                </c:pt>
                <c:pt idx="3">
                  <c:v>1</c:v>
                </c:pt>
                <c:pt idx="4">
                  <c:v>1.1666666666666667</c:v>
                </c:pt>
                <c:pt idx="5">
                  <c:v>1.3333333333333333</c:v>
                </c:pt>
              </c:numCache>
            </c:numRef>
          </c:xVal>
          <c:yVal>
            <c:numRef>
              <c:f>Sheet1!$C$8:$C$13</c:f>
              <c:numCache>
                <c:formatCode>0.00</c:formatCode>
                <c:ptCount val="6"/>
                <c:pt idx="0">
                  <c:v>0.11666666666666668</c:v>
                </c:pt>
                <c:pt idx="1">
                  <c:v>3.1250000000000004</c:v>
                </c:pt>
                <c:pt idx="2">
                  <c:v>3.90625</c:v>
                </c:pt>
                <c:pt idx="3">
                  <c:v>4.6875</c:v>
                </c:pt>
                <c:pt idx="4">
                  <c:v>5.46875</c:v>
                </c:pt>
                <c:pt idx="5">
                  <c:v>6.25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Sheet1!$F$7</c:f>
              <c:strCache>
                <c:ptCount val="1"/>
                <c:pt idx="0">
                  <c:v>speed4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Sheet1!$A$8:$A$13</c:f>
              <c:numCache>
                <c:formatCode>General</c:formatCode>
                <c:ptCount val="6"/>
                <c:pt idx="0" formatCode="0.00000">
                  <c:v>2.4888888888888891E-2</c:v>
                </c:pt>
                <c:pt idx="1">
                  <c:v>0.66666666666666674</c:v>
                </c:pt>
                <c:pt idx="2">
                  <c:v>0.83333333333333337</c:v>
                </c:pt>
                <c:pt idx="3">
                  <c:v>1</c:v>
                </c:pt>
                <c:pt idx="4">
                  <c:v>1.1666666666666667</c:v>
                </c:pt>
                <c:pt idx="5">
                  <c:v>1.3333333333333333</c:v>
                </c:pt>
              </c:numCache>
            </c:numRef>
          </c:xVal>
          <c:yVal>
            <c:numRef>
              <c:f>Sheet1!$F$8:$F$13</c:f>
              <c:numCache>
                <c:formatCode>0.00</c:formatCode>
                <c:ptCount val="6"/>
                <c:pt idx="0">
                  <c:v>0.93333333333333346</c:v>
                </c:pt>
                <c:pt idx="1">
                  <c:v>25.000000000000004</c:v>
                </c:pt>
                <c:pt idx="2">
                  <c:v>31.25</c:v>
                </c:pt>
                <c:pt idx="3">
                  <c:v>37.5</c:v>
                </c:pt>
                <c:pt idx="4">
                  <c:v>43.75</c:v>
                </c:pt>
                <c:pt idx="5">
                  <c:v>50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Sheet1!$G$7</c:f>
              <c:strCache>
                <c:ptCount val="1"/>
                <c:pt idx="0">
                  <c:v>idleSpeed1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Sheet1!$A$8:$A$13</c:f>
              <c:numCache>
                <c:formatCode>General</c:formatCode>
                <c:ptCount val="6"/>
                <c:pt idx="0" formatCode="0.00000">
                  <c:v>2.4888888888888891E-2</c:v>
                </c:pt>
                <c:pt idx="1">
                  <c:v>0.66666666666666674</c:v>
                </c:pt>
                <c:pt idx="2">
                  <c:v>0.83333333333333337</c:v>
                </c:pt>
                <c:pt idx="3">
                  <c:v>1</c:v>
                </c:pt>
                <c:pt idx="4">
                  <c:v>1.1666666666666667</c:v>
                </c:pt>
                <c:pt idx="5">
                  <c:v>1.3333333333333333</c:v>
                </c:pt>
              </c:numCache>
            </c:numRef>
          </c:xVal>
          <c:yVal>
            <c:numRef>
              <c:f>Sheet1!$G$8:$G$13</c:f>
              <c:numCache>
                <c:formatCode>0.0</c:formatCode>
                <c:ptCount val="6"/>
                <c:pt idx="0" formatCode="0.0000">
                  <c:v>5.000000000000001E-2</c:v>
                </c:pt>
                <c:pt idx="1">
                  <c:v>1.3392857142857144</c:v>
                </c:pt>
                <c:pt idx="2">
                  <c:v>1.6741071428571428</c:v>
                </c:pt>
                <c:pt idx="3">
                  <c:v>2.0089285714285716</c:v>
                </c:pt>
                <c:pt idx="4">
                  <c:v>2.34375</c:v>
                </c:pt>
                <c:pt idx="5">
                  <c:v>2.6785714285714284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Sheet1!$H$7</c:f>
              <c:strCache>
                <c:ptCount val="1"/>
                <c:pt idx="0">
                  <c:v>idleSpeed4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Sheet1!$A$8:$A$13</c:f>
              <c:numCache>
                <c:formatCode>General</c:formatCode>
                <c:ptCount val="6"/>
                <c:pt idx="0" formatCode="0.00000">
                  <c:v>2.4888888888888891E-2</c:v>
                </c:pt>
                <c:pt idx="1">
                  <c:v>0.66666666666666674</c:v>
                </c:pt>
                <c:pt idx="2">
                  <c:v>0.83333333333333337</c:v>
                </c:pt>
                <c:pt idx="3">
                  <c:v>1</c:v>
                </c:pt>
                <c:pt idx="4">
                  <c:v>1.1666666666666667</c:v>
                </c:pt>
                <c:pt idx="5">
                  <c:v>1.3333333333333333</c:v>
                </c:pt>
              </c:numCache>
            </c:numRef>
          </c:xVal>
          <c:yVal>
            <c:numRef>
              <c:f>Sheet1!$H$8:$H$13</c:f>
              <c:numCache>
                <c:formatCode>0.0</c:formatCode>
                <c:ptCount val="6"/>
                <c:pt idx="0" formatCode="0.00000">
                  <c:v>0.40000000000000008</c:v>
                </c:pt>
                <c:pt idx="1">
                  <c:v>10.714285714285715</c:v>
                </c:pt>
                <c:pt idx="2">
                  <c:v>13.392857142857142</c:v>
                </c:pt>
                <c:pt idx="3">
                  <c:v>16.071428571428573</c:v>
                </c:pt>
                <c:pt idx="4">
                  <c:v>18.75</c:v>
                </c:pt>
                <c:pt idx="5">
                  <c:v>21.428571428571427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1096"/>
        <c:axId val="137211488"/>
      </c:scatterChart>
      <c:scatterChart>
        <c:scatterStyle val="line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Sheet1!$A$8:$A$13</c:f>
              <c:numCache>
                <c:formatCode>General</c:formatCode>
                <c:ptCount val="6"/>
                <c:pt idx="0" formatCode="0.00000">
                  <c:v>2.4888888888888891E-2</c:v>
                </c:pt>
                <c:pt idx="1">
                  <c:v>0.66666666666666674</c:v>
                </c:pt>
                <c:pt idx="2">
                  <c:v>0.83333333333333337</c:v>
                </c:pt>
                <c:pt idx="3">
                  <c:v>1</c:v>
                </c:pt>
                <c:pt idx="4">
                  <c:v>1.1666666666666667</c:v>
                </c:pt>
                <c:pt idx="5">
                  <c:v>1.3333333333333333</c:v>
                </c:pt>
              </c:numCache>
            </c:numRef>
          </c:xVal>
          <c:yVal>
            <c:numRef>
              <c:f>Sheet1!$B$8:$B$13</c:f>
              <c:numCache>
                <c:formatCode>General</c:formatCode>
                <c:ptCount val="6"/>
                <c:pt idx="0">
                  <c:v>0.68</c:v>
                </c:pt>
                <c:pt idx="1">
                  <c:v>0.88</c:v>
                </c:pt>
                <c:pt idx="2">
                  <c:v>0.92999999999999994</c:v>
                </c:pt>
                <c:pt idx="3">
                  <c:v>0.98</c:v>
                </c:pt>
                <c:pt idx="4">
                  <c:v>0.92999999999999994</c:v>
                </c:pt>
                <c:pt idx="5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07960"/>
        <c:axId val="137210312"/>
      </c:scatterChart>
      <c:valAx>
        <c:axId val="13721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1488"/>
        <c:crosses val="autoZero"/>
        <c:crossBetween val="midCat"/>
      </c:valAx>
      <c:valAx>
        <c:axId val="13721148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1096"/>
        <c:crosses val="autoZero"/>
        <c:crossBetween val="midCat"/>
      </c:valAx>
      <c:valAx>
        <c:axId val="137210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7960"/>
        <c:crosses val="max"/>
        <c:crossBetween val="midCat"/>
      </c:valAx>
      <c:valAx>
        <c:axId val="137207960"/>
        <c:scaling>
          <c:orientation val="minMax"/>
        </c:scaling>
        <c:delete val="1"/>
        <c:axPos val="b"/>
        <c:numFmt formatCode="0.00000" sourceLinked="1"/>
        <c:majorTickMark val="out"/>
        <c:minorTickMark val="none"/>
        <c:tickLblPos val="nextTo"/>
        <c:crossAx val="13721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Sheet1!$A$24:$A$44</c:f>
              <c:numCache>
                <c:formatCode>0.00</c:formatCode>
                <c:ptCount val="21"/>
                <c:pt idx="0">
                  <c:v>0.11666666666666668</c:v>
                </c:pt>
                <c:pt idx="1">
                  <c:v>3.1250000000000004</c:v>
                </c:pt>
                <c:pt idx="2">
                  <c:v>3.90625</c:v>
                </c:pt>
                <c:pt idx="3">
                  <c:v>4.6875</c:v>
                </c:pt>
                <c:pt idx="4">
                  <c:v>5.46875</c:v>
                </c:pt>
                <c:pt idx="5">
                  <c:v>6.25</c:v>
                </c:pt>
                <c:pt idx="6">
                  <c:v>6.2500000000000009</c:v>
                </c:pt>
                <c:pt idx="7">
                  <c:v>7.8125</c:v>
                </c:pt>
                <c:pt idx="8">
                  <c:v>9.375</c:v>
                </c:pt>
                <c:pt idx="9">
                  <c:v>10.9375</c:v>
                </c:pt>
                <c:pt idx="10">
                  <c:v>12.5</c:v>
                </c:pt>
                <c:pt idx="11">
                  <c:v>12.500000000000002</c:v>
                </c:pt>
                <c:pt idx="12">
                  <c:v>15.625</c:v>
                </c:pt>
                <c:pt idx="13">
                  <c:v>18.75</c:v>
                </c:pt>
                <c:pt idx="14">
                  <c:v>21.875</c:v>
                </c:pt>
                <c:pt idx="15">
                  <c:v>25</c:v>
                </c:pt>
                <c:pt idx="16">
                  <c:v>25.000000000000004</c:v>
                </c:pt>
                <c:pt idx="17">
                  <c:v>31.25</c:v>
                </c:pt>
                <c:pt idx="18">
                  <c:v>37.5</c:v>
                </c:pt>
                <c:pt idx="19">
                  <c:v>43.75</c:v>
                </c:pt>
                <c:pt idx="20">
                  <c:v>50</c:v>
                </c:pt>
              </c:numCache>
            </c:numRef>
          </c:xVal>
          <c:yVal>
            <c:numRef>
              <c:f>Sheet1!$B$24:$B$44</c:f>
              <c:numCache>
                <c:formatCode>General</c:formatCode>
                <c:ptCount val="21"/>
                <c:pt idx="0">
                  <c:v>0.68</c:v>
                </c:pt>
                <c:pt idx="1">
                  <c:v>0.88</c:v>
                </c:pt>
                <c:pt idx="2">
                  <c:v>0.92999999999999994</c:v>
                </c:pt>
                <c:pt idx="3">
                  <c:v>0.98</c:v>
                </c:pt>
                <c:pt idx="4">
                  <c:v>0.92999999999999994</c:v>
                </c:pt>
                <c:pt idx="5">
                  <c:v>0.88</c:v>
                </c:pt>
                <c:pt idx="6">
                  <c:v>0.88</c:v>
                </c:pt>
                <c:pt idx="7">
                  <c:v>0.92999999999999994</c:v>
                </c:pt>
                <c:pt idx="8">
                  <c:v>0.98</c:v>
                </c:pt>
                <c:pt idx="9">
                  <c:v>0.92999999999999994</c:v>
                </c:pt>
                <c:pt idx="10">
                  <c:v>0.88</c:v>
                </c:pt>
                <c:pt idx="11">
                  <c:v>0.88</c:v>
                </c:pt>
                <c:pt idx="12">
                  <c:v>0.92999999999999994</c:v>
                </c:pt>
                <c:pt idx="13">
                  <c:v>0.98</c:v>
                </c:pt>
                <c:pt idx="14">
                  <c:v>0.92999999999999994</c:v>
                </c:pt>
                <c:pt idx="15">
                  <c:v>0.88</c:v>
                </c:pt>
                <c:pt idx="16">
                  <c:v>0.88</c:v>
                </c:pt>
                <c:pt idx="17">
                  <c:v>0.92999999999999994</c:v>
                </c:pt>
                <c:pt idx="18">
                  <c:v>0.98</c:v>
                </c:pt>
                <c:pt idx="19">
                  <c:v>0.92999999999999994</c:v>
                </c:pt>
                <c:pt idx="20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09920"/>
        <c:axId val="137208352"/>
      </c:scatterChart>
      <c:valAx>
        <c:axId val="13720992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8352"/>
        <c:crosses val="autoZero"/>
        <c:crossBetween val="midCat"/>
      </c:valAx>
      <c:valAx>
        <c:axId val="13720835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21</xdr:row>
      <xdr:rowOff>152400</xdr:rowOff>
    </xdr:from>
    <xdr:to>
      <xdr:col>18</xdr:col>
      <xdr:colOff>152400</xdr:colOff>
      <xdr:row>47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9526</xdr:colOff>
      <xdr:row>21</xdr:row>
      <xdr:rowOff>152399</xdr:rowOff>
    </xdr:from>
    <xdr:to>
      <xdr:col>7</xdr:col>
      <xdr:colOff>642938</xdr:colOff>
      <xdr:row>47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7:K13" totalsRowShown="0">
  <tableColumns count="11">
    <tableColumn id="1" name="ratio"/>
    <tableColumn id="2" name="factor"/>
    <tableColumn id="3" name="speed1" dataDxfId="31">
      <calculatedColumnFormula>Table1[[#This Row],[ratio]]*Table2[s1]</calculatedColumnFormula>
    </tableColumn>
    <tableColumn id="11" name="speed2" dataDxfId="30">
      <calculatedColumnFormula>Table1[[#This Row],[ratio]]*Table2[s2]</calculatedColumnFormula>
    </tableColumn>
    <tableColumn id="10" name="speed3" dataDxfId="29">
      <calculatedColumnFormula>Table1[[#This Row],[ratio]]*Table2[s3]</calculatedColumnFormula>
    </tableColumn>
    <tableColumn id="4" name="speed4" dataDxfId="28">
      <calculatedColumnFormula>Table1[[#This Row],[ratio]]*Table2[s4]</calculatedColumnFormula>
    </tableColumn>
    <tableColumn id="7" name="idleSpeed1" dataDxfId="27">
      <calculatedColumnFormula>Table1[[#This Row],[speed1]]*Table4[idle]/Table4[rated]</calculatedColumnFormula>
    </tableColumn>
    <tableColumn id="6" name="idleSpeed4" dataDxfId="26">
      <calculatedColumnFormula>Table1[[#This Row],[speed4]]*Table4[idle]/Table4[rated]</calculatedColumnFormula>
    </tableColumn>
    <tableColumn id="9" name="ratio1" dataDxfId="25">
      <calculatedColumnFormula>Table4[rated]/(Table1[[#This Row],[speed1]]/3.6 * 60 / (1*2*PI()))</calculatedColumnFormula>
    </tableColumn>
    <tableColumn id="8" name="ratio2" dataDxfId="24">
      <calculatedColumnFormula>Table4[rated]/(Table1[[#This Row],[speed4]]/3.6 * 60 / (1*2*PI()))</calculatedColumnFormula>
    </tableColumn>
    <tableColumn id="5" name="xml" dataDxfId="23">
      <calculatedColumnFormula>CONCATENATE("        &lt;efficiency ratio=""",ROUND(Table1[[#This Row],[ratio]],6),""" factor=""",ROUND(Table1[[#This Row],[factor]],3),"""/&gt; &lt;!-- ",ROUND(Table1[[#This Row],[idleSpeed1]],2)," .. ",ROUND(Table1[[#This Row],[speed4]],1)," --&gt;")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N5" totalsRowShown="0" dataDxfId="22">
  <tableColumns count="14">
    <tableColumn id="1" name="s1" dataDxfId="21">
      <calculatedColumnFormula>IF(Table4[gears]&gt;3,Table2[s2]/Table4[gear2gear],Table2[s2])</calculatedColumnFormula>
    </tableColumn>
    <tableColumn id="11" name="s2" dataDxfId="20">
      <calculatedColumnFormula>IF(Table4[gears]&gt;2,Table2[s3]/Table4[gear2gear],Table2[s3])</calculatedColumnFormula>
    </tableColumn>
    <tableColumn id="14" name="s3" dataDxfId="19">
      <calculatedColumnFormula>IF(Table4[gears]&gt;1,Table2[s4]/Table4[gear2gear],Table2[s4])</calculatedColumnFormula>
    </tableColumn>
    <tableColumn id="2" name="s4" dataDxfId="18">
      <calculatedColumnFormula>Table4[maxSpeed]*Table4[rated]/Table4[rpm]/(1+Table2[range])</calculatedColumnFormula>
    </tableColumn>
    <tableColumn id="6" name="minRatio" dataDxfId="17">
      <calculatedColumnFormula>Table4[minSpeed]/Table2[s1]/Table4[idle]*Table4[rated]</calculatedColumnFormula>
    </tableColumn>
    <tableColumn id="8" name="minEff" dataDxfId="16"/>
    <tableColumn id="9" name="maxEff" dataDxfId="15"/>
    <tableColumn id="3" name="range" dataDxfId="14">
      <calculatedColumnFormula>(Table4[gear2gear]-1)/(Table4[gear2gear]+1)</calculatedColumnFormula>
    </tableColumn>
    <tableColumn id="10" name="zeroEff" dataDxfId="13">
      <calculatedColumnFormula>IF(ISBLANK(Table4[zeroEff]),Table2[maxEff]-(Table2[maxEff]-Table2[minEff])/Table2[range],Table4[zeroEff])</calculatedColumnFormula>
    </tableColumn>
    <tableColumn id="12" name="constF1" dataDxfId="12"/>
    <tableColumn id="13" name="constF2" dataDxfId="11"/>
    <tableColumn id="15" name="rpm40" dataDxfId="10">
      <calculatedColumnFormula>40/(Table2[s4]*(1+Table2[range]))*Table4[rated]</calculatedColumnFormula>
    </tableColumn>
    <tableColumn id="16" name="rpm50" dataDxfId="9">
      <calculatedColumnFormula>50/(Table2[s4]*(1+Table2[range]))*Table4[rated]</calculatedColumnFormula>
    </tableColumn>
    <tableColumn id="17" name="rpm60" dataDxfId="8">
      <calculatedColumnFormula>60/(Table2[s4]*(1+Table2[range]))*Table4[rated]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E15:K19" totalsRowShown="0">
  <tableColumns count="7">
    <tableColumn id="1" name="gear" dataDxfId="7"/>
    <tableColumn id="2" name="speed" dataDxfId="6">
      <calculatedColumnFormula>INDEX(Table2[],1,Table3[[#This Row],[gear]])</calculatedColumnFormula>
    </tableColumn>
    <tableColumn id="9" name="minSpeed" dataDxfId="5">
      <calculatedColumnFormula>$A$8*Table3[[#This Row],[speed]]*Table4[idle]/Table4[rated]</calculatedColumnFormula>
    </tableColumn>
    <tableColumn id="6" name="idleSpeed" dataDxfId="4">
      <calculatedColumnFormula>$A$9*Table3[[#This Row],[speed]]*Table4[idle]/Table4[rated]</calculatedColumnFormula>
    </tableColumn>
    <tableColumn id="5" name="fromSpeed" dataDxfId="3">
      <calculatedColumnFormula>$A$9*Table3[[#This Row],[speed]]</calculatedColumnFormula>
    </tableColumn>
    <tableColumn id="4" name="toSpeed" dataDxfId="2">
      <calculatedColumnFormula>$A$13*Table3[[#This Row],[speed]]</calculatedColumnFormula>
    </tableColumn>
    <tableColumn id="3" name="xml" dataDxfId="1">
      <calculatedColumnFormula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H2" totalsRowShown="0">
  <tableColumns count="8">
    <tableColumn id="8" name="minSpeed"/>
    <tableColumn id="1" name="maxSpeed"/>
    <tableColumn id="2" name="rpm"/>
    <tableColumn id="3" name="idle"/>
    <tableColumn id="4" name="rated"/>
    <tableColumn id="6" name="gear2gear"/>
    <tableColumn id="7" name="gears"/>
    <tableColumn id="5" name="zeroEff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23:B44" totalsRowShown="0">
  <autoFilter ref="A23:B44"/>
  <tableColumns count="2">
    <tableColumn id="1" name="km/h" dataDxfId="0"/>
    <tableColumn id="2" name="Efficiency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L21" sqref="L21"/>
    </sheetView>
  </sheetViews>
  <sheetFormatPr defaultRowHeight="15" x14ac:dyDescent="0.25"/>
  <cols>
    <col min="1" max="1" width="10.5703125" customWidth="1"/>
    <col min="2" max="2" width="11.7109375" customWidth="1"/>
    <col min="3" max="29" width="10.5703125" customWidth="1"/>
  </cols>
  <sheetData>
    <row r="1" spans="1:14" x14ac:dyDescent="0.25">
      <c r="A1" t="s">
        <v>10</v>
      </c>
      <c r="B1" t="s">
        <v>37</v>
      </c>
      <c r="C1" t="s">
        <v>38</v>
      </c>
      <c r="D1" t="s">
        <v>5</v>
      </c>
      <c r="E1" t="s">
        <v>6</v>
      </c>
      <c r="F1" t="s">
        <v>39</v>
      </c>
      <c r="G1" t="s">
        <v>40</v>
      </c>
      <c r="H1" t="s">
        <v>15</v>
      </c>
    </row>
    <row r="2" spans="1:14" x14ac:dyDescent="0.25">
      <c r="A2">
        <v>0.05</v>
      </c>
      <c r="B2">
        <v>50</v>
      </c>
      <c r="C2">
        <v>2100</v>
      </c>
      <c r="D2">
        <v>900</v>
      </c>
      <c r="E2">
        <v>2100</v>
      </c>
      <c r="F2">
        <v>2</v>
      </c>
      <c r="G2">
        <v>4</v>
      </c>
    </row>
    <row r="4" spans="1:14" x14ac:dyDescent="0.25">
      <c r="A4" t="s">
        <v>18</v>
      </c>
      <c r="B4" t="s">
        <v>19</v>
      </c>
      <c r="C4" t="s">
        <v>20</v>
      </c>
      <c r="D4" t="s">
        <v>21</v>
      </c>
      <c r="E4" t="s">
        <v>11</v>
      </c>
      <c r="F4" t="s">
        <v>13</v>
      </c>
      <c r="G4" t="s">
        <v>14</v>
      </c>
      <c r="H4" t="s">
        <v>12</v>
      </c>
      <c r="I4" t="s">
        <v>15</v>
      </c>
      <c r="J4" t="s">
        <v>16</v>
      </c>
      <c r="K4" t="s">
        <v>17</v>
      </c>
      <c r="L4" t="s">
        <v>22</v>
      </c>
      <c r="M4" t="s">
        <v>23</v>
      </c>
      <c r="N4" t="s">
        <v>24</v>
      </c>
    </row>
    <row r="5" spans="1:14" x14ac:dyDescent="0.25">
      <c r="A5" s="7">
        <f>IF(Table4[gears]&gt;3,Table2[s2]/Table4[gear2gear],Table2[s2])</f>
        <v>4.6875</v>
      </c>
      <c r="B5" s="7">
        <f>IF(Table4[gears]&gt;2,Table2[s3]/Table4[gear2gear],Table2[s3])</f>
        <v>9.375</v>
      </c>
      <c r="C5" s="7">
        <f>IF(Table4[gears]&gt;1,Table2[s4]/Table4[gear2gear],Table2[s4])</f>
        <v>18.75</v>
      </c>
      <c r="D5" s="7">
        <f>Table4[maxSpeed]*Table4[rated]/Table4[rpm]/(1+Table2[range])</f>
        <v>37.5</v>
      </c>
      <c r="E5" s="8">
        <f>Table4[minSpeed]/Table2[s1]/Table4[idle]*Table4[rated]</f>
        <v>2.4888888888888891E-2</v>
      </c>
      <c r="F5" s="9">
        <v>0.88</v>
      </c>
      <c r="G5" s="9">
        <v>0.98</v>
      </c>
      <c r="H5" s="9">
        <f>(Table4[gear2gear]-1)/(Table4[gear2gear]+1)</f>
        <v>0.33333333333333331</v>
      </c>
      <c r="I5" s="9">
        <f>IF(ISBLANK(Table4[zeroEff]),Table2[maxEff]-(Table2[maxEff]-Table2[minEff])/Table2[range],Table4[zeroEff])</f>
        <v>0.68</v>
      </c>
      <c r="J5" s="9">
        <v>0.5</v>
      </c>
      <c r="K5" s="9">
        <v>0.5</v>
      </c>
      <c r="L5" s="10">
        <f>40/(Table2[s4]*(1+Table2[range]))*Table4[rated]</f>
        <v>1680</v>
      </c>
      <c r="M5" s="10">
        <f>50/(Table2[s4]*(1+Table2[range]))*Table4[rated]</f>
        <v>2100</v>
      </c>
      <c r="N5" s="10">
        <f>60/(Table2[s4]*(1+Table2[range]))*Table4[rated]</f>
        <v>2520</v>
      </c>
    </row>
    <row r="7" spans="1:14" x14ac:dyDescent="0.25">
      <c r="A7" t="s">
        <v>0</v>
      </c>
      <c r="B7" t="s">
        <v>1</v>
      </c>
      <c r="C7" t="s">
        <v>2</v>
      </c>
      <c r="D7" t="s">
        <v>3</v>
      </c>
      <c r="E7" t="s">
        <v>26</v>
      </c>
      <c r="F7" t="s">
        <v>25</v>
      </c>
      <c r="G7" t="s">
        <v>9</v>
      </c>
      <c r="H7" t="s">
        <v>35</v>
      </c>
      <c r="I7" t="s">
        <v>7</v>
      </c>
      <c r="J7" t="s">
        <v>8</v>
      </c>
      <c r="K7" t="s">
        <v>4</v>
      </c>
      <c r="L7" t="s">
        <v>31</v>
      </c>
    </row>
    <row r="8" spans="1:14" x14ac:dyDescent="0.25">
      <c r="A8" s="3">
        <f>Table2[minRatio]</f>
        <v>2.4888888888888891E-2</v>
      </c>
      <c r="B8">
        <f>Table2[zeroEff]</f>
        <v>0.68</v>
      </c>
      <c r="C8" s="6">
        <f>Table1[[#This Row],[ratio]]*Table2[s1]</f>
        <v>0.11666666666666668</v>
      </c>
      <c r="D8" s="6">
        <f>Table1[[#This Row],[ratio]]*Table2[s2]</f>
        <v>0.23333333333333336</v>
      </c>
      <c r="E8" s="6">
        <f>Table1[[#This Row],[ratio]]*Table2[s3]</f>
        <v>0.46666666666666673</v>
      </c>
      <c r="F8" s="6">
        <f>Table1[[#This Row],[ratio]]*Table2[s4]</f>
        <v>0.93333333333333346</v>
      </c>
      <c r="G8" s="2">
        <f>Table1[[#This Row],[speed1]]*Table4[idle]/Table4[rated]</f>
        <v>5.000000000000001E-2</v>
      </c>
      <c r="H8" s="3">
        <f>Table1[[#This Row],[speed4]]*Table4[idle]/Table4[rated]</f>
        <v>0.40000000000000008</v>
      </c>
      <c r="I8" s="5">
        <f>Table4[rated]/(Table1[[#This Row],[speed1]]/3.6 * 60 / (1*2*PI()))</f>
        <v>6785.8401317539528</v>
      </c>
      <c r="J8" s="5">
        <f>Table4[rated]/(Table1[[#This Row],[speed4]]/3.6 * 60 / (1*2*PI()))</f>
        <v>848.23001646924411</v>
      </c>
      <c r="K8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ratio="0.024889" factor="0.68"/&gt; &lt;!-- 0.05 .. 0.9 --&gt;</v>
      </c>
      <c r="L8" t="str">
        <f>Table1[[#This Row],[xml]]</f>
        <v xml:space="preserve">        &lt;efficiency ratio="0.024889" factor="0.68"/&gt; &lt;!-- 0.05 .. 0.9 --&gt;</v>
      </c>
    </row>
    <row r="9" spans="1:14" x14ac:dyDescent="0.25">
      <c r="A9">
        <f>1-Table2[range]</f>
        <v>0.66666666666666674</v>
      </c>
      <c r="B9">
        <f>Table2[minEff]</f>
        <v>0.88</v>
      </c>
      <c r="C9" s="6">
        <f>Table1[[#This Row],[ratio]]*Table2[s1]</f>
        <v>3.1250000000000004</v>
      </c>
      <c r="D9" s="6">
        <f>Table1[[#This Row],[ratio]]*Table2[s2]</f>
        <v>6.2500000000000009</v>
      </c>
      <c r="E9" s="6">
        <f>Table1[[#This Row],[ratio]]*Table2[s3]</f>
        <v>12.500000000000002</v>
      </c>
      <c r="F9" s="6">
        <f>Table1[[#This Row],[ratio]]*Table2[s4]</f>
        <v>25.000000000000004</v>
      </c>
      <c r="G9" s="1">
        <f>Table1[[#This Row],[speed1]]*Table4[idle]/Table4[rated]</f>
        <v>1.3392857142857144</v>
      </c>
      <c r="H9" s="1">
        <f>Table1[[#This Row],[speed4]]*Table4[idle]/Table4[rated]</f>
        <v>10.714285714285715</v>
      </c>
      <c r="I9" s="5">
        <f>Table4[rated]/(Table1[[#This Row],[speed1]]/3.6 * 60 / (1*2*PI()))</f>
        <v>253.33803158548085</v>
      </c>
      <c r="J9" s="5">
        <f>Table4[rated]/(Table1[[#This Row],[speed4]]/3.6 * 60 / (1*2*PI()))</f>
        <v>31.667253948185106</v>
      </c>
      <c r="K9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ratio="0.666667" factor="0.88"/&gt; &lt;!-- 1.34 .. 25 --&gt;</v>
      </c>
      <c r="L9" t="str">
        <f>Table1[[#This Row],[xml]]</f>
        <v xml:space="preserve">        &lt;efficiency ratio="0.666667" factor="0.88"/&gt; &lt;!-- 1.34 .. 25 --&gt;</v>
      </c>
    </row>
    <row r="10" spans="1:14" x14ac:dyDescent="0.25">
      <c r="A10">
        <f>1-Table2[constF1]*Table2[range]</f>
        <v>0.83333333333333337</v>
      </c>
      <c r="B10">
        <f>Table2[minEff]+Table2[constF2]*(Table2[maxEff]-Table2[minEff])</f>
        <v>0.92999999999999994</v>
      </c>
      <c r="C10" s="6">
        <f>Table1[[#This Row],[ratio]]*Table2[s1]</f>
        <v>3.90625</v>
      </c>
      <c r="D10" s="6">
        <f>Table1[[#This Row],[ratio]]*Table2[s2]</f>
        <v>7.8125</v>
      </c>
      <c r="E10" s="6">
        <f>Table1[[#This Row],[ratio]]*Table2[s3]</f>
        <v>15.625</v>
      </c>
      <c r="F10" s="6">
        <f>Table1[[#This Row],[ratio]]*Table2[s4]</f>
        <v>31.25</v>
      </c>
      <c r="G10" s="1">
        <f>Table1[[#This Row],[speed1]]*Table4[idle]/Table4[rated]</f>
        <v>1.6741071428571428</v>
      </c>
      <c r="H10" s="1">
        <f>Table1[[#This Row],[speed4]]*Table4[idle]/Table4[rated]</f>
        <v>13.392857142857142</v>
      </c>
      <c r="I10" s="5">
        <f>Table4[rated]/(Table1[[#This Row],[speed1]]/3.6 * 60 / (1*2*PI()))</f>
        <v>202.67042526838472</v>
      </c>
      <c r="J10" s="5">
        <f>Table4[rated]/(Table1[[#This Row],[speed4]]/3.6 * 60 / (1*2*PI()))</f>
        <v>25.33380315854809</v>
      </c>
      <c r="K10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ratio="0.833333" factor="0.93"/&gt; &lt;!-- 1.67 .. 31.3 --&gt;</v>
      </c>
      <c r="L10" t="str">
        <f>Table1[[#This Row],[xml]]</f>
        <v xml:space="preserve">        &lt;efficiency ratio="0.833333" factor="0.93"/&gt; &lt;!-- 1.67 .. 31.3 --&gt;</v>
      </c>
    </row>
    <row r="11" spans="1:14" x14ac:dyDescent="0.25">
      <c r="A11">
        <v>1</v>
      </c>
      <c r="B11">
        <f>Table2[maxEff]</f>
        <v>0.98</v>
      </c>
      <c r="C11" s="6">
        <f>Table1[[#This Row],[ratio]]*Table2[s1]</f>
        <v>4.6875</v>
      </c>
      <c r="D11" s="6">
        <f>Table1[[#This Row],[ratio]]*Table2[s2]</f>
        <v>9.375</v>
      </c>
      <c r="E11" s="6">
        <f>Table1[[#This Row],[ratio]]*Table2[s3]</f>
        <v>18.75</v>
      </c>
      <c r="F11" s="6">
        <f>Table1[[#This Row],[ratio]]*Table2[s4]</f>
        <v>37.5</v>
      </c>
      <c r="G11" s="1">
        <f>Table1[[#This Row],[speed1]]*Table4[idle]/Table4[rated]</f>
        <v>2.0089285714285716</v>
      </c>
      <c r="H11" s="1">
        <f>Table1[[#This Row],[speed4]]*Table4[idle]/Table4[rated]</f>
        <v>16.071428571428573</v>
      </c>
      <c r="I11" s="5">
        <f>Table4[rated]/(Table1[[#This Row],[speed1]]/3.6 * 60 / (1*2*PI()))</f>
        <v>168.89202105698726</v>
      </c>
      <c r="J11" s="5">
        <f>Table4[rated]/(Table1[[#This Row],[speed4]]/3.6 * 60 / (1*2*PI()))</f>
        <v>21.111502632123408</v>
      </c>
      <c r="K11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ratio="1" factor="0.98"/&gt; &lt;!-- 2.01 .. 37.5 --&gt;</v>
      </c>
      <c r="L11" t="str">
        <f>Table1[[#This Row],[xml]]</f>
        <v xml:space="preserve">        &lt;efficiency ratio="1" factor="0.98"/&gt; &lt;!-- 2.01 .. 37.5 --&gt;</v>
      </c>
    </row>
    <row r="12" spans="1:14" x14ac:dyDescent="0.25">
      <c r="A12">
        <f>1+Table2[constF1]*Table2[range]</f>
        <v>1.1666666666666667</v>
      </c>
      <c r="B12">
        <f>Table2[minEff]+Table2[constF2]*(Table2[maxEff]-Table2[minEff])</f>
        <v>0.92999999999999994</v>
      </c>
      <c r="C12" s="6">
        <f>Table1[[#This Row],[ratio]]*Table2[s1]</f>
        <v>5.46875</v>
      </c>
      <c r="D12" s="6">
        <f>Table1[[#This Row],[ratio]]*Table2[s2]</f>
        <v>10.9375</v>
      </c>
      <c r="E12" s="6">
        <f>Table1[[#This Row],[ratio]]*Table2[s3]</f>
        <v>21.875</v>
      </c>
      <c r="F12" s="6">
        <f>Table1[[#This Row],[ratio]]*Table2[s4]</f>
        <v>43.75</v>
      </c>
      <c r="G12" s="1">
        <f>Table1[[#This Row],[speed1]]*Table4[idle]/Table4[rated]</f>
        <v>2.34375</v>
      </c>
      <c r="H12" s="1">
        <f>Table1[[#This Row],[speed4]]*Table4[idle]/Table4[rated]</f>
        <v>18.75</v>
      </c>
      <c r="I12" s="5">
        <f>Table4[rated]/(Table1[[#This Row],[speed1]]/3.6 * 60 / (1*2*PI()))</f>
        <v>144.76458947741767</v>
      </c>
      <c r="J12" s="5">
        <f>Table4[rated]/(Table1[[#This Row],[speed4]]/3.6 * 60 / (1*2*PI()))</f>
        <v>18.095573684677209</v>
      </c>
      <c r="K12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ratio="1.166667" factor="0.93"/&gt; &lt;!-- 2.34 .. 43.8 --&gt;</v>
      </c>
      <c r="L12" t="str">
        <f>Table1[[#This Row],[xml]]</f>
        <v xml:space="preserve">        &lt;efficiency ratio="1.166667" factor="0.93"/&gt; &lt;!-- 2.34 .. 43.8 --&gt;</v>
      </c>
    </row>
    <row r="13" spans="1:14" x14ac:dyDescent="0.25">
      <c r="A13">
        <f>1+Table2[range]</f>
        <v>1.3333333333333333</v>
      </c>
      <c r="B13">
        <f>Table2[minEff]</f>
        <v>0.88</v>
      </c>
      <c r="C13" s="6">
        <f>Table1[[#This Row],[ratio]]*Table2[s1]</f>
        <v>6.25</v>
      </c>
      <c r="D13" s="6">
        <f>Table1[[#This Row],[ratio]]*Table2[s2]</f>
        <v>12.5</v>
      </c>
      <c r="E13" s="6">
        <f>Table1[[#This Row],[ratio]]*Table2[s3]</f>
        <v>25</v>
      </c>
      <c r="F13" s="6">
        <f>Table1[[#This Row],[ratio]]*Table2[s4]</f>
        <v>50</v>
      </c>
      <c r="G13" s="1">
        <f>Table1[[#This Row],[speed1]]*Table4[idle]/Table4[rated]</f>
        <v>2.6785714285714284</v>
      </c>
      <c r="H13" s="1">
        <f>Table1[[#This Row],[speed4]]*Table4[idle]/Table4[rated]</f>
        <v>21.428571428571427</v>
      </c>
      <c r="I13" s="5">
        <f>Table4[rated]/(Table1[[#This Row],[speed1]]/3.6 * 60 / (1*2*PI()))</f>
        <v>126.66901579274045</v>
      </c>
      <c r="J13" s="5">
        <f>Table4[rated]/(Table1[[#This Row],[speed4]]/3.6 * 60 / (1*2*PI()))</f>
        <v>15.833626974092557</v>
      </c>
      <c r="K13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ratio="1.333333" factor="0.88"/&gt; &lt;!-- 2.68 .. 50 --&gt;</v>
      </c>
      <c r="L13" t="str">
        <f>Table1[[#This Row],[xml]]</f>
        <v xml:space="preserve">        &lt;efficiency ratio="1.333333" factor="0.88"/&gt; &lt;!-- 2.68 .. 50 --&gt;</v>
      </c>
    </row>
    <row r="14" spans="1:14" x14ac:dyDescent="0.25">
      <c r="L14" t="s">
        <v>32</v>
      </c>
    </row>
    <row r="15" spans="1:14" x14ac:dyDescent="0.25">
      <c r="E15" t="s">
        <v>27</v>
      </c>
      <c r="F15" t="s">
        <v>28</v>
      </c>
      <c r="G15" t="s">
        <v>10</v>
      </c>
      <c r="H15" t="s">
        <v>36</v>
      </c>
      <c r="I15" t="s">
        <v>29</v>
      </c>
      <c r="J15" t="s">
        <v>30</v>
      </c>
      <c r="K15" t="s">
        <v>4</v>
      </c>
      <c r="L15" t="s">
        <v>33</v>
      </c>
    </row>
    <row r="16" spans="1:14" x14ac:dyDescent="0.25">
      <c r="E16" s="5">
        <v>1</v>
      </c>
      <c r="F16" s="6">
        <f>INDEX(Table2[],1,Table3[[#This Row],[gear]])</f>
        <v>4.6875</v>
      </c>
      <c r="G16" s="6">
        <f>$A$8*Table3[[#This Row],[speed]]*Table4[idle]/Table4[rated]</f>
        <v>5.000000000000001E-2</v>
      </c>
      <c r="H16" s="1">
        <f>$A$9*Table3[[#This Row],[speed]]*Table4[idle]/Table4[rated]</f>
        <v>1.3392857142857144</v>
      </c>
      <c r="I16" s="1">
        <f>$A$9*Table3[[#This Row],[speed]]</f>
        <v>3.1250000000000004</v>
      </c>
      <c r="J16" s="1">
        <f>$A$13*Table3[[#This Row],[speed]]</f>
        <v>6.25</v>
      </c>
      <c r="K16" t="str">
        <f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f>
        <v xml:space="preserve">        &lt;gear speed="4.69" name=""/&gt; &lt;!-- 0.05 1.34 3 6--&gt;</v>
      </c>
      <c r="L16" s="4" t="str">
        <f>Table3[[#This Row],[xml]]</f>
        <v xml:space="preserve">        &lt;gear speed="4.69" name=""/&gt; &lt;!-- 0.05 1.34 3 6--&gt;</v>
      </c>
    </row>
    <row r="17" spans="1:12" x14ac:dyDescent="0.25">
      <c r="E17" s="5">
        <v>2</v>
      </c>
      <c r="F17" s="6">
        <f>INDEX(Table2[],1,Table3[[#This Row],[gear]])</f>
        <v>9.375</v>
      </c>
      <c r="G17" s="6">
        <f>$A$8*Table3[[#This Row],[speed]]*Table4[idle]/Table4[rated]</f>
        <v>0.10000000000000002</v>
      </c>
      <c r="H17" s="1">
        <f>$A$9*Table3[[#This Row],[speed]]*Table4[idle]/Table4[rated]</f>
        <v>2.6785714285714288</v>
      </c>
      <c r="I17" s="1">
        <f>$A$9*Table3[[#This Row],[speed]]</f>
        <v>6.2500000000000009</v>
      </c>
      <c r="J17" s="1">
        <f>$A$13*Table3[[#This Row],[speed]]</f>
        <v>12.5</v>
      </c>
      <c r="K17" t="str">
        <f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f>
        <v xml:space="preserve">        &lt;gear speed="9.38" name=""/&gt; &lt;!-- 0.1 2.68 6 13--&gt;</v>
      </c>
      <c r="L17" s="4" t="str">
        <f>Table3[[#This Row],[xml]]</f>
        <v xml:space="preserve">        &lt;gear speed="9.38" name=""/&gt; &lt;!-- 0.1 2.68 6 13--&gt;</v>
      </c>
    </row>
    <row r="18" spans="1:12" x14ac:dyDescent="0.25">
      <c r="E18" s="5">
        <v>3</v>
      </c>
      <c r="F18" s="6">
        <f>INDEX(Table2[],1,Table3[[#This Row],[gear]])</f>
        <v>18.75</v>
      </c>
      <c r="G18" s="6">
        <f>$A$8*Table3[[#This Row],[speed]]*Table4[idle]/Table4[rated]</f>
        <v>0.20000000000000004</v>
      </c>
      <c r="H18" s="1">
        <f>$A$9*Table3[[#This Row],[speed]]*Table4[idle]/Table4[rated]</f>
        <v>5.3571428571428577</v>
      </c>
      <c r="I18" s="1">
        <f>$A$9*Table3[[#This Row],[speed]]</f>
        <v>12.500000000000002</v>
      </c>
      <c r="J18" s="1">
        <f>$A$13*Table3[[#This Row],[speed]]</f>
        <v>25</v>
      </c>
      <c r="K18" t="str">
        <f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f>
        <v xml:space="preserve">        &lt;gear speed="18.75" name=""/&gt; &lt;!-- 0.2 5.36 13 25--&gt;</v>
      </c>
      <c r="L18" s="4" t="str">
        <f>Table3[[#This Row],[xml]]</f>
        <v xml:space="preserve">        &lt;gear speed="18.75" name=""/&gt; &lt;!-- 0.2 5.36 13 25--&gt;</v>
      </c>
    </row>
    <row r="19" spans="1:12" x14ac:dyDescent="0.25">
      <c r="E19" s="5">
        <v>4</v>
      </c>
      <c r="F19" s="6">
        <f>INDEX(Table2[],1,Table3[[#This Row],[gear]])</f>
        <v>37.5</v>
      </c>
      <c r="G19" s="6">
        <f>$A$8*Table3[[#This Row],[speed]]*Table4[idle]/Table4[rated]</f>
        <v>0.40000000000000008</v>
      </c>
      <c r="H19" s="1">
        <f>$A$9*Table3[[#This Row],[speed]]*Table4[idle]/Table4[rated]</f>
        <v>10.714285714285715</v>
      </c>
      <c r="I19" s="1">
        <f>$A$9*Table3[[#This Row],[speed]]</f>
        <v>25.000000000000004</v>
      </c>
      <c r="J19" s="1">
        <f>$A$13*Table3[[#This Row],[speed]]</f>
        <v>50</v>
      </c>
      <c r="K19" t="str">
        <f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f>
        <v xml:space="preserve">        &lt;gear speed="37.5" name=""/&gt; &lt;!-- 0.4 10.71 25 50--&gt;</v>
      </c>
      <c r="L19" s="4" t="str">
        <f>Table3[[#This Row],[xml]]</f>
        <v xml:space="preserve">        &lt;gear speed="37.5" name=""/&gt; &lt;!-- 0.4 10.71 25 50--&gt;</v>
      </c>
    </row>
    <row r="20" spans="1:12" x14ac:dyDescent="0.25">
      <c r="L20" t="s">
        <v>34</v>
      </c>
    </row>
    <row r="21" spans="1:12" x14ac:dyDescent="0.25">
      <c r="L21" t="s">
        <v>43</v>
      </c>
    </row>
    <row r="23" spans="1:12" x14ac:dyDescent="0.25">
      <c r="A23" t="s">
        <v>41</v>
      </c>
      <c r="B23" t="s">
        <v>42</v>
      </c>
    </row>
    <row r="24" spans="1:12" x14ac:dyDescent="0.25">
      <c r="A24" s="11">
        <f>C8</f>
        <v>0.11666666666666668</v>
      </c>
      <c r="B24">
        <f>B8</f>
        <v>0.68</v>
      </c>
    </row>
    <row r="25" spans="1:12" x14ac:dyDescent="0.25">
      <c r="A25" s="11">
        <f t="shared" ref="A25:A29" si="0">C9</f>
        <v>3.1250000000000004</v>
      </c>
      <c r="B25">
        <f t="shared" ref="B25:B29" si="1">B9</f>
        <v>0.88</v>
      </c>
    </row>
    <row r="26" spans="1:12" x14ac:dyDescent="0.25">
      <c r="A26" s="11">
        <f t="shared" si="0"/>
        <v>3.90625</v>
      </c>
      <c r="B26">
        <f t="shared" si="1"/>
        <v>0.92999999999999994</v>
      </c>
    </row>
    <row r="27" spans="1:12" x14ac:dyDescent="0.25">
      <c r="A27" s="11">
        <f t="shared" si="0"/>
        <v>4.6875</v>
      </c>
      <c r="B27">
        <f t="shared" si="1"/>
        <v>0.98</v>
      </c>
    </row>
    <row r="28" spans="1:12" x14ac:dyDescent="0.25">
      <c r="A28" s="11">
        <f t="shared" si="0"/>
        <v>5.46875</v>
      </c>
      <c r="B28">
        <f t="shared" si="1"/>
        <v>0.92999999999999994</v>
      </c>
    </row>
    <row r="29" spans="1:12" x14ac:dyDescent="0.25">
      <c r="A29" s="11">
        <f t="shared" si="0"/>
        <v>6.25</v>
      </c>
      <c r="B29">
        <f t="shared" si="1"/>
        <v>0.88</v>
      </c>
    </row>
    <row r="30" spans="1:12" x14ac:dyDescent="0.25">
      <c r="A30" s="6">
        <f t="shared" ref="A30:A34" si="2">D9</f>
        <v>6.2500000000000009</v>
      </c>
      <c r="B30">
        <f t="shared" ref="B30:B34" si="3">B9</f>
        <v>0.88</v>
      </c>
    </row>
    <row r="31" spans="1:12" x14ac:dyDescent="0.25">
      <c r="A31" s="6">
        <f t="shared" si="2"/>
        <v>7.8125</v>
      </c>
      <c r="B31">
        <f t="shared" si="3"/>
        <v>0.92999999999999994</v>
      </c>
    </row>
    <row r="32" spans="1:12" x14ac:dyDescent="0.25">
      <c r="A32" s="6">
        <f t="shared" si="2"/>
        <v>9.375</v>
      </c>
      <c r="B32">
        <f t="shared" si="3"/>
        <v>0.98</v>
      </c>
    </row>
    <row r="33" spans="1:2" x14ac:dyDescent="0.25">
      <c r="A33" s="6">
        <f t="shared" si="2"/>
        <v>10.9375</v>
      </c>
      <c r="B33">
        <f t="shared" si="3"/>
        <v>0.92999999999999994</v>
      </c>
    </row>
    <row r="34" spans="1:2" x14ac:dyDescent="0.25">
      <c r="A34" s="6">
        <f t="shared" si="2"/>
        <v>12.5</v>
      </c>
      <c r="B34">
        <f t="shared" si="3"/>
        <v>0.88</v>
      </c>
    </row>
    <row r="35" spans="1:2" x14ac:dyDescent="0.25">
      <c r="A35" s="6">
        <f t="shared" ref="A35:A39" si="4">E9</f>
        <v>12.500000000000002</v>
      </c>
      <c r="B35">
        <f t="shared" ref="B35:B39" si="5">B9</f>
        <v>0.88</v>
      </c>
    </row>
    <row r="36" spans="1:2" x14ac:dyDescent="0.25">
      <c r="A36" s="6">
        <f t="shared" si="4"/>
        <v>15.625</v>
      </c>
      <c r="B36">
        <f t="shared" si="5"/>
        <v>0.92999999999999994</v>
      </c>
    </row>
    <row r="37" spans="1:2" x14ac:dyDescent="0.25">
      <c r="A37" s="6">
        <f t="shared" si="4"/>
        <v>18.75</v>
      </c>
      <c r="B37">
        <f t="shared" si="5"/>
        <v>0.98</v>
      </c>
    </row>
    <row r="38" spans="1:2" x14ac:dyDescent="0.25">
      <c r="A38" s="6">
        <f t="shared" si="4"/>
        <v>21.875</v>
      </c>
      <c r="B38">
        <f t="shared" si="5"/>
        <v>0.92999999999999994</v>
      </c>
    </row>
    <row r="39" spans="1:2" x14ac:dyDescent="0.25">
      <c r="A39" s="6">
        <f t="shared" si="4"/>
        <v>25</v>
      </c>
      <c r="B39">
        <f t="shared" si="5"/>
        <v>0.88</v>
      </c>
    </row>
    <row r="40" spans="1:2" x14ac:dyDescent="0.25">
      <c r="A40" s="6">
        <f>F9</f>
        <v>25.000000000000004</v>
      </c>
      <c r="B40">
        <f t="shared" ref="B40:B44" si="6">B9</f>
        <v>0.88</v>
      </c>
    </row>
    <row r="41" spans="1:2" x14ac:dyDescent="0.25">
      <c r="A41" s="6">
        <f>F10</f>
        <v>31.25</v>
      </c>
      <c r="B41">
        <f t="shared" si="6"/>
        <v>0.92999999999999994</v>
      </c>
    </row>
    <row r="42" spans="1:2" x14ac:dyDescent="0.25">
      <c r="A42" s="6">
        <f>F11</f>
        <v>37.5</v>
      </c>
      <c r="B42">
        <f t="shared" si="6"/>
        <v>0.98</v>
      </c>
    </row>
    <row r="43" spans="1:2" x14ac:dyDescent="0.25">
      <c r="A43" s="6">
        <f>F12</f>
        <v>43.75</v>
      </c>
      <c r="B43">
        <f t="shared" si="6"/>
        <v>0.92999999999999994</v>
      </c>
    </row>
    <row r="44" spans="1:2" x14ac:dyDescent="0.25">
      <c r="A44" s="6">
        <f>F13</f>
        <v>50</v>
      </c>
      <c r="B44">
        <f t="shared" si="6"/>
        <v>0.88</v>
      </c>
    </row>
    <row r="45" spans="1:2" x14ac:dyDescent="0.25">
      <c r="A45" s="6"/>
    </row>
    <row r="46" spans="1:2" x14ac:dyDescent="0.25">
      <c r="A46" s="6"/>
    </row>
  </sheetData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2015-03-13T15:51:50Z</dcterms:created>
  <dcterms:modified xsi:type="dcterms:W3CDTF">2016-02-03T17:53:16Z</dcterms:modified>
</cp:coreProperties>
</file>