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4735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J2" i="3" l="1"/>
  <c r="F2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K7" i="3" s="1"/>
  <c r="O4" i="3"/>
  <c r="P4" i="3"/>
  <c r="H4" i="3" s="1"/>
  <c r="L7" i="3" l="1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D27" i="3" s="1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D26" i="3" s="1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D20" i="3" s="1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5" i="3" l="1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Q62" i="3"/>
  <c r="B62" i="3" s="1"/>
  <c r="F62" i="3" s="1"/>
  <c r="Q55" i="3"/>
  <c r="Q56" i="3"/>
  <c r="Q59" i="3"/>
  <c r="B59" i="3" s="1"/>
  <c r="Q60" i="3"/>
  <c r="Q57" i="3"/>
  <c r="B57" i="3" s="1"/>
  <c r="F57" i="3" s="1"/>
  <c r="Q61" i="3"/>
  <c r="F59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Y52" i="3" s="1"/>
  <c r="P45" i="3"/>
  <c r="P49" i="3"/>
  <c r="P53" i="3"/>
  <c r="P46" i="3"/>
  <c r="P50" i="3"/>
  <c r="P54" i="3"/>
  <c r="P44" i="3"/>
  <c r="P52" i="3"/>
  <c r="P47" i="3"/>
  <c r="P51" i="3"/>
  <c r="F51" i="3" s="1"/>
  <c r="Y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B26" i="3" s="1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D16" i="3" l="1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B56" i="3"/>
  <c r="F56" i="3" s="1"/>
  <c r="B55" i="3"/>
  <c r="F55" i="3" s="1"/>
  <c r="B60" i="3"/>
  <c r="F60" i="3" s="1"/>
  <c r="B61" i="3"/>
  <c r="F61" i="3" s="1"/>
  <c r="B53" i="3"/>
  <c r="F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Y44" i="3" s="1"/>
  <c r="O48" i="3"/>
  <c r="F48" i="3" s="1"/>
  <c r="Y48" i="3" s="1"/>
  <c r="O52" i="3"/>
  <c r="O51" i="3"/>
  <c r="O45" i="3"/>
  <c r="F45" i="3" s="1"/>
  <c r="Y45" i="3" s="1"/>
  <c r="O49" i="3"/>
  <c r="F49" i="3" s="1"/>
  <c r="Y49" i="3" s="1"/>
  <c r="O53" i="3"/>
  <c r="O43" i="3"/>
  <c r="F43" i="3" s="1"/>
  <c r="Y43" i="3" s="1"/>
  <c r="O46" i="3"/>
  <c r="F46" i="3" s="1"/>
  <c r="Y46" i="3" s="1"/>
  <c r="O50" i="3"/>
  <c r="F50" i="3" s="1"/>
  <c r="Y50" i="3" s="1"/>
  <c r="O54" i="3"/>
  <c r="O47" i="3"/>
  <c r="F47" i="3" s="1"/>
  <c r="Y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O31" i="3"/>
  <c r="F31" i="3" s="1"/>
  <c r="O35" i="3"/>
  <c r="F35" i="3" s="1"/>
  <c r="O39" i="3"/>
  <c r="F39" i="3" s="1"/>
  <c r="Y39" i="3" s="1"/>
  <c r="O8" i="3"/>
  <c r="O12" i="3"/>
  <c r="O16" i="3"/>
  <c r="O20" i="3"/>
  <c r="B20" i="3" s="1"/>
  <c r="O24" i="3"/>
  <c r="O28" i="3"/>
  <c r="F28" i="3" s="1"/>
  <c r="O32" i="3"/>
  <c r="F32" i="3" s="1"/>
  <c r="O36" i="3"/>
  <c r="F36" i="3" s="1"/>
  <c r="O40" i="3"/>
  <c r="F40" i="3" s="1"/>
  <c r="Y40" i="3" s="1"/>
  <c r="O9" i="3"/>
  <c r="O13" i="3"/>
  <c r="O17" i="3"/>
  <c r="O21" i="3"/>
  <c r="B21" i="3" s="1"/>
  <c r="O25" i="3"/>
  <c r="O29" i="3"/>
  <c r="F29" i="3" s="1"/>
  <c r="O33" i="3"/>
  <c r="F33" i="3" s="1"/>
  <c r="O37" i="3"/>
  <c r="F37" i="3" s="1"/>
  <c r="O41" i="3"/>
  <c r="F41" i="3" s="1"/>
  <c r="Y41" i="3" s="1"/>
  <c r="O22" i="3"/>
  <c r="O38" i="3"/>
  <c r="F38" i="3" s="1"/>
  <c r="O34" i="3"/>
  <c r="F34" i="3" s="1"/>
  <c r="O10" i="3"/>
  <c r="O26" i="3"/>
  <c r="F26" i="3" s="1"/>
  <c r="O42" i="3"/>
  <c r="F42" i="3" s="1"/>
  <c r="Y42" i="3" s="1"/>
  <c r="O14" i="3"/>
  <c r="O30" i="3"/>
  <c r="F30" i="3" s="1"/>
  <c r="O18" i="3"/>
  <c r="I18" i="3"/>
  <c r="I19" i="3"/>
  <c r="I17" i="3"/>
  <c r="G12" i="3"/>
  <c r="F12" i="3"/>
  <c r="F13" i="3"/>
  <c r="D22" i="1"/>
  <c r="B25" i="3" l="1"/>
  <c r="F25" i="3" s="1"/>
  <c r="Y38" i="3"/>
  <c r="B10" i="3"/>
  <c r="F10" i="3" s="1"/>
  <c r="H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26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H25" i="3" l="1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K22" i="3"/>
  <c r="K9" i="3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14" i="3" l="1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<sst xmlns="http://schemas.openxmlformats.org/spreadsheetml/2006/main" count="103" uniqueCount="81">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</sst>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0" borderId="1" xfId="0" applyFont="1" applyBorder="1"/>
    <xf numFmtId="0" fontId="5" fillId="0" borderId="2" xfId="0" applyFont="1" applyBorder="1"/>
    <xf numFmtId="0" fontId="5" fillId="3" borderId="3" xfId="0" applyFont="1" applyFill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12" xfId="0" applyBorder="1"/>
    <xf numFmtId="0" fontId="0" fillId="0" borderId="6" xfId="0" applyBorder="1"/>
    <xf numFmtId="9" fontId="0" fillId="0" borderId="7" xfId="1" applyFont="1" applyBorder="1"/>
    <xf numFmtId="0" fontId="0" fillId="0" borderId="8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5" fillId="0" borderId="12" xfId="0" applyFont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</cellXfs>
  <cellStyles count="2">
    <cellStyle name="Normal" xfId="0" builtinId="0"/>
    <cellStyle name="Percent" xfId="1" builtinId="5"/>
  </cellStyles>
  <dxfs count="88"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100.3074074074074</c:v>
                </c:pt>
                <c:pt idx="2">
                  <c:v>148.39999999999998</c:v>
                </c:pt>
                <c:pt idx="3">
                  <c:v>173.52592592592592</c:v>
                </c:pt>
                <c:pt idx="4">
                  <c:v>183.73333333333335</c:v>
                </c:pt>
                <c:pt idx="5">
                  <c:v>192.37037037037038</c:v>
                </c:pt>
                <c:pt idx="6">
                  <c:v>199.43703703703704</c:v>
                </c:pt>
                <c:pt idx="7">
                  <c:v>204.93333333333334</c:v>
                </c:pt>
                <c:pt idx="8">
                  <c:v>208.85925925925926</c:v>
                </c:pt>
                <c:pt idx="9">
                  <c:v>211.21481481481482</c:v>
                </c:pt>
                <c:pt idx="10">
                  <c:v>212</c:v>
                </c:pt>
                <c:pt idx="11">
                  <c:v>211.46989858791872</c:v>
                </c:pt>
                <c:pt idx="12">
                  <c:v>209.87959435167494</c:v>
                </c:pt>
                <c:pt idx="13">
                  <c:v>208.68686617449208</c:v>
                </c:pt>
                <c:pt idx="14">
                  <c:v>207.22908729126863</c:v>
                </c:pt>
                <c:pt idx="15">
                  <c:v>205.50625770200449</c:v>
                </c:pt>
                <c:pt idx="16">
                  <c:v>203.51837740669976</c:v>
                </c:pt>
                <c:pt idx="17">
                  <c:v>201.26544640535437</c:v>
                </c:pt>
                <c:pt idx="18">
                  <c:v>198.74746469796835</c:v>
                </c:pt>
                <c:pt idx="19">
                  <c:v>195.96443228454172</c:v>
                </c:pt>
                <c:pt idx="20">
                  <c:v>188.06276810636146</c:v>
                </c:pt>
                <c:pt idx="21">
                  <c:v>164.35777557182067</c:v>
                </c:pt>
                <c:pt idx="22">
                  <c:v>124.84945468091937</c:v>
                </c:pt>
                <c:pt idx="23">
                  <c:v>69.537805433657553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100.3074074074074</c:v>
                </c:pt>
                <c:pt idx="2">
                  <c:v>148.39999999999998</c:v>
                </c:pt>
                <c:pt idx="3">
                  <c:v>173.52592592592592</c:v>
                </c:pt>
                <c:pt idx="4">
                  <c:v>183.73333333333335</c:v>
                </c:pt>
                <c:pt idx="5">
                  <c:v>192.37037037037038</c:v>
                </c:pt>
                <c:pt idx="6">
                  <c:v>199.43703703703704</c:v>
                </c:pt>
                <c:pt idx="7">
                  <c:v>204.93333333333334</c:v>
                </c:pt>
                <c:pt idx="8">
                  <c:v>208.85925925925926</c:v>
                </c:pt>
                <c:pt idx="9">
                  <c:v>211.21481481481482</c:v>
                </c:pt>
                <c:pt idx="10">
                  <c:v>212</c:v>
                </c:pt>
                <c:pt idx="11">
                  <c:v>211.46989858791872</c:v>
                </c:pt>
                <c:pt idx="12">
                  <c:v>209.87959435167494</c:v>
                </c:pt>
                <c:pt idx="13">
                  <c:v>208.68686617449208</c:v>
                </c:pt>
                <c:pt idx="14">
                  <c:v>207.22908729126863</c:v>
                </c:pt>
                <c:pt idx="15">
                  <c:v>205.50625770200449</c:v>
                </c:pt>
                <c:pt idx="16">
                  <c:v>203.51837740669976</c:v>
                </c:pt>
                <c:pt idx="17">
                  <c:v>201.26544640535437</c:v>
                </c:pt>
                <c:pt idx="18">
                  <c:v>198.74746469796835</c:v>
                </c:pt>
                <c:pt idx="19">
                  <c:v>195.96443228454172</c:v>
                </c:pt>
                <c:pt idx="20">
                  <c:v>188.06276810636146</c:v>
                </c:pt>
                <c:pt idx="21">
                  <c:v>164.35777557182067</c:v>
                </c:pt>
                <c:pt idx="22">
                  <c:v>124.84945468091937</c:v>
                </c:pt>
                <c:pt idx="23">
                  <c:v>69.537805433657553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4.9996152802016676</c:v>
                </c:pt>
                <c:pt idx="2">
                  <c:v>14.793382198952878</c:v>
                </c:pt>
                <c:pt idx="3">
                  <c:v>22.240390924956369</c:v>
                </c:pt>
                <c:pt idx="4">
                  <c:v>26.165165794066318</c:v>
                </c:pt>
                <c:pt idx="5">
                  <c:v>30.134667442311425</c:v>
                </c:pt>
                <c:pt idx="6">
                  <c:v>34.081805700988951</c:v>
                </c:pt>
                <c:pt idx="7">
                  <c:v>37.939490401396164</c:v>
                </c:pt>
                <c:pt idx="8">
                  <c:v>41.640631374830335</c:v>
                </c:pt>
                <c:pt idx="9">
                  <c:v>45.118138452588717</c:v>
                </c:pt>
                <c:pt idx="10">
                  <c:v>48.304921465968583</c:v>
                </c:pt>
                <c:pt idx="11">
                  <c:v>51.195644558666814</c:v>
                </c:pt>
                <c:pt idx="12">
                  <c:v>53.79950230082725</c:v>
                </c:pt>
                <c:pt idx="13">
                  <c:v>54.979702125133201</c:v>
                </c:pt>
                <c:pt idx="14">
                  <c:v>56.071200163417608</c:v>
                </c:pt>
                <c:pt idx="15">
                  <c:v>57.068334599551406</c:v>
                </c:pt>
                <c:pt idx="16">
                  <c:v>57.965443617405576</c:v>
                </c:pt>
                <c:pt idx="17">
                  <c:v>58.75686540085109</c:v>
                </c:pt>
                <c:pt idx="18">
                  <c:v>59.436938133758908</c:v>
                </c:pt>
                <c:pt idx="19">
                  <c:v>60</c:v>
                </c:pt>
                <c:pt idx="20" formatCode="0">
                  <c:v>58.919769861176277</c:v>
                </c:pt>
                <c:pt idx="21" formatCode="0">
                  <c:v>52.663329136101702</c:v>
                </c:pt>
                <c:pt idx="22" formatCode="0">
                  <c:v>40.893098873499035</c:v>
                </c:pt>
                <c:pt idx="23" formatCode="0">
                  <c:v>23.271500122091055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4.9996152802016676</c:v>
                </c:pt>
                <c:pt idx="2">
                  <c:v>14.793382198952878</c:v>
                </c:pt>
                <c:pt idx="3">
                  <c:v>22.240390924956369</c:v>
                </c:pt>
                <c:pt idx="4">
                  <c:v>26.165165794066318</c:v>
                </c:pt>
                <c:pt idx="5">
                  <c:v>30.134667442311425</c:v>
                </c:pt>
                <c:pt idx="6">
                  <c:v>34.081805700988951</c:v>
                </c:pt>
                <c:pt idx="7">
                  <c:v>37.939490401396164</c:v>
                </c:pt>
                <c:pt idx="8">
                  <c:v>41.640631374830335</c:v>
                </c:pt>
                <c:pt idx="9">
                  <c:v>45.118138452588717</c:v>
                </c:pt>
                <c:pt idx="10">
                  <c:v>48.304921465968583</c:v>
                </c:pt>
                <c:pt idx="11">
                  <c:v>51.195644558666814</c:v>
                </c:pt>
                <c:pt idx="12">
                  <c:v>53.79950230082725</c:v>
                </c:pt>
                <c:pt idx="13">
                  <c:v>54.979702125133201</c:v>
                </c:pt>
                <c:pt idx="14">
                  <c:v>56.071200163417608</c:v>
                </c:pt>
                <c:pt idx="15">
                  <c:v>57.068334599551406</c:v>
                </c:pt>
                <c:pt idx="16">
                  <c:v>57.965443617405576</c:v>
                </c:pt>
                <c:pt idx="17">
                  <c:v>58.75686540085109</c:v>
                </c:pt>
                <c:pt idx="18">
                  <c:v>59.436938133758908</c:v>
                </c:pt>
                <c:pt idx="19">
                  <c:v>60</c:v>
                </c:pt>
                <c:pt idx="20" formatCode="0">
                  <c:v>58.919769861176277</c:v>
                </c:pt>
                <c:pt idx="21" formatCode="0">
                  <c:v>52.663329136101702</c:v>
                </c:pt>
                <c:pt idx="22" formatCode="0">
                  <c:v>40.893098873499035</c:v>
                </c:pt>
                <c:pt idx="23" formatCode="0">
                  <c:v>23.271500122091055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255.45699564011088</c:v>
                </c:pt>
                <c:pt idx="1">
                  <c:v>233.99643281807369</c:v>
                </c:pt>
                <c:pt idx="2">
                  <c:v>219.33333333333331</c:v>
                </c:pt>
                <c:pt idx="3">
                  <c:v>214.00634165675783</c:v>
                </c:pt>
                <c:pt idx="4">
                  <c:v>212.175188267935</c:v>
                </c:pt>
                <c:pt idx="5">
                  <c:v>210.89892984542212</c:v>
                </c:pt>
                <c:pt idx="6">
                  <c:v>210.17756638921918</c:v>
                </c:pt>
                <c:pt idx="7">
                  <c:v>210.01233099925133</c:v>
                </c:pt>
                <c:pt idx="8">
                  <c:v>210.44391597304795</c:v>
                </c:pt>
                <c:pt idx="9">
                  <c:v>211.4920509094112</c:v>
                </c:pt>
                <c:pt idx="10">
                  <c:v>213.15673580834104</c:v>
                </c:pt>
                <c:pt idx="11">
                  <c:v>215.43797066983748</c:v>
                </c:pt>
                <c:pt idx="12">
                  <c:v>218.33575549390056</c:v>
                </c:pt>
                <c:pt idx="13">
                  <c:v>220.01585414189455</c:v>
                </c:pt>
                <c:pt idx="14">
                  <c:v>221.85009028053022</c:v>
                </c:pt>
                <c:pt idx="15">
                  <c:v>223.83846390980753</c:v>
                </c:pt>
                <c:pt idx="16">
                  <c:v>225.98097502972649</c:v>
                </c:pt>
                <c:pt idx="17">
                  <c:v>228.27762364028712</c:v>
                </c:pt>
                <c:pt idx="18">
                  <c:v>230.7284097414894</c:v>
                </c:pt>
                <c:pt idx="19">
                  <c:v>233.33333333333331</c:v>
                </c:pt>
                <c:pt idx="20">
                  <c:v>237.54936076923158</c:v>
                </c:pt>
                <c:pt idx="21">
                  <c:v>257.18278605007094</c:v>
                </c:pt>
                <c:pt idx="22">
                  <c:v>299.05469685905462</c:v>
                </c:pt>
                <c:pt idx="23">
                  <c:v>368.24621128207804</c:v>
                </c:pt>
                <c:pt idx="24">
                  <c:v>466.66666666666663</c:v>
                </c:pt>
                <c:pt idx="25">
                  <c:v>466.66666666666663</c:v>
                </c:pt>
                <c:pt idx="26">
                  <c:v>466.66666666666663</c:v>
                </c:pt>
                <c:pt idx="27">
                  <c:v>466.66666666666663</c:v>
                </c:pt>
                <c:pt idx="28">
                  <c:v>466.66666666666663</c:v>
                </c:pt>
                <c:pt idx="29">
                  <c:v>466.66666666666663</c:v>
                </c:pt>
                <c:pt idx="30">
                  <c:v>466.66666666666663</c:v>
                </c:pt>
                <c:pt idx="31">
                  <c:v>466.66666666666663</c:v>
                </c:pt>
                <c:pt idx="32">
                  <c:v>466.66666666666663</c:v>
                </c:pt>
                <c:pt idx="33">
                  <c:v>466.66666666666663</c:v>
                </c:pt>
                <c:pt idx="34">
                  <c:v>466.66666666666663</c:v>
                </c:pt>
                <c:pt idx="35">
                  <c:v>466.66666666666663</c:v>
                </c:pt>
                <c:pt idx="36">
                  <c:v>466.66666666666663</c:v>
                </c:pt>
                <c:pt idx="37">
                  <c:v>466.66666666666663</c:v>
                </c:pt>
                <c:pt idx="38">
                  <c:v>466.66666666666663</c:v>
                </c:pt>
                <c:pt idx="39">
                  <c:v>466.66666666666663</c:v>
                </c:pt>
                <c:pt idx="40">
                  <c:v>466.66666666666663</c:v>
                </c:pt>
                <c:pt idx="41">
                  <c:v>466.66666666666663</c:v>
                </c:pt>
                <c:pt idx="42">
                  <c:v>466.66666666666663</c:v>
                </c:pt>
                <c:pt idx="43">
                  <c:v>466.66666666666663</c:v>
                </c:pt>
                <c:pt idx="44">
                  <c:v>466.66666666666663</c:v>
                </c:pt>
                <c:pt idx="45">
                  <c:v>466.66666666666663</c:v>
                </c:pt>
                <c:pt idx="46">
                  <c:v>466.66666666666663</c:v>
                </c:pt>
                <c:pt idx="47">
                  <c:v>466.66666666666663</c:v>
                </c:pt>
                <c:pt idx="48">
                  <c:v>466.66666666666663</c:v>
                </c:pt>
                <c:pt idx="49">
                  <c:v>466.66666666666663</c:v>
                </c:pt>
                <c:pt idx="50">
                  <c:v>466.66666666666663</c:v>
                </c:pt>
                <c:pt idx="51">
                  <c:v>466.66666666666663</c:v>
                </c:pt>
                <c:pt idx="52">
                  <c:v>466.66666666666663</c:v>
                </c:pt>
                <c:pt idx="53">
                  <c:v>466.66666666666663</c:v>
                </c:pt>
                <c:pt idx="54">
                  <c:v>466.66666666666663</c:v>
                </c:pt>
                <c:pt idx="55">
                  <c:v>466.66666666666663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66676</xdr:rowOff>
    </xdr:from>
    <xdr:to>
      <xdr:col>65</xdr:col>
      <xdr:colOff>276226</xdr:colOff>
      <xdr:row>43</xdr:row>
      <xdr:rowOff>28576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87" dataDxfId="86">
  <tableColumns count="25">
    <tableColumn id="1" name="rpm" dataDxfId="85"/>
    <tableColumn id="7" name="rawData" dataDxfId="84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83"/>
    <tableColumn id="12" name="rawDataEco" dataDxfId="82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1"/>
    <tableColumn id="4" name="motor" dataDxfId="80">
      <calculatedColumnFormula>Table36[Factor]*IF(Table15[[#This Row],[manualData]]&gt;0,Table15[[#This Row],[manualData]],Table15[[#This Row],[rawData]])</calculatedColumnFormula>
    </tableColumn>
    <tableColumn id="14" name="motorEco" dataDxfId="79">
      <calculatedColumnFormula>Table36[Factor]*IF(Table15[[#This Row],[manDataEco]]&gt;0,Table15[[#This Row],[manDataEco]],Table15[[#This Row],[rawDataEco]])</calculatedColumnFormula>
    </tableColumn>
    <tableColumn id="3" name="ps" dataDxfId="78">
      <calculatedColumnFormula>1.36*Table15[[#This Row],[rpm]]*Table15[[#This Row],[motor]]/9550</calculatedColumnFormula>
    </tableColumn>
    <tableColumn id="13" name="psEco" dataDxfId="77">
      <calculatedColumnFormula>1.36*Table15[[#This Row],[rpm]]*Table15[[#This Row],[motorEco]]/9550</calculatedColumnFormula>
    </tableColumn>
    <tableColumn id="10" name="fuelUsageRatio" dataDxfId="76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75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74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73">
      <calculatedColumnFormula>(1-(1-Table15[[#This Row],[rpm]]/Table36[idleRpm])^2)*Table7[idleT]</calculatedColumnFormula>
    </tableColumn>
    <tableColumn id="18" name="t2" dataDxfId="72">
      <calculatedColumnFormula>MAX(0,(1-Table7[f1]*(Table36[maxTRpm1]-Table15[[#This Row],[rpm]])^2)*Table36[maxT])</calculatedColumnFormula>
    </tableColumn>
    <tableColumn id="19" name="t3" dataDxfId="71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0">
      <calculatedColumnFormula>MAX(0,(Table36[maxPS]-Table7[f4]*(Table15[[#This Row],[rpm]]-Table36[maxPRpm])^2)/1.36*9550/MAX(1,Table15[[#This Row],[rpm]]))</calculatedColumnFormula>
    </tableColumn>
    <tableColumn id="17" name="t5" dataDxfId="69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68">
      <calculatedColumnFormula>(1-(1-Table15[[#This Row],[rpm]]/Table36[idleRpm])^2)*Table7[idleTEco]</calculatedColumnFormula>
    </tableColumn>
    <tableColumn id="22" name="t2E" dataDxfId="67">
      <calculatedColumnFormula>MAX(0,(1-Table7[f1]*(Table36[maxTRpm1]-Table15[[#This Row],[rpm]])^2)*Table36[maxTEco])</calculatedColumnFormula>
    </tableColumn>
    <tableColumn id="23" name="t3E" dataDxfId="66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65">
      <calculatedColumnFormula>MAX(0,(Table36[maxPSEco]-Table7[f4Eco]*(Table15[[#This Row],[rpm]]-Table36[maxPRpm])^2)/1.36*9550/MAX(1,Table15[[#This Row],[rpm]]))</calculatedColumnFormula>
    </tableColumn>
    <tableColumn id="25" name="t5E" dataDxfId="64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63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62"/>
    <tableColumn id="20" name="deltaEco" dataDxfId="61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Z2" totalsRowShown="0" headerRowDxfId="60">
  <autoFilter ref="A1:Z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6">
    <tableColumn id="10" name="maxPRpm" dataDxfId="59"/>
    <tableColumn id="14" name="maxPS" dataDxfId="58"/>
    <tableColumn id="19" name="maxPSEco" dataDxfId="57">
      <calculatedColumnFormula>Table36[maxPS]*Table36[maxPsEcoRate]</calculatedColumnFormula>
    </tableColumn>
    <tableColumn id="2" name="ratedRpm"/>
    <tableColumn id="3" name="PS"/>
    <tableColumn id="20" name="PSEco" dataDxfId="56">
      <calculatedColumnFormula>Table36[PS]*Table36[PSEcoRate]</calculatedColumnFormula>
    </tableColumn>
    <tableColumn id="12" name="maxTRpm1" dataDxfId="55"/>
    <tableColumn id="4" name="maxTRpm" dataDxfId="54"/>
    <tableColumn id="5" name="maxT" dataDxfId="53"/>
    <tableColumn id="21" name="maxTEco" dataDxfId="52">
      <calculatedColumnFormula>Table36[maxT]*Table36[NmEcoRate]</calculatedColumnFormula>
    </tableColumn>
    <tableColumn id="6" name="idleRpm"/>
    <tableColumn id="7" name="idleRatio" dataCellStyle="Percent"/>
    <tableColumn id="11" name="fadeOut" dataDxfId="51"/>
    <tableColumn id="15" name="linearDown" dataDxfId="50"/>
    <tableColumn id="25" name="fadeOutExp" dataDxfId="49"/>
    <tableColumn id="22" name="Efficiency" dataDxfId="48"/>
    <tableColumn id="16" name="Factor" dataDxfId="47"/>
    <tableColumn id="13" name="fuelMinRate" dataDxfId="46"/>
    <tableColumn id="18" name="fuelRatedRate" dataDxfId="45">
      <calculatedColumnFormula>Table36[fuelMinRate]/0.9</calculatedColumnFormula>
    </tableColumn>
    <tableColumn id="9" name="fuelMinRpm" dataDxfId="44">
      <calculatedColumnFormula>ROUND(MIN(0.6*Table36[idleRpm]+0.4*Table36[ratedRpm],0.5*Table36[maxTRpm1]+0.5*Table36[maxTRpm]),-1)</calculatedColumnFormula>
    </tableColumn>
    <tableColumn id="17" name="fuelIdleRate" dataDxfId="43">
      <calculatedColumnFormula>0.94*Table36[fuelRatedRate]</calculatedColumnFormula>
    </tableColumn>
    <tableColumn id="1" name="normRpm" dataDxfId="42">
      <calculatedColumnFormula>ROUND(Table36[ratedRpm]+0.49*Table36[fadeOut],-2)</calculatedColumnFormula>
    </tableColumn>
    <tableColumn id="8" name="PSEcoRate" dataDxfId="41"/>
    <tableColumn id="23" name="NmEcoRate"/>
    <tableColumn id="24" name="maxPsEcoRate" dataDxfId="40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8" dataDxfId="37">
  <tableColumns count="23">
    <tableColumn id="1" name="f1" dataDxfId="36">
      <calculatedColumnFormula>(1-Table36[idleRatio])/((Table36[maxTRpm1]-Table36[idleRpm])^2)</calculatedColumnFormula>
    </tableColumn>
    <tableColumn id="2" name="f2" dataDxfId="35">
      <calculatedColumnFormula>(Table36[maxT]-Table7[Nm])/Table36[maxT]/(Table36[maxPRpm]-Table36[maxTRpm])</calculatedColumnFormula>
    </tableColumn>
    <tableColumn id="5" name="f3" dataDxfId="34">
      <calculatedColumnFormula>(Table36[maxT]-Table7[Nm])/Table36[maxT]/(Table36[maxPRpm]-Table36[maxTRpm])^2</calculatedColumnFormula>
    </tableColumn>
    <tableColumn id="6" name="f4" dataDxfId="33">
      <calculatedColumnFormula>(Table36[maxPS]-Table36[PS])/MAX(1,Table36[ratedRpm]-Table36[maxPRpm])^2</calculatedColumnFormula>
    </tableColumn>
    <tableColumn id="3" name="Nm" dataDxfId="32">
      <calculatedColumnFormula>Table36[maxPS]/1.36*9550/Table36[maxPRpm]</calculatedColumnFormula>
    </tableColumn>
    <tableColumn id="4" name="Nm2" dataDxfId="31">
      <calculatedColumnFormula>Table36[PS]/1.36*9550/Table36[ratedRpm]</calculatedColumnFormula>
    </tableColumn>
    <tableColumn id="7" name="Anfahrmoment" dataDxfId="30" dataCellStyle="Percent">
      <calculatedColumnFormula>Table7[Nm1000]/Table7[Nm2]</calculatedColumnFormula>
    </tableColumn>
    <tableColumn id="17" name="AnstiegE" dataDxfId="29" dataCellStyle="Percent">
      <calculatedColumnFormula>Table36[maxTEco]/Table7[Nm2Eco]-1</calculatedColumnFormula>
    </tableColumn>
    <tableColumn id="14" name="Anstieg" dataDxfId="28" dataCellStyle="Percent">
      <calculatedColumnFormula>Table36[maxT]/Table7[Nm2]-1</calculatedColumnFormula>
    </tableColumn>
    <tableColumn id="15" name="Abfall" dataDxfId="27" dataCellStyle="Percent">
      <calculatedColumnFormula>1-Table36[maxTRpm]/Table36[ratedRpm]</calculatedColumnFormula>
    </tableColumn>
    <tableColumn id="20" name="max kW" dataDxfId="26" dataCellStyle="Percent">
      <calculatedColumnFormula>Table36[maxPS]/1.36</calculatedColumnFormula>
    </tableColumn>
    <tableColumn id="18" name="rated kW" dataDxfId="25" dataCellStyle="Percent">
      <calculatedColumnFormula>Table36[PS]/1.36</calculatedColumnFormula>
    </tableColumn>
    <tableColumn id="23" name="max g/kWh" dataDxfId="24" dataCellStyle="Percent">
      <calculatedColumnFormula>Table36[fuelRatedRate]*1.1</calculatedColumnFormula>
    </tableColumn>
    <tableColumn id="16" name="Nm1000" dataDxfId="23" dataCellStyle="Percent">
      <calculatedColumnFormula>(1-Table7[f1]*(Table36[maxTRpm1]-1000)^2)*Table36[maxTEco]</calculatedColumnFormula>
    </tableColumn>
    <tableColumn id="8" name="NmEco" dataDxfId="22">
      <calculatedColumnFormula>Table36[maxPSEco]/1.36*9550/Table36[maxPRpm]</calculatedColumnFormula>
    </tableColumn>
    <tableColumn id="9" name="Nm2Eco" dataDxfId="21">
      <calculatedColumnFormula>Table36[PSEco]/1.36*9550/Table36[ratedRpm]</calculatedColumnFormula>
    </tableColumn>
    <tableColumn id="12" name="f2Eco" dataDxfId="20">
      <calculatedColumnFormula>(Table36[maxTEco]-Table7[NmEco])/Table36[maxTEco]/(Table36[maxPRpm]-Table36[maxTRpm])</calculatedColumnFormula>
    </tableColumn>
    <tableColumn id="10" name="f3Eco" dataDxfId="19">
      <calculatedColumnFormula>(Table36[maxTEco]-Table7[NmEco])/Table36[maxTEco]/(Table36[maxPRpm]-Table36[maxTRpm])^2</calculatedColumnFormula>
    </tableColumn>
    <tableColumn id="11" name="f4Eco" dataDxfId="18">
      <calculatedColumnFormula>(Table36[maxPSEco]-Table36[PSEco])/MAX(1,Table36[ratedRpm]-Table36[maxPRpm])^2</calculatedColumnFormula>
    </tableColumn>
    <tableColumn id="13" name="idleT" dataDxfId="17">
      <calculatedColumnFormula>(1-Table7[f1]*(Table36[maxTRpm1]-Table36[idleRpm])^2)*Table36[maxT]</calculatedColumnFormula>
    </tableColumn>
    <tableColumn id="19" name="idleTEco" dataDxfId="16">
      <calculatedColumnFormula>(1-Table7[f1]*(Table36[maxTRpm1]-Table36[idleRpm])^2)*Table36[maxTEco]</calculatedColumnFormula>
    </tableColumn>
    <tableColumn id="21" name="xmlComment" dataDxfId="15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4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3">
      <calculatedColumnFormula>A2*C2/9550</calculatedColumnFormula>
    </tableColumn>
    <tableColumn id="3" name="ps" dataDxfId="12">
      <calculatedColumnFormula>Table1[[#This Row],[kw_pto]]*1.36/0.94</calculatedColumnFormula>
    </tableColumn>
    <tableColumn id="4" name="motor"/>
    <tableColumn id="5" name="xml" dataDxfId="11">
      <calculatedColumnFormula>CONCATENATE("&lt;torque rpm=""",Table1[[#This Row],[rpm]],""" motorTorque=""",ROUND(Table1[[#This Row],[motor]],0),"""/&gt;")</calculatedColumnFormula>
    </tableColumn>
    <tableColumn id="8" name="xml2" dataDxfId="10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9" tableBorderDxfId="8">
  <tableColumns count="9">
    <tableColumn id="1" name="maxPRpm" dataDxfId="7"/>
    <tableColumn id="2" name="maxPS" dataDxfId="6"/>
    <tableColumn id="4" name="ratedRpm" dataDxfId="5"/>
    <tableColumn id="5" name="PS" dataDxfId="4"/>
    <tableColumn id="7" name="maxTRpm1" dataDxfId="3"/>
    <tableColumn id="8" name="maxTRpm" dataDxfId="2"/>
    <tableColumn id="9" name="maxT" dataDxfId="1"/>
    <tableColumn id="11" name="idleRpm" dataDxfId="0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62"/>
  <sheetViews>
    <sheetView tabSelected="1" workbookViewId="0">
      <selection activeCell="K7" sqref="K7:K31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6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  <c r="Z1" s="4" t="s">
        <v>74</v>
      </c>
    </row>
    <row r="2" spans="1:26" ht="15.75" thickBot="1" x14ac:dyDescent="0.3">
      <c r="A2" s="12">
        <v>2150</v>
      </c>
      <c r="B2" s="13">
        <v>60</v>
      </c>
      <c r="C2" s="17">
        <f>Table36[maxPS]*Table36[maxPsEcoRate]</f>
        <v>60</v>
      </c>
      <c r="D2" s="7">
        <v>2150</v>
      </c>
      <c r="E2" s="8">
        <v>60</v>
      </c>
      <c r="F2" s="18">
        <f>Table36[PS]*Table36[PSEcoRate]</f>
        <v>60</v>
      </c>
      <c r="G2" s="12">
        <v>1600</v>
      </c>
      <c r="H2" s="13">
        <v>1600</v>
      </c>
      <c r="I2" s="13">
        <v>212</v>
      </c>
      <c r="J2" s="17">
        <f>Table36[maxT]*Table36[NmEcoRate]</f>
        <v>212</v>
      </c>
      <c r="K2" s="27">
        <v>700</v>
      </c>
      <c r="L2" s="28">
        <v>0.7</v>
      </c>
      <c r="M2" s="29">
        <v>249</v>
      </c>
      <c r="N2" s="12">
        <v>0</v>
      </c>
      <c r="O2" s="13">
        <v>2</v>
      </c>
      <c r="P2" s="13">
        <v>0.98</v>
      </c>
      <c r="Q2" s="14">
        <v>1</v>
      </c>
      <c r="R2" s="26">
        <v>210</v>
      </c>
      <c r="S2" s="15">
        <f>Table36[fuelMinRate]/0.9</f>
        <v>233.33333333333331</v>
      </c>
      <c r="T2" s="16">
        <f>ROUND(MIN(0.6*Table36[idleRpm]+0.4*Table36[ratedRpm],0.5*Table36[maxTRpm1]+0.5*Table36[maxTRpm]),-1)</f>
        <v>1280</v>
      </c>
      <c r="U2" s="18">
        <f>0.94*Table36[fuelRatedRate]</f>
        <v>219.33333333333331</v>
      </c>
      <c r="V2" s="15">
        <f>ROUND(Table36[ratedRpm]+0.49*Table36[fadeOut],-2)</f>
        <v>2300</v>
      </c>
      <c r="W2" s="7">
        <v>1</v>
      </c>
      <c r="X2" s="9">
        <v>1</v>
      </c>
      <c r="Y2" s="35">
        <f>Table36[PSEcoRate]* (Table36[maxPRpm]-Table36[maxTRpm])/(Table36[ratedRpm]-Table36[maxTRpm]) + Table36[NmEcoRate]* (1- (Table36[maxPRpm]-Table36[maxTRpm])/(Table36[ratedRpm]-Table36[maxTRpm]))</f>
        <v>1</v>
      </c>
      <c r="Z2" s="26">
        <v>0.02</v>
      </c>
    </row>
    <row r="3" spans="1:26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69</v>
      </c>
      <c r="L3" s="23" t="s">
        <v>70</v>
      </c>
      <c r="M3" s="24" t="s">
        <v>71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  <c r="W3" s="36" t="s">
        <v>76</v>
      </c>
    </row>
    <row r="4" spans="1:26" ht="15.75" thickBot="1" x14ac:dyDescent="0.3">
      <c r="A4" s="11">
        <f>(1-Table36[idleRatio])/((Table36[maxTRpm1]-Table36[idleRpm])^2)</f>
        <v>3.7037037037037042E-7</v>
      </c>
      <c r="B4" s="11">
        <f>(Table36[maxT]-Table7[Nm])/Table36[maxT]/(Table36[maxPRpm]-Table36[maxTRpm])</f>
        <v>1.375263097380642E-4</v>
      </c>
      <c r="C4" s="11">
        <f>(Table36[maxT]-Table7[Nm])/Table36[maxT]/(Table36[maxPRpm]-Table36[maxTRpm])^2</f>
        <v>2.5004783588738944E-7</v>
      </c>
      <c r="D4" s="11">
        <f>(Table36[maxPS]-Table36[PS])/MAX(1,Table36[ratedRpm]-Table36[maxPRpm])^2</f>
        <v>0</v>
      </c>
      <c r="E4" s="11">
        <f>Table36[maxPS]/1.36*9550/Table36[maxPRpm]</f>
        <v>195.96443228454172</v>
      </c>
      <c r="F4" s="11">
        <f>Table36[PS]/1.36*9550/Table36[ratedRpm]</f>
        <v>195.96443228454172</v>
      </c>
      <c r="G4" s="21">
        <f>Table7[Nm1000]/Table7[Nm2]</f>
        <v>0.93758510762070979</v>
      </c>
      <c r="H4" s="34">
        <f>Table36[maxTEco]/Table7[Nm2Eco]-1</f>
        <v>8.1828970331588202E-2</v>
      </c>
      <c r="I4" s="34">
        <f>Table36[maxT]/Table7[Nm2]-1</f>
        <v>8.1828970331588202E-2</v>
      </c>
      <c r="J4" s="34">
        <f>1-Table36[maxTRpm]/Table36[ratedRpm]</f>
        <v>0.2558139534883721</v>
      </c>
      <c r="K4" s="30">
        <f>Table36[maxPS]/1.36</f>
        <v>44.117647058823529</v>
      </c>
      <c r="L4" s="31">
        <f>Table36[PS]/1.36</f>
        <v>44.117647058823529</v>
      </c>
      <c r="M4" s="32">
        <f>Table36[fuelRatedRate]*1.1</f>
        <v>256.66666666666669</v>
      </c>
      <c r="N4" s="11">
        <f>(1-Table7[f1]*(Table36[maxTRpm1]-1000)^2)*Table36[maxTEco]</f>
        <v>183.73333333333335</v>
      </c>
      <c r="O4" s="11">
        <f>Table36[maxPSEco]/1.36*9550/Table36[maxPRpm]</f>
        <v>195.96443228454172</v>
      </c>
      <c r="P4" s="11">
        <f>Table36[PSEco]/1.36*9550/Table36[ratedRpm]</f>
        <v>195.96443228454172</v>
      </c>
      <c r="Q4" s="11">
        <f>(Table36[maxTEco]-Table7[NmEco])/Table36[maxTEco]/(Table36[maxPRpm]-Table36[maxTRpm])</f>
        <v>1.375263097380642E-4</v>
      </c>
      <c r="R4" s="11">
        <f>(Table36[maxTEco]-Table7[NmEco])/Table36[maxTEco]/(Table36[maxPRpm]-Table36[maxTRpm])^2</f>
        <v>2.5004783588738944E-7</v>
      </c>
      <c r="S4" s="11">
        <f>(Table36[maxPSEco]-Table36[PSEco])/MAX(1,Table36[ratedRpm]-Table36[maxPRpm])^2</f>
        <v>0</v>
      </c>
      <c r="T4" s="11">
        <f>(1-Table7[f1]*(Table36[maxTRpm1]-Table36[idleRpm])^2)*Table36[maxT]</f>
        <v>148.39999999999998</v>
      </c>
      <c r="U4" s="11">
        <f>(1-Table7[f1]*(Table36[maxTRpm1]-Table36[idleRpm])^2)*Table36[maxTEco]</f>
        <v>148.39999999999998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&lt;!-- 2150: 60(60) | 2150: 60(60) | 1600..1600: 212(212) | 70 | 0 | 249 | 2 | 2300 | 1280: 210 --&gt;</v>
      </c>
      <c r="W4" s="36">
        <f>MAX(Table15[deltaEco])</f>
        <v>0</v>
      </c>
    </row>
    <row r="6" spans="1:26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6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5">
        <f>1.36*Table15[[#This Row],[rpm]]*Table15[[#This Row],[motor]]/9550</f>
        <v>0</v>
      </c>
      <c r="I7" s="25">
        <f>1.36*Table15[[#This Row],[rpm]]*Table15[[#This Row],[motorEco]]/9550</f>
        <v>0</v>
      </c>
      <c r="J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255.45699564011088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&lt;!-- 2150: 60(60) | 2150: 60(60) | 1600..1600: 212(212) | 70 | 0 | 249 | 2 | 2300 | 1280: 210 --&gt;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&lt;!-- 2150: 60(60) | 2150: 60(60) | 1600..1600: 212(212) | 70 | 0 | 249 | 2 | 2300 | 1280: 210 --&gt;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10.992592592592562</v>
      </c>
      <c r="O7" s="3">
        <f>MAX(0,(Table36[linearDown]*(1-Table7[f2]*(Table15[[#This Row],[rpm]]-Table36[maxTRpm]))+(1-Table36[linearDown])*(1-Table7[f3]*(Table15[[#This Row],[rpm]]-Table36[maxTRpm])^2))*Table36[maxT])</f>
        <v>76.294038507195992</v>
      </c>
      <c r="P7" s="3">
        <f>MAX(0,(Table36[maxPS]-Table7[f4]*(Table15[[#This Row],[rpm]]-Table36[maxPRpm])^2)/1.36*9550/MAX(1,Table15[[#This Row],[rpm]]))</f>
        <v>421323.5294117647</v>
      </c>
      <c r="Q7" s="3">
        <f>MAX(0,Table7[Nm2]*MIN(Table36[ratedRpm]/MAX(1,Table15[[#This Row],[rpm]]),1-(MAX(0,Table15[[#This Row],[rpm]]-Table36[ratedRpm])/Table36[fadeOut])^Table36[fadeOutExp]))</f>
        <v>195.96443228454172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10.992592592592562</v>
      </c>
      <c r="T7" s="3">
        <f>MAX(0,(Table36[linearDown]*(1-Table7[f2Eco]*(Table15[[#This Row],[rpm]]-Table36[maxTRpm]))+(1-Table36[linearDown])*(1-Table7[f3Eco]*(Table15[[#This Row],[rpm]]-Table36[maxTRpm])^2))*Table36[maxTEco])</f>
        <v>76.294038507195992</v>
      </c>
      <c r="U7" s="3">
        <f>MAX(0,(Table36[maxPSEco]-Table7[f4Eco]*(Table15[[#This Row],[rpm]]-Table36[maxPRpm])^2)/1.36*9550/MAX(1,Table15[[#This Row],[rpm]]))</f>
        <v>421323.5294117647</v>
      </c>
      <c r="V7" s="3">
        <f>MAX(0,Table7[Nm2Eco]*MIN(Table36[ratedRpm]/MAX(1,Table15[[#This Row],[rpm]]),1-(MAX(0,Table15[[#This Row],[rpm]]-Table36[ratedRpm])/Table36[fadeOut])^Table36[fadeOutExp]))</f>
        <v>195.96443228454172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6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100.3074074074074</v>
      </c>
      <c r="C8" s="20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100.3074074074074</v>
      </c>
      <c r="E8" s="20"/>
      <c r="F8" s="3">
        <f>Table36[Factor]*IF(Table15[[#This Row],[manualData]]&gt;0,Table15[[#This Row],[manualData]],Table15[[#This Row],[rawData]])</f>
        <v>100.3074074074074</v>
      </c>
      <c r="G8" s="3">
        <f>Table36[Factor]*IF(Table15[[#This Row],[manDataEco]]&gt;0,Table15[[#This Row],[manDataEco]],Table15[[#This Row],[rawDataEco]])</f>
        <v>100.3074074074074</v>
      </c>
      <c r="H8" s="25">
        <f>1.36*Table15[[#This Row],[rpm]]*Table15[[#This Row],[motor]]/9550</f>
        <v>4.9996152802016676</v>
      </c>
      <c r="I8" s="25">
        <f>1.36*Table15[[#This Row],[rpm]]*Table15[[#This Row],[motorEco]]/9550</f>
        <v>4.9996152802016676</v>
      </c>
      <c r="J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233.99643281807369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motorTorque="100" fuelUsageRatio="234"/&gt;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normRpm="0.152" torque="0.473"/&gt;</v>
      </c>
      <c r="M8" s="3">
        <f>(1-(1-Table15[[#This Row],[rpm]]/Table36[idleRpm])^2)*Table7[idleT]</f>
        <v>111.29999999999998</v>
      </c>
      <c r="N8" s="3">
        <f>MAX(0,(1-Table7[f1]*(Table36[maxTRpm1]-Table15[[#This Row],[rpm]])^2)*Table36[maxT])</f>
        <v>89.31481481481481</v>
      </c>
      <c r="O8" s="3">
        <f>MAX(0,(Table36[linearDown]*(1-Table7[f2]*(Table15[[#This Row],[rpm]]-Table36[maxTRpm]))+(1-Table36[linearDown])*(1-Table7[f3]*(Table15[[#This Row],[rpm]]-Table36[maxTRpm])^2))*Table36[maxT])</f>
        <v>129.17165436230223</v>
      </c>
      <c r="P8" s="3">
        <f>MAX(0,(Table36[maxPS]-Table7[f4]*(Table15[[#This Row],[rpm]]-Table36[maxPRpm])^2)/1.36*9550/MAX(1,Table15[[#This Row],[rpm]]))</f>
        <v>1203.7815126050421</v>
      </c>
      <c r="Q8" s="3">
        <f>MAX(0,Table7[Nm2]*MIN(Table36[ratedRpm]/MAX(1,Table15[[#This Row],[rpm]]),1-(MAX(0,Table15[[#This Row],[rpm]]-Table36[ratedRpm])/Table36[fadeOut])^Table36[fadeOutExp]))</f>
        <v>195.96443228454172</v>
      </c>
      <c r="R8" s="3">
        <f>(1-(1-Table15[[#This Row],[rpm]]/Table36[idleRpm])^2)*Table7[idleTEco]</f>
        <v>111.29999999999998</v>
      </c>
      <c r="S8" s="3">
        <f>MAX(0,(1-Table7[f1]*(Table36[maxTRpm1]-Table15[[#This Row],[rpm]])^2)*Table36[maxTEco])</f>
        <v>89.31481481481481</v>
      </c>
      <c r="T8" s="3">
        <f>MAX(0,(Table36[linearDown]*(1-Table7[f2Eco]*(Table15[[#This Row],[rpm]]-Table36[maxTRpm]))+(1-Table36[linearDown])*(1-Table7[f3Eco]*(Table15[[#This Row],[rpm]]-Table36[maxTRpm])^2))*Table36[maxTEco])</f>
        <v>129.17165436230223</v>
      </c>
      <c r="U8" s="3">
        <f>MAX(0,(Table36[maxPSEco]-Table7[f4Eco]*(Table15[[#This Row],[rpm]]-Table36[maxPRpm])^2)/1.36*9550/MAX(1,Table15[[#This Row],[rpm]]))</f>
        <v>1203.7815126050421</v>
      </c>
      <c r="V8" s="3">
        <f>MAX(0,Table7[Nm2Eco]*MIN(Table36[ratedRpm]/MAX(1,Table15[[#This Row],[rpm]]),1-(MAX(0,Table15[[#This Row],[rpm]]-Table36[ratedRpm])/Table36[fadeOut])^Table36[fadeOutExp]))</f>
        <v>195.96443228454172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1183.625170998632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1183.625170998632</v>
      </c>
      <c r="Y8" s="3">
        <f>ABS(Table15[[#This Row],[motor]]-Table15[[#This Row],[motorEco]])</f>
        <v>0</v>
      </c>
    </row>
    <row r="9" spans="1:26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148.39999999999998</v>
      </c>
      <c r="C9" s="20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148.39999999999998</v>
      </c>
      <c r="E9" s="20"/>
      <c r="F9" s="3">
        <f>Table36[Factor]*IF(Table15[[#This Row],[manualData]]&gt;0,Table15[[#This Row],[manualData]],Table15[[#This Row],[rawData]])</f>
        <v>148.39999999999998</v>
      </c>
      <c r="G9" s="3">
        <f>Table36[Factor]*IF(Table15[[#This Row],[manDataEco]]&gt;0,Table15[[#This Row],[manDataEco]],Table15[[#This Row],[rawDataEco]])</f>
        <v>148.39999999999998</v>
      </c>
      <c r="H9" s="25">
        <f>1.36*Table15[[#This Row],[rpm]]*Table15[[#This Row],[motor]]/9550</f>
        <v>14.793382198952878</v>
      </c>
      <c r="I9" s="25">
        <f>1.36*Table15[[#This Row],[rpm]]*Table15[[#This Row],[motorEco]]/9550</f>
        <v>14.793382198952878</v>
      </c>
      <c r="J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219.33333333333331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motorTorque="148" fuelUsageRatio="219.3"/&gt;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normRpm="0.304" torque="0.7"/&gt;</v>
      </c>
      <c r="M9" s="3">
        <f>(1-(1-Table15[[#This Row],[rpm]]/Table36[idleRpm])^2)*Table7[idleT]</f>
        <v>148.39999999999998</v>
      </c>
      <c r="N9" s="3">
        <f>MAX(0,(1-Table7[f1]*(Table36[maxTRpm1]-Table15[[#This Row],[rpm]])^2)*Table36[maxT])</f>
        <v>148.39999999999998</v>
      </c>
      <c r="O9" s="3">
        <f>MAX(0,(Table36[linearDown]*(1-Table7[f2]*(Table15[[#This Row],[rpm]]-Table36[maxTRpm]))+(1-Table36[linearDown])*(1-Table7[f3]*(Table15[[#This Row],[rpm]]-Table36[maxTRpm])^2))*Table36[maxT])</f>
        <v>169.0617856214175</v>
      </c>
      <c r="P9" s="3">
        <f>MAX(0,(Table36[maxPS]-Table7[f4]*(Table15[[#This Row],[rpm]]-Table36[maxPRpm])^2)/1.36*9550/MAX(1,Table15[[#This Row],[rpm]]))</f>
        <v>601.89075630252103</v>
      </c>
      <c r="Q9" s="3">
        <f>MAX(0,Table7[Nm2]*MIN(Table36[ratedRpm]/MAX(1,Table15[[#This Row],[rpm]]),1-(MAX(0,Table15[[#This Row],[rpm]]-Table36[ratedRpm])/Table36[fadeOut])^Table36[fadeOutExp]))</f>
        <v>195.96443228454172</v>
      </c>
      <c r="R9" s="3">
        <f>(1-(1-Table15[[#This Row],[rpm]]/Table36[idleRpm])^2)*Table7[idleTEco]</f>
        <v>148.39999999999998</v>
      </c>
      <c r="S9" s="3">
        <f>MAX(0,(1-Table7[f1]*(Table36[maxTRpm1]-Table15[[#This Row],[rpm]])^2)*Table36[maxTEco])</f>
        <v>148.39999999999998</v>
      </c>
      <c r="T9" s="3">
        <f>MAX(0,(Table36[linearDown]*(1-Table7[f2Eco]*(Table15[[#This Row],[rpm]]-Table36[maxTRpm]))+(1-Table36[linearDown])*(1-Table7[f3Eco]*(Table15[[#This Row],[rpm]]-Table36[maxTRpm])^2))*Table36[maxTEco])</f>
        <v>169.0617856214175</v>
      </c>
      <c r="U9" s="3">
        <f>MAX(0,(Table36[maxPSEco]-Table7[f4Eco]*(Table15[[#This Row],[rpm]]-Table36[maxPRpm])^2)/1.36*9550/MAX(1,Table15[[#This Row],[rpm]]))</f>
        <v>601.89075630252103</v>
      </c>
      <c r="V9" s="3">
        <f>MAX(0,Table7[Nm2Eco]*MIN(Table36[ratedRpm]/MAX(1,Table15[[#This Row],[rpm]]),1-(MAX(0,Table15[[#This Row],[rpm]]-Table36[ratedRpm])/Table36[fadeOut])^Table36[fadeOutExp]))</f>
        <v>195.96443228454172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593.77222982216142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593.77222982216142</v>
      </c>
      <c r="Y9" s="3">
        <f>ABS(Table15[[#This Row],[motor]]-Table15[[#This Row],[motorEco]])</f>
        <v>0</v>
      </c>
    </row>
    <row r="10" spans="1:26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173.52592592592592</v>
      </c>
      <c r="C10" s="20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173.52592592592592</v>
      </c>
      <c r="E10" s="20"/>
      <c r="F10" s="3">
        <f>Table36[Factor]*IF(Table15[[#This Row],[manualData]]&gt;0,Table15[[#This Row],[manualData]],Table15[[#This Row],[rawData]])</f>
        <v>173.52592592592592</v>
      </c>
      <c r="G10" s="3">
        <f>Table36[Factor]*IF(Table15[[#This Row],[manDataEco]]&gt;0,Table15[[#This Row],[manDataEco]],Table15[[#This Row],[rawDataEco]])</f>
        <v>173.52592592592592</v>
      </c>
      <c r="H10" s="25">
        <f>1.36*Table15[[#This Row],[rpm]]*Table15[[#This Row],[motor]]/9550</f>
        <v>22.240390924956369</v>
      </c>
      <c r="I10" s="25">
        <f>1.36*Table15[[#This Row],[rpm]]*Table15[[#This Row],[motorEco]]/9550</f>
        <v>22.240390924956369</v>
      </c>
      <c r="J1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214.00634165675783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motorTorque="174" fuelUsageRatio="214"/&gt;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normRpm="0.391" torque="0.819"/&gt;</v>
      </c>
      <c r="M10" s="3">
        <f>(1-(1-Table15[[#This Row],[rpm]]/Table36[idleRpm])^2)*Table7[idleT]</f>
        <v>136.28571428571425</v>
      </c>
      <c r="N10" s="3">
        <f>MAX(0,(1-Table7[f1]*(Table36[maxTRpm1]-Table15[[#This Row],[rpm]])^2)*Table36[maxT])</f>
        <v>173.52592592592592</v>
      </c>
      <c r="O10" s="3">
        <f>MAX(0,(Table36[linearDown]*(1-Table7[f2]*(Table15[[#This Row],[rpm]]-Table36[maxTRpm]))+(1-Table36[linearDown])*(1-Table7[f3]*(Table15[[#This Row],[rpm]]-Table36[maxTRpm])^2))*Table36[maxT])</f>
        <v>186.02503080801799</v>
      </c>
      <c r="P10" s="3">
        <f>MAX(0,(Table36[maxPS]-Table7[f4]*(Table15[[#This Row],[rpm]]-Table36[maxPRpm])^2)/1.36*9550/MAX(1,Table15[[#This Row],[rpm]]))</f>
        <v>468.13725490196077</v>
      </c>
      <c r="Q10" s="3">
        <f>MAX(0,Table7[Nm2]*MIN(Table36[ratedRpm]/MAX(1,Table15[[#This Row],[rpm]]),1-(MAX(0,Table15[[#This Row],[rpm]]-Table36[ratedRpm])/Table36[fadeOut])^Table36[fadeOutExp]))</f>
        <v>195.96443228454172</v>
      </c>
      <c r="R10" s="3">
        <f>(1-(1-Table15[[#This Row],[rpm]]/Table36[idleRpm])^2)*Table7[idleTEco]</f>
        <v>136.28571428571425</v>
      </c>
      <c r="S10" s="3">
        <f>MAX(0,(1-Table7[f1]*(Table36[maxTRpm1]-Table15[[#This Row],[rpm]])^2)*Table36[maxTEco])</f>
        <v>173.52592592592592</v>
      </c>
      <c r="T10" s="3">
        <f>MAX(0,(Table36[linearDown]*(1-Table7[f2Eco]*(Table15[[#This Row],[rpm]]-Table36[maxTRpm]))+(1-Table36[linearDown])*(1-Table7[f3Eco]*(Table15[[#This Row],[rpm]]-Table36[maxTRpm])^2))*Table36[maxTEco])</f>
        <v>186.02503080801799</v>
      </c>
      <c r="U10" s="3">
        <f>MAX(0,(Table36[maxPSEco]-Table7[f4Eco]*(Table15[[#This Row],[rpm]]-Table36[maxPRpm])^2)/1.36*9550/MAX(1,Table15[[#This Row],[rpm]]))</f>
        <v>468.13725490196077</v>
      </c>
      <c r="V10" s="3">
        <f>MAX(0,Table7[Nm2Eco]*MIN(Table36[ratedRpm]/MAX(1,Table15[[#This Row],[rpm]]),1-(MAX(0,Table15[[#This Row],[rpm]]-Table36[ratedRpm])/Table36[fadeOut])^Table36[fadeOutExp]))</f>
        <v>195.96443228454172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462.69379844961236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462.69379844961236</v>
      </c>
      <c r="Y10" s="3">
        <f>ABS(Table15[[#This Row],[motor]]-Table15[[#This Row],[motorEco]])</f>
        <v>0</v>
      </c>
    </row>
    <row r="11" spans="1:26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183.73333333333335</v>
      </c>
      <c r="C11" s="20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183.73333333333335</v>
      </c>
      <c r="E11" s="20"/>
      <c r="F11" s="3">
        <f>Table36[Factor]*IF(Table15[[#This Row],[manualData]]&gt;0,Table15[[#This Row],[manualData]],Table15[[#This Row],[rawData]])</f>
        <v>183.73333333333335</v>
      </c>
      <c r="G11" s="3">
        <f>Table36[Factor]*IF(Table15[[#This Row],[manDataEco]]&gt;0,Table15[[#This Row],[manDataEco]],Table15[[#This Row],[rawDataEco]])</f>
        <v>183.73333333333335</v>
      </c>
      <c r="H11" s="25">
        <f>1.36*Table15[[#This Row],[rpm]]*Table15[[#This Row],[motor]]/9550</f>
        <v>26.165165794066318</v>
      </c>
      <c r="I11" s="25">
        <f>1.36*Table15[[#This Row],[rpm]]*Table15[[#This Row],[motorEco]]/9550</f>
        <v>26.165165794066318</v>
      </c>
      <c r="J1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212.175188267935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motorTorque="184" fuelUsageRatio="212.2"/&gt;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normRpm="0.435" torque="0.867"/&gt;</v>
      </c>
      <c r="M11" s="3">
        <f>(1-(1-Table15[[#This Row],[rpm]]/Table36[idleRpm])^2)*Table7[idleT]</f>
        <v>121.14285714285712</v>
      </c>
      <c r="N11" s="3">
        <f>MAX(0,(1-Table7[f1]*(Table36[maxTRpm1]-Table15[[#This Row],[rpm]])^2)*Table36[maxT])</f>
        <v>183.73333333333335</v>
      </c>
      <c r="O11" s="3">
        <f>MAX(0,(Table36[linearDown]*(1-Table7[f2]*(Table15[[#This Row],[rpm]]-Table36[maxTRpm]))+(1-Table36[linearDown])*(1-Table7[f3]*(Table15[[#This Row],[rpm]]-Table36[maxTRpm])^2))*Table36[maxT])</f>
        <v>192.91634916507445</v>
      </c>
      <c r="P11" s="3">
        <f>MAX(0,(Table36[maxPS]-Table7[f4]*(Table15[[#This Row],[rpm]]-Table36[maxPRpm])^2)/1.36*9550/MAX(1,Table15[[#This Row],[rpm]]))</f>
        <v>421.3235294117647</v>
      </c>
      <c r="Q11" s="3">
        <f>MAX(0,Table7[Nm2]*MIN(Table36[ratedRpm]/MAX(1,Table15[[#This Row],[rpm]]),1-(MAX(0,Table15[[#This Row],[rpm]]-Table36[ratedRpm])/Table36[fadeOut])^Table36[fadeOutExp]))</f>
        <v>195.96443228454172</v>
      </c>
      <c r="R11" s="3">
        <f>(1-(1-Table15[[#This Row],[rpm]]/Table36[idleRpm])^2)*Table7[idleTEco]</f>
        <v>121.14285714285712</v>
      </c>
      <c r="S11" s="3">
        <f>MAX(0,(1-Table7[f1]*(Table36[maxTRpm1]-Table15[[#This Row],[rpm]])^2)*Table36[maxTEco])</f>
        <v>183.73333333333335</v>
      </c>
      <c r="T11" s="3">
        <f>MAX(0,(Table36[linearDown]*(1-Table7[f2Eco]*(Table15[[#This Row],[rpm]]-Table36[maxTRpm]))+(1-Table36[linearDown])*(1-Table7[f3Eco]*(Table15[[#This Row],[rpm]]-Table36[maxTRpm])^2))*Table36[maxTEco])</f>
        <v>192.91634916507445</v>
      </c>
      <c r="U11" s="3">
        <f>MAX(0,(Table36[maxPSEco]-Table7[f4Eco]*(Table15[[#This Row],[rpm]]-Table36[maxPRpm])^2)/1.36*9550/MAX(1,Table15[[#This Row],[rpm]]))</f>
        <v>421.3235294117647</v>
      </c>
      <c r="V11" s="3">
        <f>MAX(0,Table7[Nm2Eco]*MIN(Table36[ratedRpm]/MAX(1,Table15[[#This Row],[rpm]]),1-(MAX(0,Table15[[#This Row],[rpm]]-Table36[ratedRpm])/Table36[fadeOut])^Table36[fadeOutExp]))</f>
        <v>195.96443228454172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416.8163474692202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416.8163474692202</v>
      </c>
      <c r="Y11" s="3">
        <f>ABS(Table15[[#This Row],[motor]]-Table15[[#This Row],[motorEco]])</f>
        <v>0</v>
      </c>
    </row>
    <row r="12" spans="1:26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192.37037037037038</v>
      </c>
      <c r="C12" s="20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192.37037037037038</v>
      </c>
      <c r="E12" s="20"/>
      <c r="F12" s="3">
        <f>Table36[Factor]*IF(Table15[[#This Row],[manualData]]&gt;0,Table15[[#This Row],[manualData]],Table15[[#This Row],[rawData]])</f>
        <v>192.37037037037038</v>
      </c>
      <c r="G12" s="3">
        <f>Table36[Factor]*IF(Table15[[#This Row],[manDataEco]]&gt;0,Table15[[#This Row],[manDataEco]],Table15[[#This Row],[rawDataEco]])</f>
        <v>192.37037037037038</v>
      </c>
      <c r="H12" s="25">
        <f>1.36*Table15[[#This Row],[rpm]]*Table15[[#This Row],[motor]]/9550</f>
        <v>30.134667442311425</v>
      </c>
      <c r="I12" s="25">
        <f>1.36*Table15[[#This Row],[rpm]]*Table15[[#This Row],[motorEco]]/9550</f>
        <v>30.134667442311425</v>
      </c>
      <c r="J1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210.89892984542212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motorTorque="192" fuelUsageRatio="210.9"/&gt;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normRpm="0.478" torque="0.907"/&gt;</v>
      </c>
      <c r="M12" s="3">
        <f>(1-(1-Table15[[#This Row],[rpm]]/Table36[idleRpm])^2)*Table7[idleT]</f>
        <v>99.942857142857136</v>
      </c>
      <c r="N12" s="3">
        <f>MAX(0,(1-Table7[f1]*(Table36[maxTRpm1]-Table15[[#This Row],[rpm]])^2)*Table36[maxT])</f>
        <v>192.37037037037038</v>
      </c>
      <c r="O12" s="3">
        <f>MAX(0,(Table36[linearDown]*(1-Table7[f2]*(Table15[[#This Row],[rpm]]-Table36[maxTRpm]))+(1-Table36[linearDown])*(1-Table7[f3]*(Table15[[#This Row],[rpm]]-Table36[maxTRpm])^2))*Table36[maxT])</f>
        <v>198.74746469796835</v>
      </c>
      <c r="P12" s="3">
        <f>MAX(0,(Table36[maxPS]-Table7[f4]*(Table15[[#This Row],[rpm]]-Table36[maxPRpm])^2)/1.36*9550/MAX(1,Table15[[#This Row],[rpm]]))</f>
        <v>383.02139037433153</v>
      </c>
      <c r="Q12" s="3">
        <f>MAX(0,Table7[Nm2]*MIN(Table36[ratedRpm]/MAX(1,Table15[[#This Row],[rpm]]),1-(MAX(0,Table15[[#This Row],[rpm]]-Table36[ratedRpm])/Table36[fadeOut])^Table36[fadeOutExp]))</f>
        <v>195.96443228454172</v>
      </c>
      <c r="R12" s="3">
        <f>(1-(1-Table15[[#This Row],[rpm]]/Table36[idleRpm])^2)*Table7[idleTEco]</f>
        <v>99.942857142857136</v>
      </c>
      <c r="S12" s="3">
        <f>MAX(0,(1-Table7[f1]*(Table36[maxTRpm1]-Table15[[#This Row],[rpm]])^2)*Table36[maxTEco])</f>
        <v>192.37037037037038</v>
      </c>
      <c r="T12" s="3">
        <f>MAX(0,(Table36[linearDown]*(1-Table7[f2Eco]*(Table15[[#This Row],[rpm]]-Table36[maxTRpm]))+(1-Table36[linearDown])*(1-Table7[f3Eco]*(Table15[[#This Row],[rpm]]-Table36[maxTRpm])^2))*Table36[maxTEco])</f>
        <v>198.74746469796835</v>
      </c>
      <c r="U12" s="3">
        <f>MAX(0,(Table36[maxPSEco]-Table7[f4Eco]*(Table15[[#This Row],[rpm]]-Table36[maxPRpm])^2)/1.36*9550/MAX(1,Table15[[#This Row],[rpm]]))</f>
        <v>383.02139037433153</v>
      </c>
      <c r="V12" s="3">
        <f>MAX(0,Table7[Nm2Eco]*MIN(Table36[ratedRpm]/MAX(1,Table15[[#This Row],[rpm]]),1-(MAX(0,Table15[[#This Row],[rpm]]-Table36[ratedRpm])/Table36[fadeOut])^Table36[fadeOutExp]))</f>
        <v>195.96443228454172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379.28025121253569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379.28025121253569</v>
      </c>
      <c r="Y12" s="3">
        <f>ABS(Table15[[#This Row],[motor]]-Table15[[#This Row],[motorEco]])</f>
        <v>0</v>
      </c>
    </row>
    <row r="13" spans="1:26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199.43703703703704</v>
      </c>
      <c r="C13" s="20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199.43703703703704</v>
      </c>
      <c r="E13" s="20"/>
      <c r="F13" s="3">
        <f>Table36[Factor]*IF(Table15[[#This Row],[manualData]]&gt;0,Table15[[#This Row],[manualData]],Table15[[#This Row],[rawData]])</f>
        <v>199.43703703703704</v>
      </c>
      <c r="G13" s="3">
        <f>Table36[Factor]*IF(Table15[[#This Row],[manDataEco]]&gt;0,Table15[[#This Row],[manDataEco]],Table15[[#This Row],[rawDataEco]])</f>
        <v>199.43703703703704</v>
      </c>
      <c r="H13" s="25">
        <f>1.36*Table15[[#This Row],[rpm]]*Table15[[#This Row],[motor]]/9550</f>
        <v>34.081805700988951</v>
      </c>
      <c r="I13" s="25">
        <f>1.36*Table15[[#This Row],[rpm]]*Table15[[#This Row],[motorEco]]/9550</f>
        <v>34.081805700988951</v>
      </c>
      <c r="J1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210.17756638921918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motorTorque="199" fuelUsageRatio="210.2"/&gt;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normRpm="0.522" torque="0.941"/&gt;</v>
      </c>
      <c r="M13" s="3">
        <f>(1-(1-Table15[[#This Row],[rpm]]/Table36[idleRpm])^2)*Table7[idleT]</f>
        <v>72.685714285714283</v>
      </c>
      <c r="N13" s="3">
        <f>MAX(0,(1-Table7[f1]*(Table36[maxTRpm1]-Table15[[#This Row],[rpm]])^2)*Table36[maxT])</f>
        <v>199.43703703703704</v>
      </c>
      <c r="O13" s="3">
        <f>MAX(0,(Table36[linearDown]*(1-Table7[f2]*(Table15[[#This Row],[rpm]]-Table36[maxTRpm]))+(1-Table36[linearDown])*(1-Table7[f3]*(Table15[[#This Row],[rpm]]-Table36[maxTRpm])^2))*Table36[maxT])</f>
        <v>203.51837740669976</v>
      </c>
      <c r="P13" s="3">
        <f>MAX(0,(Table36[maxPS]-Table7[f4]*(Table15[[#This Row],[rpm]]-Table36[maxPRpm])^2)/1.36*9550/MAX(1,Table15[[#This Row],[rpm]]))</f>
        <v>351.10294117647061</v>
      </c>
      <c r="Q13" s="3">
        <f>MAX(0,Table7[Nm2]*MIN(Table36[ratedRpm]/MAX(1,Table15[[#This Row],[rpm]]),1-(MAX(0,Table15[[#This Row],[rpm]]-Table36[ratedRpm])/Table36[fadeOut])^Table36[fadeOutExp]))</f>
        <v>195.96443228454172</v>
      </c>
      <c r="R13" s="3">
        <f>(1-(1-Table15[[#This Row],[rpm]]/Table36[idleRpm])^2)*Table7[idleTEco]</f>
        <v>72.685714285714283</v>
      </c>
      <c r="S13" s="3">
        <f>MAX(0,(1-Table7[f1]*(Table36[maxTRpm1]-Table15[[#This Row],[rpm]])^2)*Table36[maxTEco])</f>
        <v>199.43703703703704</v>
      </c>
      <c r="T13" s="3">
        <f>MAX(0,(Table36[linearDown]*(1-Table7[f2Eco]*(Table15[[#This Row],[rpm]]-Table36[maxTRpm]))+(1-Table36[linearDown])*(1-Table7[f3Eco]*(Table15[[#This Row],[rpm]]-Table36[maxTRpm])^2))*Table36[maxTEco])</f>
        <v>203.51837740669976</v>
      </c>
      <c r="U13" s="3">
        <f>MAX(0,(Table36[maxPSEco]-Table7[f4Eco]*(Table15[[#This Row],[rpm]]-Table36[maxPRpm])^2)/1.36*9550/MAX(1,Table15[[#This Row],[rpm]]))</f>
        <v>351.10294117647061</v>
      </c>
      <c r="V13" s="3">
        <f>MAX(0,Table7[Nm2Eco]*MIN(Table36[ratedRpm]/MAX(1,Table15[[#This Row],[rpm]]),1-(MAX(0,Table15[[#This Row],[rpm]]-Table36[ratedRpm])/Table36[fadeOut])^Table36[fadeOutExp]))</f>
        <v>195.96443228454172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348.00017099863197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348.00017099863197</v>
      </c>
      <c r="Y13" s="3">
        <f>ABS(Table15[[#This Row],[motor]]-Table15[[#This Row],[motorEco]])</f>
        <v>0</v>
      </c>
    </row>
    <row r="14" spans="1:26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204.93333333333334</v>
      </c>
      <c r="C14" s="20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204.93333333333334</v>
      </c>
      <c r="E14" s="20"/>
      <c r="F14" s="3">
        <f>Table36[Factor]*IF(Table15[[#This Row],[manualData]]&gt;0,Table15[[#This Row],[manualData]],Table15[[#This Row],[rawData]])</f>
        <v>204.93333333333334</v>
      </c>
      <c r="G14" s="3">
        <f>Table36[Factor]*IF(Table15[[#This Row],[manDataEco]]&gt;0,Table15[[#This Row],[manDataEco]],Table15[[#This Row],[rawDataEco]])</f>
        <v>204.93333333333334</v>
      </c>
      <c r="H14" s="25">
        <f>1.36*Table15[[#This Row],[rpm]]*Table15[[#This Row],[motor]]/9550</f>
        <v>37.939490401396164</v>
      </c>
      <c r="I14" s="25">
        <f>1.36*Table15[[#This Row],[rpm]]*Table15[[#This Row],[motorEco]]/9550</f>
        <v>37.939490401396164</v>
      </c>
      <c r="J1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210.01233099925133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motorTorque="205" fuelUsageRatio="210"/&gt;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normRpm="0.565" torque="0.967"/&gt;</v>
      </c>
      <c r="M14" s="3">
        <f>(1-(1-Table15[[#This Row],[rpm]]/Table36[idleRpm])^2)*Table7[idleT]</f>
        <v>39.371428571428545</v>
      </c>
      <c r="N14" s="3">
        <f>MAX(0,(1-Table7[f1]*(Table36[maxTRpm1]-Table15[[#This Row],[rpm]])^2)*Table36[maxT])</f>
        <v>204.93333333333334</v>
      </c>
      <c r="O14" s="3">
        <f>MAX(0,(Table36[linearDown]*(1-Table7[f2]*(Table15[[#This Row],[rpm]]-Table36[maxTRpm]))+(1-Table36[linearDown])*(1-Table7[f3]*(Table15[[#This Row],[rpm]]-Table36[maxTRpm])^2))*Table36[maxT])</f>
        <v>207.22908729126863</v>
      </c>
      <c r="P14" s="3">
        <f>MAX(0,(Table36[maxPS]-Table7[f4]*(Table15[[#This Row],[rpm]]-Table36[maxPRpm])^2)/1.36*9550/MAX(1,Table15[[#This Row],[rpm]]))</f>
        <v>324.09502262443436</v>
      </c>
      <c r="Q14" s="3">
        <f>MAX(0,Table7[Nm2]*MIN(Table36[ratedRpm]/MAX(1,Table15[[#This Row],[rpm]]),1-(MAX(0,Table15[[#This Row],[rpm]]-Table36[ratedRpm])/Table36[fadeOut])^Table36[fadeOutExp]))</f>
        <v>195.96443228454172</v>
      </c>
      <c r="R14" s="3">
        <f>(1-(1-Table15[[#This Row],[rpm]]/Table36[idleRpm])^2)*Table7[idleTEco]</f>
        <v>39.371428571428545</v>
      </c>
      <c r="S14" s="3">
        <f>MAX(0,(1-Table7[f1]*(Table36[maxTRpm1]-Table15[[#This Row],[rpm]])^2)*Table36[maxTEco])</f>
        <v>204.93333333333334</v>
      </c>
      <c r="T14" s="3">
        <f>MAX(0,(Table36[linearDown]*(1-Table7[f2Eco]*(Table15[[#This Row],[rpm]]-Table36[maxTRpm]))+(1-Table36[linearDown])*(1-Table7[f3Eco]*(Table15[[#This Row],[rpm]]-Table36[maxTRpm])^2))*Table36[maxTEco])</f>
        <v>207.22908729126863</v>
      </c>
      <c r="U14" s="3">
        <f>MAX(0,(Table36[maxPSEco]-Table7[f4Eco]*(Table15[[#This Row],[rpm]]-Table36[maxPRpm])^2)/1.36*9550/MAX(1,Table15[[#This Row],[rpm]]))</f>
        <v>324.09502262443436</v>
      </c>
      <c r="V14" s="3">
        <f>MAX(0,Table7[Nm2Eco]*MIN(Table36[ratedRpm]/MAX(1,Table15[[#This Row],[rpm]]),1-(MAX(0,Table15[[#This Row],[rpm]]-Table36[ratedRpm])/Table36[fadeOut])^Table36[fadeOutExp]))</f>
        <v>195.96443228454172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321.53241081763645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321.53241081763645</v>
      </c>
      <c r="Y14" s="3">
        <f>ABS(Table15[[#This Row],[motor]]-Table15[[#This Row],[motorEco]])</f>
        <v>0</v>
      </c>
    </row>
    <row r="15" spans="1:26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208.85925925925926</v>
      </c>
      <c r="C15" s="20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208.85925925925926</v>
      </c>
      <c r="E15" s="20"/>
      <c r="F15" s="3">
        <f>Table36[Factor]*IF(Table15[[#This Row],[manualData]]&gt;0,Table15[[#This Row],[manualData]],Table15[[#This Row],[rawData]])</f>
        <v>208.85925925925926</v>
      </c>
      <c r="G15" s="3">
        <f>Table36[Factor]*IF(Table15[[#This Row],[manDataEco]]&gt;0,Table15[[#This Row],[manDataEco]],Table15[[#This Row],[rawDataEco]])</f>
        <v>208.85925925925926</v>
      </c>
      <c r="H15" s="25">
        <f>1.36*Table15[[#This Row],[rpm]]*Table15[[#This Row],[motor]]/9550</f>
        <v>41.640631374830335</v>
      </c>
      <c r="I15" s="25">
        <f>1.36*Table15[[#This Row],[rpm]]*Table15[[#This Row],[motorEco]]/9550</f>
        <v>41.640631374830335</v>
      </c>
      <c r="J1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210.44391597304795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motorTorque="209" fuelUsageRatio="210.4"/&gt;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normRpm="0.609" torque="0.985"/&gt;</v>
      </c>
      <c r="M15" s="3">
        <f>(1-(1-Table15[[#This Row],[rpm]]/Table36[idleRpm])^2)*Table7[idleT]</f>
        <v>0</v>
      </c>
      <c r="N15" s="3">
        <f>MAX(0,(1-Table7[f1]*(Table36[maxTRpm1]-Table15[[#This Row],[rpm]])^2)*Table36[maxT])</f>
        <v>208.85925925925926</v>
      </c>
      <c r="O15" s="3">
        <f>MAX(0,(Table36[linearDown]*(1-Table7[f2]*(Table15[[#This Row],[rpm]]-Table36[maxTRpm]))+(1-Table36[linearDown])*(1-Table7[f3]*(Table15[[#This Row],[rpm]]-Table36[maxTRpm])^2))*Table36[maxT])</f>
        <v>209.87959435167494</v>
      </c>
      <c r="P15" s="3">
        <f>MAX(0,(Table36[maxPS]-Table7[f4]*(Table15[[#This Row],[rpm]]-Table36[maxPRpm])^2)/1.36*9550/MAX(1,Table15[[#This Row],[rpm]]))</f>
        <v>300.94537815126051</v>
      </c>
      <c r="Q15" s="3">
        <f>MAX(0,Table7[Nm2]*MIN(Table36[ratedRpm]/MAX(1,Table15[[#This Row],[rpm]]),1-(MAX(0,Table15[[#This Row],[rpm]]-Table36[ratedRpm])/Table36[fadeOut])^Table36[fadeOutExp]))</f>
        <v>195.96443228454172</v>
      </c>
      <c r="R15" s="3">
        <f>(1-(1-Table15[[#This Row],[rpm]]/Table36[idleRpm])^2)*Table7[idleTEco]</f>
        <v>0</v>
      </c>
      <c r="S15" s="3">
        <f>MAX(0,(1-Table7[f1]*(Table36[maxTRpm1]-Table15[[#This Row],[rpm]])^2)*Table36[maxTEco])</f>
        <v>208.85925925925926</v>
      </c>
      <c r="T15" s="3">
        <f>MAX(0,(Table36[linearDown]*(1-Table7[f2Eco]*(Table15[[#This Row],[rpm]]-Table36[maxTRpm]))+(1-Table36[linearDown])*(1-Table7[f3Eco]*(Table15[[#This Row],[rpm]]-Table36[maxTRpm])^2))*Table36[maxTEco])</f>
        <v>209.87959435167494</v>
      </c>
      <c r="U15" s="3">
        <f>MAX(0,(Table36[maxPSEco]-Table7[f4Eco]*(Table15[[#This Row],[rpm]]-Table36[maxPRpm])^2)/1.36*9550/MAX(1,Table15[[#This Row],[rpm]]))</f>
        <v>300.94537815126051</v>
      </c>
      <c r="V15" s="3">
        <f>MAX(0,Table7[Nm2Eco]*MIN(Table36[ratedRpm]/MAX(1,Table15[[#This Row],[rpm]]),1-(MAX(0,Table15[[#This Row],[rpm]]-Table36[ratedRpm])/Table36[fadeOut])^Table36[fadeOutExp]))</f>
        <v>195.96443228454172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298.84575923392617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298.84575923392617</v>
      </c>
      <c r="Y15" s="3">
        <f>ABS(Table15[[#This Row],[motor]]-Table15[[#This Row],[motorEco]])</f>
        <v>0</v>
      </c>
    </row>
    <row r="16" spans="1:26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211.21481481481482</v>
      </c>
      <c r="C16" s="20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211.21481481481482</v>
      </c>
      <c r="E16" s="20"/>
      <c r="F16" s="3">
        <f>Table36[Factor]*IF(Table15[[#This Row],[manualData]]&gt;0,Table15[[#This Row],[manualData]],Table15[[#This Row],[rawData]])</f>
        <v>211.21481481481482</v>
      </c>
      <c r="G16" s="3">
        <f>Table36[Factor]*IF(Table15[[#This Row],[manDataEco]]&gt;0,Table15[[#This Row],[manDataEco]],Table15[[#This Row],[rawDataEco]])</f>
        <v>211.21481481481482</v>
      </c>
      <c r="H16" s="25">
        <f>1.36*Table15[[#This Row],[rpm]]*Table15[[#This Row],[motor]]/9550</f>
        <v>45.118138452588717</v>
      </c>
      <c r="I16" s="25">
        <f>1.36*Table15[[#This Row],[rpm]]*Table15[[#This Row],[motorEco]]/9550</f>
        <v>45.118138452588717</v>
      </c>
      <c r="J1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211.4920509094112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motorTorque="211" fuelUsageRatio="211.5"/&gt;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normRpm="0.652" torque="0.996"/&gt;</v>
      </c>
      <c r="M16" s="3">
        <f>(1-(1-Table15[[#This Row],[rpm]]/Table36[idleRpm])^2)*Table7[idleT]</f>
        <v>-45.428571428571409</v>
      </c>
      <c r="N16" s="3">
        <f>MAX(0,(1-Table7[f1]*(Table36[maxTRpm1]-Table15[[#This Row],[rpm]])^2)*Table36[maxT])</f>
        <v>211.21481481481482</v>
      </c>
      <c r="O16" s="3">
        <f>MAX(0,(Table36[linearDown]*(1-Table7[f2]*(Table15[[#This Row],[rpm]]-Table36[maxTRpm]))+(1-Table36[linearDown])*(1-Table7[f3]*(Table15[[#This Row],[rpm]]-Table36[maxTRpm])^2))*Table36[maxT])</f>
        <v>211.46989858791872</v>
      </c>
      <c r="P16" s="3">
        <f>MAX(0,(Table36[maxPS]-Table7[f4]*(Table15[[#This Row],[rpm]]-Table36[maxPRpm])^2)/1.36*9550/MAX(1,Table15[[#This Row],[rpm]]))</f>
        <v>280.88235294117646</v>
      </c>
      <c r="Q16" s="3">
        <f>MAX(0,Table7[Nm2]*MIN(Table36[ratedRpm]/MAX(1,Table15[[#This Row],[rpm]]),1-(MAX(0,Table15[[#This Row],[rpm]]-Table36[ratedRpm])/Table36[fadeOut])^Table36[fadeOutExp]))</f>
        <v>195.96443228454172</v>
      </c>
      <c r="R16" s="3">
        <f>(1-(1-Table15[[#This Row],[rpm]]/Table36[idleRpm])^2)*Table7[idleTEco]</f>
        <v>-45.428571428571409</v>
      </c>
      <c r="S16" s="3">
        <f>MAX(0,(1-Table7[f1]*(Table36[maxTRpm1]-Table15[[#This Row],[rpm]])^2)*Table36[maxTEco])</f>
        <v>211.21481481481482</v>
      </c>
      <c r="T16" s="3">
        <f>MAX(0,(Table36[linearDown]*(1-Table7[f2Eco]*(Table15[[#This Row],[rpm]]-Table36[maxTRpm]))+(1-Table36[linearDown])*(1-Table7[f3Eco]*(Table15[[#This Row],[rpm]]-Table36[maxTRpm])^2))*Table36[maxTEco])</f>
        <v>211.46989858791872</v>
      </c>
      <c r="U16" s="3">
        <f>MAX(0,(Table36[maxPSEco]-Table7[f4Eco]*(Table15[[#This Row],[rpm]]-Table36[maxPRpm])^2)/1.36*9550/MAX(1,Table15[[#This Row],[rpm]]))</f>
        <v>280.88235294117646</v>
      </c>
      <c r="V16" s="3">
        <f>MAX(0,Table7[Nm2Eco]*MIN(Table36[ratedRpm]/MAX(1,Table15[[#This Row],[rpm]]),1-(MAX(0,Table15[[#This Row],[rpm]]-Table36[ratedRpm])/Table36[fadeOut])^Table36[fadeOutExp]))</f>
        <v>195.96443228454172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279.1839945280438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279.1839945280438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212</v>
      </c>
      <c r="C17" s="20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212</v>
      </c>
      <c r="E17" s="20"/>
      <c r="F17" s="3">
        <f>Table36[Factor]*IF(Table15[[#This Row],[manualData]]&gt;0,Table15[[#This Row],[manualData]],Table15[[#This Row],[rawData]])</f>
        <v>212</v>
      </c>
      <c r="G17" s="3">
        <f>Table36[Factor]*IF(Table15[[#This Row],[manDataEco]]&gt;0,Table15[[#This Row],[manDataEco]],Table15[[#This Row],[rawDataEco]])</f>
        <v>212</v>
      </c>
      <c r="H17" s="25">
        <f>1.36*Table15[[#This Row],[rpm]]*Table15[[#This Row],[motor]]/9550</f>
        <v>48.304921465968583</v>
      </c>
      <c r="I17" s="25">
        <f>1.36*Table15[[#This Row],[rpm]]*Table15[[#This Row],[motorEco]]/9550</f>
        <v>48.304921465968583</v>
      </c>
      <c r="J1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213.15673580834104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motorTorque="212" fuelUsageRatio="213.2"/&gt;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normRpm="0.696" torque="1"/&gt;</v>
      </c>
      <c r="M17" s="3">
        <f>(1-(1-Table15[[#This Row],[rpm]]/Table36[idleRpm])^2)*Table7[idleT]</f>
        <v>-96.91428571428564</v>
      </c>
      <c r="N17" s="3">
        <f>MAX(0,(1-Table7[f1]*(Table36[maxTRpm1]-Table15[[#This Row],[rpm]])^2)*Table36[maxT])</f>
        <v>212</v>
      </c>
      <c r="O17" s="3">
        <f>MAX(0,(Table36[linearDown]*(1-Table7[f2]*(Table15[[#This Row],[rpm]]-Table36[maxTRpm]))+(1-Table36[linearDown])*(1-Table7[f3]*(Table15[[#This Row],[rpm]]-Table36[maxTRpm])^2))*Table36[maxT])</f>
        <v>212</v>
      </c>
      <c r="P17" s="3">
        <f>MAX(0,(Table36[maxPS]-Table7[f4]*(Table15[[#This Row],[rpm]]-Table36[maxPRpm])^2)/1.36*9550/MAX(1,Table15[[#This Row],[rpm]]))</f>
        <v>263.32720588235293</v>
      </c>
      <c r="Q17" s="3">
        <f>MAX(0,Table7[Nm2]*MIN(Table36[ratedRpm]/MAX(1,Table15[[#This Row],[rpm]]),1-(MAX(0,Table15[[#This Row],[rpm]]-Table36[ratedRpm])/Table36[fadeOut])^Table36[fadeOutExp]))</f>
        <v>195.96443228454172</v>
      </c>
      <c r="R17" s="3">
        <f>(1-(1-Table15[[#This Row],[rpm]]/Table36[idleRpm])^2)*Table7[idleTEco]</f>
        <v>-96.91428571428564</v>
      </c>
      <c r="S17" s="3">
        <f>MAX(0,(1-Table7[f1]*(Table36[maxTRpm1]-Table15[[#This Row],[rpm]])^2)*Table36[maxTEco])</f>
        <v>212</v>
      </c>
      <c r="T17" s="3">
        <f>MAX(0,(Table36[linearDown]*(1-Table7[f2Eco]*(Table15[[#This Row],[rpm]]-Table36[maxTRpm]))+(1-Table36[linearDown])*(1-Table7[f3Eco]*(Table15[[#This Row],[rpm]]-Table36[maxTRpm])^2))*Table36[maxTEco])</f>
        <v>212</v>
      </c>
      <c r="U17" s="3">
        <f>MAX(0,(Table36[maxPSEco]-Table7[f4Eco]*(Table15[[#This Row],[rpm]]-Table36[maxPRpm])^2)/1.36*9550/MAX(1,Table15[[#This Row],[rpm]]))</f>
        <v>263.32720588235293</v>
      </c>
      <c r="V17" s="3">
        <f>MAX(0,Table7[Nm2Eco]*MIN(Table36[ratedRpm]/MAX(1,Table15[[#This Row],[rpm]]),1-(MAX(0,Table15[[#This Row],[rpm]]-Table36[ratedRpm])/Table36[fadeOut])^Table36[fadeOutExp]))</f>
        <v>195.96443228454172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261.97995041039673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261.97995041039673</v>
      </c>
      <c r="Y17" s="3">
        <f>ABS(Table15[[#This Row],[motor]]-Table15[[#This Row],[motorEco]])</f>
        <v>0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211.46989858791872</v>
      </c>
      <c r="C18" s="20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211.46989858791872</v>
      </c>
      <c r="E18" s="20"/>
      <c r="F18" s="3">
        <f>Table36[Factor]*IF(Table15[[#This Row],[manualData]]&gt;0,Table15[[#This Row],[manualData]],Table15[[#This Row],[rawData]])</f>
        <v>211.46989858791872</v>
      </c>
      <c r="G18" s="3">
        <f>Table36[Factor]*IF(Table15[[#This Row],[manDataEco]]&gt;0,Table15[[#This Row],[manDataEco]],Table15[[#This Row],[rawDataEco]])</f>
        <v>211.46989858791872</v>
      </c>
      <c r="H18" s="25">
        <f>1.36*Table15[[#This Row],[rpm]]*Table15[[#This Row],[motor]]/9550</f>
        <v>51.195644558666814</v>
      </c>
      <c r="I18" s="25">
        <f>1.36*Table15[[#This Row],[rpm]]*Table15[[#This Row],[motorEco]]/9550</f>
        <v>51.195644558666814</v>
      </c>
      <c r="J1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215.43797066983748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motorTorque="211" fuelUsageRatio="215.4"/&gt;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normRpm="0.739" torque="0.997"/&gt;</v>
      </c>
      <c r="M18" s="3">
        <f>(1-(1-Table15[[#This Row],[rpm]]/Table36[idleRpm])^2)*Table7[idleT]</f>
        <v>-154.45714285714277</v>
      </c>
      <c r="N18" s="3">
        <f>MAX(0,(1-Table7[f1]*(Table36[maxTRpm1]-Table15[[#This Row],[rpm]])^2)*Table36[maxT])</f>
        <v>211.21481481481482</v>
      </c>
      <c r="O18" s="3">
        <f>MAX(0,(Table36[linearDown]*(1-Table7[f2]*(Table15[[#This Row],[rpm]]-Table36[maxTRpm]))+(1-Table36[linearDown])*(1-Table7[f3]*(Table15[[#This Row],[rpm]]-Table36[maxTRpm])^2))*Table36[maxT])</f>
        <v>211.46989858791872</v>
      </c>
      <c r="P18" s="3">
        <f>MAX(0,(Table36[maxPS]-Table7[f4]*(Table15[[#This Row],[rpm]]-Table36[maxPRpm])^2)/1.36*9550/MAX(1,Table15[[#This Row],[rpm]]))</f>
        <v>247.83737024221452</v>
      </c>
      <c r="Q18" s="3">
        <f>MAX(0,Table7[Nm2]*MIN(Table36[ratedRpm]/MAX(1,Table15[[#This Row],[rpm]]),1-(MAX(0,Table15[[#This Row],[rpm]]-Table36[ratedRpm])/Table36[fadeOut])^Table36[fadeOutExp]))</f>
        <v>195.96443228454172</v>
      </c>
      <c r="R18" s="3">
        <f>(1-(1-Table15[[#This Row],[rpm]]/Table36[idleRpm])^2)*Table7[idleTEco]</f>
        <v>-154.45714285714277</v>
      </c>
      <c r="S18" s="3">
        <f>MAX(0,(1-Table7[f1]*(Table36[maxTRpm1]-Table15[[#This Row],[rpm]])^2)*Table36[maxTEco])</f>
        <v>211.21481481481482</v>
      </c>
      <c r="T18" s="3">
        <f>MAX(0,(Table36[linearDown]*(1-Table7[f2Eco]*(Table15[[#This Row],[rpm]]-Table36[maxTRpm]))+(1-Table36[linearDown])*(1-Table7[f3Eco]*(Table15[[#This Row],[rpm]]-Table36[maxTRpm])^2))*Table36[maxTEco])</f>
        <v>211.46989858791872</v>
      </c>
      <c r="U18" s="3">
        <f>MAX(0,(Table36[maxPSEco]-Table7[f4Eco]*(Table15[[#This Row],[rpm]]-Table36[maxPRpm])^2)/1.36*9550/MAX(1,Table15[[#This Row],[rpm]]))</f>
        <v>247.83737024221452</v>
      </c>
      <c r="V18" s="3">
        <f>MAX(0,Table7[Nm2Eco]*MIN(Table36[ratedRpm]/MAX(1,Table15[[#This Row],[rpm]]),1-(MAX(0,Table15[[#This Row],[rpm]]-Table36[ratedRpm])/Table36[fadeOut])^Table36[fadeOutExp]))</f>
        <v>195.96443228454172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246.79991148306107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246.79991148306107</v>
      </c>
      <c r="Y18" s="3">
        <f>ABS(Table15[[#This Row],[motor]]-Table15[[#This Row],[motorEco]])</f>
        <v>0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209.87959435167494</v>
      </c>
      <c r="C19" s="20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209.87959435167494</v>
      </c>
      <c r="E19" s="20"/>
      <c r="F19" s="3">
        <f>Table36[Factor]*IF(Table15[[#This Row],[manualData]]&gt;0,Table15[[#This Row],[manualData]],Table15[[#This Row],[rawData]])</f>
        <v>209.87959435167494</v>
      </c>
      <c r="G19" s="3">
        <f>Table36[Factor]*IF(Table15[[#This Row],[manDataEco]]&gt;0,Table15[[#This Row],[manDataEco]],Table15[[#This Row],[rawDataEco]])</f>
        <v>209.87959435167494</v>
      </c>
      <c r="H19" s="25">
        <f>1.36*Table15[[#This Row],[rpm]]*Table15[[#This Row],[motor]]/9550</f>
        <v>53.79950230082725</v>
      </c>
      <c r="I19" s="25">
        <f>1.36*Table15[[#This Row],[rpm]]*Table15[[#This Row],[motorEco]]/9550</f>
        <v>53.79950230082725</v>
      </c>
      <c r="J1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218.33575549390056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motorTorque="210" fuelUsageRatio="218.3"/&gt;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normRpm="0.783" torque="0.99"/&gt;</v>
      </c>
      <c r="M19" s="3">
        <f>(1-(1-Table15[[#This Row],[rpm]]/Table36[idleRpm])^2)*Table7[idleT]</f>
        <v>-218.05714285714294</v>
      </c>
      <c r="N19" s="3">
        <f>MAX(0,(1-Table7[f1]*(Table36[maxTRpm1]-Table15[[#This Row],[rpm]])^2)*Table36[maxT])</f>
        <v>208.85925925925926</v>
      </c>
      <c r="O19" s="3">
        <f>MAX(0,(Table36[linearDown]*(1-Table7[f2]*(Table15[[#This Row],[rpm]]-Table36[maxTRpm]))+(1-Table36[linearDown])*(1-Table7[f3]*(Table15[[#This Row],[rpm]]-Table36[maxTRpm])^2))*Table36[maxT])</f>
        <v>209.87959435167494</v>
      </c>
      <c r="P19" s="3">
        <f>MAX(0,(Table36[maxPS]-Table7[f4]*(Table15[[#This Row],[rpm]]-Table36[maxPRpm])^2)/1.36*9550/MAX(1,Table15[[#This Row],[rpm]]))</f>
        <v>234.06862745098039</v>
      </c>
      <c r="Q19" s="3">
        <f>MAX(0,Table7[Nm2]*MIN(Table36[ratedRpm]/MAX(1,Table15[[#This Row],[rpm]]),1-(MAX(0,Table15[[#This Row],[rpm]]-Table36[ratedRpm])/Table36[fadeOut])^Table36[fadeOutExp]))</f>
        <v>195.96443228454172</v>
      </c>
      <c r="R19" s="3">
        <f>(1-(1-Table15[[#This Row],[rpm]]/Table36[idleRpm])^2)*Table7[idleTEco]</f>
        <v>-218.05714285714294</v>
      </c>
      <c r="S19" s="3">
        <f>MAX(0,(1-Table7[f1]*(Table36[maxTRpm1]-Table15[[#This Row],[rpm]])^2)*Table36[maxTEco])</f>
        <v>208.85925925925926</v>
      </c>
      <c r="T19" s="3">
        <f>MAX(0,(Table36[linearDown]*(1-Table7[f2Eco]*(Table15[[#This Row],[rpm]]-Table36[maxTRpm]))+(1-Table36[linearDown])*(1-Table7[f3Eco]*(Table15[[#This Row],[rpm]]-Table36[maxTRpm])^2))*Table36[maxTEco])</f>
        <v>209.87959435167494</v>
      </c>
      <c r="U19" s="3">
        <f>MAX(0,(Table36[maxPSEco]-Table7[f4Eco]*(Table15[[#This Row],[rpm]]-Table36[maxPRpm])^2)/1.36*9550/MAX(1,Table15[[#This Row],[rpm]]))</f>
        <v>234.06862745098039</v>
      </c>
      <c r="V19" s="3">
        <f>MAX(0,Table7[Nm2Eco]*MIN(Table36[ratedRpm]/MAX(1,Table15[[#This Row],[rpm]]),1-(MAX(0,Table15[[#This Row],[rpm]]-Table36[ratedRpm])/Table36[fadeOut])^Table36[fadeOutExp]))</f>
        <v>195.96443228454172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233.30654354765161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233.30654354765161</v>
      </c>
      <c r="Y19" s="3">
        <f>ABS(Table15[[#This Row],[motor]]-Table15[[#This Row],[motorEco]])</f>
        <v>0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208.68686617449208</v>
      </c>
      <c r="C20" s="20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208.68686617449208</v>
      </c>
      <c r="E20" s="20"/>
      <c r="F20" s="3">
        <f>Table36[Factor]*IF(Table15[[#This Row],[manualData]]&gt;0,Table15[[#This Row],[manualData]],Table15[[#This Row],[rawData]])</f>
        <v>208.68686617449208</v>
      </c>
      <c r="G20" s="3">
        <f>Table36[Factor]*IF(Table15[[#This Row],[manDataEco]]&gt;0,Table15[[#This Row],[manDataEco]],Table15[[#This Row],[rawDataEco]])</f>
        <v>208.68686617449208</v>
      </c>
      <c r="H20" s="25">
        <f>1.36*Table15[[#This Row],[rpm]]*Table15[[#This Row],[motor]]/9550</f>
        <v>54.979702125133201</v>
      </c>
      <c r="I20" s="25">
        <f>1.36*Table15[[#This Row],[rpm]]*Table15[[#This Row],[motorEco]]/9550</f>
        <v>54.979702125133201</v>
      </c>
      <c r="J2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220.01585414189455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motorTorque="209" fuelUsageRatio="220"/&gt;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normRpm="0.804" torque="0.984"/&gt;</v>
      </c>
      <c r="M20" s="3">
        <f>(1-(1-Table15[[#This Row],[rpm]]/Table36[idleRpm])^2)*Table7[idleT]</f>
        <v>-252.12857142857132</v>
      </c>
      <c r="N20" s="3">
        <f>MAX(0,(1-Table7[f1]*(Table36[maxTRpm1]-Table15[[#This Row],[rpm]])^2)*Table36[maxT])</f>
        <v>207.09259259259258</v>
      </c>
      <c r="O20" s="3">
        <f>MAX(0,(Table36[linearDown]*(1-Table7[f2]*(Table15[[#This Row],[rpm]]-Table36[maxTRpm]))+(1-Table36[linearDown])*(1-Table7[f3]*(Table15[[#This Row],[rpm]]-Table36[maxTRpm])^2))*Table36[maxT])</f>
        <v>208.68686617449208</v>
      </c>
      <c r="P20" s="3">
        <f>MAX(0,(Table36[maxPS]-Table7[f4]*(Table15[[#This Row],[rpm]]-Table36[maxPRpm])^2)/1.36*9550/MAX(1,Table15[[#This Row],[rpm]]))</f>
        <v>227.74244833068363</v>
      </c>
      <c r="Q20" s="3">
        <f>MAX(0,Table7[Nm2]*MIN(Table36[ratedRpm]/MAX(1,Table15[[#This Row],[rpm]]),1-(MAX(0,Table15[[#This Row],[rpm]]-Table36[ratedRpm])/Table36[fadeOut])^Table36[fadeOutExp]))</f>
        <v>195.96443228454172</v>
      </c>
      <c r="R20" s="3">
        <f>(1-(1-Table15[[#This Row],[rpm]]/Table36[idleRpm])^2)*Table7[idleTEco]</f>
        <v>-252.12857142857132</v>
      </c>
      <c r="S20" s="3">
        <f>MAX(0,(1-Table7[f1]*(Table36[maxTRpm1]-Table15[[#This Row],[rpm]])^2)*Table36[maxTEco])</f>
        <v>207.09259259259258</v>
      </c>
      <c r="T20" s="3">
        <f>MAX(0,(Table36[linearDown]*(1-Table7[f2Eco]*(Table15[[#This Row],[rpm]]-Table36[maxTRpm]))+(1-Table36[linearDown])*(1-Table7[f3Eco]*(Table15[[#This Row],[rpm]]-Table36[maxTRpm])^2))*Table36[maxTEco])</f>
        <v>208.68686617449208</v>
      </c>
      <c r="U20" s="3">
        <f>MAX(0,(Table36[maxPSEco]-Table7[f4Eco]*(Table15[[#This Row],[rpm]]-Table36[maxPRpm])^2)/1.36*9550/MAX(1,Table15[[#This Row],[rpm]]))</f>
        <v>227.74244833068363</v>
      </c>
      <c r="V20" s="3">
        <f>MAX(0,Table7[Nm2Eco]*MIN(Table36[ratedRpm]/MAX(1,Table15[[#This Row],[rpm]]),1-(MAX(0,Table15[[#This Row],[rpm]]-Table36[ratedRpm])/Table36[fadeOut])^Table36[fadeOutExp]))</f>
        <v>195.96443228454172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227.10688800976081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227.10688800976081</v>
      </c>
      <c r="Y20" s="3">
        <f>ABS(Table15[[#This Row],[motor]]-Table15[[#This Row],[motorEco]])</f>
        <v>0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207.22908729126863</v>
      </c>
      <c r="C21" s="20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207.22908729126863</v>
      </c>
      <c r="E21" s="20"/>
      <c r="F21" s="3">
        <f>Table36[Factor]*IF(Table15[[#This Row],[manualData]]&gt;0,Table15[[#This Row],[manualData]],Table15[[#This Row],[rawData]])</f>
        <v>207.22908729126863</v>
      </c>
      <c r="G21" s="3">
        <f>Table36[Factor]*IF(Table15[[#This Row],[manDataEco]]&gt;0,Table15[[#This Row],[manDataEco]],Table15[[#This Row],[rawDataEco]])</f>
        <v>207.22908729126863</v>
      </c>
      <c r="H21" s="25">
        <f>1.36*Table15[[#This Row],[rpm]]*Table15[[#This Row],[motor]]/9550</f>
        <v>56.071200163417608</v>
      </c>
      <c r="I21" s="25">
        <f>1.36*Table15[[#This Row],[rpm]]*Table15[[#This Row],[motorEco]]/9550</f>
        <v>56.071200163417608</v>
      </c>
      <c r="J2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221.85009028053022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motorTorque="207" fuelUsageRatio="221.9"/&gt;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normRpm="0.826" torque="0.977"/&gt;</v>
      </c>
      <c r="M21" s="3">
        <f>(1-(1-Table15[[#This Row],[rpm]]/Table36[idleRpm])^2)*Table7[idleT]</f>
        <v>-287.71428571428578</v>
      </c>
      <c r="N21" s="3">
        <f>MAX(0,(1-Table7[f1]*(Table36[maxTRpm1]-Table15[[#This Row],[rpm]])^2)*Table36[maxT])</f>
        <v>204.93333333333334</v>
      </c>
      <c r="O21" s="3">
        <f>MAX(0,(Table36[linearDown]*(1-Table7[f2]*(Table15[[#This Row],[rpm]]-Table36[maxTRpm]))+(1-Table36[linearDown])*(1-Table7[f3]*(Table15[[#This Row],[rpm]]-Table36[maxTRpm])^2))*Table36[maxT])</f>
        <v>207.22908729126863</v>
      </c>
      <c r="P21" s="3">
        <f>MAX(0,(Table36[maxPS]-Table7[f4]*(Table15[[#This Row],[rpm]]-Table36[maxPRpm])^2)/1.36*9550/MAX(1,Table15[[#This Row],[rpm]]))</f>
        <v>221.74922600619195</v>
      </c>
      <c r="Q21" s="3">
        <f>MAX(0,Table7[Nm2]*MIN(Table36[ratedRpm]/MAX(1,Table15[[#This Row],[rpm]]),1-(MAX(0,Table15[[#This Row],[rpm]]-Table36[ratedRpm])/Table36[fadeOut])^Table36[fadeOutExp]))</f>
        <v>195.96443228454172</v>
      </c>
      <c r="R21" s="3">
        <f>(1-(1-Table15[[#This Row],[rpm]]/Table36[idleRpm])^2)*Table7[idleTEco]</f>
        <v>-287.71428571428578</v>
      </c>
      <c r="S21" s="3">
        <f>MAX(0,(1-Table7[f1]*(Table36[maxTRpm1]-Table15[[#This Row],[rpm]])^2)*Table36[maxTEco])</f>
        <v>204.93333333333334</v>
      </c>
      <c r="T21" s="3">
        <f>MAX(0,(Table36[linearDown]*(1-Table7[f2Eco]*(Table15[[#This Row],[rpm]]-Table36[maxTRpm]))+(1-Table36[linearDown])*(1-Table7[f3Eco]*(Table15[[#This Row],[rpm]]-Table36[maxTRpm])^2))*Table36[maxTEco])</f>
        <v>207.22908729126863</v>
      </c>
      <c r="U21" s="3">
        <f>MAX(0,(Table36[maxPSEco]-Table7[f4Eco]*(Table15[[#This Row],[rpm]]-Table36[maxPRpm])^2)/1.36*9550/MAX(1,Table15[[#This Row],[rpm]]))</f>
        <v>221.74922600619195</v>
      </c>
      <c r="V21" s="3">
        <f>MAX(0,Table7[Nm2Eco]*MIN(Table36[ratedRpm]/MAX(1,Table15[[#This Row],[rpm]]),1-(MAX(0,Table15[[#This Row],[rpm]]-Table36[ratedRpm])/Table36[fadeOut])^Table36[fadeOutExp]))</f>
        <v>195.96443228454172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221.23353013175893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221.23353013175893</v>
      </c>
      <c r="Y21" s="3">
        <f>ABS(Table15[[#This Row],[motor]]-Table15[[#This Row],[motorEco]])</f>
        <v>0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205.50625770200449</v>
      </c>
      <c r="C22" s="20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205.50625770200449</v>
      </c>
      <c r="E22" s="20"/>
      <c r="F22" s="3">
        <f>Table36[Factor]*IF(Table15[[#This Row],[manualData]]&gt;0,Table15[[#This Row],[manualData]],Table15[[#This Row],[rawData]])</f>
        <v>205.50625770200449</v>
      </c>
      <c r="G22" s="3">
        <f>Table36[Factor]*IF(Table15[[#This Row],[manDataEco]]&gt;0,Table15[[#This Row],[manDataEco]],Table15[[#This Row],[rawDataEco]])</f>
        <v>205.50625770200449</v>
      </c>
      <c r="H22" s="25">
        <f>1.36*Table15[[#This Row],[rpm]]*Table15[[#This Row],[motor]]/9550</f>
        <v>57.068334599551406</v>
      </c>
      <c r="I22" s="25">
        <f>1.36*Table15[[#This Row],[rpm]]*Table15[[#This Row],[motorEco]]/9550</f>
        <v>57.068334599551406</v>
      </c>
      <c r="J2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223.83846390980753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motorTorque="206" fuelUsageRatio="223.8"/&gt;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normRpm="0.848" torque="0.969"/&gt;</v>
      </c>
      <c r="M22" s="3">
        <f>(1-(1-Table15[[#This Row],[rpm]]/Table36[idleRpm])^2)*Table7[idleT]</f>
        <v>-324.81428571428563</v>
      </c>
      <c r="N22" s="3">
        <f>MAX(0,(1-Table7[f1]*(Table36[maxTRpm1]-Table15[[#This Row],[rpm]])^2)*Table36[maxT])</f>
        <v>202.38148148148147</v>
      </c>
      <c r="O22" s="3">
        <f>MAX(0,(Table36[linearDown]*(1-Table7[f2]*(Table15[[#This Row],[rpm]]-Table36[maxTRpm]))+(1-Table36[linearDown])*(1-Table7[f3]*(Table15[[#This Row],[rpm]]-Table36[maxTRpm])^2))*Table36[maxT])</f>
        <v>205.50625770200449</v>
      </c>
      <c r="P22" s="3">
        <f>MAX(0,(Table36[maxPS]-Table7[f4]*(Table15[[#This Row],[rpm]]-Table36[maxPRpm])^2)/1.36*9550/MAX(1,Table15[[#This Row],[rpm]]))</f>
        <v>216.06334841628959</v>
      </c>
      <c r="Q22" s="3">
        <f>MAX(0,Table7[Nm2]*MIN(Table36[ratedRpm]/MAX(1,Table15[[#This Row],[rpm]]),1-(MAX(0,Table15[[#This Row],[rpm]]-Table36[ratedRpm])/Table36[fadeOut])^Table36[fadeOutExp]))</f>
        <v>195.96443228454172</v>
      </c>
      <c r="R22" s="3">
        <f>(1-(1-Table15[[#This Row],[rpm]]/Table36[idleRpm])^2)*Table7[idleTEco]</f>
        <v>-324.81428571428563</v>
      </c>
      <c r="S22" s="3">
        <f>MAX(0,(1-Table7[f1]*(Table36[maxTRpm1]-Table15[[#This Row],[rpm]])^2)*Table36[maxTEco])</f>
        <v>202.38148148148147</v>
      </c>
      <c r="T22" s="3">
        <f>MAX(0,(Table36[linearDown]*(1-Table7[f2Eco]*(Table15[[#This Row],[rpm]]-Table36[maxTRpm]))+(1-Table36[linearDown])*(1-Table7[f3Eco]*(Table15[[#This Row],[rpm]]-Table36[maxTRpm])^2))*Table36[maxTEco])</f>
        <v>205.50625770200449</v>
      </c>
      <c r="U22" s="3">
        <f>MAX(0,(Table36[maxPSEco]-Table7[f4Eco]*(Table15[[#This Row],[rpm]]-Table36[maxPRpm])^2)/1.36*9550/MAX(1,Table15[[#This Row],[rpm]]))</f>
        <v>216.06334841628959</v>
      </c>
      <c r="V22" s="3">
        <f>MAX(0,Table7[Nm2Eco]*MIN(Table36[ratedRpm]/MAX(1,Table15[[#This Row],[rpm]]),1-(MAX(0,Table15[[#This Row],[rpm]]-Table36[ratedRpm])/Table36[fadeOut])^Table36[fadeOutExp]))</f>
        <v>195.96443228454172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215.66137009365463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215.66137009365463</v>
      </c>
      <c r="Y22" s="3">
        <f>ABS(Table15[[#This Row],[motor]]-Table15[[#This Row],[motorEco]])</f>
        <v>0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203.51837740669976</v>
      </c>
      <c r="C23" s="20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203.51837740669976</v>
      </c>
      <c r="E23" s="20"/>
      <c r="F23" s="3">
        <f>Table36[Factor]*IF(Table15[[#This Row],[manualData]]&gt;0,Table15[[#This Row],[manualData]],Table15[[#This Row],[rawData]])</f>
        <v>203.51837740669976</v>
      </c>
      <c r="G23" s="3">
        <f>Table36[Factor]*IF(Table15[[#This Row],[manDataEco]]&gt;0,Table15[[#This Row],[manDataEco]],Table15[[#This Row],[rawDataEco]])</f>
        <v>203.51837740669976</v>
      </c>
      <c r="H23" s="25">
        <f>1.36*Table15[[#This Row],[rpm]]*Table15[[#This Row],[motor]]/9550</f>
        <v>57.965443617405576</v>
      </c>
      <c r="I23" s="25">
        <f>1.36*Table15[[#This Row],[rpm]]*Table15[[#This Row],[motorEco]]/9550</f>
        <v>57.965443617405576</v>
      </c>
      <c r="J2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225.98097502972649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motorTorque="204" fuelUsageRatio="226"/&gt;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normRpm="0.87" torque="0.96"/&gt;</v>
      </c>
      <c r="M23" s="3">
        <f>(1-(1-Table15[[#This Row],[rpm]]/Table36[idleRpm])^2)*Table7[idleT]</f>
        <v>-363.42857142857139</v>
      </c>
      <c r="N23" s="3">
        <f>MAX(0,(1-Table7[f1]*(Table36[maxTRpm1]-Table15[[#This Row],[rpm]])^2)*Table36[maxT])</f>
        <v>199.43703703703704</v>
      </c>
      <c r="O23" s="3">
        <f>MAX(0,(Table36[linearDown]*(1-Table7[f2]*(Table15[[#This Row],[rpm]]-Table36[maxTRpm]))+(1-Table36[linearDown])*(1-Table7[f3]*(Table15[[#This Row],[rpm]]-Table36[maxTRpm])^2))*Table36[maxT])</f>
        <v>203.51837740669976</v>
      </c>
      <c r="P23" s="3">
        <f>MAX(0,(Table36[maxPS]-Table7[f4]*(Table15[[#This Row],[rpm]]-Table36[maxPRpm])^2)/1.36*9550/MAX(1,Table15[[#This Row],[rpm]]))</f>
        <v>210.66176470588235</v>
      </c>
      <c r="Q23" s="3">
        <f>MAX(0,Table7[Nm2]*MIN(Table36[ratedRpm]/MAX(1,Table15[[#This Row],[rpm]]),1-(MAX(0,Table15[[#This Row],[rpm]]-Table36[ratedRpm])/Table36[fadeOut])^Table36[fadeOutExp]))</f>
        <v>195.96443228454172</v>
      </c>
      <c r="R23" s="3">
        <f>(1-(1-Table15[[#This Row],[rpm]]/Table36[idleRpm])^2)*Table7[idleTEco]</f>
        <v>-363.42857142857139</v>
      </c>
      <c r="S23" s="3">
        <f>MAX(0,(1-Table7[f1]*(Table36[maxTRpm1]-Table15[[#This Row],[rpm]])^2)*Table36[maxTEco])</f>
        <v>199.43703703703704</v>
      </c>
      <c r="T23" s="3">
        <f>MAX(0,(Table36[linearDown]*(1-Table7[f2Eco]*(Table15[[#This Row],[rpm]]-Table36[maxTRpm]))+(1-Table36[linearDown])*(1-Table7[f3Eco]*(Table15[[#This Row],[rpm]]-Table36[maxTRpm])^2))*Table36[maxTEco])</f>
        <v>203.51837740669976</v>
      </c>
      <c r="U23" s="3">
        <f>MAX(0,(Table36[maxPSEco]-Table7[f4Eco]*(Table15[[#This Row],[rpm]]-Table36[maxPRpm])^2)/1.36*9550/MAX(1,Table15[[#This Row],[rpm]]))</f>
        <v>210.66176470588235</v>
      </c>
      <c r="V23" s="3">
        <f>MAX(0,Table7[Nm2Eco]*MIN(Table36[ratedRpm]/MAX(1,Table15[[#This Row],[rpm]]),1-(MAX(0,Table15[[#This Row],[rpm]]-Table36[ratedRpm])/Table36[fadeOut])^Table36[fadeOutExp]))</f>
        <v>195.96443228454172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210.36781805745551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210.36781805745551</v>
      </c>
      <c r="Y23" s="3">
        <f>ABS(Table15[[#This Row],[motor]]-Table15[[#This Row],[motorEco]])</f>
        <v>0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201.26544640535437</v>
      </c>
      <c r="C24" s="20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201.26544640535437</v>
      </c>
      <c r="E24" s="20"/>
      <c r="F24" s="3">
        <f>Table36[Factor]*IF(Table15[[#This Row],[manualData]]&gt;0,Table15[[#This Row],[manualData]],Table15[[#This Row],[rawData]])</f>
        <v>201.26544640535437</v>
      </c>
      <c r="G24" s="3">
        <f>Table36[Factor]*IF(Table15[[#This Row],[manDataEco]]&gt;0,Table15[[#This Row],[manDataEco]],Table15[[#This Row],[rawDataEco]])</f>
        <v>201.26544640535437</v>
      </c>
      <c r="H24" s="25">
        <f>1.36*Table15[[#This Row],[rpm]]*Table15[[#This Row],[motor]]/9550</f>
        <v>58.75686540085109</v>
      </c>
      <c r="I24" s="25">
        <f>1.36*Table15[[#This Row],[rpm]]*Table15[[#This Row],[motorEco]]/9550</f>
        <v>58.75686540085109</v>
      </c>
      <c r="J2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228.27762364028712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motorTorque="201" fuelUsageRatio="228.3"/&gt;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normRpm="0.891" torque="0.949"/&gt;</v>
      </c>
      <c r="M24" s="3">
        <f>(1-(1-Table15[[#This Row],[rpm]]/Table36[idleRpm])^2)*Table7[idleT]</f>
        <v>-403.55714285714271</v>
      </c>
      <c r="N24" s="3">
        <f>MAX(0,(1-Table7[f1]*(Table36[maxTRpm1]-Table15[[#This Row],[rpm]])^2)*Table36[maxT])</f>
        <v>196.10000000000002</v>
      </c>
      <c r="O24" s="3">
        <f>MAX(0,(Table36[linearDown]*(1-Table7[f2]*(Table15[[#This Row],[rpm]]-Table36[maxTRpm]))+(1-Table36[linearDown])*(1-Table7[f3]*(Table15[[#This Row],[rpm]]-Table36[maxTRpm])^2))*Table36[maxT])</f>
        <v>201.26544640535437</v>
      </c>
      <c r="P24" s="3">
        <f>MAX(0,(Table36[maxPS]-Table7[f4]*(Table15[[#This Row],[rpm]]-Table36[maxPRpm])^2)/1.36*9550/MAX(1,Table15[[#This Row],[rpm]]))</f>
        <v>205.52367288378767</v>
      </c>
      <c r="Q24" s="3">
        <f>MAX(0,Table7[Nm2]*MIN(Table36[ratedRpm]/MAX(1,Table15[[#This Row],[rpm]]),1-(MAX(0,Table15[[#This Row],[rpm]]-Table36[ratedRpm])/Table36[fadeOut])^Table36[fadeOutExp]))</f>
        <v>195.96443228454172</v>
      </c>
      <c r="R24" s="3">
        <f>(1-(1-Table15[[#This Row],[rpm]]/Table36[idleRpm])^2)*Table7[idleTEco]</f>
        <v>-403.55714285714271</v>
      </c>
      <c r="S24" s="3">
        <f>MAX(0,(1-Table7[f1]*(Table36[maxTRpm1]-Table15[[#This Row],[rpm]])^2)*Table36[maxTEco])</f>
        <v>196.10000000000002</v>
      </c>
      <c r="T24" s="3">
        <f>MAX(0,(Table36[linearDown]*(1-Table7[f2Eco]*(Table15[[#This Row],[rpm]]-Table36[maxTRpm]))+(1-Table36[linearDown])*(1-Table7[f3Eco]*(Table15[[#This Row],[rpm]]-Table36[maxTRpm])^2))*Table36[maxTEco])</f>
        <v>201.26544640535437</v>
      </c>
      <c r="U24" s="3">
        <f>MAX(0,(Table36[maxPSEco]-Table7[f4Eco]*(Table15[[#This Row],[rpm]]-Table36[maxPRpm])^2)/1.36*9550/MAX(1,Table15[[#This Row],[rpm]]))</f>
        <v>205.52367288378767</v>
      </c>
      <c r="V24" s="3">
        <f>MAX(0,Table7[Nm2Eco]*MIN(Table36[ratedRpm]/MAX(1,Table15[[#This Row],[rpm]]),1-(MAX(0,Table15[[#This Row],[rpm]]-Table36[ratedRpm])/Table36[fadeOut])^Table36[fadeOutExp]))</f>
        <v>195.96443228454172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205.33248807180274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205.33248807180274</v>
      </c>
      <c r="Y24" s="3">
        <f>ABS(Table15[[#This Row],[motor]]-Table15[[#This Row],[motorEco]])</f>
        <v>0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198.74746469796835</v>
      </c>
      <c r="C25" s="20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198.74746469796835</v>
      </c>
      <c r="E25" s="20"/>
      <c r="F25" s="3">
        <f>Table36[Factor]*IF(Table15[[#This Row],[manualData]]&gt;0,Table15[[#This Row],[manualData]],Table15[[#This Row],[rawData]])</f>
        <v>198.74746469796835</v>
      </c>
      <c r="G25" s="3">
        <f>Table36[Factor]*IF(Table15[[#This Row],[manDataEco]]&gt;0,Table15[[#This Row],[manDataEco]],Table15[[#This Row],[rawDataEco]])</f>
        <v>198.74746469796835</v>
      </c>
      <c r="H25" s="25">
        <f>1.36*Table15[[#This Row],[rpm]]*Table15[[#This Row],[motor]]/9550</f>
        <v>59.436938133758908</v>
      </c>
      <c r="I25" s="25">
        <f>1.36*Table15[[#This Row],[rpm]]*Table15[[#This Row],[motorEco]]/9550</f>
        <v>59.436938133758908</v>
      </c>
      <c r="J2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230.7284097414894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motorTorque="199" fuelUsageRatio="230.7"/&gt;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normRpm="0.913" torque="0.937"/&gt;</v>
      </c>
      <c r="M25" s="3">
        <f>(1-(1-Table15[[#This Row],[rpm]]/Table36[idleRpm])^2)*Table7[idleT]</f>
        <v>-445.19999999999993</v>
      </c>
      <c r="N25" s="3">
        <f>MAX(0,(1-Table7[f1]*(Table36[maxTRpm1]-Table15[[#This Row],[rpm]])^2)*Table36[maxT])</f>
        <v>192.37037037037038</v>
      </c>
      <c r="O25" s="3">
        <f>MAX(0,(Table36[linearDown]*(1-Table7[f2]*(Table15[[#This Row],[rpm]]-Table36[maxTRpm]))+(1-Table36[linearDown])*(1-Table7[f3]*(Table15[[#This Row],[rpm]]-Table36[maxTRpm])^2))*Table36[maxT])</f>
        <v>198.74746469796835</v>
      </c>
      <c r="P25" s="3">
        <f>MAX(0,(Table36[maxPS]-Table7[f4]*(Table15[[#This Row],[rpm]]-Table36[maxPRpm])^2)/1.36*9550/MAX(1,Table15[[#This Row],[rpm]]))</f>
        <v>200.63025210084032</v>
      </c>
      <c r="Q25" s="3">
        <f>MAX(0,Table7[Nm2]*MIN(Table36[ratedRpm]/MAX(1,Table15[[#This Row],[rpm]]),1-(MAX(0,Table15[[#This Row],[rpm]]-Table36[ratedRpm])/Table36[fadeOut])^Table36[fadeOutExp]))</f>
        <v>195.96443228454172</v>
      </c>
      <c r="R25" s="3">
        <f>(1-(1-Table15[[#This Row],[rpm]]/Table36[idleRpm])^2)*Table7[idleTEco]</f>
        <v>-445.19999999999993</v>
      </c>
      <c r="S25" s="3">
        <f>MAX(0,(1-Table7[f1]*(Table36[maxTRpm1]-Table15[[#This Row],[rpm]])^2)*Table36[maxTEco])</f>
        <v>192.37037037037038</v>
      </c>
      <c r="T25" s="3">
        <f>MAX(0,(Table36[linearDown]*(1-Table7[f2Eco]*(Table15[[#This Row],[rpm]]-Table36[maxTRpm]))+(1-Table36[linearDown])*(1-Table7[f3Eco]*(Table15[[#This Row],[rpm]]-Table36[maxTRpm])^2))*Table36[maxTEco])</f>
        <v>198.74746469796835</v>
      </c>
      <c r="U25" s="3">
        <f>MAX(0,(Table36[maxPSEco]-Table7[f4Eco]*(Table15[[#This Row],[rpm]]-Table36[maxPRpm])^2)/1.36*9550/MAX(1,Table15[[#This Row],[rpm]]))</f>
        <v>200.63025210084032</v>
      </c>
      <c r="V25" s="3">
        <f>MAX(0,Table7[Nm2Eco]*MIN(Table36[ratedRpm]/MAX(1,Table15[[#This Row],[rpm]]),1-(MAX(0,Table15[[#This Row],[rpm]]-Table36[ratedRpm])/Table36[fadeOut])^Table36[fadeOutExp]))</f>
        <v>195.96443228454172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200.53693570451432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200.53693570451432</v>
      </c>
      <c r="Y25" s="3">
        <f>ABS(Table15[[#This Row],[motor]]-Table15[[#This Row],[motorEco]])</f>
        <v>0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195.96443228454172</v>
      </c>
      <c r="C26" s="20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195.96443228454172</v>
      </c>
      <c r="E26" s="20"/>
      <c r="F26" s="3">
        <f>Table36[Factor]*IF(Table15[[#This Row],[manualData]]&gt;0,Table15[[#This Row],[manualData]],Table15[[#This Row],[rawData]])</f>
        <v>195.96443228454172</v>
      </c>
      <c r="G26" s="3">
        <f>Table36[Factor]*IF(Table15[[#This Row],[manDataEco]]&gt;0,Table15[[#This Row],[manDataEco]],Table15[[#This Row],[rawDataEco]])</f>
        <v>195.96443228454172</v>
      </c>
      <c r="H26" s="25">
        <f>1.36*Table15[[#This Row],[rpm]]*Table15[[#This Row],[motor]]/9550</f>
        <v>60</v>
      </c>
      <c r="I26" s="25">
        <f>1.36*Table15[[#This Row],[rpm]]*Table15[[#This Row],[motorEco]]/9550</f>
        <v>60</v>
      </c>
      <c r="J2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233.33333333333331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motorTorque="196" fuelUsageRatio="233.3"/&gt;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normRpm="0.935" torque="0.924"/&gt;</v>
      </c>
      <c r="M26" s="3">
        <f>(1-(1-Table15[[#This Row],[rpm]]/Table36[idleRpm])^2)*Table7[idleT]</f>
        <v>-488.35714285714283</v>
      </c>
      <c r="N26" s="3">
        <f>MAX(0,(1-Table7[f1]*(Table36[maxTRpm1]-Table15[[#This Row],[rpm]])^2)*Table36[maxT])</f>
        <v>188.24814814814815</v>
      </c>
      <c r="O26" s="3">
        <f>MAX(0,(Table36[linearDown]*(1-Table7[f2]*(Table15[[#This Row],[rpm]]-Table36[maxTRpm]))+(1-Table36[linearDown])*(1-Table7[f3]*(Table15[[#This Row],[rpm]]-Table36[maxTRpm])^2))*Table36[maxT])</f>
        <v>195.96443228454172</v>
      </c>
      <c r="P26" s="3">
        <f>MAX(0,(Table36[maxPS]-Table7[f4]*(Table15[[#This Row],[rpm]]-Table36[maxPRpm])^2)/1.36*9550/MAX(1,Table15[[#This Row],[rpm]]))</f>
        <v>195.96443228454172</v>
      </c>
      <c r="Q26" s="3">
        <f>MAX(0,Table7[Nm2]*MIN(Table36[ratedRpm]/MAX(1,Table15[[#This Row],[rpm]]),1-(MAX(0,Table15[[#This Row],[rpm]]-Table36[ratedRpm])/Table36[fadeOut])^Table36[fadeOutExp]))</f>
        <v>195.96443228454172</v>
      </c>
      <c r="R26" s="3">
        <f>(1-(1-Table15[[#This Row],[rpm]]/Table36[idleRpm])^2)*Table7[idleTEco]</f>
        <v>-488.35714285714283</v>
      </c>
      <c r="S26" s="3">
        <f>MAX(0,(1-Table7[f1]*(Table36[maxTRpm1]-Table15[[#This Row],[rpm]])^2)*Table36[maxTEco])</f>
        <v>188.24814814814815</v>
      </c>
      <c r="T26" s="3">
        <f>MAX(0,(Table36[linearDown]*(1-Table7[f2Eco]*(Table15[[#This Row],[rpm]]-Table36[maxTRpm]))+(1-Table36[linearDown])*(1-Table7[f3Eco]*(Table15[[#This Row],[rpm]]-Table36[maxTRpm])^2))*Table36[maxTEco])</f>
        <v>195.96443228454172</v>
      </c>
      <c r="U26" s="3">
        <f>MAX(0,(Table36[maxPSEco]-Table7[f4Eco]*(Table15[[#This Row],[rpm]]-Table36[maxPRpm])^2)/1.36*9550/MAX(1,Table15[[#This Row],[rpm]]))</f>
        <v>195.96443228454172</v>
      </c>
      <c r="V26" s="3">
        <f>MAX(0,Table7[Nm2Eco]*MIN(Table36[ratedRpm]/MAX(1,Table15[[#This Row],[rpm]]),1-(MAX(0,Table15[[#This Row],[rpm]]-Table36[ratedRpm])/Table36[fadeOut])^Table36[fadeOutExp]))</f>
        <v>195.96443228454172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195.96443228454172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195.96443228454172</v>
      </c>
      <c r="Y26" s="3">
        <f>ABS(Table15[[#This Row],[motor]]-Table15[[#This Row],[motorEco]])</f>
        <v>0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188.06276810636146</v>
      </c>
      <c r="C27" s="20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188.06276810636146</v>
      </c>
      <c r="E27" s="20"/>
      <c r="F27" s="3">
        <f>Table36[Factor]*IF(Table15[[#This Row],[manualData]]&gt;0,Table15[[#This Row],[manualData]],Table15[[#This Row],[rawData]])</f>
        <v>188.06276810636146</v>
      </c>
      <c r="G27" s="3">
        <f>Table36[Factor]*IF(Table15[[#This Row],[manDataEco]]&gt;0,Table15[[#This Row],[manDataEco]],Table15[[#This Row],[rawDataEco]])</f>
        <v>188.06276810636146</v>
      </c>
      <c r="H27" s="3">
        <f>1.36*Table15[[#This Row],[rpm]]*Table15[[#This Row],[motor]]/9550</f>
        <v>58.919769861176277</v>
      </c>
      <c r="I27" s="3">
        <f>1.36*Table15[[#This Row],[rpm]]*Table15[[#This Row],[motorEco]]/9550</f>
        <v>58.919769861176277</v>
      </c>
      <c r="J2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237.54936076923158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motorTorque="188" fuelUsageRatio="237.5"/&gt;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normRpm="0.957" torque="0.887"/&gt;</v>
      </c>
      <c r="M27" s="3">
        <f>(1-(1-Table15[[#This Row],[rpm]]/Table36[idleRpm])^2)*Table7[idleT]</f>
        <v>-533.02857142857124</v>
      </c>
      <c r="N27" s="3">
        <f>MAX(0,(1-Table7[f1]*(Table36[maxTRpm1]-Table15[[#This Row],[rpm]])^2)*Table36[maxT])</f>
        <v>183.73333333333335</v>
      </c>
      <c r="O27" s="3">
        <f>MAX(0,(Table36[linearDown]*(1-Table7[f2]*(Table15[[#This Row],[rpm]]-Table36[maxTRpm]))+(1-Table36[linearDown])*(1-Table7[f3]*(Table15[[#This Row],[rpm]]-Table36[maxTRpm])^2))*Table36[maxT])</f>
        <v>192.91634916507445</v>
      </c>
      <c r="P27" s="3">
        <f>MAX(0,(Table36[maxPS]-Table7[f4]*(Table15[[#This Row],[rpm]]-Table36[maxPRpm])^2)/1.36*9550/MAX(1,Table15[[#This Row],[rpm]]))</f>
        <v>191.51069518716577</v>
      </c>
      <c r="Q27" s="3">
        <f>MAX(0,Table7[Nm2]*MIN(Table36[ratedRpm]/MAX(1,Table15[[#This Row],[rpm]]),1-(MAX(0,Table15[[#This Row],[rpm]]-Table36[ratedRpm])/Table36[fadeOut])^Table36[fadeOutExp]))</f>
        <v>188.06276810636146</v>
      </c>
      <c r="R27" s="3">
        <f>(1-(1-Table15[[#This Row],[rpm]]/Table36[idleRpm])^2)*Table7[idleTEco]</f>
        <v>-533.02857142857124</v>
      </c>
      <c r="S27" s="3">
        <f>MAX(0,(1-Table7[f1]*(Table36[maxTRpm1]-Table15[[#This Row],[rpm]])^2)*Table36[maxTEco])</f>
        <v>183.73333333333335</v>
      </c>
      <c r="T27" s="3">
        <f>MAX(0,(Table36[linearDown]*(1-Table7[f2Eco]*(Table15[[#This Row],[rpm]]-Table36[maxTRpm]))+(1-Table36[linearDown])*(1-Table7[f3Eco]*(Table15[[#This Row],[rpm]]-Table36[maxTRpm])^2))*Table36[maxTEco])</f>
        <v>192.91634916507445</v>
      </c>
      <c r="U27" s="3">
        <f>MAX(0,(Table36[maxPSEco]-Table7[f4Eco]*(Table15[[#This Row],[rpm]]-Table36[maxPRpm])^2)/1.36*9550/MAX(1,Table15[[#This Row],[rpm]]))</f>
        <v>191.51069518716577</v>
      </c>
      <c r="V27" s="3">
        <f>MAX(0,Table7[Nm2Eco]*MIN(Table36[ratedRpm]/MAX(1,Table15[[#This Row],[rpm]]),1-(MAX(0,Table15[[#This Row],[rpm]]-Table36[ratedRpm])/Table36[fadeOut])^Table36[fadeOutExp]))</f>
        <v>188.06276810636146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191.51069518716577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191.51069518716577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164.35777557182067</v>
      </c>
      <c r="C28" s="20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164.35777557182067</v>
      </c>
      <c r="E28" s="20"/>
      <c r="F28" s="3">
        <f>Table36[Factor]*IF(Table15[[#This Row],[manualData]]&gt;0,Table15[[#This Row],[manualData]],Table15[[#This Row],[rawData]])</f>
        <v>164.35777557182067</v>
      </c>
      <c r="G28" s="3">
        <f>Table36[Factor]*IF(Table15[[#This Row],[manDataEco]]&gt;0,Table15[[#This Row],[manDataEco]],Table15[[#This Row],[rawDataEco]])</f>
        <v>164.35777557182067</v>
      </c>
      <c r="H28" s="3">
        <f>1.36*Table15[[#This Row],[rpm]]*Table15[[#This Row],[motor]]/9550</f>
        <v>52.663329136101702</v>
      </c>
      <c r="I28" s="3">
        <f>1.36*Table15[[#This Row],[rpm]]*Table15[[#This Row],[motorEco]]/9550</f>
        <v>52.663329136101702</v>
      </c>
      <c r="J2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257.18278605007094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motorTorque="164" fuelUsageRatio="257.2"/&gt;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normRpm="0.978" torque="0.775"/&gt;</v>
      </c>
      <c r="M28" s="3">
        <f>(1-(1-Table15[[#This Row],[rpm]]/Table36[idleRpm])^2)*Table7[idleT]</f>
        <v>-579.21428571428578</v>
      </c>
      <c r="N28" s="3">
        <f>MAX(0,(1-Table7[f1]*(Table36[maxTRpm1]-Table15[[#This Row],[rpm]])^2)*Table36[maxT])</f>
        <v>178.82592592592593</v>
      </c>
      <c r="O28" s="3">
        <f>MAX(0,(Table36[linearDown]*(1-Table7[f2]*(Table15[[#This Row],[rpm]]-Table36[maxTRpm]))+(1-Table36[linearDown])*(1-Table7[f3]*(Table15[[#This Row],[rpm]]-Table36[maxTRpm])^2))*Table36[maxT])</f>
        <v>189.60321533956653</v>
      </c>
      <c r="P28" s="3">
        <f>MAX(0,(Table36[maxPS]-Table7[f4]*(Table15[[#This Row],[rpm]]-Table36[maxPRpm])^2)/1.36*9550/MAX(1,Table15[[#This Row],[rpm]]))</f>
        <v>187.25490196078431</v>
      </c>
      <c r="Q28" s="3">
        <f>MAX(0,Table7[Nm2]*MIN(Table36[ratedRpm]/MAX(1,Table15[[#This Row],[rpm]]),1-(MAX(0,Table15[[#This Row],[rpm]]-Table36[ratedRpm])/Table36[fadeOut])^Table36[fadeOutExp]))</f>
        <v>164.35777557182067</v>
      </c>
      <c r="R28" s="3">
        <f>(1-(1-Table15[[#This Row],[rpm]]/Table36[idleRpm])^2)*Table7[idleTEco]</f>
        <v>-579.21428571428578</v>
      </c>
      <c r="S28" s="3">
        <f>MAX(0,(1-Table7[f1]*(Table36[maxTRpm1]-Table15[[#This Row],[rpm]])^2)*Table36[maxTEco])</f>
        <v>178.82592592592593</v>
      </c>
      <c r="T28" s="3">
        <f>MAX(0,(Table36[linearDown]*(1-Table7[f2Eco]*(Table15[[#This Row],[rpm]]-Table36[maxTRpm]))+(1-Table36[linearDown])*(1-Table7[f3Eco]*(Table15[[#This Row],[rpm]]-Table36[maxTRpm])^2))*Table36[maxTEco])</f>
        <v>189.60321533956653</v>
      </c>
      <c r="U28" s="3">
        <f>MAX(0,(Table36[maxPSEco]-Table7[f4Eco]*(Table15[[#This Row],[rpm]]-Table36[maxPRpm])^2)/1.36*9550/MAX(1,Table15[[#This Row],[rpm]]))</f>
        <v>187.25490196078431</v>
      </c>
      <c r="V28" s="3">
        <f>MAX(0,Table7[Nm2Eco]*MIN(Table36[ratedRpm]/MAX(1,Table15[[#This Row],[rpm]]),1-(MAX(0,Table15[[#This Row],[rpm]]-Table36[ratedRpm])/Table36[fadeOut])^Table36[fadeOutExp]))</f>
        <v>164.35777557182067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187.25490196078431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187.25490196078431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124.84945468091937</v>
      </c>
      <c r="C29" s="20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124.84945468091937</v>
      </c>
      <c r="E29" s="20"/>
      <c r="F29" s="3">
        <f>Table36[Factor]*IF(Table15[[#This Row],[manualData]]&gt;0,Table15[[#This Row],[manualData]],Table15[[#This Row],[rawData]])</f>
        <v>124.84945468091937</v>
      </c>
      <c r="G29" s="3">
        <f>Table36[Factor]*IF(Table15[[#This Row],[manDataEco]]&gt;0,Table15[[#This Row],[manDataEco]],Table15[[#This Row],[rawDataEco]])</f>
        <v>124.84945468091937</v>
      </c>
      <c r="H29" s="3">
        <f>1.36*Table15[[#This Row],[rpm]]*Table15[[#This Row],[motor]]/9550</f>
        <v>40.893098873499035</v>
      </c>
      <c r="I29" s="3">
        <f>1.36*Table15[[#This Row],[rpm]]*Table15[[#This Row],[motorEco]]/9550</f>
        <v>40.893098873499035</v>
      </c>
      <c r="J2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299.05469685905462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motorTorque="125" fuelUsageRatio="299.1"/&gt;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torque="0.589"/&gt;</v>
      </c>
      <c r="M29" s="3">
        <f>(1-(1-Table15[[#This Row],[rpm]]/Table36[idleRpm])^2)*Table7[idleT]</f>
        <v>-626.9142857142856</v>
      </c>
      <c r="N29" s="3">
        <f>MAX(0,(1-Table7[f1]*(Table36[maxTRpm1]-Table15[[#This Row],[rpm]])^2)*Table36[maxT])</f>
        <v>173.52592592592592</v>
      </c>
      <c r="O29" s="3">
        <f>MAX(0,(Table36[linearDown]*(1-Table7[f2]*(Table15[[#This Row],[rpm]]-Table36[maxTRpm]))+(1-Table36[linearDown])*(1-Table7[f3]*(Table15[[#This Row],[rpm]]-Table36[maxTRpm])^2))*Table36[maxT])</f>
        <v>186.02503080801799</v>
      </c>
      <c r="P29" s="3">
        <f>MAX(0,(Table36[maxPS]-Table7[f4]*(Table15[[#This Row],[rpm]]-Table36[maxPRpm])^2)/1.36*9550/MAX(1,Table15[[#This Row],[rpm]]))</f>
        <v>183.18414322250638</v>
      </c>
      <c r="Q29" s="3">
        <f>MAX(0,Table7[Nm2]*MIN(Table36[ratedRpm]/MAX(1,Table15[[#This Row],[rpm]]),1-(MAX(0,Table15[[#This Row],[rpm]]-Table36[ratedRpm])/Table36[fadeOut])^Table36[fadeOutExp]))</f>
        <v>124.84945468091937</v>
      </c>
      <c r="R29" s="3">
        <f>(1-(1-Table15[[#This Row],[rpm]]/Table36[idleRpm])^2)*Table7[idleTEco]</f>
        <v>-626.9142857142856</v>
      </c>
      <c r="S29" s="3">
        <f>MAX(0,(1-Table7[f1]*(Table36[maxTRpm1]-Table15[[#This Row],[rpm]])^2)*Table36[maxTEco])</f>
        <v>173.52592592592592</v>
      </c>
      <c r="T29" s="3">
        <f>MAX(0,(Table36[linearDown]*(1-Table7[f2Eco]*(Table15[[#This Row],[rpm]]-Table36[maxTRpm]))+(1-Table36[linearDown])*(1-Table7[f3Eco]*(Table15[[#This Row],[rpm]]-Table36[maxTRpm])^2))*Table36[maxTEco])</f>
        <v>186.02503080801799</v>
      </c>
      <c r="U29" s="3">
        <f>MAX(0,(Table36[maxPSEco]-Table7[f4Eco]*(Table15[[#This Row],[rpm]]-Table36[maxPRpm])^2)/1.36*9550/MAX(1,Table15[[#This Row],[rpm]]))</f>
        <v>183.18414322250638</v>
      </c>
      <c r="V29" s="3">
        <f>MAX(0,Table7[Nm2Eco]*MIN(Table36[ratedRpm]/MAX(1,Table15[[#This Row],[rpm]]),1-(MAX(0,Table15[[#This Row],[rpm]]-Table36[ratedRpm])/Table36[fadeOut])^Table36[fadeOutExp]))</f>
        <v>124.84945468091937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183.18414322250638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183.18414322250638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69.537805433657553</v>
      </c>
      <c r="C30" s="20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69.537805433657553</v>
      </c>
      <c r="E30" s="20"/>
      <c r="F30" s="3">
        <f>Table36[Factor]*IF(Table15[[#This Row],[manualData]]&gt;0,Table15[[#This Row],[manualData]],Table15[[#This Row],[rawData]])</f>
        <v>69.537805433657553</v>
      </c>
      <c r="G30" s="3">
        <f>Table36[Factor]*IF(Table15[[#This Row],[manDataEco]]&gt;0,Table15[[#This Row],[manDataEco]],Table15[[#This Row],[rawDataEco]])</f>
        <v>69.537805433657553</v>
      </c>
      <c r="H30" s="3">
        <f>1.36*Table15[[#This Row],[rpm]]*Table15[[#This Row],[motor]]/9550</f>
        <v>23.271500122091055</v>
      </c>
      <c r="I30" s="3">
        <f>1.36*Table15[[#This Row],[rpm]]*Table15[[#This Row],[motorEco]]/9550</f>
        <v>23.271500122091055</v>
      </c>
      <c r="J3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368.24621128207804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motorTorque="70" fuelUsageRatio="368.2"/&gt;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-676.12857142857138</v>
      </c>
      <c r="N30" s="3">
        <f>MAX(0,(1-Table7[f1]*(Table36[maxTRpm1]-Table15[[#This Row],[rpm]])^2)*Table36[maxT])</f>
        <v>167.83333333333331</v>
      </c>
      <c r="O30" s="3">
        <f>MAX(0,(Table36[linearDown]*(1-Table7[f2]*(Table15[[#This Row],[rpm]]-Table36[maxTRpm]))+(1-Table36[linearDown])*(1-Table7[f3]*(Table15[[#This Row],[rpm]]-Table36[maxTRpm])^2))*Table36[maxT])</f>
        <v>182.18179557042879</v>
      </c>
      <c r="P30" s="3">
        <f>MAX(0,(Table36[maxPS]-Table7[f4]*(Table15[[#This Row],[rpm]]-Table36[maxPRpm])^2)/1.36*9550/MAX(1,Table15[[#This Row],[rpm]]))</f>
        <v>179.28660826032541</v>
      </c>
      <c r="Q30" s="3">
        <f>MAX(0,Table7[Nm2]*MIN(Table36[ratedRpm]/MAX(1,Table15[[#This Row],[rpm]]),1-(MAX(0,Table15[[#This Row],[rpm]]-Table36[ratedRpm])/Table36[fadeOut])^Table36[fadeOutExp]))</f>
        <v>69.537805433657553</v>
      </c>
      <c r="R30" s="3">
        <f>(1-(1-Table15[[#This Row],[rpm]]/Table36[idleRpm])^2)*Table7[idleTEco]</f>
        <v>-676.12857142857138</v>
      </c>
      <c r="S30" s="3">
        <f>MAX(0,(1-Table7[f1]*(Table36[maxTRpm1]-Table15[[#This Row],[rpm]])^2)*Table36[maxTEco])</f>
        <v>167.83333333333331</v>
      </c>
      <c r="T30" s="3">
        <f>MAX(0,(Table36[linearDown]*(1-Table7[f2Eco]*(Table15[[#This Row],[rpm]]-Table36[maxTRpm]))+(1-Table36[linearDown])*(1-Table7[f3Eco]*(Table15[[#This Row],[rpm]]-Table36[maxTRpm])^2))*Table36[maxTEco])</f>
        <v>182.18179557042879</v>
      </c>
      <c r="U30" s="3">
        <f>MAX(0,(Table36[maxPSEco]-Table7[f4Eco]*(Table15[[#This Row],[rpm]]-Table36[maxPRpm])^2)/1.36*9550/MAX(1,Table15[[#This Row],[rpm]]))</f>
        <v>179.28660826032541</v>
      </c>
      <c r="V30" s="3">
        <f>MAX(0,Table7[Nm2Eco]*MIN(Table36[ratedRpm]/MAX(1,Table15[[#This Row],[rpm]]),1-(MAX(0,Table15[[#This Row],[rpm]]-Table36[ratedRpm])/Table36[fadeOut])^Table36[fadeOutExp]))</f>
        <v>69.537805433657553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179.28660826032541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179.28660826032541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fuelUsageRatio="466.7"/&gt;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-726.85714285714266</v>
      </c>
      <c r="N31" s="3">
        <f>MAX(0,(1-Table7[f1]*(Table36[maxTRpm1]-Table15[[#This Row],[rpm]])^2)*Table36[maxT])</f>
        <v>161.74814814814815</v>
      </c>
      <c r="O31" s="3">
        <f>MAX(0,(Table36[linearDown]*(1-Table7[f2]*(Table15[[#This Row],[rpm]]-Table36[maxTRpm]))+(1-Table36[linearDown])*(1-Table7[f3]*(Table15[[#This Row],[rpm]]-Table36[maxTRpm])^2))*Table36[maxT])</f>
        <v>178.07350962679899</v>
      </c>
      <c r="P31" s="3">
        <f>MAX(0,(Table36[maxPS]-Table7[f4]*(Table15[[#This Row],[rpm]]-Table36[maxPRpm])^2)/1.36*9550/MAX(1,Table15[[#This Row],[rpm]]))</f>
        <v>175.5514705882353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-726.85714285714266</v>
      </c>
      <c r="S31" s="3">
        <f>MAX(0,(1-Table7[f1]*(Table36[maxTRpm1]-Table15[[#This Row],[rpm]])^2)*Table36[maxTEco])</f>
        <v>161.74814814814815</v>
      </c>
      <c r="T31" s="3">
        <f>MAX(0,(Table36[linearDown]*(1-Table7[f2Eco]*(Table15[[#This Row],[rpm]]-Table36[maxTRpm]))+(1-Table36[linearDown])*(1-Table7[f3Eco]*(Table15[[#This Row],[rpm]]-Table36[maxTRpm])^2))*Table36[maxTEco])</f>
        <v>178.07350962679899</v>
      </c>
      <c r="U31" s="3">
        <f>MAX(0,(Table36[maxPSEco]-Table7[f4Eco]*(Table15[[#This Row],[rpm]]-Table36[maxPRpm])^2)/1.36*9550/MAX(1,Table15[[#This Row],[rpm]]))</f>
        <v>175.5514705882353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175.5514705882353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175.5514705882353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rpm="2450" motorTorque="0" fuelUsageRatio="466.7"/&gt;</v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-779.09999999999991</v>
      </c>
      <c r="N32" s="3">
        <f>MAX(0,(1-Table7[f1]*(Table36[maxTRpm1]-Table15[[#This Row],[rpm]])^2)*Table36[maxT])</f>
        <v>155.27037037037036</v>
      </c>
      <c r="O32" s="3">
        <f>MAX(0,(Table36[linearDown]*(1-Table7[f2]*(Table15[[#This Row],[rpm]]-Table36[maxTRpm]))+(1-Table36[linearDown])*(1-Table7[f3]*(Table15[[#This Row],[rpm]]-Table36[maxTRpm])^2))*Table36[maxT])</f>
        <v>173.70017297712857</v>
      </c>
      <c r="P32" s="3">
        <f>MAX(0,(Table36[maxPS]-Table7[f4]*(Table15[[#This Row],[rpm]]-Table36[maxPRpm])^2)/1.36*9550/MAX(1,Table15[[#This Row],[rpm]]))</f>
        <v>171.968787515006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-779.09999999999991</v>
      </c>
      <c r="S32" s="3">
        <f>MAX(0,(1-Table7[f1]*(Table36[maxTRpm1]-Table15[[#This Row],[rpm]])^2)*Table36[maxTEco])</f>
        <v>155.27037037037036</v>
      </c>
      <c r="T32" s="3">
        <f>MAX(0,(Table36[linearDown]*(1-Table7[f2Eco]*(Table15[[#This Row],[rpm]]-Table36[maxTRpm]))+(1-Table36[linearDown])*(1-Table7[f3Eco]*(Table15[[#This Row],[rpm]]-Table36[maxTRpm])^2))*Table36[maxTEco])</f>
        <v>173.70017297712857</v>
      </c>
      <c r="U32" s="3">
        <f>MAX(0,(Table36[maxPSEco]-Table7[f4Eco]*(Table15[[#This Row],[rpm]]-Table36[maxPRpm])^2)/1.36*9550/MAX(1,Table15[[#This Row],[rpm]]))</f>
        <v>171.968787515006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171.968787515006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171.968787515006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-832.85714285714289</v>
      </c>
      <c r="N33" s="3">
        <f>MAX(0,(1-Table7[f1]*(Table36[maxTRpm1]-Table15[[#This Row],[rpm]])^2)*Table36[maxT])</f>
        <v>148.39999999999998</v>
      </c>
      <c r="O33" s="3">
        <f>MAX(0,(Table36[linearDown]*(1-Table7[f2]*(Table15[[#This Row],[rpm]]-Table36[maxTRpm]))+(1-Table36[linearDown])*(1-Table7[f3]*(Table15[[#This Row],[rpm]]-Table36[maxTRpm])^2))*Table36[maxT])</f>
        <v>169.0617856214175</v>
      </c>
      <c r="P33" s="3">
        <f>MAX(0,(Table36[maxPS]-Table7[f4]*(Table15[[#This Row],[rpm]]-Table36[maxPRpm])^2)/1.36*9550/MAX(1,Table15[[#This Row],[rpm]]))</f>
        <v>168.52941176470588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-832.85714285714289</v>
      </c>
      <c r="S33" s="3">
        <f>MAX(0,(1-Table7[f1]*(Table36[maxTRpm1]-Table15[[#This Row],[rpm]])^2)*Table36[maxTEco])</f>
        <v>148.39999999999998</v>
      </c>
      <c r="T33" s="3">
        <f>MAX(0,(Table36[linearDown]*(1-Table7[f2Eco]*(Table15[[#This Row],[rpm]]-Table36[maxTRpm]))+(1-Table36[linearDown])*(1-Table7[f3Eco]*(Table15[[#This Row],[rpm]]-Table36[maxTRpm])^2))*Table36[maxTEco])</f>
        <v>169.0617856214175</v>
      </c>
      <c r="U33" s="3">
        <f>MAX(0,(Table36[maxPSEco]-Table7[f4Eco]*(Table15[[#This Row],[rpm]]-Table36[maxPRpm])^2)/1.36*9550/MAX(1,Table15[[#This Row],[rpm]]))</f>
        <v>168.52941176470588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168.52941176470588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168.52941176470588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-888.12857142857126</v>
      </c>
      <c r="N34" s="3">
        <f>MAX(0,(1-Table7[f1]*(Table36[maxTRpm1]-Table15[[#This Row],[rpm]])^2)*Table36[maxT])</f>
        <v>141.13703703703703</v>
      </c>
      <c r="O34" s="3">
        <f>MAX(0,(Table36[linearDown]*(1-Table7[f2]*(Table15[[#This Row],[rpm]]-Table36[maxTRpm]))+(1-Table36[linearDown])*(1-Table7[f3]*(Table15[[#This Row],[rpm]]-Table36[maxTRpm])^2))*Table36[maxT])</f>
        <v>164.15834755966577</v>
      </c>
      <c r="P34" s="3">
        <f>MAX(0,(Table36[maxPS]-Table7[f4]*(Table15[[#This Row],[rpm]]-Table36[maxPRpm])^2)/1.36*9550/MAX(1,Table15[[#This Row],[rpm]]))</f>
        <v>165.2249134948097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-888.12857142857126</v>
      </c>
      <c r="S34" s="3">
        <f>MAX(0,(1-Table7[f1]*(Table36[maxTRpm1]-Table15[[#This Row],[rpm]])^2)*Table36[maxTEco])</f>
        <v>141.13703703703703</v>
      </c>
      <c r="T34" s="3">
        <f>MAX(0,(Table36[linearDown]*(1-Table7[f2Eco]*(Table15[[#This Row],[rpm]]-Table36[maxTRpm]))+(1-Table36[linearDown])*(1-Table7[f3Eco]*(Table15[[#This Row],[rpm]]-Table36[maxTRpm])^2))*Table36[maxTEco])</f>
        <v>164.15834755966577</v>
      </c>
      <c r="U34" s="3">
        <f>MAX(0,(Table36[maxPSEco]-Table7[f4Eco]*(Table15[[#This Row],[rpm]]-Table36[maxPRpm])^2)/1.36*9550/MAX(1,Table15[[#This Row],[rpm]]))</f>
        <v>165.2249134948097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165.2249134948097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165.2249134948097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-944.91428571428571</v>
      </c>
      <c r="N35" s="3">
        <f>MAX(0,(1-Table7[f1]*(Table36[maxTRpm1]-Table15[[#This Row],[rpm]])^2)*Table36[maxT])</f>
        <v>133.48148148148147</v>
      </c>
      <c r="O35" s="3">
        <f>MAX(0,(Table36[linearDown]*(1-Table7[f2]*(Table15[[#This Row],[rpm]]-Table36[maxTRpm]))+(1-Table36[linearDown])*(1-Table7[f3]*(Table15[[#This Row],[rpm]]-Table36[maxTRpm])^2))*Table36[maxT])</f>
        <v>158.98985879187344</v>
      </c>
      <c r="P35" s="3">
        <f>MAX(0,(Table36[maxPS]-Table7[f4]*(Table15[[#This Row],[rpm]]-Table36[maxPRpm])^2)/1.36*9550/MAX(1,Table15[[#This Row],[rpm]]))</f>
        <v>162.04751131221718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-944.91428571428571</v>
      </c>
      <c r="S35" s="3">
        <f>MAX(0,(1-Table7[f1]*(Table36[maxTRpm1]-Table15[[#This Row],[rpm]])^2)*Table36[maxTEco])</f>
        <v>133.48148148148147</v>
      </c>
      <c r="T35" s="3">
        <f>MAX(0,(Table36[linearDown]*(1-Table7[f2Eco]*(Table15[[#This Row],[rpm]]-Table36[maxTRpm]))+(1-Table36[linearDown])*(1-Table7[f3Eco]*(Table15[[#This Row],[rpm]]-Table36[maxTRpm])^2))*Table36[maxTEco])</f>
        <v>158.98985879187344</v>
      </c>
      <c r="U35" s="3">
        <f>MAX(0,(Table36[maxPSEco]-Table7[f4Eco]*(Table15[[#This Row],[rpm]]-Table36[maxPRpm])^2)/1.36*9550/MAX(1,Table15[[#This Row],[rpm]]))</f>
        <v>162.04751131221718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162.04751131221718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162.04751131221718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-1003.2142857142854</v>
      </c>
      <c r="N36" s="3">
        <f>MAX(0,(1-Table7[f1]*(Table36[maxTRpm1]-Table15[[#This Row],[rpm]])^2)*Table36[maxT])</f>
        <v>125.43333333333331</v>
      </c>
      <c r="O36" s="3">
        <f>MAX(0,(Table36[linearDown]*(1-Table7[f2]*(Table15[[#This Row],[rpm]]-Table36[maxTRpm]))+(1-Table36[linearDown])*(1-Table7[f3]*(Table15[[#This Row],[rpm]]-Table36[maxTRpm])^2))*Table36[maxT])</f>
        <v>153.55631931804047</v>
      </c>
      <c r="P36" s="3">
        <f>MAX(0,(Table36[maxPS]-Table7[f4]*(Table15[[#This Row],[rpm]]-Table36[maxPRpm])^2)/1.36*9550/MAX(1,Table15[[#This Row],[rpm]]))</f>
        <v>158.99001109877912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-1003.2142857142854</v>
      </c>
      <c r="S36" s="3">
        <f>MAX(0,(1-Table7[f1]*(Table36[maxTRpm1]-Table15[[#This Row],[rpm]])^2)*Table36[maxTEco])</f>
        <v>125.43333333333331</v>
      </c>
      <c r="T36" s="3">
        <f>MAX(0,(Table36[linearDown]*(1-Table7[f2Eco]*(Table15[[#This Row],[rpm]]-Table36[maxTRpm]))+(1-Table36[linearDown])*(1-Table7[f3Eco]*(Table15[[#This Row],[rpm]]-Table36[maxTRpm])^2))*Table36[maxTEco])</f>
        <v>153.55631931804047</v>
      </c>
      <c r="U36" s="3">
        <f>MAX(0,(Table36[maxPSEco]-Table7[f4Eco]*(Table15[[#This Row],[rpm]]-Table36[maxPRpm])^2)/1.36*9550/MAX(1,Table15[[#This Row],[rpm]]))</f>
        <v>158.99001109877912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158.99001109877912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158.99001109877912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-1124.3571428571424</v>
      </c>
      <c r="N37" s="3">
        <f>MAX(0,(1-Table7[f1]*(Table36[maxTRpm1]-Table15[[#This Row],[rpm]])^2)*Table36[maxT])</f>
        <v>108.15925925925923</v>
      </c>
      <c r="O37" s="3">
        <f>MAX(0,(Table36[linearDown]*(1-Table7[f2]*(Table15[[#This Row],[rpm]]-Table36[maxTRpm]))+(1-Table36[linearDown])*(1-Table7[f3]*(Table15[[#This Row],[rpm]]-Table36[maxTRpm])^2))*Table36[maxT])</f>
        <v>141.89408825225263</v>
      </c>
      <c r="P37" s="3">
        <f>MAX(0,(Table36[maxPS]-Table7[f4]*(Table15[[#This Row],[rpm]]-Table36[maxPRpm])^2)/1.36*9550/MAX(1,Table15[[#This Row],[rpm]]))</f>
        <v>153.20855614973263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-1124.3571428571424</v>
      </c>
      <c r="S37" s="3">
        <f>MAX(0,(1-Table7[f1]*(Table36[maxTRpm1]-Table15[[#This Row],[rpm]])^2)*Table36[maxTEco])</f>
        <v>108.15925925925923</v>
      </c>
      <c r="T37" s="3">
        <f>MAX(0,(Table36[linearDown]*(1-Table7[f2Eco]*(Table15[[#This Row],[rpm]]-Table36[maxTRpm]))+(1-Table36[linearDown])*(1-Table7[f3Eco]*(Table15[[#This Row],[rpm]]-Table36[maxTRpm])^2))*Table36[maxTEco])</f>
        <v>141.89408825225263</v>
      </c>
      <c r="U37" s="3">
        <f>MAX(0,(Table36[maxPSEco]-Table7[f4Eco]*(Table15[[#This Row],[rpm]]-Table36[maxPRpm])^2)/1.36*9550/MAX(1,Table15[[#This Row],[rpm]]))</f>
        <v>153.20855614973263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153.20855614973263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153.20855614973263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-1453.7142857142853</v>
      </c>
      <c r="N38" s="3">
        <f>MAX(0,(1-Table7[f1]*(Table36[maxTRpm1]-Table15[[#This Row],[rpm]])^2)*Table36[maxT])</f>
        <v>58.103703703703694</v>
      </c>
      <c r="O38" s="3">
        <f>MAX(0,(Table36[linearDown]*(1-Table7[f2]*(Table15[[#This Row],[rpm]]-Table36[maxTRpm]))+(1-Table36[linearDown])*(1-Table7[f3]*(Table15[[#This Row],[rpm]]-Table36[maxTRpm])^2))*Table36[maxT])</f>
        <v>108.10012323207195</v>
      </c>
      <c r="P38" s="3">
        <f>MAX(0,(Table36[maxPS]-Table7[f4]*(Table15[[#This Row],[rpm]]-Table36[maxPRpm])^2)/1.36*9550/MAX(1,Table15[[#This Row],[rpm]]))</f>
        <v>140.44117647058823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-1453.7142857142853</v>
      </c>
      <c r="S38" s="3">
        <f>MAX(0,(1-Table7[f1]*(Table36[maxTRpm1]-Table15[[#This Row],[rpm]])^2)*Table36[maxTEco])</f>
        <v>58.103703703703694</v>
      </c>
      <c r="T38" s="3">
        <f>MAX(0,(Table36[linearDown]*(1-Table7[f2Eco]*(Table15[[#This Row],[rpm]]-Table36[maxTRpm]))+(1-Table36[linearDown])*(1-Table7[f3Eco]*(Table15[[#This Row],[rpm]]-Table36[maxTRpm])^2))*Table36[maxTEco])</f>
        <v>108.10012323207195</v>
      </c>
      <c r="U38" s="3">
        <f>MAX(0,(Table36[maxPSEco]-Table7[f4Eco]*(Table15[[#This Row],[rpm]]-Table36[maxPRpm])^2)/1.36*9550/MAX(1,Table15[[#This Row],[rpm]]))</f>
        <v>140.44117647058823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140.44117647058823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140.44117647058823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-1820.9285714285716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67.67989056087545</v>
      </c>
      <c r="P39" s="3">
        <f>MAX(0,(Table36[maxPS]-Table7[f4]*(Table15[[#This Row],[rpm]]-Table36[maxPRpm])^2)/1.36*9550/MAX(1,Table15[[#This Row],[rpm]]))</f>
        <v>129.63800904977376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-1820.9285714285716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67.67989056087545</v>
      </c>
      <c r="U39" s="3">
        <f>MAX(0,(Table36[maxPSEco]-Table7[f4Eco]*(Table15[[#This Row],[rpm]]-Table36[maxPRpm])^2)/1.36*9550/MAX(1,Table15[[#This Row],[rpm]]))</f>
        <v>129.63800904977376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129.63800904977376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129.63800904977376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-2225.9999999999995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20.633390238663118</v>
      </c>
      <c r="P40" s="3">
        <f>MAX(0,(Table36[maxPS]-Table7[f4]*(Table15[[#This Row],[rpm]]-Table36[maxPRpm])^2)/1.36*9550/MAX(1,Table15[[#This Row],[rpm]]))</f>
        <v>120.3781512605042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-2225.9999999999995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20.633390238663118</v>
      </c>
      <c r="U40" s="3">
        <f>MAX(0,(Table36[maxPSEco]-Table7[f4Eco]*(Table15[[#This Row],[rpm]]-Table36[maxPRpm])^2)/1.36*9550/MAX(1,Table15[[#This Row],[rpm]]))</f>
        <v>120.3781512605042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120.3781512605042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120.3781512605042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-2668.9285714285706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112.35294117647058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-2668.9285714285706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112.35294117647058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112.35294117647058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112.35294117647058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-3149.7142857142858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105.33088235294117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-3149.7142857142858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105.33088235294117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105.33088235294117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105.33088235294117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-3668.3571428571418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99.134948096885807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-3668.3571428571418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99.134948096885807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99.134948096885807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99.134948096885807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-4224.8571428571431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93.627450980392155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-4224.8571428571431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93.627450980392155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93.627450980392155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93.627450980392155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-4819.2142857142844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88.699690402476776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-4819.2142857142844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88.699690402476776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88.699690402476776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88.699690402476776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-5451.4285714285716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84.264705882352942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-5451.4285714285716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84.264705882352942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84.264705882352942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84.264705882352942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-6121.4999999999991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80.252100840336126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-6121.4999999999991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80.252100840336126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80.252100840336126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80.252100840336126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-6829.4285714285697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76.604278074866315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-6829.4285714285697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76.604278074866315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76.604278074866315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76.604278074866315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4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-7575.2142857142826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73.273657289002557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-7575.2142857142826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73.273657289002557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73.273657289002557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73.273657289002557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-8358.8571428571413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70.220588235294116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-8358.8571428571413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70.220588235294116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70.220588235294116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70.220588235294116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-9180.3571428571413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67.411764705882348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-9180.3571428571413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67.411764705882348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67.411764705882348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67.411764705882348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-10039.714285714286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64.819004524886878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-10039.714285714286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64.819004524886878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64.819004524886878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64.819004524886878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3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-10936.928571428569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62.41830065359477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-10936.928571428569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62.41830065359477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62.41830065359477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62.41830065359477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4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-11871.999999999998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60.189075630252098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-11871.999999999998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60.189075630252098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60.189075630252098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60.189075630252098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5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-12844.928571428572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58.113590263691684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-12844.928571428572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58.113590263691684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58.113590263691684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58.113590263691684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6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-13855.714285714283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56.17647058823529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-13855.714285714283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56.17647058823529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56.17647058823529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56.17647058823529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7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-14904.357142857141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54.364326375711578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-14904.357142857141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54.364326375711578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54.364326375711578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54.364326375711578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8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-15990.857142857139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52.665441176470587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-15990.857142857139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52.665441176470587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52.665441176470587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52.665441176470587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59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-17115.214285714286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51.069518716577541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-17115.214285714286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51.069518716577541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51.069518716577541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51.069518716577541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0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-18277.428571428569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49.567474048442904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-18277.428571428569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49.567474048442904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49.567474048442904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49.567474048442904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1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-19477.499999999996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48.15126050420168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-19477.499999999996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48.15126050420168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48.15126050420168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48.15126050420168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5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466.66666666666663</v>
      </c>
      <c r="K62" s="3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3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-20715.428571428569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46.813725490196077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-20715.428571428569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46.813725490196077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46.813725490196077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46.813725490196077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39" t="s">
        <v>18</v>
      </c>
      <c r="B1" s="40" t="s">
        <v>23</v>
      </c>
      <c r="C1" s="40" t="s">
        <v>8</v>
      </c>
      <c r="D1" s="40" t="s">
        <v>10</v>
      </c>
      <c r="E1" s="40" t="s">
        <v>22</v>
      </c>
      <c r="F1" s="40" t="s">
        <v>12</v>
      </c>
      <c r="G1" s="41" t="s">
        <v>13</v>
      </c>
      <c r="H1" s="46" t="s">
        <v>14</v>
      </c>
      <c r="I1" s="46" t="s">
        <v>27</v>
      </c>
      <c r="K1" s="37" t="s">
        <v>19</v>
      </c>
      <c r="L1" s="37" t="s">
        <v>20</v>
      </c>
    </row>
    <row r="2" spans="1:12" x14ac:dyDescent="0.25">
      <c r="A2" s="42">
        <v>1900</v>
      </c>
      <c r="B2" s="43">
        <v>396</v>
      </c>
      <c r="C2" s="44">
        <v>2100</v>
      </c>
      <c r="D2" s="45">
        <v>390</v>
      </c>
      <c r="E2" s="42">
        <v>1450</v>
      </c>
      <c r="F2" s="43">
        <v>1450</v>
      </c>
      <c r="G2" s="43">
        <v>1538</v>
      </c>
      <c r="H2" s="27">
        <v>800</v>
      </c>
      <c r="I2" s="47">
        <v>1.0900000000000001</v>
      </c>
      <c r="K2" s="38">
        <f>Table2[maxPS]/1.36*9550/Table2[maxPRpm]</f>
        <v>1463.5448916408668</v>
      </c>
      <c r="L2" s="38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2017-03-18T12:48:40Z</dcterms:modified>
</cp:coreProperties>
</file>