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23190" yWindow="0" windowWidth="20400" windowHeight="9945"/>
  </bookViews>
  <sheets>
    <sheet name="Calculate from Values" sheetId="3" r:id="rId1"/>
    <sheet name="Sheet1" sheetId="1" r:id="rId2"/>
    <sheet name="Sheet1 (2)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3" l="1"/>
  <c r="K7" i="3"/>
  <c r="K8" i="3"/>
  <c r="K9" i="3"/>
  <c r="K10" i="3"/>
  <c r="K11" i="3"/>
  <c r="K12" i="3"/>
  <c r="K13" i="3"/>
  <c r="K14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T2" i="3" l="1"/>
  <c r="J9" i="3" s="1"/>
  <c r="S2" i="3"/>
  <c r="U2" i="3" s="1"/>
  <c r="J41" i="3" l="1"/>
  <c r="J37" i="3"/>
  <c r="J29" i="3"/>
  <c r="J20" i="3"/>
  <c r="J8" i="3"/>
  <c r="J40" i="3"/>
  <c r="J36" i="3"/>
  <c r="J32" i="3"/>
  <c r="J28" i="3"/>
  <c r="J23" i="3"/>
  <c r="J19" i="3"/>
  <c r="J15" i="3"/>
  <c r="J11" i="3"/>
  <c r="J7" i="3"/>
  <c r="J39" i="3"/>
  <c r="J35" i="3"/>
  <c r="J31" i="3"/>
  <c r="J27" i="3"/>
  <c r="J22" i="3"/>
  <c r="J18" i="3"/>
  <c r="J14" i="3"/>
  <c r="J10" i="3"/>
  <c r="J25" i="3"/>
  <c r="J33" i="3"/>
  <c r="J24" i="3"/>
  <c r="J16" i="3"/>
  <c r="J12" i="3"/>
  <c r="J42" i="3"/>
  <c r="J38" i="3"/>
  <c r="J34" i="3"/>
  <c r="J30" i="3"/>
  <c r="J26" i="3"/>
  <c r="J21" i="3"/>
  <c r="J17" i="3"/>
  <c r="J13" i="3"/>
  <c r="V2" i="3"/>
  <c r="L29" i="3" l="1"/>
  <c r="L33" i="3"/>
  <c r="L37" i="3"/>
  <c r="L41" i="3"/>
  <c r="L26" i="3"/>
  <c r="L30" i="3"/>
  <c r="L34" i="3"/>
  <c r="L38" i="3"/>
  <c r="L42" i="3"/>
  <c r="L32" i="3"/>
  <c r="L27" i="3"/>
  <c r="L31" i="3"/>
  <c r="L35" i="3"/>
  <c r="L39" i="3"/>
  <c r="L28" i="3"/>
  <c r="L36" i="3"/>
  <c r="L40" i="3"/>
  <c r="Y2" i="3"/>
  <c r="C2" i="3" s="1"/>
  <c r="S4" i="3" l="1"/>
  <c r="J2" i="3"/>
  <c r="F2" i="3"/>
  <c r="J4" i="3"/>
  <c r="L7" i="3" l="1"/>
  <c r="L4" i="3"/>
  <c r="O4" i="3" s="1"/>
  <c r="M4" i="3"/>
  <c r="H4" i="3" s="1"/>
  <c r="V9" i="3" l="1"/>
  <c r="V13" i="3"/>
  <c r="V17" i="3"/>
  <c r="V21" i="3"/>
  <c r="V25" i="3"/>
  <c r="V29" i="3"/>
  <c r="V33" i="3"/>
  <c r="V37" i="3"/>
  <c r="D37" i="3" s="1"/>
  <c r="G37" i="3" s="1"/>
  <c r="I37" i="3" s="1"/>
  <c r="V41" i="3"/>
  <c r="V14" i="3"/>
  <c r="V22" i="3"/>
  <c r="V30" i="3"/>
  <c r="D30" i="3" s="1"/>
  <c r="G30" i="3" s="1"/>
  <c r="I30" i="3" s="1"/>
  <c r="V38" i="3"/>
  <c r="V7" i="3"/>
  <c r="V11" i="3"/>
  <c r="V15" i="3"/>
  <c r="V19" i="3"/>
  <c r="V23" i="3"/>
  <c r="V27" i="3"/>
  <c r="V31" i="3"/>
  <c r="D31" i="3" s="1"/>
  <c r="G31" i="3" s="1"/>
  <c r="I31" i="3" s="1"/>
  <c r="V35" i="3"/>
  <c r="V39" i="3"/>
  <c r="V8" i="3"/>
  <c r="V12" i="3"/>
  <c r="V16" i="3"/>
  <c r="V20" i="3"/>
  <c r="V24" i="3"/>
  <c r="V28" i="3"/>
  <c r="D28" i="3" s="1"/>
  <c r="G28" i="3" s="1"/>
  <c r="I28" i="3" s="1"/>
  <c r="V32" i="3"/>
  <c r="V36" i="3"/>
  <c r="V40" i="3"/>
  <c r="D40" i="3" s="1"/>
  <c r="G40" i="3" s="1"/>
  <c r="I40" i="3" s="1"/>
  <c r="V10" i="3"/>
  <c r="V18" i="3"/>
  <c r="V26" i="3"/>
  <c r="V34" i="3"/>
  <c r="D34" i="3" s="1"/>
  <c r="G34" i="3" s="1"/>
  <c r="I34" i="3" s="1"/>
  <c r="V42" i="3"/>
  <c r="D42" i="3" s="1"/>
  <c r="G42" i="3" s="1"/>
  <c r="I42" i="3" s="1"/>
  <c r="D41" i="3"/>
  <c r="G41" i="3" s="1"/>
  <c r="I41" i="3" s="1"/>
  <c r="D36" i="3"/>
  <c r="G36" i="3" s="1"/>
  <c r="I36" i="3" s="1"/>
  <c r="D32" i="3"/>
  <c r="G32" i="3" s="1"/>
  <c r="I32" i="3" s="1"/>
  <c r="D39" i="3"/>
  <c r="G39" i="3" s="1"/>
  <c r="I39" i="3" s="1"/>
  <c r="D35" i="3"/>
  <c r="G35" i="3" s="1"/>
  <c r="I35" i="3" s="1"/>
  <c r="D27" i="3"/>
  <c r="G27" i="3" s="1"/>
  <c r="D38" i="3"/>
  <c r="G38" i="3" s="1"/>
  <c r="I38" i="3" s="1"/>
  <c r="D33" i="3"/>
  <c r="G33" i="3" s="1"/>
  <c r="I33" i="3" s="1"/>
  <c r="D29" i="3"/>
  <c r="G29" i="3" s="1"/>
  <c r="I29" i="3" s="1"/>
  <c r="N4" i="3"/>
  <c r="T10" i="3" s="1"/>
  <c r="P4" i="3"/>
  <c r="T41" i="3" l="1"/>
  <c r="T25" i="3"/>
  <c r="T9" i="3"/>
  <c r="T28" i="3"/>
  <c r="T12" i="3"/>
  <c r="T31" i="3"/>
  <c r="T15" i="3"/>
  <c r="T38" i="3"/>
  <c r="T22" i="3"/>
  <c r="T37" i="3"/>
  <c r="T21" i="3"/>
  <c r="T40" i="3"/>
  <c r="T24" i="3"/>
  <c r="T8" i="3"/>
  <c r="T27" i="3"/>
  <c r="T11" i="3"/>
  <c r="T34" i="3"/>
  <c r="T18" i="3"/>
  <c r="T33" i="3"/>
  <c r="T17" i="3"/>
  <c r="T36" i="3"/>
  <c r="T20" i="3"/>
  <c r="T39" i="3"/>
  <c r="T23" i="3"/>
  <c r="T7" i="3"/>
  <c r="T30" i="3"/>
  <c r="T14" i="3"/>
  <c r="T29" i="3"/>
  <c r="T13" i="3"/>
  <c r="T32" i="3"/>
  <c r="T16" i="3"/>
  <c r="T35" i="3"/>
  <c r="T19" i="3"/>
  <c r="T42" i="3"/>
  <c r="T26" i="3"/>
  <c r="I27" i="3"/>
  <c r="U11" i="3"/>
  <c r="U15" i="3"/>
  <c r="U19" i="3"/>
  <c r="U23" i="3"/>
  <c r="D23" i="3" s="1"/>
  <c r="G23" i="3" s="1"/>
  <c r="U27" i="3"/>
  <c r="U31" i="3"/>
  <c r="U35" i="3"/>
  <c r="U39" i="3"/>
  <c r="U12" i="3"/>
  <c r="U16" i="3"/>
  <c r="U20" i="3"/>
  <c r="U24" i="3"/>
  <c r="D24" i="3" s="1"/>
  <c r="G24" i="3" s="1"/>
  <c r="U28" i="3"/>
  <c r="U32" i="3"/>
  <c r="U36" i="3"/>
  <c r="U40" i="3"/>
  <c r="U7" i="3"/>
  <c r="U9" i="3"/>
  <c r="U13" i="3"/>
  <c r="U17" i="3"/>
  <c r="U21" i="3"/>
  <c r="U25" i="3"/>
  <c r="D25" i="3" s="1"/>
  <c r="G25" i="3" s="1"/>
  <c r="U29" i="3"/>
  <c r="U33" i="3"/>
  <c r="U37" i="3"/>
  <c r="U41" i="3"/>
  <c r="U10" i="3"/>
  <c r="U26" i="3"/>
  <c r="D26" i="3" s="1"/>
  <c r="G26" i="3" s="1"/>
  <c r="U42" i="3"/>
  <c r="U14" i="3"/>
  <c r="U30" i="3"/>
  <c r="U18" i="3"/>
  <c r="U34" i="3"/>
  <c r="U8" i="3"/>
  <c r="U22" i="3"/>
  <c r="D22" i="3" s="1"/>
  <c r="G22" i="3" s="1"/>
  <c r="U38" i="3"/>
  <c r="D21" i="3" l="1"/>
  <c r="G21" i="3" s="1"/>
  <c r="I21" i="3" s="1"/>
  <c r="I25" i="3"/>
  <c r="I24" i="3"/>
  <c r="I23" i="3"/>
  <c r="I26" i="3"/>
  <c r="I22" i="3"/>
  <c r="D20" i="3"/>
  <c r="G20" i="3" s="1"/>
  <c r="D19" i="3"/>
  <c r="D18" i="3"/>
  <c r="D4" i="3"/>
  <c r="E4" i="3"/>
  <c r="A4" i="3"/>
  <c r="F4" i="3"/>
  <c r="B4" i="3" l="1"/>
  <c r="I20" i="3"/>
  <c r="Q9" i="3"/>
  <c r="Q13" i="3"/>
  <c r="Q17" i="3"/>
  <c r="Q21" i="3"/>
  <c r="Q25" i="3"/>
  <c r="Q29" i="3"/>
  <c r="B29" i="3" s="1"/>
  <c r="Q33" i="3"/>
  <c r="B33" i="3" s="1"/>
  <c r="Q37" i="3"/>
  <c r="B37" i="3" s="1"/>
  <c r="Q41" i="3"/>
  <c r="B41" i="3" s="1"/>
  <c r="Q10" i="3"/>
  <c r="Q18" i="3"/>
  <c r="Q26" i="3"/>
  <c r="B26" i="3" s="1"/>
  <c r="Q34" i="3"/>
  <c r="B34" i="3" s="1"/>
  <c r="Q7" i="3"/>
  <c r="Q11" i="3"/>
  <c r="Q15" i="3"/>
  <c r="Q19" i="3"/>
  <c r="Q23" i="3"/>
  <c r="Q27" i="3"/>
  <c r="B27" i="3" s="1"/>
  <c r="Q31" i="3"/>
  <c r="B31" i="3" s="1"/>
  <c r="Q35" i="3"/>
  <c r="B35" i="3" s="1"/>
  <c r="Q39" i="3"/>
  <c r="B39" i="3" s="1"/>
  <c r="Q8" i="3"/>
  <c r="Q12" i="3"/>
  <c r="Q16" i="3"/>
  <c r="Q20" i="3"/>
  <c r="Q24" i="3"/>
  <c r="Q28" i="3"/>
  <c r="B28" i="3" s="1"/>
  <c r="Q32" i="3"/>
  <c r="B32" i="3" s="1"/>
  <c r="Q36" i="3"/>
  <c r="B36" i="3" s="1"/>
  <c r="Q40" i="3"/>
  <c r="Q14" i="3"/>
  <c r="Q22" i="3"/>
  <c r="Q30" i="3"/>
  <c r="B30" i="3" s="1"/>
  <c r="Q38" i="3"/>
  <c r="Q42" i="3"/>
  <c r="B42" i="3" s="1"/>
  <c r="I4" i="3"/>
  <c r="K4" i="3"/>
  <c r="G4" i="3" s="1"/>
  <c r="S18" i="3"/>
  <c r="S34" i="3"/>
  <c r="S24" i="3"/>
  <c r="S21" i="3"/>
  <c r="S11" i="3"/>
  <c r="S27" i="3"/>
  <c r="S8" i="3"/>
  <c r="S36" i="3"/>
  <c r="S33" i="3"/>
  <c r="S16" i="3"/>
  <c r="S28" i="3"/>
  <c r="R4" i="3"/>
  <c r="S22" i="3"/>
  <c r="S38" i="3"/>
  <c r="S32" i="3"/>
  <c r="S29" i="3"/>
  <c r="S15" i="3"/>
  <c r="S31" i="3"/>
  <c r="S12" i="3"/>
  <c r="S9" i="3"/>
  <c r="S37" i="3"/>
  <c r="S14" i="3"/>
  <c r="D14" i="3" s="1"/>
  <c r="G14" i="3" s="1"/>
  <c r="S30" i="3"/>
  <c r="S7" i="3"/>
  <c r="S23" i="3"/>
  <c r="S10" i="3"/>
  <c r="S26" i="3"/>
  <c r="S42" i="3"/>
  <c r="S40" i="3"/>
  <c r="S41" i="3"/>
  <c r="S19" i="3"/>
  <c r="S35" i="3"/>
  <c r="S20" i="3"/>
  <c r="S17" i="3"/>
  <c r="D17" i="3" s="1"/>
  <c r="G17" i="3" s="1"/>
  <c r="S13" i="3"/>
  <c r="S39" i="3"/>
  <c r="S25" i="3"/>
  <c r="D15" i="3"/>
  <c r="G15" i="3" s="1"/>
  <c r="N11" i="3"/>
  <c r="N15" i="3"/>
  <c r="B15" i="3" s="1"/>
  <c r="N19" i="3"/>
  <c r="N23" i="3"/>
  <c r="N27" i="3"/>
  <c r="N31" i="3"/>
  <c r="N35" i="3"/>
  <c r="D16" i="3"/>
  <c r="G16" i="3" s="1"/>
  <c r="N12" i="3"/>
  <c r="N16" i="3"/>
  <c r="N20" i="3"/>
  <c r="N24" i="3"/>
  <c r="D13" i="3"/>
  <c r="G13" i="3" s="1"/>
  <c r="N7" i="3"/>
  <c r="N9" i="3"/>
  <c r="N13" i="3"/>
  <c r="B13" i="3" s="1"/>
  <c r="N17" i="3"/>
  <c r="N21" i="3"/>
  <c r="N25" i="3"/>
  <c r="N29" i="3"/>
  <c r="N33" i="3"/>
  <c r="N37" i="3"/>
  <c r="N14" i="3"/>
  <c r="B14" i="3" s="1"/>
  <c r="N28" i="3"/>
  <c r="N36" i="3"/>
  <c r="N41" i="3"/>
  <c r="N34" i="3"/>
  <c r="N18" i="3"/>
  <c r="N30" i="3"/>
  <c r="N38" i="3"/>
  <c r="N42" i="3"/>
  <c r="N40" i="3"/>
  <c r="N8" i="3"/>
  <c r="N22" i="3"/>
  <c r="N32" i="3"/>
  <c r="N39" i="3"/>
  <c r="N10" i="3"/>
  <c r="N26" i="3"/>
  <c r="P11" i="3"/>
  <c r="P15" i="3"/>
  <c r="P19" i="3"/>
  <c r="P23" i="3"/>
  <c r="P27" i="3"/>
  <c r="P31" i="3"/>
  <c r="P35" i="3"/>
  <c r="P39" i="3"/>
  <c r="P12" i="3"/>
  <c r="P16" i="3"/>
  <c r="P20" i="3"/>
  <c r="P24" i="3"/>
  <c r="P28" i="3"/>
  <c r="P32" i="3"/>
  <c r="P36" i="3"/>
  <c r="P40" i="3"/>
  <c r="P7" i="3"/>
  <c r="P9" i="3"/>
  <c r="P13" i="3"/>
  <c r="P17" i="3"/>
  <c r="P21" i="3"/>
  <c r="P25" i="3"/>
  <c r="P29" i="3"/>
  <c r="P33" i="3"/>
  <c r="P37" i="3"/>
  <c r="P41" i="3"/>
  <c r="P8" i="3"/>
  <c r="P22" i="3"/>
  <c r="P38" i="3"/>
  <c r="P34" i="3"/>
  <c r="P10" i="3"/>
  <c r="P26" i="3"/>
  <c r="P42" i="3"/>
  <c r="P18" i="3"/>
  <c r="P14" i="3"/>
  <c r="P30" i="3"/>
  <c r="B40" i="3"/>
  <c r="B38" i="3"/>
  <c r="G18" i="3"/>
  <c r="G19" i="3"/>
  <c r="Q4" i="3"/>
  <c r="C4" i="3"/>
  <c r="O22" i="3" s="1"/>
  <c r="B13" i="1"/>
  <c r="B14" i="1"/>
  <c r="B15" i="1"/>
  <c r="A22" i="1"/>
  <c r="O40" i="3" l="1"/>
  <c r="O11" i="3"/>
  <c r="O18" i="3"/>
  <c r="O24" i="3"/>
  <c r="O34" i="3"/>
  <c r="O37" i="3"/>
  <c r="O8" i="3"/>
  <c r="O21" i="3"/>
  <c r="B21" i="3" s="1"/>
  <c r="F21" i="3" s="1"/>
  <c r="O27" i="3"/>
  <c r="O14" i="3"/>
  <c r="O33" i="3"/>
  <c r="O17" i="3"/>
  <c r="O36" i="3"/>
  <c r="O20" i="3"/>
  <c r="B20" i="3" s="1"/>
  <c r="F20" i="3" s="1"/>
  <c r="O39" i="3"/>
  <c r="O23" i="3"/>
  <c r="O7" i="3"/>
  <c r="O30" i="3"/>
  <c r="O29" i="3"/>
  <c r="O13" i="3"/>
  <c r="O32" i="3"/>
  <c r="O16" i="3"/>
  <c r="O35" i="3"/>
  <c r="O19" i="3"/>
  <c r="B19" i="3" s="1"/>
  <c r="F19" i="3" s="1"/>
  <c r="O42" i="3"/>
  <c r="O26" i="3"/>
  <c r="O10" i="3"/>
  <c r="O41" i="3"/>
  <c r="O25" i="3"/>
  <c r="O9" i="3"/>
  <c r="O28" i="3"/>
  <c r="O12" i="3"/>
  <c r="O31" i="3"/>
  <c r="O15" i="3"/>
  <c r="O38" i="3"/>
  <c r="I18" i="3"/>
  <c r="I15" i="3"/>
  <c r="I14" i="3"/>
  <c r="I13" i="3"/>
  <c r="I16" i="3"/>
  <c r="I19" i="3"/>
  <c r="I17" i="3"/>
  <c r="R7" i="3"/>
  <c r="D7" i="3" s="1"/>
  <c r="G7" i="3" s="1"/>
  <c r="I7" i="3" s="1"/>
  <c r="R9" i="3"/>
  <c r="D9" i="3" s="1"/>
  <c r="G9" i="3" s="1"/>
  <c r="R13" i="3"/>
  <c r="R17" i="3"/>
  <c r="R21" i="3"/>
  <c r="R25" i="3"/>
  <c r="R29" i="3"/>
  <c r="R33" i="3"/>
  <c r="R37" i="3"/>
  <c r="R41" i="3"/>
  <c r="R16" i="3"/>
  <c r="R28" i="3"/>
  <c r="R36" i="3"/>
  <c r="R8" i="3"/>
  <c r="D8" i="3" s="1"/>
  <c r="G8" i="3" s="1"/>
  <c r="R10" i="3"/>
  <c r="D10" i="3" s="1"/>
  <c r="G10" i="3" s="1"/>
  <c r="R14" i="3"/>
  <c r="R18" i="3"/>
  <c r="R22" i="3"/>
  <c r="R26" i="3"/>
  <c r="R30" i="3"/>
  <c r="R34" i="3"/>
  <c r="R38" i="3"/>
  <c r="R42" i="3"/>
  <c r="R20" i="3"/>
  <c r="R32" i="3"/>
  <c r="R11" i="3"/>
  <c r="D11" i="3" s="1"/>
  <c r="G11" i="3" s="1"/>
  <c r="R15" i="3"/>
  <c r="R19" i="3"/>
  <c r="R23" i="3"/>
  <c r="R27" i="3"/>
  <c r="R31" i="3"/>
  <c r="R35" i="3"/>
  <c r="R39" i="3"/>
  <c r="R12" i="3"/>
  <c r="D12" i="3" s="1"/>
  <c r="G12" i="3" s="1"/>
  <c r="R24" i="3"/>
  <c r="R40" i="3"/>
  <c r="B25" i="3"/>
  <c r="F25" i="3" s="1"/>
  <c r="B24" i="3"/>
  <c r="F24" i="3" s="1"/>
  <c r="B18" i="3"/>
  <c r="B17" i="3"/>
  <c r="F17" i="3" s="1"/>
  <c r="B16" i="3"/>
  <c r="F16" i="3" s="1"/>
  <c r="B22" i="3"/>
  <c r="F22" i="3" s="1"/>
  <c r="B23" i="3"/>
  <c r="F23" i="3" s="1"/>
  <c r="M7" i="3"/>
  <c r="B7" i="3" s="1"/>
  <c r="M9" i="3"/>
  <c r="B9" i="3" s="1"/>
  <c r="M11" i="3"/>
  <c r="B11" i="3" s="1"/>
  <c r="F11" i="3" s="1"/>
  <c r="M15" i="3"/>
  <c r="M19" i="3"/>
  <c r="M23" i="3"/>
  <c r="M27" i="3"/>
  <c r="M31" i="3"/>
  <c r="M35" i="3"/>
  <c r="M39" i="3"/>
  <c r="M18" i="3"/>
  <c r="M34" i="3"/>
  <c r="M8" i="3"/>
  <c r="B8" i="3" s="1"/>
  <c r="M12" i="3"/>
  <c r="B12" i="3" s="1"/>
  <c r="F12" i="3" s="1"/>
  <c r="M16" i="3"/>
  <c r="M20" i="3"/>
  <c r="M24" i="3"/>
  <c r="M28" i="3"/>
  <c r="M32" i="3"/>
  <c r="M36" i="3"/>
  <c r="M40" i="3"/>
  <c r="M10" i="3"/>
  <c r="B10" i="3" s="1"/>
  <c r="F10" i="3" s="1"/>
  <c r="M22" i="3"/>
  <c r="M30" i="3"/>
  <c r="M13" i="3"/>
  <c r="M17" i="3"/>
  <c r="M21" i="3"/>
  <c r="M25" i="3"/>
  <c r="M29" i="3"/>
  <c r="M33" i="3"/>
  <c r="M37" i="3"/>
  <c r="M41" i="3"/>
  <c r="M14" i="3"/>
  <c r="M26" i="3"/>
  <c r="M38" i="3"/>
  <c r="M42" i="3"/>
  <c r="F30" i="3"/>
  <c r="F13" i="3"/>
  <c r="F41" i="3"/>
  <c r="F36" i="3"/>
  <c r="F27" i="3"/>
  <c r="F42" i="3"/>
  <c r="F26" i="3"/>
  <c r="F40" i="3"/>
  <c r="F31" i="3"/>
  <c r="F15" i="3"/>
  <c r="F18" i="3"/>
  <c r="F29" i="3"/>
  <c r="F32" i="3"/>
  <c r="F33" i="3"/>
  <c r="F39" i="3"/>
  <c r="F37" i="3"/>
  <c r="F38" i="3"/>
  <c r="F14" i="3"/>
  <c r="F28" i="3"/>
  <c r="F35" i="3"/>
  <c r="F34" i="3"/>
  <c r="D22" i="1"/>
  <c r="I8" i="3" l="1"/>
  <c r="I12" i="3"/>
  <c r="I11" i="3"/>
  <c r="I9" i="3"/>
  <c r="I10" i="3"/>
  <c r="H39" i="3"/>
  <c r="H19" i="3"/>
  <c r="H34" i="3"/>
  <c r="H14" i="3"/>
  <c r="H21" i="3"/>
  <c r="H33" i="3"/>
  <c r="H15" i="3"/>
  <c r="H26" i="3"/>
  <c r="H41" i="3"/>
  <c r="H11" i="3"/>
  <c r="H20" i="3"/>
  <c r="H23" i="3"/>
  <c r="H24" i="3"/>
  <c r="H40" i="3"/>
  <c r="H25" i="3"/>
  <c r="H38" i="3"/>
  <c r="H17" i="3"/>
  <c r="H13" i="3"/>
  <c r="H10" i="3"/>
  <c r="H12" i="3"/>
  <c r="H28" i="3"/>
  <c r="H18" i="3"/>
  <c r="H36" i="3"/>
  <c r="H16" i="3"/>
  <c r="H32" i="3"/>
  <c r="H42" i="3"/>
  <c r="H35" i="3"/>
  <c r="H22" i="3"/>
  <c r="H37" i="3"/>
  <c r="H29" i="3"/>
  <c r="H31" i="3"/>
  <c r="H27" i="3"/>
  <c r="H30" i="3"/>
  <c r="F8" i="3"/>
  <c r="F9" i="3"/>
  <c r="F7" i="3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L14" i="3" l="1"/>
  <c r="L11" i="3"/>
  <c r="L20" i="3"/>
  <c r="L8" i="3"/>
  <c r="L18" i="3"/>
  <c r="L23" i="3"/>
  <c r="L13" i="3"/>
  <c r="L22" i="3"/>
  <c r="L25" i="3"/>
  <c r="L9" i="3"/>
  <c r="L24" i="3"/>
  <c r="L12" i="3"/>
  <c r="L21" i="3"/>
  <c r="L15" i="3"/>
  <c r="L10" i="3"/>
  <c r="L16" i="3"/>
  <c r="L19" i="3"/>
  <c r="L17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G15" i="1" l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I2" i="2"/>
  <c r="C17" i="2" s="1"/>
  <c r="D17" i="2" s="1"/>
  <c r="E17" i="2" s="1"/>
  <c r="C5" i="2"/>
  <c r="D5" i="2" s="1"/>
  <c r="E5" i="2" s="1"/>
  <c r="G2" i="1" l="1"/>
  <c r="C2" i="2"/>
  <c r="F2" i="2" s="1"/>
  <c r="G2" i="2" s="1"/>
  <c r="C6" i="2"/>
  <c r="F6" i="2" s="1"/>
  <c r="G6" i="2" s="1"/>
  <c r="C10" i="2"/>
  <c r="D10" i="2" s="1"/>
  <c r="E10" i="2" s="1"/>
  <c r="C14" i="2"/>
  <c r="F14" i="2" s="1"/>
  <c r="G14" i="2" s="1"/>
  <c r="C3" i="2"/>
  <c r="F3" i="2" s="1"/>
  <c r="G3" i="2" s="1"/>
  <c r="C7" i="2"/>
  <c r="F7" i="2" s="1"/>
  <c r="G7" i="2" s="1"/>
  <c r="C11" i="2"/>
  <c r="F11" i="2" s="1"/>
  <c r="G11" i="2" s="1"/>
  <c r="C15" i="2"/>
  <c r="F15" i="2" s="1"/>
  <c r="G15" i="2" s="1"/>
  <c r="C4" i="2"/>
  <c r="F4" i="2" s="1"/>
  <c r="G4" i="2" s="1"/>
  <c r="C8" i="2"/>
  <c r="F8" i="2" s="1"/>
  <c r="G8" i="2" s="1"/>
  <c r="C12" i="2"/>
  <c r="F12" i="2" s="1"/>
  <c r="G12" i="2" s="1"/>
  <c r="C16" i="2"/>
  <c r="F16" i="2" s="1"/>
  <c r="G16" i="2" s="1"/>
  <c r="C9" i="2"/>
  <c r="D9" i="2" s="1"/>
  <c r="E9" i="2" s="1"/>
  <c r="C13" i="2"/>
  <c r="D13" i="2" s="1"/>
  <c r="E13" i="2" s="1"/>
  <c r="F5" i="2"/>
  <c r="G5" i="2" s="1"/>
  <c r="D2" i="2"/>
  <c r="E2" i="2" s="1"/>
  <c r="D6" i="2"/>
  <c r="E6" i="2" s="1"/>
  <c r="F17" i="2"/>
  <c r="G17" i="2" s="1"/>
  <c r="D3" i="2"/>
  <c r="E3" i="2" s="1"/>
  <c r="D4" i="2"/>
  <c r="E4" i="2" s="1"/>
  <c r="D18" i="1"/>
  <c r="E18" i="1" s="1"/>
  <c r="D14" i="2" l="1"/>
  <c r="E14" i="2" s="1"/>
  <c r="F13" i="2"/>
  <c r="G13" i="2" s="1"/>
  <c r="D12" i="2"/>
  <c r="E12" i="2" s="1"/>
  <c r="D11" i="2"/>
  <c r="E11" i="2" s="1"/>
  <c r="F10" i="2"/>
  <c r="G10" i="2" s="1"/>
  <c r="F9" i="2"/>
  <c r="G9" i="2" s="1"/>
  <c r="D8" i="2"/>
  <c r="E8" i="2" s="1"/>
  <c r="D7" i="2"/>
  <c r="E7" i="2" s="1"/>
  <c r="D16" i="2"/>
  <c r="E16" i="2" s="1"/>
  <c r="D15" i="2"/>
  <c r="E15" i="2" s="1"/>
  <c r="F18" i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<sst xmlns="http://schemas.openxmlformats.org/spreadsheetml/2006/main" count="85" uniqueCount="69">
  <si>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</si>
  <si>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</si>
  <si>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</si>
  <si>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</si>
  <si>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</si>
  <si>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</si>
  <si>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</si>
  <si>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</si>
  <si>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</si>
  <si>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</si>
  <si>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</si>
  <si>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</si>
  <si>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</si>
  <si>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</si>
  <si>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</si>
  <si>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</si>
  <si>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</si>
  <si>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</si>
  <si>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</si>
  <si>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</si>
  <si>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</si>
  <si>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</si>
  <si>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</si>
  <si>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</si>
  <si>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</si>
  <si>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</si>
  <si>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</si>
  <si>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</si>
  <si>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</si>
  <si>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</si>
  <si>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</si>
  <si>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</si>
  <si>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</si>
  <si>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</si>
  <si>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</si>
  <si>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</si>
  <si>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</si>
  <si>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</si>
  <si>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</si>
  <si>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</si>
  <si>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</si>
  <si>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</si>
  <si>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</si>
  <si>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</si>
  <si>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</si>
  <si>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</si>
  <si>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</si>
  <si>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</si>
  <si>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</si>
  <si>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</si>
  <si>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</si>
  <si>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</si>
  <si>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</si>
  <si>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</si>
  <si>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</si>
  <si>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</si>
  <si>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</si>
  <si>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</si>
  <si>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</si>
  <si>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</si>
  <si>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</si>
  <si>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</si>
  <si>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</si>
  <si>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</si>
  <si>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</si>
  <si>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</si>
  <si>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</si>
  <si>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</si>
  <si>
    <t>fadeOutExp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</si>
</sst>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2" fillId="0" borderId="0" xfId="0" applyNumberFormat="1" applyFont="1"/>
    <xf numFmtId="9" fontId="0" fillId="0" borderId="3" xfId="1" applyFont="1" applyBorder="1"/>
    <xf numFmtId="0" fontId="3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5" fillId="0" borderId="2" xfId="0" applyFont="1" applyBorder="1"/>
    <xf numFmtId="0" fontId="5" fillId="0" borderId="3" xfId="0" applyFont="1" applyBorder="1"/>
    <xf numFmtId="0" fontId="5" fillId="3" borderId="4" xfId="0" applyFont="1" applyFill="1" applyBorder="1"/>
    <xf numFmtId="0" fontId="5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9" fontId="4" fillId="2" borderId="11" xfId="1" applyFont="1" applyFill="1" applyBorder="1"/>
    <xf numFmtId="9" fontId="4" fillId="2" borderId="12" xfId="1" applyFont="1" applyFill="1" applyBorder="1"/>
    <xf numFmtId="9" fontId="4" fillId="2" borderId="13" xfId="1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5" fillId="0" borderId="1" xfId="0" applyFont="1" applyBorder="1"/>
    <xf numFmtId="164" fontId="0" fillId="0" borderId="0" xfId="0" applyNumberFormat="1"/>
    <xf numFmtId="0" fontId="0" fillId="0" borderId="14" xfId="0" applyBorder="1"/>
  </cellXfs>
  <cellStyles count="2">
    <cellStyle name="Normal" xfId="0" builtinId="0"/>
    <cellStyle name="Percent" xfId="1" builtinId="5"/>
  </cellStyles>
  <dxfs count="73"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color theme="0" tint="-0.34998626667073579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color theme="0" tint="-0.34998626667073579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45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Values'!$A$7:$A$42</c:f>
              <c:numCache>
                <c:formatCode>0</c:formatCode>
                <c:ptCount val="36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2750</c:v>
                </c:pt>
                <c:pt idx="23">
                  <c:v>3000</c:v>
                </c:pt>
                <c:pt idx="24">
                  <c:v>3250</c:v>
                </c:pt>
                <c:pt idx="25">
                  <c:v>3500</c:v>
                </c:pt>
                <c:pt idx="26">
                  <c:v>3750</c:v>
                </c:pt>
                <c:pt idx="27">
                  <c:v>4000</c:v>
                </c:pt>
                <c:pt idx="28">
                  <c:v>4250</c:v>
                </c:pt>
                <c:pt idx="29">
                  <c:v>4500</c:v>
                </c:pt>
                <c:pt idx="30">
                  <c:v>4750</c:v>
                </c:pt>
                <c:pt idx="31">
                  <c:v>5000</c:v>
                </c:pt>
                <c:pt idx="32">
                  <c:v>5250</c:v>
                </c:pt>
                <c:pt idx="33">
                  <c:v>5500</c:v>
                </c:pt>
                <c:pt idx="34">
                  <c:v>5750</c:v>
                </c:pt>
                <c:pt idx="35">
                  <c:v>6000</c:v>
                </c:pt>
              </c:numCache>
            </c:numRef>
          </c:xVal>
          <c:yVal>
            <c:numRef>
              <c:f>'Calculate from Values'!$F$7:$F$42</c:f>
              <c:numCache>
                <c:formatCode>0</c:formatCode>
                <c:ptCount val="36"/>
                <c:pt idx="0">
                  <c:v>0</c:v>
                </c:pt>
                <c:pt idx="1">
                  <c:v>240.37037037037044</c:v>
                </c:pt>
                <c:pt idx="2">
                  <c:v>704.81481481481478</c:v>
                </c:pt>
                <c:pt idx="3">
                  <c:v>912.59259259259272</c:v>
                </c:pt>
                <c:pt idx="4">
                  <c:v>953.33333333333337</c:v>
                </c:pt>
                <c:pt idx="5">
                  <c:v>990</c:v>
                </c:pt>
                <c:pt idx="6">
                  <c:v>1023.6111111111111</c:v>
                </c:pt>
                <c:pt idx="7">
                  <c:v>1051.1111111111111</c:v>
                </c:pt>
                <c:pt idx="8">
                  <c:v>1072.5</c:v>
                </c:pt>
                <c:pt idx="9">
                  <c:v>1087.7777777777778</c:v>
                </c:pt>
                <c:pt idx="10">
                  <c:v>1096.9444444444443</c:v>
                </c:pt>
                <c:pt idx="11">
                  <c:v>1100</c:v>
                </c:pt>
                <c:pt idx="12">
                  <c:v>1072.4929856811145</c:v>
                </c:pt>
                <c:pt idx="13">
                  <c:v>1032.6557093425604</c:v>
                </c:pt>
                <c:pt idx="14">
                  <c:v>975.28594771241819</c:v>
                </c:pt>
                <c:pt idx="15">
                  <c:v>923.95510835913308</c:v>
                </c:pt>
                <c:pt idx="16">
                  <c:v>796.06627888149092</c:v>
                </c:pt>
                <c:pt idx="17">
                  <c:v>478.62033819495952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Values'!$A$7:$A$42</c:f>
              <c:numCache>
                <c:formatCode>0</c:formatCode>
                <c:ptCount val="36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2750</c:v>
                </c:pt>
                <c:pt idx="23">
                  <c:v>3000</c:v>
                </c:pt>
                <c:pt idx="24">
                  <c:v>3250</c:v>
                </c:pt>
                <c:pt idx="25">
                  <c:v>3500</c:v>
                </c:pt>
                <c:pt idx="26">
                  <c:v>3750</c:v>
                </c:pt>
                <c:pt idx="27">
                  <c:v>4000</c:v>
                </c:pt>
                <c:pt idx="28">
                  <c:v>4250</c:v>
                </c:pt>
                <c:pt idx="29">
                  <c:v>4500</c:v>
                </c:pt>
                <c:pt idx="30">
                  <c:v>4750</c:v>
                </c:pt>
                <c:pt idx="31">
                  <c:v>5000</c:v>
                </c:pt>
                <c:pt idx="32">
                  <c:v>5250</c:v>
                </c:pt>
                <c:pt idx="33">
                  <c:v>5500</c:v>
                </c:pt>
                <c:pt idx="34">
                  <c:v>5750</c:v>
                </c:pt>
                <c:pt idx="35">
                  <c:v>6000</c:v>
                </c:pt>
              </c:numCache>
            </c:numRef>
          </c:xVal>
          <c:yVal>
            <c:numRef>
              <c:f>'Calculate from Values'!$G$7:$G$42</c:f>
              <c:numCache>
                <c:formatCode>0</c:formatCode>
                <c:ptCount val="36"/>
                <c:pt idx="0">
                  <c:v>0</c:v>
                </c:pt>
                <c:pt idx="1">
                  <c:v>228.3518518518519</c:v>
                </c:pt>
                <c:pt idx="2">
                  <c:v>669.57407407407413</c:v>
                </c:pt>
                <c:pt idx="3">
                  <c:v>866.96296296296305</c:v>
                </c:pt>
                <c:pt idx="4">
                  <c:v>905.66666666666674</c:v>
                </c:pt>
                <c:pt idx="5">
                  <c:v>940.5</c:v>
                </c:pt>
                <c:pt idx="6">
                  <c:v>972.43055555555554</c:v>
                </c:pt>
                <c:pt idx="7">
                  <c:v>998.55555555555566</c:v>
                </c:pt>
                <c:pt idx="8">
                  <c:v>1018.875</c:v>
                </c:pt>
                <c:pt idx="9">
                  <c:v>1033.3888888888889</c:v>
                </c:pt>
                <c:pt idx="10">
                  <c:v>1042.0972222222222</c:v>
                </c:pt>
                <c:pt idx="11">
                  <c:v>1045</c:v>
                </c:pt>
                <c:pt idx="12">
                  <c:v>987.47702205882354</c:v>
                </c:pt>
                <c:pt idx="13">
                  <c:v>929.39013840830444</c:v>
                </c:pt>
                <c:pt idx="14">
                  <c:v>877.75735294117646</c:v>
                </c:pt>
                <c:pt idx="15">
                  <c:v>831.55959752321974</c:v>
                </c:pt>
                <c:pt idx="16">
                  <c:v>716.45965099334182</c:v>
                </c:pt>
                <c:pt idx="17">
                  <c:v>430.75830437546352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97712"/>
        <c:axId val="374295752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Values'!$A$7:$A$42</c:f>
              <c:numCache>
                <c:formatCode>0</c:formatCode>
                <c:ptCount val="36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2750</c:v>
                </c:pt>
                <c:pt idx="23">
                  <c:v>3000</c:v>
                </c:pt>
                <c:pt idx="24">
                  <c:v>3250</c:v>
                </c:pt>
                <c:pt idx="25">
                  <c:v>3500</c:v>
                </c:pt>
                <c:pt idx="26">
                  <c:v>3750</c:v>
                </c:pt>
                <c:pt idx="27">
                  <c:v>4000</c:v>
                </c:pt>
                <c:pt idx="28">
                  <c:v>4250</c:v>
                </c:pt>
                <c:pt idx="29">
                  <c:v>4500</c:v>
                </c:pt>
                <c:pt idx="30">
                  <c:v>4750</c:v>
                </c:pt>
                <c:pt idx="31">
                  <c:v>5000</c:v>
                </c:pt>
                <c:pt idx="32">
                  <c:v>5250</c:v>
                </c:pt>
                <c:pt idx="33">
                  <c:v>5500</c:v>
                </c:pt>
                <c:pt idx="34">
                  <c:v>5750</c:v>
                </c:pt>
                <c:pt idx="35">
                  <c:v>6000</c:v>
                </c:pt>
              </c:numCache>
            </c:numRef>
          </c:xVal>
          <c:yVal>
            <c:numRef>
              <c:f>'Calculate from Values'!$H$7:$H$42</c:f>
              <c:numCache>
                <c:formatCode>0.0</c:formatCode>
                <c:ptCount val="36"/>
                <c:pt idx="0">
                  <c:v>0</c:v>
                </c:pt>
                <c:pt idx="1">
                  <c:v>3.4230754314523959</c:v>
                </c:pt>
                <c:pt idx="2">
                  <c:v>40.148613535000962</c:v>
                </c:pt>
                <c:pt idx="3">
                  <c:v>90.972580957921295</c:v>
                </c:pt>
                <c:pt idx="4">
                  <c:v>108.61012216404887</c:v>
                </c:pt>
                <c:pt idx="5">
                  <c:v>126.88586387434555</c:v>
                </c:pt>
                <c:pt idx="6">
                  <c:v>145.77079697498544</c:v>
                </c:pt>
                <c:pt idx="7">
                  <c:v>164.65573007562537</c:v>
                </c:pt>
                <c:pt idx="8">
                  <c:v>183.27958115183247</c:v>
                </c:pt>
                <c:pt idx="9">
                  <c:v>201.38126817917399</c:v>
                </c:pt>
                <c:pt idx="10">
                  <c:v>218.699709133217</c:v>
                </c:pt>
                <c:pt idx="11">
                  <c:v>234.97382198952886</c:v>
                </c:pt>
                <c:pt idx="12">
                  <c:v>244.37117663268117</c:v>
                </c:pt>
                <c:pt idx="13">
                  <c:v>249.99999999999994</c:v>
                </c:pt>
                <c:pt idx="14">
                  <c:v>249.99999999999994</c:v>
                </c:pt>
                <c:pt idx="15">
                  <c:v>250</c:v>
                </c:pt>
                <c:pt idx="16">
                  <c:v>226.7330134615346</c:v>
                </c:pt>
                <c:pt idx="17">
                  <c:v>143.13504564238789</c:v>
                </c:pt>
                <c:pt idx="18">
                  <c:v>0</c:v>
                </c:pt>
                <c:pt idx="19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Values'!$A$7:$A$42</c:f>
              <c:numCache>
                <c:formatCode>0</c:formatCode>
                <c:ptCount val="36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2750</c:v>
                </c:pt>
                <c:pt idx="23">
                  <c:v>3000</c:v>
                </c:pt>
                <c:pt idx="24">
                  <c:v>3250</c:v>
                </c:pt>
                <c:pt idx="25">
                  <c:v>3500</c:v>
                </c:pt>
                <c:pt idx="26">
                  <c:v>3750</c:v>
                </c:pt>
                <c:pt idx="27">
                  <c:v>4000</c:v>
                </c:pt>
                <c:pt idx="28">
                  <c:v>4250</c:v>
                </c:pt>
                <c:pt idx="29">
                  <c:v>4500</c:v>
                </c:pt>
                <c:pt idx="30">
                  <c:v>4750</c:v>
                </c:pt>
                <c:pt idx="31">
                  <c:v>5000</c:v>
                </c:pt>
                <c:pt idx="32">
                  <c:v>5250</c:v>
                </c:pt>
                <c:pt idx="33">
                  <c:v>5500</c:v>
                </c:pt>
                <c:pt idx="34">
                  <c:v>5750</c:v>
                </c:pt>
                <c:pt idx="35">
                  <c:v>6000</c:v>
                </c:pt>
              </c:numCache>
            </c:numRef>
          </c:xVal>
          <c:yVal>
            <c:numRef>
              <c:f>'Calculate from Values'!$I$7:$I$42</c:f>
              <c:numCache>
                <c:formatCode>0.0</c:formatCode>
                <c:ptCount val="36"/>
                <c:pt idx="0">
                  <c:v>0</c:v>
                </c:pt>
                <c:pt idx="1">
                  <c:v>3.2519216598797756</c:v>
                </c:pt>
                <c:pt idx="2">
                  <c:v>38.141182858250929</c:v>
                </c:pt>
                <c:pt idx="3">
                  <c:v>86.423951910025224</c:v>
                </c:pt>
                <c:pt idx="4">
                  <c:v>103.17961605584642</c:v>
                </c:pt>
                <c:pt idx="5">
                  <c:v>120.54157068062827</c:v>
                </c:pt>
                <c:pt idx="6">
                  <c:v>138.48225712623619</c:v>
                </c:pt>
                <c:pt idx="7">
                  <c:v>156.42294357184412</c:v>
                </c:pt>
                <c:pt idx="8">
                  <c:v>174.11560209424087</c:v>
                </c:pt>
                <c:pt idx="9">
                  <c:v>191.31220477021526</c:v>
                </c:pt>
                <c:pt idx="10">
                  <c:v>207.76472367655614</c:v>
                </c:pt>
                <c:pt idx="11">
                  <c:v>223.22513089005241</c:v>
                </c:pt>
                <c:pt idx="12">
                  <c:v>225</c:v>
                </c:pt>
                <c:pt idx="13">
                  <c:v>225</c:v>
                </c:pt>
                <c:pt idx="14">
                  <c:v>225</c:v>
                </c:pt>
                <c:pt idx="15">
                  <c:v>225</c:v>
                </c:pt>
                <c:pt idx="16">
                  <c:v>204.05971211538113</c:v>
                </c:pt>
                <c:pt idx="17">
                  <c:v>128.8215410781491</c:v>
                </c:pt>
                <c:pt idx="18">
                  <c:v>0</c:v>
                </c:pt>
                <c:pt idx="19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98104"/>
        <c:axId val="374300064"/>
      </c:scatterChart>
      <c:valAx>
        <c:axId val="374297712"/>
        <c:scaling>
          <c:orientation val="minMax"/>
          <c:max val="6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95752"/>
        <c:crosses val="autoZero"/>
        <c:crossBetween val="midCat"/>
        <c:majorUnit val="500"/>
      </c:valAx>
      <c:valAx>
        <c:axId val="37429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97712"/>
        <c:crosses val="autoZero"/>
        <c:crossBetween val="midCat"/>
      </c:valAx>
      <c:valAx>
        <c:axId val="37430006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98104"/>
        <c:crosses val="max"/>
        <c:crossBetween val="midCat"/>
      </c:valAx>
      <c:valAx>
        <c:axId val="37429810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37430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Values'!$A$7:$A$42</c:f>
              <c:numCache>
                <c:formatCode>0</c:formatCode>
                <c:ptCount val="36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2750</c:v>
                </c:pt>
                <c:pt idx="23">
                  <c:v>3000</c:v>
                </c:pt>
                <c:pt idx="24">
                  <c:v>3250</c:v>
                </c:pt>
                <c:pt idx="25">
                  <c:v>3500</c:v>
                </c:pt>
                <c:pt idx="26">
                  <c:v>3750</c:v>
                </c:pt>
                <c:pt idx="27">
                  <c:v>4000</c:v>
                </c:pt>
                <c:pt idx="28">
                  <c:v>4250</c:v>
                </c:pt>
                <c:pt idx="29">
                  <c:v>4500</c:v>
                </c:pt>
                <c:pt idx="30">
                  <c:v>4750</c:v>
                </c:pt>
                <c:pt idx="31">
                  <c:v>5000</c:v>
                </c:pt>
                <c:pt idx="32">
                  <c:v>5250</c:v>
                </c:pt>
                <c:pt idx="33">
                  <c:v>5500</c:v>
                </c:pt>
                <c:pt idx="34">
                  <c:v>5750</c:v>
                </c:pt>
                <c:pt idx="35">
                  <c:v>6000</c:v>
                </c:pt>
              </c:numCache>
            </c:numRef>
          </c:xVal>
          <c:yVal>
            <c:numRef>
              <c:f>'Calculate from Values'!$J$7:$J$42</c:f>
              <c:numCache>
                <c:formatCode>0.0</c:formatCode>
                <c:ptCount val="36"/>
                <c:pt idx="0">
                  <c:v>304.1749999999999</c:v>
                </c:pt>
                <c:pt idx="1">
                  <c:v>289.7999999999999</c:v>
                </c:pt>
                <c:pt idx="2">
                  <c:v>253.57499999999993</c:v>
                </c:pt>
                <c:pt idx="3">
                  <c:v>227.7</c:v>
                </c:pt>
                <c:pt idx="4">
                  <c:v>221.37499999999997</c:v>
                </c:pt>
                <c:pt idx="5">
                  <c:v>216.2</c:v>
                </c:pt>
                <c:pt idx="6">
                  <c:v>212.17499999999998</c:v>
                </c:pt>
                <c:pt idx="7">
                  <c:v>209.3</c:v>
                </c:pt>
                <c:pt idx="8">
                  <c:v>207.57499999999999</c:v>
                </c:pt>
                <c:pt idx="9">
                  <c:v>207</c:v>
                </c:pt>
                <c:pt idx="10">
                  <c:v>207.63888888888889</c:v>
                </c:pt>
                <c:pt idx="11">
                  <c:v>209.55555555555554</c:v>
                </c:pt>
                <c:pt idx="12">
                  <c:v>212.75</c:v>
                </c:pt>
                <c:pt idx="13">
                  <c:v>217.22222222222223</c:v>
                </c:pt>
                <c:pt idx="14">
                  <c:v>222.97222222222223</c:v>
                </c:pt>
                <c:pt idx="15">
                  <c:v>230</c:v>
                </c:pt>
                <c:pt idx="16">
                  <c:v>244.75450687929043</c:v>
                </c:pt>
                <c:pt idx="17">
                  <c:v>313.46409493927865</c:v>
                </c:pt>
                <c:pt idx="18">
                  <c:v>460</c:v>
                </c:pt>
                <c:pt idx="19">
                  <c:v>460</c:v>
                </c:pt>
                <c:pt idx="20">
                  <c:v>460</c:v>
                </c:pt>
                <c:pt idx="21">
                  <c:v>460</c:v>
                </c:pt>
                <c:pt idx="22">
                  <c:v>460</c:v>
                </c:pt>
                <c:pt idx="23">
                  <c:v>460</c:v>
                </c:pt>
                <c:pt idx="24">
                  <c:v>460</c:v>
                </c:pt>
                <c:pt idx="25">
                  <c:v>460</c:v>
                </c:pt>
                <c:pt idx="26">
                  <c:v>460</c:v>
                </c:pt>
                <c:pt idx="27">
                  <c:v>460</c:v>
                </c:pt>
                <c:pt idx="28">
                  <c:v>460</c:v>
                </c:pt>
                <c:pt idx="29">
                  <c:v>460</c:v>
                </c:pt>
                <c:pt idx="30">
                  <c:v>460</c:v>
                </c:pt>
                <c:pt idx="31">
                  <c:v>460</c:v>
                </c:pt>
                <c:pt idx="32">
                  <c:v>460</c:v>
                </c:pt>
                <c:pt idx="33">
                  <c:v>460</c:v>
                </c:pt>
                <c:pt idx="34">
                  <c:v>460</c:v>
                </c:pt>
                <c:pt idx="35">
                  <c:v>460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96144"/>
        <c:axId val="374300456"/>
      </c:scatterChart>
      <c:valAx>
        <c:axId val="374296144"/>
        <c:scaling>
          <c:orientation val="minMax"/>
          <c:max val="6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00456"/>
        <c:crosses val="autoZero"/>
        <c:crossBetween val="midCat"/>
        <c:majorUnit val="500"/>
      </c:valAx>
      <c:valAx>
        <c:axId val="374300456"/>
        <c:scaling>
          <c:orientation val="minMax"/>
          <c:max val="26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96144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00848"/>
        <c:axId val="374296928"/>
      </c:scatterChart>
      <c:valAx>
        <c:axId val="374300848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96928"/>
        <c:crosses val="autoZero"/>
        <c:crossBetween val="midCat"/>
      </c:valAx>
      <c:valAx>
        <c:axId val="3742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0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(2)'!$A$2:$A$17</c:f>
              <c:numCache>
                <c:formatCode>General</c:formatCode>
                <c:ptCount val="16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2300</c:v>
                </c:pt>
              </c:numCache>
            </c:numRef>
          </c:xVal>
          <c:yVal>
            <c:numRef>
              <c:f>'Sheet1 (2)'!$C$2:$C$17</c:f>
              <c:numCache>
                <c:formatCode>General</c:formatCode>
                <c:ptCount val="16"/>
                <c:pt idx="0">
                  <c:v>0</c:v>
                </c:pt>
                <c:pt idx="1">
                  <c:v>2357.7674150500002</c:v>
                </c:pt>
                <c:pt idx="2">
                  <c:v>2357.7674150500002</c:v>
                </c:pt>
                <c:pt idx="3">
                  <c:v>2357.7674150500002</c:v>
                </c:pt>
                <c:pt idx="4">
                  <c:v>2357.7674150500002</c:v>
                </c:pt>
                <c:pt idx="5">
                  <c:v>2306.7886601300002</c:v>
                </c:pt>
                <c:pt idx="6">
                  <c:v>2153.8523953700001</c:v>
                </c:pt>
                <c:pt idx="7">
                  <c:v>2020.0331637050001</c:v>
                </c:pt>
                <c:pt idx="8">
                  <c:v>1901.507558516</c:v>
                </c:pt>
                <c:pt idx="9">
                  <c:v>1797.0011109300001</c:v>
                </c:pt>
                <c:pt idx="10">
                  <c:v>1682.29891236</c:v>
                </c:pt>
                <c:pt idx="11">
                  <c:v>1593.08609125</c:v>
                </c:pt>
                <c:pt idx="12">
                  <c:v>1503.8732701399999</c:v>
                </c:pt>
                <c:pt idx="13">
                  <c:v>637.23443650000002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31496"/>
        <c:axId val="374237376"/>
      </c:scatterChart>
      <c:valAx>
        <c:axId val="374231496"/>
        <c:scaling>
          <c:orientation val="minMax"/>
          <c:max val="24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37376"/>
        <c:crosses val="autoZero"/>
        <c:crossBetween val="midCat"/>
      </c:valAx>
      <c:valAx>
        <c:axId val="3742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3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76201</xdr:colOff>
      <xdr:row>4</xdr:row>
      <xdr:rowOff>28575</xdr:rowOff>
    </xdr:from>
    <xdr:to>
      <xdr:col>47</xdr:col>
      <xdr:colOff>19051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76202</xdr:colOff>
      <xdr:row>30</xdr:row>
      <xdr:rowOff>66675</xdr:rowOff>
    </xdr:from>
    <xdr:to>
      <xdr:col>45</xdr:col>
      <xdr:colOff>447675</xdr:colOff>
      <xdr:row>48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V42" totalsRowShown="0" headerRowDxfId="72" dataDxfId="71">
  <autoFilter ref="A6:V4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rpm" dataDxfId="70"/>
    <tableColumn id="7" name="rawData" dataDxfId="69">
      <calculatedColumnFormula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calculatedColumnFormula>
    </tableColumn>
    <tableColumn id="9" name="manualData" dataDxfId="68"/>
    <tableColumn id="12" name="rawDataEco" dataDxfId="67">
      <calculatedColumnFormula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calculatedColumnFormula>
    </tableColumn>
    <tableColumn id="11" name="manDataEco" dataDxfId="66"/>
    <tableColumn id="4" name="motor" dataDxfId="65">
      <calculatedColumnFormula>Table36[Factor]*IF(Table15[[#This Row],[manualData]]&gt;0,Table15[[#This Row],[manualData]],Table15[[#This Row],[rawData]])</calculatedColumnFormula>
    </tableColumn>
    <tableColumn id="14" name="motorEco" dataDxfId="64">
      <calculatedColumnFormula>Table36[Factor]*IF(Table15[[#This Row],[manDataEco]]&gt;0,Table15[[#This Row],[manDataEco]],Table15[[#This Row],[rawDataEco]])</calculatedColumnFormula>
    </tableColumn>
    <tableColumn id="3" name="ps" dataDxfId="63">
      <calculatedColumnFormula>1.36*Table15[[#This Row],[rpm]]*Table15[[#This Row],[motor]]/9550</calculatedColumnFormula>
    </tableColumn>
    <tableColumn id="13" name="psEco" dataDxfId="62">
      <calculatedColumnFormula>1.36*Table15[[#This Row],[rpm]]*Table15[[#This Row],[motorEco]]/9550</calculatedColumnFormula>
    </tableColumn>
    <tableColumn id="10" name="fuelUsageRatio" dataDxfId="61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calculatedColumnFormula>
    </tableColumn>
    <tableColumn id="5" name="xml" dataDxfId="0">
      <calculatedColumnFormula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calculatedColumnFormula>
    </tableColumn>
    <tableColumn id="8" name="xml2" dataDxfId="60">
      <calculatedColumnFormula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calculatedColumnFormula>
    </tableColumn>
    <tableColumn id="15" name="t1" dataDxfId="59">
      <calculatedColumnFormula>(1-(1-Table15[[#This Row],[rpm]]/Table36[idleRpm])^2)*Table7[idleT]</calculatedColumnFormula>
    </tableColumn>
    <tableColumn id="18" name="t2" dataDxfId="58">
      <calculatedColumnFormula>MAX(0,(1-Table7[f1]*(Table36[maxTRpm1]-Table15[[#This Row],[rpm]])^2)*Table36[maxT])</calculatedColumnFormula>
    </tableColumn>
    <tableColumn id="19" name="t3" dataDxfId="57">
      <calculatedColumnFormula>MIN(Table7[Nm]*Table36[maxPRpm]/Table15[[#This Row],[rpm]],MAX(0,(Table36[linearDown]*(1-Table7[f2]*(Table15[[#This Row],[rpm]]-Table36[maxTRpm]))+(1-Table36[linearDown])*(1-Table7[f3]*(Table15[[#This Row],[rpm]]-Table36[maxTRpm])^2))*Table36[maxT]))</calculatedColumnFormula>
    </tableColumn>
    <tableColumn id="16" name="t4" dataDxfId="56">
      <calculatedColumnFormula>MAX(0,(Table36[maxPS]-Table7[f4]*(Table15[[#This Row],[rpm]]-Table36[maxPRpm])^2)/1.36*9550/MAX(1,Table15[[#This Row],[rpm]]))</calculatedColumnFormula>
    </tableColumn>
    <tableColumn id="17" name="t5" dataDxfId="55">
      <calculatedColumnFormula>MAX(0,Table7[Nm2]*MIN(Table36[ratedRpm]/MAX(1,Table15[[#This Row],[rpm]]),1-(MAX(0,Table15[[#This Row],[rpm]]-Table36[ratedRpm])/Table36[fadeOut])^Table36[fadeOutExp]))</calculatedColumnFormula>
    </tableColumn>
    <tableColumn id="21" name="t1E" dataDxfId="54">
      <calculatedColumnFormula>(1-(1-Table15[[#This Row],[rpm]]/Table36[idleRpm])^2)*Table7[idleTEco]</calculatedColumnFormula>
    </tableColumn>
    <tableColumn id="22" name="t2E" dataDxfId="53">
      <calculatedColumnFormula>MAX(0,(1-Table7[f1]*(Table36[maxTRpm1]-Table15[[#This Row],[rpm]])^2)*Table36[maxTEco])</calculatedColumnFormula>
    </tableColumn>
    <tableColumn id="23" name="t3E" dataDxfId="52">
      <calculatedColumnFormula>MIN(Table7[NmEco]*Table36[maxPRpm]/Table15[[#This Row],[rpm]],MAX(0,(Table36[linearDown]*(1-Table7[f2Eco]*(Table15[[#This Row],[rpm]]-Table36[maxTRpm]))+(1-Table36[linearDown])*(1-Table7[f3Eco]*(Table15[[#This Row],[rpm]]-Table36[maxTRpm])^2))*Table36[maxTEco]))</calculatedColumnFormula>
    </tableColumn>
    <tableColumn id="24" name="t4E" dataDxfId="51">
      <calculatedColumnFormula>MAX(0,(Table36[maxPSEco]-Table7[f4Eco]*(Table15[[#This Row],[rpm]]-Table36[maxPRpm])^2)/1.36*9550/MAX(1,Table15[[#This Row],[rpm]]))</calculatedColumnFormula>
    </tableColumn>
    <tableColumn id="25" name="t5E" dataDxfId="50">
      <calculatedColumnFormula>MAX(0,Table7[Nm2Eco]*MIN(Table36[ratedRpm]/MAX(1,Table15[[#This Row],[rpm]]),1-(MAX(0,Table15[[#This Row],[rpm]]-Table36[ratedRpm])/Table36[fadeOut])^Table36[fadeOutExp]))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Y2" totalsRowShown="0" headerRowDxfId="49">
  <autoFilter ref="A1:Y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5">
    <tableColumn id="10" name="maxPRpm" dataDxfId="48"/>
    <tableColumn id="14" name="maxPS" dataDxfId="47"/>
    <tableColumn id="19" name="maxPSEco" dataDxfId="46">
      <calculatedColumnFormula>Table36[maxPsEcoRate]*Table36[maxPS]</calculatedColumnFormula>
    </tableColumn>
    <tableColumn id="2" name="ratedRpm"/>
    <tableColumn id="3" name="PS"/>
    <tableColumn id="20" name="PSEco" dataDxfId="45">
      <calculatedColumnFormula>Table36[PSEcoRate]*Table36[PS]</calculatedColumnFormula>
    </tableColumn>
    <tableColumn id="12" name="maxTRpm1" dataDxfId="44"/>
    <tableColumn id="4" name="maxTRpm" dataDxfId="43"/>
    <tableColumn id="5" name="maxT" dataDxfId="42"/>
    <tableColumn id="21" name="maxTEco" dataDxfId="41">
      <calculatedColumnFormula>Table36[NmEcoRate]*Table36[maxT]</calculatedColumnFormula>
    </tableColumn>
    <tableColumn id="6" name="idleRpm"/>
    <tableColumn id="7" name="idleRatio" dataCellStyle="Percent"/>
    <tableColumn id="11" name="fadeOut" dataDxfId="40"/>
    <tableColumn id="15" name="linearDown" dataDxfId="39"/>
    <tableColumn id="25" name="fadeOutExp" dataDxfId="38"/>
    <tableColumn id="22" name="Efficiency" dataDxfId="37"/>
    <tableColumn id="16" name="Factor" dataDxfId="36"/>
    <tableColumn id="13" name="fuelMinRate" dataDxfId="35"/>
    <tableColumn id="18" name="fuelRatedRate" dataDxfId="34">
      <calculatedColumnFormula>Table36[fuelMinRate]/0.9</calculatedColumnFormula>
    </tableColumn>
    <tableColumn id="9" name="fuelMinRpm" dataDxfId="33">
      <calculatedColumnFormula>ROUND(MIN(0.6*Table36[idleRpm]+0.4*Table36[ratedRpm],0.5*Table36[maxTRpm1]+0.5*Table36[maxTRpm]),-1)</calculatedColumnFormula>
    </tableColumn>
    <tableColumn id="17" name="fuelIdleRate" dataDxfId="32">
      <calculatedColumnFormula>0.94*Table36[fuelRatedRate]</calculatedColumnFormula>
    </tableColumn>
    <tableColumn id="1" name="normRpm" dataDxfId="31">
      <calculatedColumnFormula>ROUND(Table36[ratedRpm]+0.49*Table36[fadeOut],-2)</calculatedColumnFormula>
    </tableColumn>
    <tableColumn id="8" name="PSEcoRate" dataDxfId="30"/>
    <tableColumn id="23" name="NmEcoRate"/>
    <tableColumn id="24" name="maxPsEcoRate" dataDxfId="29">
      <calculatedColumnFormula>Table36[PSEcoRate]* (Table36[maxPRpm]-Table36[maxTRpm])/(Table36[ratedRpm]-Table36[maxTRpm]) + Table36[NmEcoRate]* (1- (Table36[maxPRpm]-Table36[maxTRpm])/(Table36[ratedRpm]-Table36[maxTRpm]))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S4" totalsRowShown="0" headerRowDxfId="28" dataDxfId="27">
  <autoFilter ref="A3:S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f1" dataDxfId="26">
      <calculatedColumnFormula>(1-Table36[idleRatio])/((Table36[maxTRpm1]-Table36[idleRpm])^2)</calculatedColumnFormula>
    </tableColumn>
    <tableColumn id="2" name="f2" dataDxfId="25">
      <calculatedColumnFormula>(Table36[maxT]-Table7[Nm])/Table36[maxT]/(Table36[maxPRpm]-Table36[maxTRpm])</calculatedColumnFormula>
    </tableColumn>
    <tableColumn id="5" name="f3" dataDxfId="24">
      <calculatedColumnFormula>(Table36[maxT]-Table7[Nm])/Table36[maxT]/(Table36[maxPRpm]-Table36[maxTRpm])^2</calculatedColumnFormula>
    </tableColumn>
    <tableColumn id="6" name="f4" dataDxfId="23">
      <calculatedColumnFormula>(Table36[maxPS]-Table36[PS])/MAX(1,Table36[ratedRpm]-Table36[maxPRpm])^2</calculatedColumnFormula>
    </tableColumn>
    <tableColumn id="3" name="Nm" dataDxfId="22">
      <calculatedColumnFormula>Table36[maxPS]/1.36*9550/Table36[maxPRpm]</calculatedColumnFormula>
    </tableColumn>
    <tableColumn id="4" name="Nm2" dataDxfId="21">
      <calculatedColumnFormula>Table36[PS]/1.36*9550/Table36[ratedRpm]</calculatedColumnFormula>
    </tableColumn>
    <tableColumn id="7" name="Anfahrmoment" dataDxfId="20" dataCellStyle="Percent">
      <calculatedColumnFormula>Table7[Nm1000]/Table7[Nm2Eco]</calculatedColumnFormula>
    </tableColumn>
    <tableColumn id="17" name="AnstiegE" dataDxfId="19" dataCellStyle="Percent">
      <calculatedColumnFormula>Table36[maxTEco]/Table7[Nm2Eco]-1</calculatedColumnFormula>
    </tableColumn>
    <tableColumn id="14" name="Anstieg" dataDxfId="18" dataCellStyle="Percent">
      <calculatedColumnFormula>Table36[maxT]/Table7[Nm2]-1</calculatedColumnFormula>
    </tableColumn>
    <tableColumn id="15" name="Abfall" dataDxfId="17" dataCellStyle="Percent">
      <calculatedColumnFormula>1-Table36[maxTRpm]/Table36[ratedRpm]</calculatedColumnFormula>
    </tableColumn>
    <tableColumn id="16" name="Nm1000" dataDxfId="16" dataCellStyle="Percent">
      <calculatedColumnFormula>(1-Table7[f1]*(Table36[maxTRpm1]-1000)^2)*Table36[maxTEco]</calculatedColumnFormula>
    </tableColumn>
    <tableColumn id="8" name="NmEco" dataDxfId="15">
      <calculatedColumnFormula>Table36[maxPSEco]/1.36*9550/Table36[maxPRpm]</calculatedColumnFormula>
    </tableColumn>
    <tableColumn id="9" name="Nm2Eco" dataDxfId="14">
      <calculatedColumnFormula>Table36[PSEco]/1.36*9550/Table36[ratedRpm]</calculatedColumnFormula>
    </tableColumn>
    <tableColumn id="12" name="f2Eco" dataDxfId="13">
      <calculatedColumnFormula>(Table36[maxTEco]-Table7[NmEco])/Table36[maxTEco]/(Table36[maxPRpm]-Table36[maxTRpm])</calculatedColumnFormula>
    </tableColumn>
    <tableColumn id="10" name="f3Eco" dataDxfId="12">
      <calculatedColumnFormula>(Table36[maxTEco]-Table7[NmEco])/Table36[maxTEco]/(Table36[maxPRpm]-Table36[maxTRpm])^2</calculatedColumnFormula>
    </tableColumn>
    <tableColumn id="11" name="f4Eco" dataDxfId="11">
      <calculatedColumnFormula>(Table36[maxPSEco]-Table36[PSEco])/MAX(1,Table36[ratedRpm]-Table36[maxPRpm])^2</calculatedColumnFormula>
    </tableColumn>
    <tableColumn id="13" name="idleT" dataDxfId="10">
      <calculatedColumnFormula>(1-Table7[f1]*(Table36[maxTRpm1]-Table36[idleRpm])^2)*Table36[maxT]</calculatedColumnFormula>
    </tableColumn>
    <tableColumn id="19" name="idleTEco" dataDxfId="9">
      <calculatedColumnFormula>(1-Table7[f1]*(Table36[maxTRpm1]-Table36[idleRpm])^2)*Table36[maxTEco]</calculatedColumnFormula>
    </tableColumn>
    <tableColumn id="21" name="xmlComment" dataDxfId="8">
      <calculatedColumnFormula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7">
      <calculatedColumnFormula>A2*C2/9550</calculatedColumnFormula>
    </tableColumn>
    <tableColumn id="3" name="ps" dataDxfId="6">
      <calculatedColumnFormula>Table1[[#This Row],[kw_pto]]*1.36/0.94</calculatedColumnFormula>
    </tableColumn>
    <tableColumn id="4" name="motor"/>
    <tableColumn id="5" name="xml" dataDxfId="5">
      <calculatedColumnFormula>CONCATENATE("&lt;torque rpm=""",Table1[[#This Row],[rpm]],""" motorTorque=""",ROUND(Table1[[#This Row],[motor]],0),"""/&gt;")</calculatedColumnFormula>
    </tableColumn>
    <tableColumn id="8" name="xml2" dataDxfId="4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13" displayName="Table13" ref="A1:G17" totalsRowShown="0">
  <autoFilter ref="A1:G17"/>
  <tableColumns count="7">
    <tableColumn id="1" name="rpm"/>
    <tableColumn id="7" name="rawData"/>
    <tableColumn id="2" name="pto">
      <calculatedColumnFormula>$I$2*Table13[[#This Row],[rawData]]</calculatedColumnFormula>
    </tableColumn>
    <tableColumn id="6" name="kw_pto" dataDxfId="3">
      <calculatedColumnFormula>A2*C2/9550</calculatedColumnFormula>
    </tableColumn>
    <tableColumn id="3" name="ps" dataDxfId="2">
      <calculatedColumnFormula>Table13[[#This Row],[kw_pto]]*1.36/0.94</calculatedColumnFormula>
    </tableColumn>
    <tableColumn id="4" name="motor">
      <calculatedColumnFormula>C2/0.94</calculatedColumnFormula>
    </tableColumn>
    <tableColumn id="5" name="xml" dataDxfId="1">
      <calculatedColumnFormula>CONCATENATE("&lt;torque rpm=""",Table13[[#This Row],[rpm]],""" motorTorque=""",ROUND(Table13[[#This Row],[motor]],0),"""/&gt;")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workbookViewId="0">
      <selection activeCell="C19" sqref="C19"/>
    </sheetView>
  </sheetViews>
  <sheetFormatPr defaultColWidth="7.140625" defaultRowHeight="15" x14ac:dyDescent="0.25"/>
  <cols>
    <col min="1" max="1" width="10" bestFit="1" customWidth="1"/>
    <col min="2" max="2" width="7.28515625" bestFit="1" customWidth="1"/>
    <col min="3" max="3" width="12" bestFit="1" customWidth="1"/>
    <col min="4" max="4" width="7.28515625" bestFit="1" customWidth="1"/>
    <col min="5" max="5" width="10.85546875" customWidth="1"/>
    <col min="6" max="10" width="7.28515625" bestFit="1" customWidth="1"/>
    <col min="11" max="11" width="11.140625" bestFit="1" customWidth="1"/>
    <col min="12" max="12" width="11" bestFit="1" customWidth="1"/>
    <col min="13" max="14" width="7.28515625" bestFit="1" customWidth="1"/>
  </cols>
  <sheetData>
    <row r="1" spans="1:25" s="4" customFormat="1" ht="45.75" customHeight="1" thickBot="1" x14ac:dyDescent="0.3">
      <c r="A1" s="4" t="s">
        <v>18</v>
      </c>
      <c r="B1" s="4" t="s">
        <v>23</v>
      </c>
      <c r="C1" s="4" t="s">
        <v>35</v>
      </c>
      <c r="D1" s="4" t="s">
        <v>8</v>
      </c>
      <c r="E1" s="4" t="s">
        <v>10</v>
      </c>
      <c r="F1" s="4" t="s">
        <v>36</v>
      </c>
      <c r="G1" s="4" t="s">
        <v>22</v>
      </c>
      <c r="H1" s="4" t="s">
        <v>12</v>
      </c>
      <c r="I1" s="5" t="s">
        <v>13</v>
      </c>
      <c r="J1" s="4" t="s">
        <v>47</v>
      </c>
      <c r="K1" s="4" t="s">
        <v>14</v>
      </c>
      <c r="L1" s="4" t="s">
        <v>15</v>
      </c>
      <c r="M1" s="4" t="s">
        <v>21</v>
      </c>
      <c r="N1" s="4" t="s">
        <v>25</v>
      </c>
      <c r="O1" s="4" t="s">
        <v>68</v>
      </c>
      <c r="P1" s="4" t="s">
        <v>49</v>
      </c>
      <c r="Q1" s="4" t="s">
        <v>7</v>
      </c>
      <c r="R1" s="4" t="s">
        <v>31</v>
      </c>
      <c r="S1" s="4" t="s">
        <v>33</v>
      </c>
      <c r="T1" s="4" t="s">
        <v>30</v>
      </c>
      <c r="U1" s="4" t="s">
        <v>32</v>
      </c>
      <c r="V1" s="4" t="s">
        <v>60</v>
      </c>
      <c r="W1" s="4" t="s">
        <v>63</v>
      </c>
      <c r="X1" s="4" t="s">
        <v>64</v>
      </c>
      <c r="Y1" s="4" t="s">
        <v>67</v>
      </c>
    </row>
    <row r="2" spans="1:25" ht="15.75" thickBot="1" x14ac:dyDescent="0.3">
      <c r="A2" s="13">
        <v>1900</v>
      </c>
      <c r="B2" s="14">
        <v>250</v>
      </c>
      <c r="C2" s="18">
        <f>Table36[maxPsEcoRate]*Table36[maxPS]</f>
        <v>225</v>
      </c>
      <c r="D2" s="7">
        <v>1900</v>
      </c>
      <c r="E2" s="8">
        <v>250</v>
      </c>
      <c r="F2" s="19">
        <f>Table36[PSEcoRate]*Table36[PS]</f>
        <v>225</v>
      </c>
      <c r="G2" s="13">
        <v>1500</v>
      </c>
      <c r="H2" s="14">
        <v>1500</v>
      </c>
      <c r="I2" s="14">
        <v>1100</v>
      </c>
      <c r="J2" s="18">
        <f>Table36[NmEcoRate]*Table36[maxT]</f>
        <v>1045</v>
      </c>
      <c r="K2" s="7">
        <v>900</v>
      </c>
      <c r="L2" s="11">
        <v>0.9</v>
      </c>
      <c r="M2" s="9">
        <v>300</v>
      </c>
      <c r="N2" s="13">
        <v>0.5</v>
      </c>
      <c r="O2" s="14">
        <v>1.8</v>
      </c>
      <c r="P2" s="14">
        <v>0.94</v>
      </c>
      <c r="Q2" s="15">
        <v>1</v>
      </c>
      <c r="R2" s="31">
        <v>207</v>
      </c>
      <c r="S2" s="16">
        <f>Table36[fuelMinRate]/0.9</f>
        <v>230</v>
      </c>
      <c r="T2" s="17">
        <f>ROUND(MIN(0.6*Table36[idleRpm]+0.4*Table36[ratedRpm],0.5*Table36[maxTRpm1]+0.5*Table36[maxTRpm]),-1)</f>
        <v>1300</v>
      </c>
      <c r="U2" s="19">
        <f>0.94*Table36[fuelRatedRate]</f>
        <v>216.2</v>
      </c>
      <c r="V2" s="16">
        <f>ROUND(Table36[ratedRpm]+0.49*Table36[fadeOut],-2)</f>
        <v>2000</v>
      </c>
      <c r="W2" s="7">
        <v>0.9</v>
      </c>
      <c r="X2" s="9">
        <v>0.95</v>
      </c>
      <c r="Y2" s="29">
        <f>Table36[PSEcoRate]* (Table36[maxPRpm]-Table36[maxTRpm])/(Table36[ratedRpm]-Table36[maxTRpm]) + Table36[NmEcoRate]* (1- (Table36[maxPRpm]-Table36[maxTRpm])/(Table36[ratedRpm]-Table36[maxTRpm]))</f>
        <v>0.9</v>
      </c>
    </row>
    <row r="3" spans="1:25" x14ac:dyDescent="0.25">
      <c r="A3" s="12" t="s">
        <v>16</v>
      </c>
      <c r="B3" s="12" t="s">
        <v>17</v>
      </c>
      <c r="C3" s="12" t="s">
        <v>24</v>
      </c>
      <c r="D3" s="12" t="s">
        <v>26</v>
      </c>
      <c r="E3" s="12" t="s">
        <v>19</v>
      </c>
      <c r="F3" s="12" t="s">
        <v>20</v>
      </c>
      <c r="G3" s="26" t="s">
        <v>27</v>
      </c>
      <c r="H3" s="27" t="s">
        <v>66</v>
      </c>
      <c r="I3" s="27" t="s">
        <v>61</v>
      </c>
      <c r="J3" s="28" t="s">
        <v>62</v>
      </c>
      <c r="K3" s="12" t="s">
        <v>65</v>
      </c>
      <c r="L3" s="12" t="s">
        <v>37</v>
      </c>
      <c r="M3" s="12" t="s">
        <v>38</v>
      </c>
      <c r="N3" s="12" t="s">
        <v>41</v>
      </c>
      <c r="O3" s="12" t="s">
        <v>39</v>
      </c>
      <c r="P3" s="12" t="s">
        <v>40</v>
      </c>
      <c r="Q3" s="12" t="s">
        <v>42</v>
      </c>
      <c r="R3" s="12" t="s">
        <v>48</v>
      </c>
      <c r="S3" s="12" t="s">
        <v>28</v>
      </c>
    </row>
    <row r="4" spans="1:25" ht="15.75" thickBot="1" x14ac:dyDescent="0.3">
      <c r="A4" s="12">
        <f>(1-Table36[idleRatio])/((Table36[maxTRpm1]-Table36[idleRpm])^2)</f>
        <v>2.7777777777777771E-7</v>
      </c>
      <c r="B4" s="12">
        <f>(Table36[maxT]-Table7[Nm])/Table36[maxT]/(Table36[maxPRpm]-Table36[maxTRpm])</f>
        <v>4.0010202645651574E-4</v>
      </c>
      <c r="C4" s="12">
        <f>(Table36[maxT]-Table7[Nm])/Table36[maxT]/(Table36[maxPRpm]-Table36[maxTRpm])^2</f>
        <v>1.0002550661412894E-6</v>
      </c>
      <c r="D4" s="12">
        <f>(Table36[maxPS]-Table36[PS])/MAX(1,Table36[ratedRpm]-Table36[maxPRpm])^2</f>
        <v>0</v>
      </c>
      <c r="E4" s="12">
        <f>Table36[maxPS]/1.36*9550/Table36[maxPRpm]</f>
        <v>923.95510835913308</v>
      </c>
      <c r="F4" s="12">
        <f>Table36[PS]/1.36*9550/Table36[ratedRpm]</f>
        <v>923.95510835913308</v>
      </c>
      <c r="G4" s="23">
        <f>Table7[Nm1000]/Table7[Nm2Eco]</f>
        <v>1.1694057268437723</v>
      </c>
      <c r="H4" s="24">
        <f>Table36[maxTEco]/Table7[Nm2Eco]-1</f>
        <v>0.25667481093659106</v>
      </c>
      <c r="I4" s="24">
        <f>Table36[maxT]/Table7[Nm2]-1</f>
        <v>0.19053403141361258</v>
      </c>
      <c r="J4" s="25">
        <f>1-Table36[maxTRpm]/Table36[ratedRpm]</f>
        <v>0.21052631578947367</v>
      </c>
      <c r="K4" s="12">
        <f>(1-Table7[f1]*(Table36[maxTRpm1]-1000)^2)*Table36[maxTEco]</f>
        <v>972.43055555555554</v>
      </c>
      <c r="L4" s="12">
        <f>Table36[maxPSEco]/1.36*9550/Table36[maxPRpm]</f>
        <v>831.55959752321974</v>
      </c>
      <c r="M4" s="12">
        <f>Table36[PSEco]/1.36*9550/Table36[ratedRpm]</f>
        <v>831.55959752321974</v>
      </c>
      <c r="N4" s="12">
        <f>(Table36[maxTEco]-Table7[NmEco])/Table36[maxTEco]/(Table36[maxPRpm]-Table36[maxTRpm])</f>
        <v>5.1062297243248866E-4</v>
      </c>
      <c r="O4" s="12">
        <f>(Table36[maxTEco]-Table7[NmEco])/Table36[maxTEco]/(Table36[maxPRpm]-Table36[maxTRpm])^2</f>
        <v>1.2765574310812216E-6</v>
      </c>
      <c r="P4" s="12">
        <f>(Table36[maxPSEco]-Table36[PSEco])/MAX(1,Table36[ratedRpm]-Table36[maxPRpm])^2</f>
        <v>0</v>
      </c>
      <c r="Q4" s="12">
        <f>(1-Table7[f1]*(Table36[maxTRpm1]-Table36[idleRpm])^2)*Table36[maxT]</f>
        <v>990</v>
      </c>
      <c r="R4" s="12">
        <f>(1-Table7[f1]*(Table36[maxTRpm1]-Table36[idleRpm])^2)*Table36[maxTEco]</f>
        <v>940.5</v>
      </c>
      <c r="S4" s="12" t="str">
        <f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f>
        <v xml:space="preserve">        &lt;!-- 1900: 250(225) | 1900: 250(225) | 1500..1500: 1100(1045) | 90 | 0.5 | 300 | 1.8 | 2000 | 1300: 207 --&gt;</v>
      </c>
    </row>
    <row r="6" spans="1:25" s="4" customFormat="1" ht="63.75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</row>
    <row r="7" spans="1:25" x14ac:dyDescent="0.25">
      <c r="A7" s="3">
        <v>0</v>
      </c>
      <c r="B7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7" s="20"/>
      <c r="D7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7" s="20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30">
        <f>1.36*Table15[[#This Row],[rpm]]*Table15[[#This Row],[motor]]/9550</f>
        <v>0</v>
      </c>
      <c r="I7" s="30">
        <f>1.36*Table15[[#This Row],[rpm]]*Table15[[#This Row],[motorEco]]/9550</f>
        <v>0</v>
      </c>
      <c r="J7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304.1749999999999</v>
      </c>
      <c r="K7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&lt;!-- 1900: 250(225) | 1900: 250(225) | 1500..1500: 1100(1045) | 90 | 0.5 | 300 | 1.8 | 2000 | 1300: 207 --&gt;</v>
      </c>
      <c r="L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&lt;!-- 1900: 250(225) | 1900: 250(225) | 1500..1500: 1100(1045) | 90 | 0.5 | 300 | 1.8 | 2000 | 1300: 207 --&gt;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412.50000000000011</v>
      </c>
      <c r="O7" s="3" t="e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#DIV/0!</v>
      </c>
      <c r="P7" s="3">
        <f>MAX(0,(Table36[maxPS]-Table7[f4]*(Table15[[#This Row],[rpm]]-Table36[maxPRpm])^2)/1.36*9550/MAX(1,Table15[[#This Row],[rpm]]))</f>
        <v>1755514.7058823528</v>
      </c>
      <c r="Q7" s="3">
        <f>MAX(0,Table7[Nm2]*MIN(Table36[ratedRpm]/MAX(1,Table15[[#This Row],[rpm]]),1-(MAX(0,Table15[[#This Row],[rpm]]-Table36[ratedRpm])/Table36[fadeOut])^Table36[fadeOutExp]))</f>
        <v>923.95510835913308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391.87500000000011</v>
      </c>
      <c r="T7" s="3" t="e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#DIV/0!</v>
      </c>
      <c r="U7" s="3">
        <f>MAX(0,(Table36[maxPSEco]-Table7[f4Eco]*(Table15[[#This Row],[rpm]]-Table36[maxPRpm])^2)/1.36*9550/MAX(1,Table15[[#This Row],[rpm]]))</f>
        <v>1579963.2352941176</v>
      </c>
      <c r="V7" s="3">
        <f>MAX(0,Table7[Nm2Eco]*MIN(Table36[ratedRpm]/MAX(1,Table15[[#This Row],[rpm]]),1-(MAX(0,Table15[[#This Row],[rpm]]-Table36[ratedRpm])/Table36[fadeOut])^Table36[fadeOutExp]))</f>
        <v>831.55959752321974</v>
      </c>
    </row>
    <row r="8" spans="1:25" x14ac:dyDescent="0.25">
      <c r="A8" s="3">
        <v>100</v>
      </c>
      <c r="B8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240.37037037037044</v>
      </c>
      <c r="C8" s="21"/>
      <c r="D8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228.3518518518519</v>
      </c>
      <c r="E8" s="21"/>
      <c r="F8" s="3">
        <f>Table36[Factor]*IF(Table15[[#This Row],[manualData]]&gt;0,Table15[[#This Row],[manualData]],Table15[[#This Row],[rawData]])</f>
        <v>240.37037037037044</v>
      </c>
      <c r="G8" s="3">
        <f>Table36[Factor]*IF(Table15[[#This Row],[manDataEco]]&gt;0,Table15[[#This Row],[manDataEco]],Table15[[#This Row],[rawDataEco]])</f>
        <v>228.3518518518519</v>
      </c>
      <c r="H8" s="30">
        <f>1.36*Table15[[#This Row],[rpm]]*Table15[[#This Row],[motor]]/9550</f>
        <v>3.4230754314523959</v>
      </c>
      <c r="I8" s="30">
        <f>1.36*Table15[[#This Row],[rpm]]*Table15[[#This Row],[motorEco]]/9550</f>
        <v>3.2519216598797756</v>
      </c>
      <c r="J8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289.7999999999999</v>
      </c>
      <c r="K8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rpm="100" motorTorque="240" motorTorqueEco="228" fuelUsageRatio="289.8"/&gt;</v>
      </c>
      <c r="L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normRpm="0.05" torque="0.219"/&gt;</v>
      </c>
      <c r="M8" s="3">
        <f>(1-(1-Table15[[#This Row],[rpm]]/Table36[idleRpm])^2)*Table7[idleT]</f>
        <v>207.77777777777783</v>
      </c>
      <c r="N8" s="3">
        <f>MAX(0,(1-Table7[f1]*(Table36[maxTRpm1]-Table15[[#This Row],[rpm]])^2)*Table36[maxT])</f>
        <v>501.11111111111131</v>
      </c>
      <c r="O8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329.80359907120709</v>
      </c>
      <c r="P8" s="3">
        <f>MAX(0,(Table36[maxPS]-Table7[f4]*(Table15[[#This Row],[rpm]]-Table36[maxPRpm])^2)/1.36*9550/MAX(1,Table15[[#This Row],[rpm]]))</f>
        <v>17555.147058823528</v>
      </c>
      <c r="Q8" s="3">
        <f>MAX(0,Table7[Nm2]*MIN(Table36[ratedRpm]/MAX(1,Table15[[#This Row],[rpm]]),1-(MAX(0,Table15[[#This Row],[rpm]]-Table36[ratedRpm])/Table36[fadeOut])^Table36[fadeOutExp]))</f>
        <v>923.95510835913308</v>
      </c>
      <c r="R8" s="3">
        <f>(1-(1-Table15[[#This Row],[rpm]]/Table36[idleRpm])^2)*Table7[idleTEco]</f>
        <v>197.38888888888894</v>
      </c>
      <c r="S8" s="3">
        <f>MAX(0,(1-Table7[f1]*(Table36[maxTRpm1]-Table15[[#This Row],[rpm]])^2)*Table36[maxTEco])</f>
        <v>476.05555555555571</v>
      </c>
      <c r="T8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111.19823916408642</v>
      </c>
      <c r="U8" s="3">
        <f>MAX(0,(Table36[maxPSEco]-Table7[f4Eco]*(Table15[[#This Row],[rpm]]-Table36[maxPRpm])^2)/1.36*9550/MAX(1,Table15[[#This Row],[rpm]]))</f>
        <v>15799.632352941177</v>
      </c>
      <c r="V8" s="3">
        <f>MAX(0,Table7[Nm2Eco]*MIN(Table36[ratedRpm]/MAX(1,Table15[[#This Row],[rpm]]),1-(MAX(0,Table15[[#This Row],[rpm]]-Table36[ratedRpm])/Table36[fadeOut])^Table36[fadeOutExp]))</f>
        <v>831.55959752321974</v>
      </c>
    </row>
    <row r="9" spans="1:25" x14ac:dyDescent="0.25">
      <c r="A9" s="3">
        <v>400</v>
      </c>
      <c r="B9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704.81481481481478</v>
      </c>
      <c r="C9" s="21"/>
      <c r="D9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669.57407407407413</v>
      </c>
      <c r="E9" s="21"/>
      <c r="F9" s="3">
        <f>Table36[Factor]*IF(Table15[[#This Row],[manualData]]&gt;0,Table15[[#This Row],[manualData]],Table15[[#This Row],[rawData]])</f>
        <v>704.81481481481478</v>
      </c>
      <c r="G9" s="3">
        <f>Table36[Factor]*IF(Table15[[#This Row],[manDataEco]]&gt;0,Table15[[#This Row],[manDataEco]],Table15[[#This Row],[rawDataEco]])</f>
        <v>669.57407407407413</v>
      </c>
      <c r="H9" s="30">
        <f>1.36*Table15[[#This Row],[rpm]]*Table15[[#This Row],[motor]]/9550</f>
        <v>40.148613535000962</v>
      </c>
      <c r="I9" s="30">
        <f>1.36*Table15[[#This Row],[rpm]]*Table15[[#This Row],[motorEco]]/9550</f>
        <v>38.141182858250929</v>
      </c>
      <c r="J9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253.57499999999993</v>
      </c>
      <c r="K9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rpm="400" motorTorque="705" motorTorqueEco="670" fuelUsageRatio="253.6"/&gt;</v>
      </c>
      <c r="L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normRpm="0.2" torque="0.641"/&gt;</v>
      </c>
      <c r="M9" s="3">
        <f>(1-(1-Table15[[#This Row],[rpm]]/Table36[idleRpm])^2)*Table7[idleT]</f>
        <v>684.44444444444446</v>
      </c>
      <c r="N9" s="3">
        <f>MAX(0,(1-Table7[f1]*(Table36[maxTRpm1]-Table15[[#This Row],[rpm]])^2)*Table36[maxT])</f>
        <v>730.27777777777783</v>
      </c>
      <c r="O9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676.39197948916387</v>
      </c>
      <c r="P9" s="3">
        <f>MAX(0,(Table36[maxPS]-Table7[f4]*(Table15[[#This Row],[rpm]]-Table36[maxPRpm])^2)/1.36*9550/MAX(1,Table15[[#This Row],[rpm]]))</f>
        <v>4388.786764705882</v>
      </c>
      <c r="Q9" s="3">
        <f>MAX(0,Table7[Nm2]*MIN(Table36[ratedRpm]/MAX(1,Table15[[#This Row],[rpm]]),1-(MAX(0,Table15[[#This Row],[rpm]]-Table36[ratedRpm])/Table36[fadeOut])^Table36[fadeOutExp]))</f>
        <v>923.95510835913308</v>
      </c>
      <c r="R9" s="3">
        <f>(1-(1-Table15[[#This Row],[rpm]]/Table36[idleRpm])^2)*Table7[idleTEco]</f>
        <v>650.22222222222217</v>
      </c>
      <c r="S9" s="3">
        <f>MAX(0,(1-Table7[f1]*(Table36[maxTRpm1]-Table15[[#This Row],[rpm]])^2)*Table36[maxTEco])</f>
        <v>693.76388888888903</v>
      </c>
      <c r="T9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531.4090315402475</v>
      </c>
      <c r="U9" s="3">
        <f>MAX(0,(Table36[maxPSEco]-Table7[f4Eco]*(Table15[[#This Row],[rpm]]-Table36[maxPRpm])^2)/1.36*9550/MAX(1,Table15[[#This Row],[rpm]]))</f>
        <v>3949.9080882352941</v>
      </c>
      <c r="V9" s="3">
        <f>MAX(0,Table7[Nm2Eco]*MIN(Table36[ratedRpm]/MAX(1,Table15[[#This Row],[rpm]]),1-(MAX(0,Table15[[#This Row],[rpm]]-Table36[ratedRpm])/Table36[fadeOut])^Table36[fadeOutExp]))</f>
        <v>831.55959752321974</v>
      </c>
    </row>
    <row r="10" spans="1:25" x14ac:dyDescent="0.25">
      <c r="A10" s="3">
        <v>700</v>
      </c>
      <c r="B10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912.59259259259272</v>
      </c>
      <c r="C10" s="21"/>
      <c r="D10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866.96296296296305</v>
      </c>
      <c r="E10" s="21"/>
      <c r="F10" s="3">
        <f>Table36[Factor]*IF(Table15[[#This Row],[manualData]]&gt;0,Table15[[#This Row],[manualData]],Table15[[#This Row],[rawData]])</f>
        <v>912.59259259259272</v>
      </c>
      <c r="G10" s="3">
        <f>Table36[Factor]*IF(Table15[[#This Row],[manDataEco]]&gt;0,Table15[[#This Row],[manDataEco]],Table15[[#This Row],[rawDataEco]])</f>
        <v>866.96296296296305</v>
      </c>
      <c r="H10" s="30">
        <f>1.36*Table15[[#This Row],[rpm]]*Table15[[#This Row],[motor]]/9550</f>
        <v>90.972580957921295</v>
      </c>
      <c r="I10" s="30">
        <f>1.36*Table15[[#This Row],[rpm]]*Table15[[#This Row],[motorEco]]/9550</f>
        <v>86.423951910025224</v>
      </c>
      <c r="J10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227.7</v>
      </c>
      <c r="K10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rpm="700" motorTorque="913" motorTorqueEco="867" fuelUsageRatio="227.7"/&gt;</v>
      </c>
      <c r="L1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normRpm="0.35" torque="0.83"/&gt;</v>
      </c>
      <c r="M10" s="3">
        <f>(1-(1-Table15[[#This Row],[rpm]]/Table36[idleRpm])^2)*Table7[idleT]</f>
        <v>941.11111111111109</v>
      </c>
      <c r="N10" s="3">
        <f>MAX(0,(1-Table7[f1]*(Table36[maxTRpm1]-Table15[[#This Row],[rpm]])^2)*Table36[maxT])</f>
        <v>904.44444444444457</v>
      </c>
      <c r="O10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923.95510835913308</v>
      </c>
      <c r="P10" s="3">
        <f>MAX(0,(Table36[maxPS]-Table7[f4]*(Table15[[#This Row],[rpm]]-Table36[maxPRpm])^2)/1.36*9550/MAX(1,Table15[[#This Row],[rpm]]))</f>
        <v>2507.8781512605042</v>
      </c>
      <c r="Q10" s="3">
        <f>MAX(0,Table7[Nm2]*MIN(Table36[ratedRpm]/MAX(1,Table15[[#This Row],[rpm]]),1-(MAX(0,Table15[[#This Row],[rpm]]-Table36[ratedRpm])/Table36[fadeOut])^Table36[fadeOutExp]))</f>
        <v>923.95510835913308</v>
      </c>
      <c r="R10" s="3">
        <f>(1-(1-Table15[[#This Row],[rpm]]/Table36[idleRpm])^2)*Table7[idleTEco]</f>
        <v>894.05555555555554</v>
      </c>
      <c r="S10" s="3">
        <f>MAX(0,(1-Table7[f1]*(Table36[maxTRpm1]-Table15[[#This Row],[rpm]])^2)*Table36[maxTEco])</f>
        <v>859.22222222222229</v>
      </c>
      <c r="T10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831.55959752321985</v>
      </c>
      <c r="U10" s="3">
        <f>MAX(0,(Table36[maxPSEco]-Table7[f4Eco]*(Table15[[#This Row],[rpm]]-Table36[maxPRpm])^2)/1.36*9550/MAX(1,Table15[[#This Row],[rpm]]))</f>
        <v>2257.0903361344535</v>
      </c>
      <c r="V10" s="3">
        <f>MAX(0,Table7[Nm2Eco]*MIN(Table36[ratedRpm]/MAX(1,Table15[[#This Row],[rpm]]),1-(MAX(0,Table15[[#This Row],[rpm]]-Table36[ratedRpm])/Table36[fadeOut])^Table36[fadeOutExp]))</f>
        <v>831.55959752321974</v>
      </c>
    </row>
    <row r="11" spans="1:25" x14ac:dyDescent="0.25">
      <c r="A11" s="3">
        <v>800</v>
      </c>
      <c r="B11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953.33333333333337</v>
      </c>
      <c r="C11" s="21"/>
      <c r="D11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905.66666666666674</v>
      </c>
      <c r="E11" s="21"/>
      <c r="F11" s="3">
        <f>Table36[Factor]*IF(Table15[[#This Row],[manualData]]&gt;0,Table15[[#This Row],[manualData]],Table15[[#This Row],[rawData]])</f>
        <v>953.33333333333337</v>
      </c>
      <c r="G11" s="3">
        <f>Table36[Factor]*IF(Table15[[#This Row],[manDataEco]]&gt;0,Table15[[#This Row],[manDataEco]],Table15[[#This Row],[rawDataEco]])</f>
        <v>905.66666666666674</v>
      </c>
      <c r="H11" s="30">
        <f>1.36*Table15[[#This Row],[rpm]]*Table15[[#This Row],[motor]]/9550</f>
        <v>108.61012216404887</v>
      </c>
      <c r="I11" s="30">
        <f>1.36*Table15[[#This Row],[rpm]]*Table15[[#This Row],[motorEco]]/9550</f>
        <v>103.17961605584642</v>
      </c>
      <c r="J11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221.37499999999997</v>
      </c>
      <c r="K11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rpm="800" motorTorque="953" motorTorqueEco="906" fuelUsageRatio="221.4"/&gt;</v>
      </c>
      <c r="L1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normRpm="0.4" torque="0.867"/&gt;</v>
      </c>
      <c r="M11" s="3">
        <f>(1-(1-Table15[[#This Row],[rpm]]/Table36[idleRpm])^2)*Table7[idleT]</f>
        <v>977.77777777777771</v>
      </c>
      <c r="N11" s="3">
        <f>MAX(0,(1-Table7[f1]*(Table36[maxTRpm1]-Table15[[#This Row],[rpm]])^2)*Table36[maxT])</f>
        <v>950.27777777777783</v>
      </c>
      <c r="O11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984.47053986068101</v>
      </c>
      <c r="P11" s="3">
        <f>MAX(0,(Table36[maxPS]-Table7[f4]*(Table15[[#This Row],[rpm]]-Table36[maxPRpm])^2)/1.36*9550/MAX(1,Table15[[#This Row],[rpm]]))</f>
        <v>2194.393382352941</v>
      </c>
      <c r="Q11" s="3">
        <f>MAX(0,Table7[Nm2]*MIN(Table36[ratedRpm]/MAX(1,Table15[[#This Row],[rpm]]),1-(MAX(0,Table15[[#This Row],[rpm]]-Table36[ratedRpm])/Table36[fadeOut])^Table36[fadeOutExp]))</f>
        <v>923.95510835913308</v>
      </c>
      <c r="R11" s="3">
        <f>(1-(1-Table15[[#This Row],[rpm]]/Table36[idleRpm])^2)*Table7[idleTEco]</f>
        <v>928.8888888888888</v>
      </c>
      <c r="S11" s="3">
        <f>MAX(0,(1-Table7[f1]*(Table36[maxTRpm1]-Table15[[#This Row],[rpm]])^2)*Table36[maxTEco])</f>
        <v>902.76388888888891</v>
      </c>
      <c r="T11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904.9297358746129</v>
      </c>
      <c r="U11" s="3">
        <f>MAX(0,(Table36[maxPSEco]-Table7[f4Eco]*(Table15[[#This Row],[rpm]]-Table36[maxPRpm])^2)/1.36*9550/MAX(1,Table15[[#This Row],[rpm]]))</f>
        <v>1974.9540441176471</v>
      </c>
      <c r="V11" s="3">
        <f>MAX(0,Table7[Nm2Eco]*MIN(Table36[ratedRpm]/MAX(1,Table15[[#This Row],[rpm]]),1-(MAX(0,Table15[[#This Row],[rpm]]-Table36[ratedRpm])/Table36[fadeOut])^Table36[fadeOutExp]))</f>
        <v>831.55959752321974</v>
      </c>
    </row>
    <row r="12" spans="1:25" x14ac:dyDescent="0.25">
      <c r="A12" s="3">
        <v>900</v>
      </c>
      <c r="B12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990</v>
      </c>
      <c r="C12" s="21"/>
      <c r="D12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940.5</v>
      </c>
      <c r="E12" s="21"/>
      <c r="F12" s="3">
        <f>Table36[Factor]*IF(Table15[[#This Row],[manualData]]&gt;0,Table15[[#This Row],[manualData]],Table15[[#This Row],[rawData]])</f>
        <v>990</v>
      </c>
      <c r="G12" s="3">
        <f>Table36[Factor]*IF(Table15[[#This Row],[manDataEco]]&gt;0,Table15[[#This Row],[manDataEco]],Table15[[#This Row],[rawDataEco]])</f>
        <v>940.5</v>
      </c>
      <c r="H12" s="30">
        <f>1.36*Table15[[#This Row],[rpm]]*Table15[[#This Row],[motor]]/9550</f>
        <v>126.88586387434555</v>
      </c>
      <c r="I12" s="30">
        <f>1.36*Table15[[#This Row],[rpm]]*Table15[[#This Row],[motorEco]]/9550</f>
        <v>120.54157068062827</v>
      </c>
      <c r="J12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216.2</v>
      </c>
      <c r="K12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rpm="900" motorTorque="990" motorTorqueEco="941" fuelUsageRatio="216.2"/&gt;</v>
      </c>
      <c r="L1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normRpm="0.45" torque="0.9"/&gt;</v>
      </c>
      <c r="M12" s="3">
        <f>(1-(1-Table15[[#This Row],[rpm]]/Table36[idleRpm])^2)*Table7[idleT]</f>
        <v>990</v>
      </c>
      <c r="N12" s="3">
        <f>MAX(0,(1-Table7[f1]*(Table36[maxTRpm1]-Table15[[#This Row],[rpm]])^2)*Table36[maxT])</f>
        <v>990</v>
      </c>
      <c r="O12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1033.9831656346751</v>
      </c>
      <c r="P12" s="3">
        <f>MAX(0,(Table36[maxPS]-Table7[f4]*(Table15[[#This Row],[rpm]]-Table36[maxPRpm])^2)/1.36*9550/MAX(1,Table15[[#This Row],[rpm]]))</f>
        <v>1950.5718954248364</v>
      </c>
      <c r="Q12" s="3">
        <f>MAX(0,Table7[Nm2]*MIN(Table36[ratedRpm]/MAX(1,Table15[[#This Row],[rpm]]),1-(MAX(0,Table15[[#This Row],[rpm]]-Table36[ratedRpm])/Table36[fadeOut])^Table36[fadeOutExp]))</f>
        <v>923.95510835913308</v>
      </c>
      <c r="R12" s="3">
        <f>(1-(1-Table15[[#This Row],[rpm]]/Table36[idleRpm])^2)*Table7[idleTEco]</f>
        <v>940.5</v>
      </c>
      <c r="S12" s="3">
        <f>MAX(0,(1-Table7[f1]*(Table36[maxTRpm1]-Table15[[#This Row],[rpm]])^2)*Table36[maxTEco])</f>
        <v>940.5</v>
      </c>
      <c r="T12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964.95984907120737</v>
      </c>
      <c r="U12" s="3">
        <f>MAX(0,(Table36[maxPSEco]-Table7[f4Eco]*(Table15[[#This Row],[rpm]]-Table36[maxPRpm])^2)/1.36*9550/MAX(1,Table15[[#This Row],[rpm]]))</f>
        <v>1755.5147058823529</v>
      </c>
      <c r="V12" s="3">
        <f>MAX(0,Table7[Nm2Eco]*MIN(Table36[ratedRpm]/MAX(1,Table15[[#This Row],[rpm]]),1-(MAX(0,Table15[[#This Row],[rpm]]-Table36[ratedRpm])/Table36[fadeOut])^Table36[fadeOutExp]))</f>
        <v>831.55959752321974</v>
      </c>
    </row>
    <row r="13" spans="1:25" x14ac:dyDescent="0.25">
      <c r="A13" s="3">
        <v>1000</v>
      </c>
      <c r="B13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1023.6111111111111</v>
      </c>
      <c r="C13" s="21"/>
      <c r="D13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972.43055555555554</v>
      </c>
      <c r="E13" s="21"/>
      <c r="F13" s="3">
        <f>Table36[Factor]*IF(Table15[[#This Row],[manualData]]&gt;0,Table15[[#This Row],[manualData]],Table15[[#This Row],[rawData]])</f>
        <v>1023.6111111111111</v>
      </c>
      <c r="G13" s="3">
        <f>Table36[Factor]*IF(Table15[[#This Row],[manDataEco]]&gt;0,Table15[[#This Row],[manDataEco]],Table15[[#This Row],[rawDataEco]])</f>
        <v>972.43055555555554</v>
      </c>
      <c r="H13" s="30">
        <f>1.36*Table15[[#This Row],[rpm]]*Table15[[#This Row],[motor]]/9550</f>
        <v>145.77079697498544</v>
      </c>
      <c r="I13" s="30">
        <f>1.36*Table15[[#This Row],[rpm]]*Table15[[#This Row],[motorEco]]/9550</f>
        <v>138.48225712623619</v>
      </c>
      <c r="J13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212.17499999999998</v>
      </c>
      <c r="K13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rpm="1000" motorTorque="1024" motorTorqueEco="972" fuelUsageRatio="212.2"/&gt;</v>
      </c>
      <c r="L1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normRpm="0.5" torque="0.931"/&gt;</v>
      </c>
      <c r="M13" s="3">
        <f>(1-(1-Table15[[#This Row],[rpm]]/Table36[idleRpm])^2)*Table7[idleT]</f>
        <v>977.77777777777771</v>
      </c>
      <c r="N13" s="3">
        <f>MAX(0,(1-Table7[f1]*(Table36[maxTRpm1]-Table15[[#This Row],[rpm]])^2)*Table36[maxT])</f>
        <v>1023.6111111111111</v>
      </c>
      <c r="O13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1072.4929856811145</v>
      </c>
      <c r="P13" s="3">
        <f>MAX(0,(Table36[maxPS]-Table7[f4]*(Table15[[#This Row],[rpm]]-Table36[maxPRpm])^2)/1.36*9550/MAX(1,Table15[[#This Row],[rpm]]))</f>
        <v>1755.5147058823527</v>
      </c>
      <c r="Q13" s="3">
        <f>MAX(0,Table7[Nm2]*MIN(Table36[ratedRpm]/MAX(1,Table15[[#This Row],[rpm]]),1-(MAX(0,Table15[[#This Row],[rpm]]-Table36[ratedRpm])/Table36[fadeOut])^Table36[fadeOutExp]))</f>
        <v>923.95510835913308</v>
      </c>
      <c r="R13" s="3">
        <f>(1-(1-Table15[[#This Row],[rpm]]/Table36[idleRpm])^2)*Table7[idleTEco]</f>
        <v>928.8888888888888</v>
      </c>
      <c r="S13" s="3">
        <f>MAX(0,(1-Table7[f1]*(Table36[maxTRpm1]-Table15[[#This Row],[rpm]])^2)*Table36[maxTEco])</f>
        <v>972.43055555555554</v>
      </c>
      <c r="T13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1011.6499371130031</v>
      </c>
      <c r="U13" s="3">
        <f>MAX(0,(Table36[maxPSEco]-Table7[f4Eco]*(Table15[[#This Row],[rpm]]-Table36[maxPRpm])^2)/1.36*9550/MAX(1,Table15[[#This Row],[rpm]]))</f>
        <v>1579.9632352941176</v>
      </c>
      <c r="V13" s="3">
        <f>MAX(0,Table7[Nm2Eco]*MIN(Table36[ratedRpm]/MAX(1,Table15[[#This Row],[rpm]]),1-(MAX(0,Table15[[#This Row],[rpm]]-Table36[ratedRpm])/Table36[fadeOut])^Table36[fadeOutExp]))</f>
        <v>831.55959752321974</v>
      </c>
    </row>
    <row r="14" spans="1:25" x14ac:dyDescent="0.25">
      <c r="A14" s="3">
        <v>1100</v>
      </c>
      <c r="B14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1051.1111111111111</v>
      </c>
      <c r="C14" s="21"/>
      <c r="D14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998.55555555555566</v>
      </c>
      <c r="E14" s="21"/>
      <c r="F14" s="3">
        <f>Table36[Factor]*IF(Table15[[#This Row],[manualData]]&gt;0,Table15[[#This Row],[manualData]],Table15[[#This Row],[rawData]])</f>
        <v>1051.1111111111111</v>
      </c>
      <c r="G14" s="3">
        <f>Table36[Factor]*IF(Table15[[#This Row],[manDataEco]]&gt;0,Table15[[#This Row],[manDataEco]],Table15[[#This Row],[rawDataEco]])</f>
        <v>998.55555555555566</v>
      </c>
      <c r="H14" s="30">
        <f>1.36*Table15[[#This Row],[rpm]]*Table15[[#This Row],[motor]]/9550</f>
        <v>164.65573007562537</v>
      </c>
      <c r="I14" s="30">
        <f>1.36*Table15[[#This Row],[rpm]]*Table15[[#This Row],[motorEco]]/9550</f>
        <v>156.42294357184412</v>
      </c>
      <c r="J14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209.3</v>
      </c>
      <c r="K14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rpm="1100" motorTorque="1051" motorTorqueEco="999" fuelUsageRatio="209.3"/&gt;</v>
      </c>
      <c r="L1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normRpm="0.55" torque="0.956"/&gt;</v>
      </c>
      <c r="M14" s="3">
        <f>(1-(1-Table15[[#This Row],[rpm]]/Table36[idleRpm])^2)*Table7[idleT]</f>
        <v>941.11111111111109</v>
      </c>
      <c r="N14" s="3">
        <f>MAX(0,(1-Table7[f1]*(Table36[maxTRpm1]-Table15[[#This Row],[rpm]])^2)*Table36[maxT])</f>
        <v>1051.1111111111111</v>
      </c>
      <c r="O14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1100</v>
      </c>
      <c r="P14" s="3">
        <f>MAX(0,(Table36[maxPS]-Table7[f4]*(Table15[[#This Row],[rpm]]-Table36[maxPRpm])^2)/1.36*9550/MAX(1,Table15[[#This Row],[rpm]]))</f>
        <v>1595.922459893048</v>
      </c>
      <c r="Q14" s="3">
        <f>MAX(0,Table7[Nm2]*MIN(Table36[ratedRpm]/MAX(1,Table15[[#This Row],[rpm]]),1-(MAX(0,Table15[[#This Row],[rpm]]-Table36[ratedRpm])/Table36[fadeOut])^Table36[fadeOutExp]))</f>
        <v>923.95510835913308</v>
      </c>
      <c r="R14" s="3">
        <f>(1-(1-Table15[[#This Row],[rpm]]/Table36[idleRpm])^2)*Table7[idleTEco]</f>
        <v>894.05555555555554</v>
      </c>
      <c r="S14" s="3">
        <f>MAX(0,(1-Table7[f1]*(Table36[maxTRpm1]-Table15[[#This Row],[rpm]])^2)*Table36[maxTEco])</f>
        <v>998.55555555555566</v>
      </c>
      <c r="T14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1045</v>
      </c>
      <c r="U14" s="3">
        <f>MAX(0,(Table36[maxPSEco]-Table7[f4Eco]*(Table15[[#This Row],[rpm]]-Table36[maxPRpm])^2)/1.36*9550/MAX(1,Table15[[#This Row],[rpm]]))</f>
        <v>1436.3302139037432</v>
      </c>
      <c r="V14" s="3">
        <f>MAX(0,Table7[Nm2Eco]*MIN(Table36[ratedRpm]/MAX(1,Table15[[#This Row],[rpm]]),1-(MAX(0,Table15[[#This Row],[rpm]]-Table36[ratedRpm])/Table36[fadeOut])^Table36[fadeOutExp]))</f>
        <v>831.55959752321974</v>
      </c>
    </row>
    <row r="15" spans="1:25" x14ac:dyDescent="0.25">
      <c r="A15" s="3">
        <v>1200</v>
      </c>
      <c r="B15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1072.5</v>
      </c>
      <c r="C15" s="21"/>
      <c r="D15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1018.875</v>
      </c>
      <c r="E15" s="21"/>
      <c r="F15" s="3">
        <f>Table36[Factor]*IF(Table15[[#This Row],[manualData]]&gt;0,Table15[[#This Row],[manualData]],Table15[[#This Row],[rawData]])</f>
        <v>1072.5</v>
      </c>
      <c r="G15" s="3">
        <f>Table36[Factor]*IF(Table15[[#This Row],[manDataEco]]&gt;0,Table15[[#This Row],[manDataEco]],Table15[[#This Row],[rawDataEco]])</f>
        <v>1018.875</v>
      </c>
      <c r="H15" s="30">
        <f>1.36*Table15[[#This Row],[rpm]]*Table15[[#This Row],[motor]]/9550</f>
        <v>183.27958115183247</v>
      </c>
      <c r="I15" s="30">
        <f>1.36*Table15[[#This Row],[rpm]]*Table15[[#This Row],[motorEco]]/9550</f>
        <v>174.11560209424087</v>
      </c>
      <c r="J15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207.57499999999999</v>
      </c>
      <c r="K15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rpm="1200" motorTorque="1073" motorTorqueEco="1019" fuelUsageRatio="207.6"/&gt;</v>
      </c>
      <c r="L1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normRpm="0.6" torque="0.975"/&gt;</v>
      </c>
      <c r="M15" s="3">
        <f>(1-(1-Table15[[#This Row],[rpm]]/Table36[idleRpm])^2)*Table7[idleT]</f>
        <v>880.00000000000011</v>
      </c>
      <c r="N15" s="3">
        <f>MAX(0,(1-Table7[f1]*(Table36[maxTRpm1]-Table15[[#This Row],[rpm]])^2)*Table36[maxT])</f>
        <v>1072.5</v>
      </c>
      <c r="O15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1116.5042085913312</v>
      </c>
      <c r="P15" s="3">
        <f>MAX(0,(Table36[maxPS]-Table7[f4]*(Table15[[#This Row],[rpm]]-Table36[maxPRpm])^2)/1.36*9550/MAX(1,Table15[[#This Row],[rpm]]))</f>
        <v>1462.9289215686274</v>
      </c>
      <c r="Q15" s="3">
        <f>MAX(0,Table7[Nm2]*MIN(Table36[ratedRpm]/MAX(1,Table15[[#This Row],[rpm]]),1-(MAX(0,Table15[[#This Row],[rpm]]-Table36[ratedRpm])/Table36[fadeOut])^Table36[fadeOutExp]))</f>
        <v>923.95510835913308</v>
      </c>
      <c r="R15" s="3">
        <f>(1-(1-Table15[[#This Row],[rpm]]/Table36[idleRpm])^2)*Table7[idleTEco]</f>
        <v>836.00000000000011</v>
      </c>
      <c r="S15" s="3">
        <f>MAX(0,(1-Table7[f1]*(Table36[maxTRpm1]-Table15[[#This Row],[rpm]])^2)*Table36[maxTEco])</f>
        <v>1018.875</v>
      </c>
      <c r="T15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1065.010037732198</v>
      </c>
      <c r="U15" s="3">
        <f>MAX(0,(Table36[maxPSEco]-Table7[f4Eco]*(Table15[[#This Row],[rpm]]-Table36[maxPRpm])^2)/1.36*9550/MAX(1,Table15[[#This Row],[rpm]]))</f>
        <v>1316.6360294117646</v>
      </c>
      <c r="V15" s="3">
        <f>MAX(0,Table7[Nm2Eco]*MIN(Table36[ratedRpm]/MAX(1,Table15[[#This Row],[rpm]]),1-(MAX(0,Table15[[#This Row],[rpm]]-Table36[ratedRpm])/Table36[fadeOut])^Table36[fadeOutExp]))</f>
        <v>831.55959752321974</v>
      </c>
    </row>
    <row r="16" spans="1:25" x14ac:dyDescent="0.25">
      <c r="A16" s="3">
        <v>1300</v>
      </c>
      <c r="B16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1087.7777777777778</v>
      </c>
      <c r="C16" s="21"/>
      <c r="D16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1033.3888888888889</v>
      </c>
      <c r="E16" s="21"/>
      <c r="F16" s="3">
        <f>Table36[Factor]*IF(Table15[[#This Row],[manualData]]&gt;0,Table15[[#This Row],[manualData]],Table15[[#This Row],[rawData]])</f>
        <v>1087.7777777777778</v>
      </c>
      <c r="G16" s="3">
        <f>Table36[Factor]*IF(Table15[[#This Row],[manDataEco]]&gt;0,Table15[[#This Row],[manDataEco]],Table15[[#This Row],[rawDataEco]])</f>
        <v>1033.3888888888889</v>
      </c>
      <c r="H16" s="30">
        <f>1.36*Table15[[#This Row],[rpm]]*Table15[[#This Row],[motor]]/9550</f>
        <v>201.38126817917399</v>
      </c>
      <c r="I16" s="30">
        <f>1.36*Table15[[#This Row],[rpm]]*Table15[[#This Row],[motorEco]]/9550</f>
        <v>191.31220477021526</v>
      </c>
      <c r="J16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207</v>
      </c>
      <c r="K16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rpm="1300" motorTorque="1088" motorTorqueEco="1033" fuelUsageRatio="207"/&gt;</v>
      </c>
      <c r="L1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normRpm="0.65" torque="0.989"/&gt;</v>
      </c>
      <c r="M16" s="3">
        <f>(1-(1-Table15[[#This Row],[rpm]]/Table36[idleRpm])^2)*Table7[idleT]</f>
        <v>794.44444444444446</v>
      </c>
      <c r="N16" s="3">
        <f>MAX(0,(1-Table7[f1]*(Table36[maxTRpm1]-Table15[[#This Row],[rpm]])^2)*Table36[maxT])</f>
        <v>1087.7777777777778</v>
      </c>
      <c r="O16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1122.0056114551082</v>
      </c>
      <c r="P16" s="3">
        <f>MAX(0,(Table36[maxPS]-Table7[f4]*(Table15[[#This Row],[rpm]]-Table36[maxPRpm])^2)/1.36*9550/MAX(1,Table15[[#This Row],[rpm]]))</f>
        <v>1350.3959276018097</v>
      </c>
      <c r="Q16" s="3">
        <f>MAX(0,Table7[Nm2]*MIN(Table36[ratedRpm]/MAX(1,Table15[[#This Row],[rpm]]),1-(MAX(0,Table15[[#This Row],[rpm]]-Table36[ratedRpm])/Table36[fadeOut])^Table36[fadeOutExp]))</f>
        <v>923.95510835913308</v>
      </c>
      <c r="R16" s="3">
        <f>(1-(1-Table15[[#This Row],[rpm]]/Table36[idleRpm])^2)*Table7[idleTEco]</f>
        <v>754.72222222222229</v>
      </c>
      <c r="S16" s="3">
        <f>MAX(0,(1-Table7[f1]*(Table36[maxTRpm1]-Table15[[#This Row],[rpm]])^2)*Table36[maxTEco])</f>
        <v>1033.3888888888889</v>
      </c>
      <c r="T16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1071.6800503095974</v>
      </c>
      <c r="U16" s="3">
        <f>MAX(0,(Table36[maxPSEco]-Table7[f4Eco]*(Table15[[#This Row],[rpm]]-Table36[maxPRpm])^2)/1.36*9550/MAX(1,Table15[[#This Row],[rpm]]))</f>
        <v>1215.356334841629</v>
      </c>
      <c r="V16" s="3">
        <f>MAX(0,Table7[Nm2Eco]*MIN(Table36[ratedRpm]/MAX(1,Table15[[#This Row],[rpm]]),1-(MAX(0,Table15[[#This Row],[rpm]]-Table36[ratedRpm])/Table36[fadeOut])^Table36[fadeOutExp]))</f>
        <v>831.55959752321974</v>
      </c>
    </row>
    <row r="17" spans="1:22" x14ac:dyDescent="0.25">
      <c r="A17" s="3">
        <v>1400</v>
      </c>
      <c r="B17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1096.9444444444443</v>
      </c>
      <c r="C17" s="21"/>
      <c r="D17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1042.0972222222222</v>
      </c>
      <c r="E17" s="21"/>
      <c r="F17" s="3">
        <f>Table36[Factor]*IF(Table15[[#This Row],[manualData]]&gt;0,Table15[[#This Row],[manualData]],Table15[[#This Row],[rawData]])</f>
        <v>1096.9444444444443</v>
      </c>
      <c r="G17" s="3">
        <f>Table36[Factor]*IF(Table15[[#This Row],[manDataEco]]&gt;0,Table15[[#This Row],[manDataEco]],Table15[[#This Row],[rawDataEco]])</f>
        <v>1042.0972222222222</v>
      </c>
      <c r="H17" s="30">
        <f>1.36*Table15[[#This Row],[rpm]]*Table15[[#This Row],[motor]]/9550</f>
        <v>218.699709133217</v>
      </c>
      <c r="I17" s="30">
        <f>1.36*Table15[[#This Row],[rpm]]*Table15[[#This Row],[motorEco]]/9550</f>
        <v>207.76472367655614</v>
      </c>
      <c r="J17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207.63888888888889</v>
      </c>
      <c r="K17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rpm="1400" motorTorque="1097" motorTorqueEco="1042" fuelUsageRatio="207.6"/&gt;</v>
      </c>
      <c r="L1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normRpm="0.7" torque="0.997"/&gt;</v>
      </c>
      <c r="M17" s="3">
        <f>(1-(1-Table15[[#This Row],[rpm]]/Table36[idleRpm])^2)*Table7[idleT]</f>
        <v>684.44444444444446</v>
      </c>
      <c r="N17" s="3">
        <f>MAX(0,(1-Table7[f1]*(Table36[maxTRpm1]-Table15[[#This Row],[rpm]])^2)*Table36[maxT])</f>
        <v>1096.9444444444443</v>
      </c>
      <c r="O17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1116.5042085913312</v>
      </c>
      <c r="P17" s="3">
        <f>MAX(0,(Table36[maxPS]-Table7[f4]*(Table15[[#This Row],[rpm]]-Table36[maxPRpm])^2)/1.36*9550/MAX(1,Table15[[#This Row],[rpm]]))</f>
        <v>1253.9390756302521</v>
      </c>
      <c r="Q17" s="3">
        <f>MAX(0,Table7[Nm2]*MIN(Table36[ratedRpm]/MAX(1,Table15[[#This Row],[rpm]]),1-(MAX(0,Table15[[#This Row],[rpm]]-Table36[ratedRpm])/Table36[fadeOut])^Table36[fadeOutExp]))</f>
        <v>923.95510835913308</v>
      </c>
      <c r="R17" s="3">
        <f>(1-(1-Table15[[#This Row],[rpm]]/Table36[idleRpm])^2)*Table7[idleTEco]</f>
        <v>650.22222222222217</v>
      </c>
      <c r="S17" s="3">
        <f>MAX(0,(1-Table7[f1]*(Table36[maxTRpm1]-Table15[[#This Row],[rpm]])^2)*Table36[maxTEco])</f>
        <v>1042.0972222222222</v>
      </c>
      <c r="T17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1065.010037732198</v>
      </c>
      <c r="U17" s="3">
        <f>MAX(0,(Table36[maxPSEco]-Table7[f4Eco]*(Table15[[#This Row],[rpm]]-Table36[maxPRpm])^2)/1.36*9550/MAX(1,Table15[[#This Row],[rpm]]))</f>
        <v>1128.5451680672268</v>
      </c>
      <c r="V17" s="3">
        <f>MAX(0,Table7[Nm2Eco]*MIN(Table36[ratedRpm]/MAX(1,Table15[[#This Row],[rpm]]),1-(MAX(0,Table15[[#This Row],[rpm]]-Table36[ratedRpm])/Table36[fadeOut])^Table36[fadeOutExp]))</f>
        <v>831.55959752321974</v>
      </c>
    </row>
    <row r="18" spans="1:22" x14ac:dyDescent="0.25">
      <c r="A18" s="3">
        <v>1500</v>
      </c>
      <c r="B18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1100</v>
      </c>
      <c r="C18" s="21"/>
      <c r="D18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1045</v>
      </c>
      <c r="E18" s="21"/>
      <c r="F18" s="3">
        <f>Table36[Factor]*IF(Table15[[#This Row],[manualData]]&gt;0,Table15[[#This Row],[manualData]],Table15[[#This Row],[rawData]])</f>
        <v>1100</v>
      </c>
      <c r="G18" s="3">
        <f>Table36[Factor]*IF(Table15[[#This Row],[manDataEco]]&gt;0,Table15[[#This Row],[manDataEco]],Table15[[#This Row],[rawDataEco]])</f>
        <v>1045</v>
      </c>
      <c r="H18" s="30">
        <f>1.36*Table15[[#This Row],[rpm]]*Table15[[#This Row],[motor]]/9550</f>
        <v>234.97382198952886</v>
      </c>
      <c r="I18" s="30">
        <f>1.36*Table15[[#This Row],[rpm]]*Table15[[#This Row],[motorEco]]/9550</f>
        <v>223.22513089005241</v>
      </c>
      <c r="J18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209.55555555555554</v>
      </c>
      <c r="K18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rpm="1500" motorTorque="1100" motorTorqueEco="1045" fuelUsageRatio="209.6"/&gt;</v>
      </c>
      <c r="L1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normRpm="0.75" torque="1"/&gt;</v>
      </c>
      <c r="M18" s="3">
        <f>(1-(1-Table15[[#This Row],[rpm]]/Table36[idleRpm])^2)*Table7[idleT]</f>
        <v>549.99999999999989</v>
      </c>
      <c r="N18" s="3">
        <f>MAX(0,(1-Table7[f1]*(Table36[maxTRpm1]-Table15[[#This Row],[rpm]])^2)*Table36[maxT])</f>
        <v>1100</v>
      </c>
      <c r="O18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1100</v>
      </c>
      <c r="P18" s="3">
        <f>MAX(0,(Table36[maxPS]-Table7[f4]*(Table15[[#This Row],[rpm]]-Table36[maxPRpm])^2)/1.36*9550/MAX(1,Table15[[#This Row],[rpm]]))</f>
        <v>1170.3431372549019</v>
      </c>
      <c r="Q18" s="3">
        <f>MAX(0,Table7[Nm2]*MIN(Table36[ratedRpm]/MAX(1,Table15[[#This Row],[rpm]]),1-(MAX(0,Table15[[#This Row],[rpm]]-Table36[ratedRpm])/Table36[fadeOut])^Table36[fadeOutExp]))</f>
        <v>923.95510835913308</v>
      </c>
      <c r="R18" s="3">
        <f>(1-(1-Table15[[#This Row],[rpm]]/Table36[idleRpm])^2)*Table7[idleTEco]</f>
        <v>522.49999999999989</v>
      </c>
      <c r="S18" s="3">
        <f>MAX(0,(1-Table7[f1]*(Table36[maxTRpm1]-Table15[[#This Row],[rpm]])^2)*Table36[maxTEco])</f>
        <v>1045</v>
      </c>
      <c r="T18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1045</v>
      </c>
      <c r="U18" s="3">
        <f>MAX(0,(Table36[maxPSEco]-Table7[f4Eco]*(Table15[[#This Row],[rpm]]-Table36[maxPRpm])^2)/1.36*9550/MAX(1,Table15[[#This Row],[rpm]]))</f>
        <v>1053.3088235294117</v>
      </c>
      <c r="V18" s="3">
        <f>MAX(0,Table7[Nm2Eco]*MIN(Table36[ratedRpm]/MAX(1,Table15[[#This Row],[rpm]]),1-(MAX(0,Table15[[#This Row],[rpm]]-Table36[ratedRpm])/Table36[fadeOut])^Table36[fadeOutExp]))</f>
        <v>831.55959752321974</v>
      </c>
    </row>
    <row r="19" spans="1:22" x14ac:dyDescent="0.25">
      <c r="A19" s="3">
        <v>1600</v>
      </c>
      <c r="B19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1072.4929856811145</v>
      </c>
      <c r="C19" s="21"/>
      <c r="D19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987.47702205882354</v>
      </c>
      <c r="E19" s="21"/>
      <c r="F19" s="3">
        <f>Table36[Factor]*IF(Table15[[#This Row],[manualData]]&gt;0,Table15[[#This Row],[manualData]],Table15[[#This Row],[rawData]])</f>
        <v>1072.4929856811145</v>
      </c>
      <c r="G19" s="3">
        <f>Table36[Factor]*IF(Table15[[#This Row],[manDataEco]]&gt;0,Table15[[#This Row],[manDataEco]],Table15[[#This Row],[rawDataEco]])</f>
        <v>987.47702205882354</v>
      </c>
      <c r="H19" s="30">
        <f>1.36*Table15[[#This Row],[rpm]]*Table15[[#This Row],[motor]]/9550</f>
        <v>244.37117663268117</v>
      </c>
      <c r="I19" s="30">
        <f>1.36*Table15[[#This Row],[rpm]]*Table15[[#This Row],[motorEco]]/9550</f>
        <v>225</v>
      </c>
      <c r="J19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212.75</v>
      </c>
      <c r="K19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rpm="1600" motorTorque="1072" motorTorqueEco="987" fuelUsageRatio="212.8"/&gt;</v>
      </c>
      <c r="L1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normRpm="0.8" torque="0.975"/&gt;</v>
      </c>
      <c r="M19" s="3">
        <f>(1-(1-Table15[[#This Row],[rpm]]/Table36[idleRpm])^2)*Table7[idleT]</f>
        <v>391.11111111111131</v>
      </c>
      <c r="N19" s="3">
        <f>MAX(0,(1-Table7[f1]*(Table36[maxTRpm1]-Table15[[#This Row],[rpm]])^2)*Table36[maxT])</f>
        <v>1096.9444444444443</v>
      </c>
      <c r="O19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1072.4929856811145</v>
      </c>
      <c r="P19" s="3">
        <f>MAX(0,(Table36[maxPS]-Table7[f4]*(Table15[[#This Row],[rpm]]-Table36[maxPRpm])^2)/1.36*9550/MAX(1,Table15[[#This Row],[rpm]]))</f>
        <v>1097.1966911764705</v>
      </c>
      <c r="Q19" s="3">
        <f>MAX(0,Table7[Nm2]*MIN(Table36[ratedRpm]/MAX(1,Table15[[#This Row],[rpm]]),1-(MAX(0,Table15[[#This Row],[rpm]]-Table36[ratedRpm])/Table36[fadeOut])^Table36[fadeOutExp]))</f>
        <v>923.95510835913308</v>
      </c>
      <c r="R19" s="3">
        <f>(1-(1-Table15[[#This Row],[rpm]]/Table36[idleRpm])^2)*Table7[idleTEco]</f>
        <v>371.55555555555577</v>
      </c>
      <c r="S19" s="3">
        <f>MAX(0,(1-Table7[f1]*(Table36[maxTRpm1]-Table15[[#This Row],[rpm]])^2)*Table36[maxTEco])</f>
        <v>1042.0972222222222</v>
      </c>
      <c r="T19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987.47702205882354</v>
      </c>
      <c r="U19" s="3">
        <f>MAX(0,(Table36[maxPSEco]-Table7[f4Eco]*(Table15[[#This Row],[rpm]]-Table36[maxPRpm])^2)/1.36*9550/MAX(1,Table15[[#This Row],[rpm]]))</f>
        <v>987.47702205882354</v>
      </c>
      <c r="V19" s="3">
        <f>MAX(0,Table7[Nm2Eco]*MIN(Table36[ratedRpm]/MAX(1,Table15[[#This Row],[rpm]]),1-(MAX(0,Table15[[#This Row],[rpm]]-Table36[ratedRpm])/Table36[fadeOut])^Table36[fadeOutExp]))</f>
        <v>831.55959752321974</v>
      </c>
    </row>
    <row r="20" spans="1:22" x14ac:dyDescent="0.25">
      <c r="A20" s="3">
        <v>1700</v>
      </c>
      <c r="B20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1032.6557093425604</v>
      </c>
      <c r="C20" s="21"/>
      <c r="D20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929.39013840830444</v>
      </c>
      <c r="E20" s="21"/>
      <c r="F20" s="3">
        <f>Table36[Factor]*IF(Table15[[#This Row],[manualData]]&gt;0,Table15[[#This Row],[manualData]],Table15[[#This Row],[rawData]])</f>
        <v>1032.6557093425604</v>
      </c>
      <c r="G20" s="3">
        <f>Table36[Factor]*IF(Table15[[#This Row],[manDataEco]]&gt;0,Table15[[#This Row],[manDataEco]],Table15[[#This Row],[rawDataEco]])</f>
        <v>929.39013840830444</v>
      </c>
      <c r="H20" s="30">
        <f>1.36*Table15[[#This Row],[rpm]]*Table15[[#This Row],[motor]]/9550</f>
        <v>249.99999999999994</v>
      </c>
      <c r="I20" s="30">
        <f>1.36*Table15[[#This Row],[rpm]]*Table15[[#This Row],[motorEco]]/9550</f>
        <v>225</v>
      </c>
      <c r="J20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217.22222222222223</v>
      </c>
      <c r="K20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rpm="1700" motorTorque="1033" motorTorqueEco="929" fuelUsageRatio="217.2"/&gt;</v>
      </c>
      <c r="L2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normRpm="0.85" torque="0.939"/&gt;</v>
      </c>
      <c r="M20" s="3">
        <f>(1-(1-Table15[[#This Row],[rpm]]/Table36[idleRpm])^2)*Table7[idleT]</f>
        <v>207.77777777777783</v>
      </c>
      <c r="N20" s="3">
        <f>MAX(0,(1-Table7[f1]*(Table36[maxTRpm1]-Table15[[#This Row],[rpm]])^2)*Table36[maxT])</f>
        <v>1087.7777777777778</v>
      </c>
      <c r="O20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1032.6557093425604</v>
      </c>
      <c r="P20" s="3">
        <f>MAX(0,(Table36[maxPS]-Table7[f4]*(Table15[[#This Row],[rpm]]-Table36[maxPRpm])^2)/1.36*9550/MAX(1,Table15[[#This Row],[rpm]]))</f>
        <v>1032.6557093425604</v>
      </c>
      <c r="Q20" s="3">
        <f>MAX(0,Table7[Nm2]*MIN(Table36[ratedRpm]/MAX(1,Table15[[#This Row],[rpm]]),1-(MAX(0,Table15[[#This Row],[rpm]]-Table36[ratedRpm])/Table36[fadeOut])^Table36[fadeOutExp]))</f>
        <v>923.95510835913308</v>
      </c>
      <c r="R20" s="3">
        <f>(1-(1-Table15[[#This Row],[rpm]]/Table36[idleRpm])^2)*Table7[idleTEco]</f>
        <v>197.38888888888894</v>
      </c>
      <c r="S20" s="3">
        <f>MAX(0,(1-Table7[f1]*(Table36[maxTRpm1]-Table15[[#This Row],[rpm]])^2)*Table36[maxTEco])</f>
        <v>1033.3888888888889</v>
      </c>
      <c r="T20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929.39013840830444</v>
      </c>
      <c r="U20" s="3">
        <f>MAX(0,(Table36[maxPSEco]-Table7[f4Eco]*(Table15[[#This Row],[rpm]]-Table36[maxPRpm])^2)/1.36*9550/MAX(1,Table15[[#This Row],[rpm]]))</f>
        <v>929.39013840830444</v>
      </c>
      <c r="V20" s="3">
        <f>MAX(0,Table7[Nm2Eco]*MIN(Table36[ratedRpm]/MAX(1,Table15[[#This Row],[rpm]]),1-(MAX(0,Table15[[#This Row],[rpm]]-Table36[ratedRpm])/Table36[fadeOut])^Table36[fadeOutExp]))</f>
        <v>831.55959752321974</v>
      </c>
    </row>
    <row r="21" spans="1:22" x14ac:dyDescent="0.25">
      <c r="A21" s="3">
        <v>1800</v>
      </c>
      <c r="B21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975.28594771241819</v>
      </c>
      <c r="C21" s="21"/>
      <c r="D21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877.75735294117646</v>
      </c>
      <c r="E21" s="21"/>
      <c r="F21" s="3">
        <f>Table36[Factor]*IF(Table15[[#This Row],[manualData]]&gt;0,Table15[[#This Row],[manualData]],Table15[[#This Row],[rawData]])</f>
        <v>975.28594771241819</v>
      </c>
      <c r="G21" s="3">
        <f>Table36[Factor]*IF(Table15[[#This Row],[manDataEco]]&gt;0,Table15[[#This Row],[manDataEco]],Table15[[#This Row],[rawDataEco]])</f>
        <v>877.75735294117646</v>
      </c>
      <c r="H21" s="30">
        <f>1.36*Table15[[#This Row],[rpm]]*Table15[[#This Row],[motor]]/9550</f>
        <v>249.99999999999994</v>
      </c>
      <c r="I21" s="30">
        <f>1.36*Table15[[#This Row],[rpm]]*Table15[[#This Row],[motorEco]]/9550</f>
        <v>225</v>
      </c>
      <c r="J21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222.97222222222223</v>
      </c>
      <c r="K21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rpm="1800" motorTorque="975" motorTorqueEco="878" fuelUsageRatio="223"/&gt;</v>
      </c>
      <c r="L2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normRpm="0.9" torque="0.887"/&gt;</v>
      </c>
      <c r="M21" s="3">
        <f>(1-(1-Table15[[#This Row],[rpm]]/Table36[idleRpm])^2)*Table7[idleT]</f>
        <v>0</v>
      </c>
      <c r="N21" s="3">
        <f>MAX(0,(1-Table7[f1]*(Table36[maxTRpm1]-Table15[[#This Row],[rpm]])^2)*Table36[maxT])</f>
        <v>1072.5</v>
      </c>
      <c r="O21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975.28594771241819</v>
      </c>
      <c r="P21" s="3">
        <f>MAX(0,(Table36[maxPS]-Table7[f4]*(Table15[[#This Row],[rpm]]-Table36[maxPRpm])^2)/1.36*9550/MAX(1,Table15[[#This Row],[rpm]]))</f>
        <v>975.28594771241819</v>
      </c>
      <c r="Q21" s="3">
        <f>MAX(0,Table7[Nm2]*MIN(Table36[ratedRpm]/MAX(1,Table15[[#This Row],[rpm]]),1-(MAX(0,Table15[[#This Row],[rpm]]-Table36[ratedRpm])/Table36[fadeOut])^Table36[fadeOutExp]))</f>
        <v>923.95510835913308</v>
      </c>
      <c r="R21" s="3">
        <f>(1-(1-Table15[[#This Row],[rpm]]/Table36[idleRpm])^2)*Table7[idleTEco]</f>
        <v>0</v>
      </c>
      <c r="S21" s="3">
        <f>MAX(0,(1-Table7[f1]*(Table36[maxTRpm1]-Table15[[#This Row],[rpm]])^2)*Table36[maxTEco])</f>
        <v>1018.875</v>
      </c>
      <c r="T21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877.75735294117646</v>
      </c>
      <c r="U21" s="3">
        <f>MAX(0,(Table36[maxPSEco]-Table7[f4Eco]*(Table15[[#This Row],[rpm]]-Table36[maxPRpm])^2)/1.36*9550/MAX(1,Table15[[#This Row],[rpm]]))</f>
        <v>877.75735294117646</v>
      </c>
      <c r="V21" s="3">
        <f>MAX(0,Table7[Nm2Eco]*MIN(Table36[ratedRpm]/MAX(1,Table15[[#This Row],[rpm]]),1-(MAX(0,Table15[[#This Row],[rpm]]-Table36[ratedRpm])/Table36[fadeOut])^Table36[fadeOutExp]))</f>
        <v>831.55959752321974</v>
      </c>
    </row>
    <row r="22" spans="1:22" x14ac:dyDescent="0.25">
      <c r="A22" s="3">
        <v>1900</v>
      </c>
      <c r="B22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923.95510835913308</v>
      </c>
      <c r="C22" s="21"/>
      <c r="D22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831.55959752321974</v>
      </c>
      <c r="E22" s="21"/>
      <c r="F22" s="3">
        <f>Table36[Factor]*IF(Table15[[#This Row],[manualData]]&gt;0,Table15[[#This Row],[manualData]],Table15[[#This Row],[rawData]])</f>
        <v>923.95510835913308</v>
      </c>
      <c r="G22" s="3">
        <f>Table36[Factor]*IF(Table15[[#This Row],[manDataEco]]&gt;0,Table15[[#This Row],[manDataEco]],Table15[[#This Row],[rawDataEco]])</f>
        <v>831.55959752321974</v>
      </c>
      <c r="H22" s="30">
        <f>1.36*Table15[[#This Row],[rpm]]*Table15[[#This Row],[motor]]/9550</f>
        <v>250</v>
      </c>
      <c r="I22" s="30">
        <f>1.36*Table15[[#This Row],[rpm]]*Table15[[#This Row],[motorEco]]/9550</f>
        <v>225</v>
      </c>
      <c r="J22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230</v>
      </c>
      <c r="K22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rpm="1900" motorTorque="924" motorTorqueEco="832" fuelUsageRatio="230"/&gt;</v>
      </c>
      <c r="L2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normRpm="0.95" torque="0.84"/&gt;</v>
      </c>
      <c r="M22" s="3">
        <f>(1-(1-Table15[[#This Row],[rpm]]/Table36[idleRpm])^2)*Table7[idleT]</f>
        <v>-232.22222222222237</v>
      </c>
      <c r="N22" s="3">
        <f>MAX(0,(1-Table7[f1]*(Table36[maxTRpm1]-Table15[[#This Row],[rpm]])^2)*Table36[maxT])</f>
        <v>1051.1111111111111</v>
      </c>
      <c r="O22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923.95510835913308</v>
      </c>
      <c r="P22" s="3">
        <f>MAX(0,(Table36[maxPS]-Table7[f4]*(Table15[[#This Row],[rpm]]-Table36[maxPRpm])^2)/1.36*9550/MAX(1,Table15[[#This Row],[rpm]]))</f>
        <v>923.95510835913308</v>
      </c>
      <c r="Q22" s="3">
        <f>MAX(0,Table7[Nm2]*MIN(Table36[ratedRpm]/MAX(1,Table15[[#This Row],[rpm]]),1-(MAX(0,Table15[[#This Row],[rpm]]-Table36[ratedRpm])/Table36[fadeOut])^Table36[fadeOutExp]))</f>
        <v>923.95510835913308</v>
      </c>
      <c r="R22" s="3">
        <f>(1-(1-Table15[[#This Row],[rpm]]/Table36[idleRpm])^2)*Table7[idleTEco]</f>
        <v>-220.61111111111126</v>
      </c>
      <c r="S22" s="3">
        <f>MAX(0,(1-Table7[f1]*(Table36[maxTRpm1]-Table15[[#This Row],[rpm]])^2)*Table36[maxTEco])</f>
        <v>998.55555555555566</v>
      </c>
      <c r="T22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831.55959752321974</v>
      </c>
      <c r="U22" s="3">
        <f>MAX(0,(Table36[maxPSEco]-Table7[f4Eco]*(Table15[[#This Row],[rpm]]-Table36[maxPRpm])^2)/1.36*9550/MAX(1,Table15[[#This Row],[rpm]]))</f>
        <v>831.55959752321974</v>
      </c>
      <c r="V22" s="3">
        <f>MAX(0,Table7[Nm2Eco]*MIN(Table36[ratedRpm]/MAX(1,Table15[[#This Row],[rpm]]),1-(MAX(0,Table15[[#This Row],[rpm]]-Table36[ratedRpm])/Table36[fadeOut])^Table36[fadeOutExp]))</f>
        <v>831.55959752321974</v>
      </c>
    </row>
    <row r="23" spans="1:22" x14ac:dyDescent="0.25">
      <c r="A23" s="3">
        <v>2000</v>
      </c>
      <c r="B23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796.06627888149092</v>
      </c>
      <c r="C23" s="21"/>
      <c r="D23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716.45965099334182</v>
      </c>
      <c r="E23" s="21"/>
      <c r="F23" s="3">
        <f>Table36[Factor]*IF(Table15[[#This Row],[manualData]]&gt;0,Table15[[#This Row],[manualData]],Table15[[#This Row],[rawData]])</f>
        <v>796.06627888149092</v>
      </c>
      <c r="G23" s="3">
        <f>Table36[Factor]*IF(Table15[[#This Row],[manDataEco]]&gt;0,Table15[[#This Row],[manDataEco]],Table15[[#This Row],[rawDataEco]])</f>
        <v>716.45965099334182</v>
      </c>
      <c r="H23" s="30">
        <f>1.36*Table15[[#This Row],[rpm]]*Table15[[#This Row],[motor]]/9550</f>
        <v>226.7330134615346</v>
      </c>
      <c r="I23" s="30">
        <f>1.36*Table15[[#This Row],[rpm]]*Table15[[#This Row],[motorEco]]/9550</f>
        <v>204.05971211538113</v>
      </c>
      <c r="J23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244.75450687929043</v>
      </c>
      <c r="K23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rpm="2000" motorTorque="796" motorTorqueEco="716" fuelUsageRatio="244.8"/&gt;</v>
      </c>
      <c r="L2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normRpm="1" torque="0.724"/&gt;</v>
      </c>
      <c r="M23" s="3">
        <f>(1-(1-Table15[[#This Row],[rpm]]/Table36[idleRpm])^2)*Table7[idleT]</f>
        <v>-488.88888888888908</v>
      </c>
      <c r="N23" s="3">
        <f>MAX(0,(1-Table7[f1]*(Table36[maxTRpm1]-Table15[[#This Row],[rpm]])^2)*Table36[maxT])</f>
        <v>1023.6111111111111</v>
      </c>
      <c r="O23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852.4368711300308</v>
      </c>
      <c r="P23" s="3">
        <f>MAX(0,(Table36[maxPS]-Table7[f4]*(Table15[[#This Row],[rpm]]-Table36[maxPRpm])^2)/1.36*9550/MAX(1,Table15[[#This Row],[rpm]]))</f>
        <v>877.75735294117635</v>
      </c>
      <c r="Q23" s="3">
        <f>MAX(0,Table7[Nm2]*MIN(Table36[ratedRpm]/MAX(1,Table15[[#This Row],[rpm]]),1-(MAX(0,Table15[[#This Row],[rpm]]-Table36[ratedRpm])/Table36[fadeOut])^Table36[fadeOutExp]))</f>
        <v>796.06627888149092</v>
      </c>
      <c r="R23" s="3">
        <f>(1-(1-Table15[[#This Row],[rpm]]/Table36[idleRpm])^2)*Table7[idleTEco]</f>
        <v>-464.44444444444463</v>
      </c>
      <c r="S23" s="3">
        <f>MAX(0,(1-Table7[f1]*(Table36[maxTRpm1]-Table15[[#This Row],[rpm]])^2)*Table36[maxTEco])</f>
        <v>972.43055555555554</v>
      </c>
      <c r="T23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744.84943401702776</v>
      </c>
      <c r="U23" s="3">
        <f>MAX(0,(Table36[maxPSEco]-Table7[f4Eco]*(Table15[[#This Row],[rpm]]-Table36[maxPRpm])^2)/1.36*9550/MAX(1,Table15[[#This Row],[rpm]]))</f>
        <v>789.98161764705878</v>
      </c>
      <c r="V23" s="3">
        <f>MAX(0,Table7[Nm2Eco]*MIN(Table36[ratedRpm]/MAX(1,Table15[[#This Row],[rpm]]),1-(MAX(0,Table15[[#This Row],[rpm]]-Table36[ratedRpm])/Table36[fadeOut])^Table36[fadeOutExp]))</f>
        <v>716.45965099334182</v>
      </c>
    </row>
    <row r="24" spans="1:22" x14ac:dyDescent="0.25">
      <c r="A24" s="3">
        <v>2100</v>
      </c>
      <c r="B24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478.62033819495952</v>
      </c>
      <c r="C24" s="21"/>
      <c r="D24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430.75830437546352</v>
      </c>
      <c r="E24" s="21"/>
      <c r="F24" s="3">
        <f>Table36[Factor]*IF(Table15[[#This Row],[manualData]]&gt;0,Table15[[#This Row],[manualData]],Table15[[#This Row],[rawData]])</f>
        <v>478.62033819495952</v>
      </c>
      <c r="G24" s="3">
        <f>Table36[Factor]*IF(Table15[[#This Row],[manDataEco]]&gt;0,Table15[[#This Row],[manDataEco]],Table15[[#This Row],[rawDataEco]])</f>
        <v>430.75830437546352</v>
      </c>
      <c r="H24" s="30">
        <f>1.36*Table15[[#This Row],[rpm]]*Table15[[#This Row],[motor]]/9550</f>
        <v>143.13504564238789</v>
      </c>
      <c r="I24" s="30">
        <f>1.36*Table15[[#This Row],[rpm]]*Table15[[#This Row],[motorEco]]/9550</f>
        <v>128.8215410781491</v>
      </c>
      <c r="J24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313.46409493927865</v>
      </c>
      <c r="K24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rpm="2100" motorTorque="479" motorTorqueEco="431" fuelUsageRatio="313.5"/&gt;</v>
      </c>
      <c r="L2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4" s="3">
        <f>(1-(1-Table15[[#This Row],[rpm]]/Table36[idleRpm])^2)*Table7[idleT]</f>
        <v>-770.00000000000034</v>
      </c>
      <c r="N24" s="3">
        <f>MAX(0,(1-Table7[f1]*(Table36[maxTRpm1]-Table15[[#This Row],[rpm]])^2)*Table36[maxT])</f>
        <v>990</v>
      </c>
      <c r="O24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769.91582817337451</v>
      </c>
      <c r="P24" s="3">
        <f>MAX(0,(Table36[maxPS]-Table7[f4]*(Table15[[#This Row],[rpm]]-Table36[maxPRpm])^2)/1.36*9550/MAX(1,Table15[[#This Row],[rpm]]))</f>
        <v>835.95938375350136</v>
      </c>
      <c r="Q24" s="3">
        <f>MAX(0,Table7[Nm2]*MIN(Table36[ratedRpm]/MAX(1,Table15[[#This Row],[rpm]]),1-(MAX(0,Table15[[#This Row],[rpm]]-Table36[ratedRpm])/Table36[fadeOut])^Table36[fadeOutExp]))</f>
        <v>478.62033819495952</v>
      </c>
      <c r="R24" s="3">
        <f>(1-(1-Table15[[#This Row],[rpm]]/Table36[idleRpm])^2)*Table7[idleTEco]</f>
        <v>-731.50000000000034</v>
      </c>
      <c r="S24" s="3">
        <f>MAX(0,(1-Table7[f1]*(Table36[maxTRpm1]-Table15[[#This Row],[rpm]])^2)*Table36[maxTEco])</f>
        <v>940.5</v>
      </c>
      <c r="T24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644.79924535603709</v>
      </c>
      <c r="U24" s="3">
        <f>MAX(0,(Table36[maxPSEco]-Table7[f4Eco]*(Table15[[#This Row],[rpm]]-Table36[maxPRpm])^2)/1.36*9550/MAX(1,Table15[[#This Row],[rpm]]))</f>
        <v>752.36344537815125</v>
      </c>
      <c r="V24" s="3">
        <f>MAX(0,Table7[Nm2Eco]*MIN(Table36[ratedRpm]/MAX(1,Table15[[#This Row],[rpm]]),1-(MAX(0,Table15[[#This Row],[rpm]]-Table36[ratedRpm])/Table36[fadeOut])^Table36[fadeOutExp]))</f>
        <v>430.75830437546352</v>
      </c>
    </row>
    <row r="25" spans="1:22" x14ac:dyDescent="0.25">
      <c r="A25" s="3">
        <v>2200</v>
      </c>
      <c r="B25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25" s="21"/>
      <c r="D25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25" s="21"/>
      <c r="F25" s="3">
        <f>Table36[Factor]*IF(Table15[[#This Row],[manualData]]&gt;0,Table15[[#This Row],[manualData]],Table15[[#This Row],[rawData]])</f>
        <v>0</v>
      </c>
      <c r="G25" s="3">
        <f>Table36[Factor]*IF(Table15[[#This Row],[manDataEco]]&gt;0,Table15[[#This Row],[manDataEco]],Table15[[#This Row],[rawDataEco]])</f>
        <v>0</v>
      </c>
      <c r="H25" s="30">
        <f>1.36*Table15[[#This Row],[rpm]]*Table15[[#This Row],[motor]]/9550</f>
        <v>0</v>
      </c>
      <c r="I25" s="30">
        <f>1.36*Table15[[#This Row],[rpm]]*Table15[[#This Row],[motorEco]]/9550</f>
        <v>0</v>
      </c>
      <c r="J25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25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rpm="2200" motorTorque="0" motorTorqueEco="0" fuelUsageRatio="460"/&gt;</v>
      </c>
      <c r="L2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5" s="3">
        <f>(1-(1-Table15[[#This Row],[rpm]]/Table36[idleRpm])^2)*Table7[idleT]</f>
        <v>-1075.5555555555559</v>
      </c>
      <c r="N25" s="3">
        <f>MAX(0,(1-Table7[f1]*(Table36[maxTRpm1]-Table15[[#This Row],[rpm]])^2)*Table36[maxT])</f>
        <v>950.27777777777783</v>
      </c>
      <c r="O25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676.39197948916399</v>
      </c>
      <c r="P25" s="3">
        <f>MAX(0,(Table36[maxPS]-Table7[f4]*(Table15[[#This Row],[rpm]]-Table36[maxPRpm])^2)/1.36*9550/MAX(1,Table15[[#This Row],[rpm]]))</f>
        <v>797.96122994652399</v>
      </c>
      <c r="Q25" s="3">
        <f>MAX(0,Table7[Nm2]*MIN(Table36[ratedRpm]/MAX(1,Table15[[#This Row],[rpm]]),1-(MAX(0,Table15[[#This Row],[rpm]]-Table36[ratedRpm])/Table36[fadeOut])^Table36[fadeOutExp]))</f>
        <v>0</v>
      </c>
      <c r="R25" s="3">
        <f>(1-(1-Table15[[#This Row],[rpm]]/Table36[idleRpm])^2)*Table7[idleTEco]</f>
        <v>-1021.7777777777782</v>
      </c>
      <c r="S25" s="3">
        <f>MAX(0,(1-Table7[f1]*(Table36[maxTRpm1]-Table15[[#This Row],[rpm]])^2)*Table36[maxTEco])</f>
        <v>902.76388888888891</v>
      </c>
      <c r="T25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531.40903154024738</v>
      </c>
      <c r="U25" s="3">
        <f>MAX(0,(Table36[maxPSEco]-Table7[f4Eco]*(Table15[[#This Row],[rpm]]-Table36[maxPRpm])^2)/1.36*9550/MAX(1,Table15[[#This Row],[rpm]]))</f>
        <v>718.16510695187162</v>
      </c>
      <c r="V25" s="3">
        <f>MAX(0,Table7[Nm2Eco]*MIN(Table36[ratedRpm]/MAX(1,Table15[[#This Row],[rpm]]),1-(MAX(0,Table15[[#This Row],[rpm]]-Table36[ratedRpm])/Table36[fadeOut])^Table36[fadeOutExp]))</f>
        <v>0</v>
      </c>
    </row>
    <row r="26" spans="1:22" x14ac:dyDescent="0.25">
      <c r="A26" s="3">
        <v>2300</v>
      </c>
      <c r="B26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26" s="21"/>
      <c r="D26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26" s="21"/>
      <c r="F26" s="3">
        <f>Table36[Factor]*IF(Table15[[#This Row],[manualData]]&gt;0,Table15[[#This Row],[manualData]],Table15[[#This Row],[rawData]])</f>
        <v>0</v>
      </c>
      <c r="G26" s="3">
        <f>Table36[Factor]*IF(Table15[[#This Row],[manDataEco]]&gt;0,Table15[[#This Row],[manDataEco]],Table15[[#This Row],[rawDataEco]])</f>
        <v>0</v>
      </c>
      <c r="H26" s="30">
        <f>1.36*Table15[[#This Row],[rpm]]*Table15[[#This Row],[motor]]/9550</f>
        <v>0</v>
      </c>
      <c r="I26" s="30">
        <f>1.36*Table15[[#This Row],[rpm]]*Table15[[#This Row],[motorEco]]/9550</f>
        <v>0</v>
      </c>
      <c r="J26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26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2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6" s="3">
        <f>(1-(1-Table15[[#This Row],[rpm]]/Table36[idleRpm])^2)*Table7[idleT]</f>
        <v>-1405.5555555555547</v>
      </c>
      <c r="N26" s="3">
        <f>MAX(0,(1-Table7[f1]*(Table36[maxTRpm1]-Table15[[#This Row],[rpm]])^2)*Table36[maxT])</f>
        <v>904.44444444444457</v>
      </c>
      <c r="O26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571.86532507739912</v>
      </c>
      <c r="P26" s="3">
        <f>MAX(0,(Table36[maxPS]-Table7[f4]*(Table15[[#This Row],[rpm]]-Table36[maxPRpm])^2)/1.36*9550/MAX(1,Table15[[#This Row],[rpm]]))</f>
        <v>763.26726342710992</v>
      </c>
      <c r="Q26" s="3">
        <f>MAX(0,Table7[Nm2]*MIN(Table36[ratedRpm]/MAX(1,Table15[[#This Row],[rpm]]),1-(MAX(0,Table15[[#This Row],[rpm]]-Table36[ratedRpm])/Table36[fadeOut])^Table36[fadeOutExp]))</f>
        <v>0</v>
      </c>
      <c r="R26" s="3">
        <f>(1-(1-Table15[[#This Row],[rpm]]/Table36[idleRpm])^2)*Table7[idleTEco]</f>
        <v>-1335.2777777777769</v>
      </c>
      <c r="S26" s="3">
        <f>MAX(0,(1-Table7[f1]*(Table36[maxTRpm1]-Table15[[#This Row],[rpm]])^2)*Table36[maxTEco])</f>
        <v>859.22222222222229</v>
      </c>
      <c r="T26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404.67879256965921</v>
      </c>
      <c r="U26" s="3">
        <f>MAX(0,(Table36[maxPSEco]-Table7[f4Eco]*(Table15[[#This Row],[rpm]]-Table36[maxPRpm])^2)/1.36*9550/MAX(1,Table15[[#This Row],[rpm]]))</f>
        <v>686.9405370843989</v>
      </c>
      <c r="V26" s="3">
        <f>MAX(0,Table7[Nm2Eco]*MIN(Table36[ratedRpm]/MAX(1,Table15[[#This Row],[rpm]]),1-(MAX(0,Table15[[#This Row],[rpm]]-Table36[ratedRpm])/Table36[fadeOut])^Table36[fadeOutExp]))</f>
        <v>0</v>
      </c>
    </row>
    <row r="27" spans="1:22" x14ac:dyDescent="0.25">
      <c r="A27" s="3">
        <v>2400</v>
      </c>
      <c r="B27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27" s="21"/>
      <c r="D27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27" s="21"/>
      <c r="F27" s="3">
        <f>Table36[Factor]*IF(Table15[[#This Row],[manualData]]&gt;0,Table15[[#This Row],[manualData]],Table15[[#This Row],[rawData]])</f>
        <v>0</v>
      </c>
      <c r="G27" s="3">
        <f>Table36[Factor]*IF(Table15[[#This Row],[manDataEco]]&gt;0,Table15[[#This Row],[manDataEco]],Table15[[#This Row],[rawDataEco]])</f>
        <v>0</v>
      </c>
      <c r="H27" s="3">
        <f>1.36*Table15[[#This Row],[rpm]]*Table15[[#This Row],[motor]]/9550</f>
        <v>0</v>
      </c>
      <c r="I27" s="3">
        <f>1.36*Table15[[#This Row],[rpm]]*Table15[[#This Row],[motorEco]]/9550</f>
        <v>0</v>
      </c>
      <c r="J27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27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2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7" s="3">
        <f>(1-(1-Table15[[#This Row],[rpm]]/Table36[idleRpm])^2)*Table7[idleT]</f>
        <v>-1759.9999999999995</v>
      </c>
      <c r="N27" s="3">
        <f>MAX(0,(1-Table7[f1]*(Table36[maxTRpm1]-Table15[[#This Row],[rpm]])^2)*Table36[maxT])</f>
        <v>852.5</v>
      </c>
      <c r="O27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456.33586493808031</v>
      </c>
      <c r="P27" s="3">
        <f>MAX(0,(Table36[maxPS]-Table7[f4]*(Table15[[#This Row],[rpm]]-Table36[maxPRpm])^2)/1.36*9550/MAX(1,Table15[[#This Row],[rpm]]))</f>
        <v>731.4644607843137</v>
      </c>
      <c r="Q27" s="3">
        <f>MAX(0,Table7[Nm2]*MIN(Table36[ratedRpm]/MAX(1,Table15[[#This Row],[rpm]]),1-(MAX(0,Table15[[#This Row],[rpm]]-Table36[ratedRpm])/Table36[fadeOut])^Table36[fadeOutExp]))</f>
        <v>0</v>
      </c>
      <c r="R27" s="3">
        <f>(1-(1-Table15[[#This Row],[rpm]]/Table36[idleRpm])^2)*Table7[idleTEco]</f>
        <v>-1671.9999999999995</v>
      </c>
      <c r="S27" s="3">
        <f>MAX(0,(1-Table7[f1]*(Table36[maxTRpm1]-Table15[[#This Row],[rpm]])^2)*Table36[maxTEco])</f>
        <v>809.875</v>
      </c>
      <c r="T27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264.60852844427217</v>
      </c>
      <c r="U27" s="3">
        <f>MAX(0,(Table36[maxPSEco]-Table7[f4Eco]*(Table15[[#This Row],[rpm]]-Table36[maxPRpm])^2)/1.36*9550/MAX(1,Table15[[#This Row],[rpm]]))</f>
        <v>658.31801470588232</v>
      </c>
      <c r="V27" s="3">
        <f>MAX(0,Table7[Nm2Eco]*MIN(Table36[ratedRpm]/MAX(1,Table15[[#This Row],[rpm]]),1-(MAX(0,Table15[[#This Row],[rpm]]-Table36[ratedRpm])/Table36[fadeOut])^Table36[fadeOutExp]))</f>
        <v>0</v>
      </c>
    </row>
    <row r="28" spans="1:22" x14ac:dyDescent="0.25">
      <c r="A28" s="3">
        <v>2500</v>
      </c>
      <c r="B28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28" s="21"/>
      <c r="D28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28" s="21"/>
      <c r="F28" s="3">
        <f>Table36[Factor]*IF(Table15[[#This Row],[manualData]]&gt;0,Table15[[#This Row],[manualData]],Table15[[#This Row],[rawData]])</f>
        <v>0</v>
      </c>
      <c r="G28" s="3">
        <f>Table36[Factor]*IF(Table15[[#This Row],[manDataEco]]&gt;0,Table15[[#This Row],[manDataEco]],Table15[[#This Row],[rawDataEco]])</f>
        <v>0</v>
      </c>
      <c r="H28" s="3">
        <f>1.36*Table15[[#This Row],[rpm]]*Table15[[#This Row],[motor]]/9550</f>
        <v>0</v>
      </c>
      <c r="I28" s="3">
        <f>1.36*Table15[[#This Row],[rpm]]*Table15[[#This Row],[motorEco]]/9550</f>
        <v>0</v>
      </c>
      <c r="J28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28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2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8" s="3">
        <f>(1-(1-Table15[[#This Row],[rpm]]/Table36[idleRpm])^2)*Table7[idleT]</f>
        <v>-2138.8888888888887</v>
      </c>
      <c r="N28" s="3">
        <f>MAX(0,(1-Table7[f1]*(Table36[maxTRpm1]-Table15[[#This Row],[rpm]])^2)*Table36[maxT])</f>
        <v>794.44444444444457</v>
      </c>
      <c r="O28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329.80359907120709</v>
      </c>
      <c r="P28" s="3">
        <f>MAX(0,(Table36[maxPS]-Table7[f4]*(Table15[[#This Row],[rpm]]-Table36[maxPRpm])^2)/1.36*9550/MAX(1,Table15[[#This Row],[rpm]]))</f>
        <v>702.2058823529411</v>
      </c>
      <c r="Q28" s="3">
        <f>MAX(0,Table7[Nm2]*MIN(Table36[ratedRpm]/MAX(1,Table15[[#This Row],[rpm]]),1-(MAX(0,Table15[[#This Row],[rpm]]-Table36[ratedRpm])/Table36[fadeOut])^Table36[fadeOutExp]))</f>
        <v>0</v>
      </c>
      <c r="R28" s="3">
        <f>(1-(1-Table15[[#This Row],[rpm]]/Table36[idleRpm])^2)*Table7[idleTEco]</f>
        <v>-2031.9444444444443</v>
      </c>
      <c r="S28" s="3">
        <f>MAX(0,(1-Table7[f1]*(Table36[maxTRpm1]-Table15[[#This Row],[rpm]])^2)*Table36[maxTEco])</f>
        <v>754.72222222222229</v>
      </c>
      <c r="T28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111.19823916408642</v>
      </c>
      <c r="U28" s="3">
        <f>MAX(0,(Table36[maxPSEco]-Table7[f4Eco]*(Table15[[#This Row],[rpm]]-Table36[maxPRpm])^2)/1.36*9550/MAX(1,Table15[[#This Row],[rpm]]))</f>
        <v>631.98529411764707</v>
      </c>
      <c r="V28" s="3">
        <f>MAX(0,Table7[Nm2Eco]*MIN(Table36[ratedRpm]/MAX(1,Table15[[#This Row],[rpm]]),1-(MAX(0,Table15[[#This Row],[rpm]]-Table36[ratedRpm])/Table36[fadeOut])^Table36[fadeOutExp]))</f>
        <v>0</v>
      </c>
    </row>
    <row r="29" spans="1:22" x14ac:dyDescent="0.25">
      <c r="A29" s="3">
        <v>2750</v>
      </c>
      <c r="B29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29" s="21"/>
      <c r="D29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29" s="21"/>
      <c r="F29" s="3">
        <f>Table36[Factor]*IF(Table15[[#This Row],[manualData]]&gt;0,Table15[[#This Row],[manualData]],Table15[[#This Row],[rawData]])</f>
        <v>0</v>
      </c>
      <c r="G29" s="3">
        <f>Table36[Factor]*IF(Table15[[#This Row],[manDataEco]]&gt;0,Table15[[#This Row],[manDataEco]],Table15[[#This Row],[rawDataEco]])</f>
        <v>0</v>
      </c>
      <c r="H29" s="3">
        <f>1.36*Table15[[#This Row],[rpm]]*Table15[[#This Row],[motor]]/9550</f>
        <v>0</v>
      </c>
      <c r="I29" s="3">
        <f>1.36*Table15[[#This Row],[rpm]]*Table15[[#This Row],[motorEco]]/9550</f>
        <v>0</v>
      </c>
      <c r="J29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29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2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9" s="3">
        <f>(1-(1-Table15[[#This Row],[rpm]]/Table36[idleRpm])^2)*Table7[idleT]</f>
        <v>-3193.0555555555547</v>
      </c>
      <c r="N29" s="3">
        <f>MAX(0,(1-Table7[f1]*(Table36[maxTRpm1]-Table15[[#This Row],[rpm]])^2)*Table36[maxT])</f>
        <v>622.56944444444457</v>
      </c>
      <c r="O29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0</v>
      </c>
      <c r="P29" s="3">
        <f>MAX(0,(Table36[maxPS]-Table7[f4]*(Table15[[#This Row],[rpm]]-Table36[maxPRpm])^2)/1.36*9550/MAX(1,Table15[[#This Row],[rpm]]))</f>
        <v>638.36898395721914</v>
      </c>
      <c r="Q29" s="3">
        <f>MAX(0,Table7[Nm2]*MIN(Table36[ratedRpm]/MAX(1,Table15[[#This Row],[rpm]]),1-(MAX(0,Table15[[#This Row],[rpm]]-Table36[ratedRpm])/Table36[fadeOut])^Table36[fadeOutExp]))</f>
        <v>0</v>
      </c>
      <c r="R29" s="3">
        <f>(1-(1-Table15[[#This Row],[rpm]]/Table36[idleRpm])^2)*Table7[idleTEco]</f>
        <v>-3033.4027777777769</v>
      </c>
      <c r="S29" s="3">
        <f>MAX(0,(1-Table7[f1]*(Table36[maxTRpm1]-Table15[[#This Row],[rpm]])^2)*Table36[maxTEco])</f>
        <v>591.44097222222229</v>
      </c>
      <c r="T29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0</v>
      </c>
      <c r="U29" s="3">
        <f>MAX(0,(Table36[maxPSEco]-Table7[f4Eco]*(Table15[[#This Row],[rpm]]-Table36[maxPRpm])^2)/1.36*9550/MAX(1,Table15[[#This Row],[rpm]]))</f>
        <v>574.5320855614973</v>
      </c>
      <c r="V29" s="3">
        <f>MAX(0,Table7[Nm2Eco]*MIN(Table36[ratedRpm]/MAX(1,Table15[[#This Row],[rpm]]),1-(MAX(0,Table15[[#This Row],[rpm]]-Table36[ratedRpm])/Table36[fadeOut])^Table36[fadeOutExp]))</f>
        <v>0</v>
      </c>
    </row>
    <row r="30" spans="1:22" x14ac:dyDescent="0.25">
      <c r="A30" s="3">
        <v>3000</v>
      </c>
      <c r="B30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0" s="21"/>
      <c r="D30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0" s="21"/>
      <c r="F30" s="3">
        <f>Table36[Factor]*IF(Table15[[#This Row],[manualData]]&gt;0,Table15[[#This Row],[manualData]],Table15[[#This Row],[rawData]])</f>
        <v>0</v>
      </c>
      <c r="G30" s="3">
        <f>Table36[Factor]*IF(Table15[[#This Row],[manDataEco]]&gt;0,Table15[[#This Row],[manDataEco]],Table15[[#This Row],[rawDataEco]])</f>
        <v>0</v>
      </c>
      <c r="H30" s="3">
        <f>1.36*Table15[[#This Row],[rpm]]*Table15[[#This Row],[motor]]/9550</f>
        <v>0</v>
      </c>
      <c r="I30" s="3">
        <f>1.36*Table15[[#This Row],[rpm]]*Table15[[#This Row],[motorEco]]/9550</f>
        <v>0</v>
      </c>
      <c r="J30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0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0" s="3">
        <f>(1-(1-Table15[[#This Row],[rpm]]/Table36[idleRpm])^2)*Table7[idleT]</f>
        <v>-4400.0000000000009</v>
      </c>
      <c r="N30" s="3">
        <f>MAX(0,(1-Table7[f1]*(Table36[maxTRpm1]-Table15[[#This Row],[rpm]])^2)*Table36[maxT])</f>
        <v>412.50000000000011</v>
      </c>
      <c r="O30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0</v>
      </c>
      <c r="P30" s="3">
        <f>MAX(0,(Table36[maxPS]-Table7[f4]*(Table15[[#This Row],[rpm]]-Table36[maxPRpm])^2)/1.36*9550/MAX(1,Table15[[#This Row],[rpm]]))</f>
        <v>585.17156862745094</v>
      </c>
      <c r="Q30" s="3">
        <f>MAX(0,Table7[Nm2]*MIN(Table36[ratedRpm]/MAX(1,Table15[[#This Row],[rpm]]),1-(MAX(0,Table15[[#This Row],[rpm]]-Table36[ratedRpm])/Table36[fadeOut])^Table36[fadeOutExp]))</f>
        <v>0</v>
      </c>
      <c r="R30" s="3">
        <f>(1-(1-Table15[[#This Row],[rpm]]/Table36[idleRpm])^2)*Table7[idleTEco]</f>
        <v>-4180.0000000000009</v>
      </c>
      <c r="S30" s="3">
        <f>MAX(0,(1-Table7[f1]*(Table36[maxTRpm1]-Table15[[#This Row],[rpm]])^2)*Table36[maxTEco])</f>
        <v>391.87500000000011</v>
      </c>
      <c r="T30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0</v>
      </c>
      <c r="U30" s="3">
        <f>MAX(0,(Table36[maxPSEco]-Table7[f4Eco]*(Table15[[#This Row],[rpm]]-Table36[maxPRpm])^2)/1.36*9550/MAX(1,Table15[[#This Row],[rpm]]))</f>
        <v>526.65441176470586</v>
      </c>
      <c r="V30" s="3">
        <f>MAX(0,Table7[Nm2Eco]*MIN(Table36[ratedRpm]/MAX(1,Table15[[#This Row],[rpm]]),1-(MAX(0,Table15[[#This Row],[rpm]]-Table36[ratedRpm])/Table36[fadeOut])^Table36[fadeOutExp]))</f>
        <v>0</v>
      </c>
    </row>
    <row r="31" spans="1:22" x14ac:dyDescent="0.25">
      <c r="A31" s="3">
        <v>3250</v>
      </c>
      <c r="B31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1" s="21"/>
      <c r="D31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1" s="21"/>
      <c r="F31" s="3">
        <f>Table36[Factor]*IF(Table15[[#This Row],[manualData]]&gt;0,Table15[[#This Row],[manualData]],Table15[[#This Row],[rawData]])</f>
        <v>0</v>
      </c>
      <c r="G31" s="3">
        <f>Table36[Factor]*IF(Table15[[#This Row],[manDataEco]]&gt;0,Table15[[#This Row],[manDataEco]],Table15[[#This Row],[rawDataEco]])</f>
        <v>0</v>
      </c>
      <c r="H31" s="3">
        <f>1.36*Table15[[#This Row],[rpm]]*Table15[[#This Row],[motor]]/9550</f>
        <v>0</v>
      </c>
      <c r="I31" s="3">
        <f>1.36*Table15[[#This Row],[rpm]]*Table15[[#This Row],[motorEco]]/9550</f>
        <v>0</v>
      </c>
      <c r="J31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1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1" s="3">
        <f>(1-(1-Table15[[#This Row],[rpm]]/Table36[idleRpm])^2)*Table7[idleT]</f>
        <v>-5759.7222222222217</v>
      </c>
      <c r="N31" s="3">
        <f>MAX(0,(1-Table7[f1]*(Table36[maxTRpm1]-Table15[[#This Row],[rpm]])^2)*Table36[maxT])</f>
        <v>164.23611111111137</v>
      </c>
      <c r="O31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0</v>
      </c>
      <c r="P31" s="3">
        <f>MAX(0,(Table36[maxPS]-Table7[f4]*(Table15[[#This Row],[rpm]]-Table36[maxPRpm])^2)/1.36*9550/MAX(1,Table15[[#This Row],[rpm]]))</f>
        <v>540.15837104072398</v>
      </c>
      <c r="Q31" s="3">
        <f>MAX(0,Table7[Nm2]*MIN(Table36[ratedRpm]/MAX(1,Table15[[#This Row],[rpm]]),1-(MAX(0,Table15[[#This Row],[rpm]]-Table36[ratedRpm])/Table36[fadeOut])^Table36[fadeOutExp]))</f>
        <v>0</v>
      </c>
      <c r="R31" s="3">
        <f>(1-(1-Table15[[#This Row],[rpm]]/Table36[idleRpm])^2)*Table7[idleTEco]</f>
        <v>-5471.7361111111113</v>
      </c>
      <c r="S31" s="3">
        <f>MAX(0,(1-Table7[f1]*(Table36[maxTRpm1]-Table15[[#This Row],[rpm]])^2)*Table36[maxTEco])</f>
        <v>156.02430555555583</v>
      </c>
      <c r="T31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0</v>
      </c>
      <c r="U31" s="3">
        <f>MAX(0,(Table36[maxPSEco]-Table7[f4Eco]*(Table15[[#This Row],[rpm]]-Table36[maxPRpm])^2)/1.36*9550/MAX(1,Table15[[#This Row],[rpm]]))</f>
        <v>486.14253393665155</v>
      </c>
      <c r="V31" s="3">
        <f>MAX(0,Table7[Nm2Eco]*MIN(Table36[ratedRpm]/MAX(1,Table15[[#This Row],[rpm]]),1-(MAX(0,Table15[[#This Row],[rpm]]-Table36[ratedRpm])/Table36[fadeOut])^Table36[fadeOutExp]))</f>
        <v>0</v>
      </c>
    </row>
    <row r="32" spans="1:22" x14ac:dyDescent="0.25">
      <c r="A32" s="3">
        <v>3500</v>
      </c>
      <c r="B32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2" s="21"/>
      <c r="D32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2" s="21"/>
      <c r="F32" s="3">
        <f>Table36[Factor]*IF(Table15[[#This Row],[manualData]]&gt;0,Table15[[#This Row],[manualData]],Table15[[#This Row],[rawData]])</f>
        <v>0</v>
      </c>
      <c r="G32" s="3">
        <f>Table36[Factor]*IF(Table15[[#This Row],[manDataEco]]&gt;0,Table15[[#This Row],[manDataEco]],Table15[[#This Row],[rawDataEco]])</f>
        <v>0</v>
      </c>
      <c r="H32" s="3">
        <f>1.36*Table15[[#This Row],[rpm]]*Table15[[#This Row],[motor]]/9550</f>
        <v>0</v>
      </c>
      <c r="I32" s="3">
        <f>1.36*Table15[[#This Row],[rpm]]*Table15[[#This Row],[motorEco]]/9550</f>
        <v>0</v>
      </c>
      <c r="J32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2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2" s="3">
        <f>(1-(1-Table15[[#This Row],[rpm]]/Table36[idleRpm])^2)*Table7[idleT]</f>
        <v>-7272.2222222222217</v>
      </c>
      <c r="N32" s="3">
        <f>MAX(0,(1-Table7[f1]*(Table36[maxTRpm1]-Table15[[#This Row],[rpm]])^2)*Table36[maxT])</f>
        <v>0</v>
      </c>
      <c r="O32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0</v>
      </c>
      <c r="P32" s="3">
        <f>MAX(0,(Table36[maxPS]-Table7[f4]*(Table15[[#This Row],[rpm]]-Table36[maxPRpm])^2)/1.36*9550/MAX(1,Table15[[#This Row],[rpm]]))</f>
        <v>501.57563025210078</v>
      </c>
      <c r="Q32" s="3">
        <f>MAX(0,Table7[Nm2]*MIN(Table36[ratedRpm]/MAX(1,Table15[[#This Row],[rpm]]),1-(MAX(0,Table15[[#This Row],[rpm]]-Table36[ratedRpm])/Table36[fadeOut])^Table36[fadeOutExp]))</f>
        <v>0</v>
      </c>
      <c r="R32" s="3">
        <f>(1-(1-Table15[[#This Row],[rpm]]/Table36[idleRpm])^2)*Table7[idleTEco]</f>
        <v>-6908.6111111111113</v>
      </c>
      <c r="S32" s="3">
        <f>MAX(0,(1-Table7[f1]*(Table36[maxTRpm1]-Table15[[#This Row],[rpm]])^2)*Table36[maxTEco])</f>
        <v>0</v>
      </c>
      <c r="T32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0</v>
      </c>
      <c r="U32" s="3">
        <f>MAX(0,(Table36[maxPSEco]-Table7[f4Eco]*(Table15[[#This Row],[rpm]]-Table36[maxPRpm])^2)/1.36*9550/MAX(1,Table15[[#This Row],[rpm]]))</f>
        <v>451.41806722689074</v>
      </c>
      <c r="V32" s="3">
        <f>MAX(0,Table7[Nm2Eco]*MIN(Table36[ratedRpm]/MAX(1,Table15[[#This Row],[rpm]]),1-(MAX(0,Table15[[#This Row],[rpm]]-Table36[ratedRpm])/Table36[fadeOut])^Table36[fadeOutExp]))</f>
        <v>0</v>
      </c>
    </row>
    <row r="33" spans="1:22" x14ac:dyDescent="0.25">
      <c r="A33" s="3">
        <v>3750</v>
      </c>
      <c r="B33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3" s="21"/>
      <c r="D33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3" s="21"/>
      <c r="F33" s="3">
        <f>Table36[Factor]*IF(Table15[[#This Row],[manualData]]&gt;0,Table15[[#This Row],[manualData]],Table15[[#This Row],[rawData]])</f>
        <v>0</v>
      </c>
      <c r="G33" s="3">
        <f>Table36[Factor]*IF(Table15[[#This Row],[manDataEco]]&gt;0,Table15[[#This Row],[manDataEco]],Table15[[#This Row],[rawDataEco]])</f>
        <v>0</v>
      </c>
      <c r="H33" s="3">
        <f>1.36*Table15[[#This Row],[rpm]]*Table15[[#This Row],[motor]]/9550</f>
        <v>0</v>
      </c>
      <c r="I33" s="3">
        <f>1.36*Table15[[#This Row],[rpm]]*Table15[[#This Row],[motorEco]]/9550</f>
        <v>0</v>
      </c>
      <c r="J33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3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3" s="3">
        <f>(1-(1-Table15[[#This Row],[rpm]]/Table36[idleRpm])^2)*Table7[idleT]</f>
        <v>-8937.5000000000018</v>
      </c>
      <c r="N33" s="3">
        <f>MAX(0,(1-Table7[f1]*(Table36[maxTRpm1]-Table15[[#This Row],[rpm]])^2)*Table36[maxT])</f>
        <v>0</v>
      </c>
      <c r="O33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0</v>
      </c>
      <c r="P33" s="3">
        <f>MAX(0,(Table36[maxPS]-Table7[f4]*(Table15[[#This Row],[rpm]]-Table36[maxPRpm])^2)/1.36*9550/MAX(1,Table15[[#This Row],[rpm]]))</f>
        <v>468.13725490196072</v>
      </c>
      <c r="Q33" s="3">
        <f>MAX(0,Table7[Nm2]*MIN(Table36[ratedRpm]/MAX(1,Table15[[#This Row],[rpm]]),1-(MAX(0,Table15[[#This Row],[rpm]]-Table36[ratedRpm])/Table36[fadeOut])^Table36[fadeOutExp]))</f>
        <v>0</v>
      </c>
      <c r="R33" s="3">
        <f>(1-(1-Table15[[#This Row],[rpm]]/Table36[idleRpm])^2)*Table7[idleTEco]</f>
        <v>-8490.6250000000018</v>
      </c>
      <c r="S33" s="3">
        <f>MAX(0,(1-Table7[f1]*(Table36[maxTRpm1]-Table15[[#This Row],[rpm]])^2)*Table36[maxTEco])</f>
        <v>0</v>
      </c>
      <c r="T33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0</v>
      </c>
      <c r="U33" s="3">
        <f>MAX(0,(Table36[maxPSEco]-Table7[f4Eco]*(Table15[[#This Row],[rpm]]-Table36[maxPRpm])^2)/1.36*9550/MAX(1,Table15[[#This Row],[rpm]]))</f>
        <v>421.3235294117647</v>
      </c>
      <c r="V33" s="3">
        <f>MAX(0,Table7[Nm2Eco]*MIN(Table36[ratedRpm]/MAX(1,Table15[[#This Row],[rpm]]),1-(MAX(0,Table15[[#This Row],[rpm]]-Table36[ratedRpm])/Table36[fadeOut])^Table36[fadeOutExp]))</f>
        <v>0</v>
      </c>
    </row>
    <row r="34" spans="1:22" x14ac:dyDescent="0.25">
      <c r="A34" s="3">
        <v>4000</v>
      </c>
      <c r="B34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4" s="21"/>
      <c r="D34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4" s="21"/>
      <c r="F34" s="3">
        <f>Table36[Factor]*IF(Table15[[#This Row],[manualData]]&gt;0,Table15[[#This Row],[manualData]],Table15[[#This Row],[rawData]])</f>
        <v>0</v>
      </c>
      <c r="G34" s="3">
        <f>Table36[Factor]*IF(Table15[[#This Row],[manDataEco]]&gt;0,Table15[[#This Row],[manDataEco]],Table15[[#This Row],[rawDataEco]])</f>
        <v>0</v>
      </c>
      <c r="H34" s="3">
        <f>1.36*Table15[[#This Row],[rpm]]*Table15[[#This Row],[motor]]/9550</f>
        <v>0</v>
      </c>
      <c r="I34" s="3">
        <f>1.36*Table15[[#This Row],[rpm]]*Table15[[#This Row],[motorEco]]/9550</f>
        <v>0</v>
      </c>
      <c r="J34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4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4" s="3">
        <f>(1-(1-Table15[[#This Row],[rpm]]/Table36[idleRpm])^2)*Table7[idleT]</f>
        <v>-10755.555555555558</v>
      </c>
      <c r="N34" s="3">
        <f>MAX(0,(1-Table7[f1]*(Table36[maxTRpm1]-Table15[[#This Row],[rpm]])^2)*Table36[maxT])</f>
        <v>0</v>
      </c>
      <c r="O34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0</v>
      </c>
      <c r="P34" s="3">
        <f>MAX(0,(Table36[maxPS]-Table7[f4]*(Table15[[#This Row],[rpm]]-Table36[maxPRpm])^2)/1.36*9550/MAX(1,Table15[[#This Row],[rpm]]))</f>
        <v>438.87867647058818</v>
      </c>
      <c r="Q34" s="3">
        <f>MAX(0,Table7[Nm2]*MIN(Table36[ratedRpm]/MAX(1,Table15[[#This Row],[rpm]]),1-(MAX(0,Table15[[#This Row],[rpm]]-Table36[ratedRpm])/Table36[fadeOut])^Table36[fadeOutExp]))</f>
        <v>0</v>
      </c>
      <c r="R34" s="3">
        <f>(1-(1-Table15[[#This Row],[rpm]]/Table36[idleRpm])^2)*Table7[idleTEco]</f>
        <v>-10217.777777777779</v>
      </c>
      <c r="S34" s="3">
        <f>MAX(0,(1-Table7[f1]*(Table36[maxTRpm1]-Table15[[#This Row],[rpm]])^2)*Table36[maxTEco])</f>
        <v>0</v>
      </c>
      <c r="T34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0</v>
      </c>
      <c r="U34" s="3">
        <f>MAX(0,(Table36[maxPSEco]-Table7[f4Eco]*(Table15[[#This Row],[rpm]]-Table36[maxPRpm])^2)/1.36*9550/MAX(1,Table15[[#This Row],[rpm]]))</f>
        <v>394.99080882352939</v>
      </c>
      <c r="V34" s="3">
        <f>MAX(0,Table7[Nm2Eco]*MIN(Table36[ratedRpm]/MAX(1,Table15[[#This Row],[rpm]]),1-(MAX(0,Table15[[#This Row],[rpm]]-Table36[ratedRpm])/Table36[fadeOut])^Table36[fadeOutExp]))</f>
        <v>0</v>
      </c>
    </row>
    <row r="35" spans="1:22" x14ac:dyDescent="0.25">
      <c r="A35" s="3">
        <v>4250</v>
      </c>
      <c r="B35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5" s="21"/>
      <c r="D35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5" s="21"/>
      <c r="F35" s="3">
        <f>Table36[Factor]*IF(Table15[[#This Row],[manualData]]&gt;0,Table15[[#This Row],[manualData]],Table15[[#This Row],[rawData]])</f>
        <v>0</v>
      </c>
      <c r="G35" s="3">
        <f>Table36[Factor]*IF(Table15[[#This Row],[manDataEco]]&gt;0,Table15[[#This Row],[manDataEco]],Table15[[#This Row],[rawDataEco]])</f>
        <v>0</v>
      </c>
      <c r="H35" s="3">
        <f>1.36*Table15[[#This Row],[rpm]]*Table15[[#This Row],[motor]]/9550</f>
        <v>0</v>
      </c>
      <c r="I35" s="3">
        <f>1.36*Table15[[#This Row],[rpm]]*Table15[[#This Row],[motorEco]]/9550</f>
        <v>0</v>
      </c>
      <c r="J35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5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5" s="3">
        <f>(1-(1-Table15[[#This Row],[rpm]]/Table36[idleRpm])^2)*Table7[idleT]</f>
        <v>-12726.388888888889</v>
      </c>
      <c r="N35" s="3">
        <f>MAX(0,(1-Table7[f1]*(Table36[maxTRpm1]-Table15[[#This Row],[rpm]])^2)*Table36[maxT])</f>
        <v>0</v>
      </c>
      <c r="O35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0</v>
      </c>
      <c r="P35" s="3">
        <f>MAX(0,(Table36[maxPS]-Table7[f4]*(Table15[[#This Row],[rpm]]-Table36[maxPRpm])^2)/1.36*9550/MAX(1,Table15[[#This Row],[rpm]]))</f>
        <v>413.06228373702419</v>
      </c>
      <c r="Q35" s="3">
        <f>MAX(0,Table7[Nm2]*MIN(Table36[ratedRpm]/MAX(1,Table15[[#This Row],[rpm]]),1-(MAX(0,Table15[[#This Row],[rpm]]-Table36[ratedRpm])/Table36[fadeOut])^Table36[fadeOutExp]))</f>
        <v>0</v>
      </c>
      <c r="R35" s="3">
        <f>(1-(1-Table15[[#This Row],[rpm]]/Table36[idleRpm])^2)*Table7[idleTEco]</f>
        <v>-12090.069444444445</v>
      </c>
      <c r="S35" s="3">
        <f>MAX(0,(1-Table7[f1]*(Table36[maxTRpm1]-Table15[[#This Row],[rpm]])^2)*Table36[maxTEco])</f>
        <v>0</v>
      </c>
      <c r="T35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0</v>
      </c>
      <c r="U35" s="3">
        <f>MAX(0,(Table36[maxPSEco]-Table7[f4Eco]*(Table15[[#This Row],[rpm]]-Table36[maxPRpm])^2)/1.36*9550/MAX(1,Table15[[#This Row],[rpm]]))</f>
        <v>371.75605536332176</v>
      </c>
      <c r="V35" s="3">
        <f>MAX(0,Table7[Nm2Eco]*MIN(Table36[ratedRpm]/MAX(1,Table15[[#This Row],[rpm]]),1-(MAX(0,Table15[[#This Row],[rpm]]-Table36[ratedRpm])/Table36[fadeOut])^Table36[fadeOutExp]))</f>
        <v>0</v>
      </c>
    </row>
    <row r="36" spans="1:22" x14ac:dyDescent="0.25">
      <c r="A36" s="3">
        <v>4500</v>
      </c>
      <c r="B36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6" s="21"/>
      <c r="D36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6" s="21"/>
      <c r="F36" s="3">
        <f>Table36[Factor]*IF(Table15[[#This Row],[manualData]]&gt;0,Table15[[#This Row],[manualData]],Table15[[#This Row],[rawData]])</f>
        <v>0</v>
      </c>
      <c r="G36" s="3">
        <f>Table36[Factor]*IF(Table15[[#This Row],[manDataEco]]&gt;0,Table15[[#This Row],[manDataEco]],Table15[[#This Row],[rawDataEco]])</f>
        <v>0</v>
      </c>
      <c r="H36" s="3">
        <f>1.36*Table15[[#This Row],[rpm]]*Table15[[#This Row],[motor]]/9550</f>
        <v>0</v>
      </c>
      <c r="I36" s="3">
        <f>1.36*Table15[[#This Row],[rpm]]*Table15[[#This Row],[motorEco]]/9550</f>
        <v>0</v>
      </c>
      <c r="J36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6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6" s="3">
        <f>(1-(1-Table15[[#This Row],[rpm]]/Table36[idleRpm])^2)*Table7[idleT]</f>
        <v>-14850</v>
      </c>
      <c r="N36" s="3">
        <f>MAX(0,(1-Table7[f1]*(Table36[maxTRpm1]-Table15[[#This Row],[rpm]])^2)*Table36[maxT])</f>
        <v>0</v>
      </c>
      <c r="O36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0</v>
      </c>
      <c r="P36" s="3">
        <f>MAX(0,(Table36[maxPS]-Table7[f4]*(Table15[[#This Row],[rpm]]-Table36[maxPRpm])^2)/1.36*9550/MAX(1,Table15[[#This Row],[rpm]]))</f>
        <v>390.11437908496731</v>
      </c>
      <c r="Q36" s="3">
        <f>MAX(0,Table7[Nm2]*MIN(Table36[ratedRpm]/MAX(1,Table15[[#This Row],[rpm]]),1-(MAX(0,Table15[[#This Row],[rpm]]-Table36[ratedRpm])/Table36[fadeOut])^Table36[fadeOutExp]))</f>
        <v>0</v>
      </c>
      <c r="R36" s="3">
        <f>(1-(1-Table15[[#This Row],[rpm]]/Table36[idleRpm])^2)*Table7[idleTEco]</f>
        <v>-14107.5</v>
      </c>
      <c r="S36" s="3">
        <f>MAX(0,(1-Table7[f1]*(Table36[maxTRpm1]-Table15[[#This Row],[rpm]])^2)*Table36[maxTEco])</f>
        <v>0</v>
      </c>
      <c r="T36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0</v>
      </c>
      <c r="U36" s="3">
        <f>MAX(0,(Table36[maxPSEco]-Table7[f4Eco]*(Table15[[#This Row],[rpm]]-Table36[maxPRpm])^2)/1.36*9550/MAX(1,Table15[[#This Row],[rpm]]))</f>
        <v>351.10294117647055</v>
      </c>
      <c r="V36" s="3">
        <f>MAX(0,Table7[Nm2Eco]*MIN(Table36[ratedRpm]/MAX(1,Table15[[#This Row],[rpm]]),1-(MAX(0,Table15[[#This Row],[rpm]]-Table36[ratedRpm])/Table36[fadeOut])^Table36[fadeOutExp]))</f>
        <v>0</v>
      </c>
    </row>
    <row r="37" spans="1:22" x14ac:dyDescent="0.25">
      <c r="A37" s="3">
        <v>4750</v>
      </c>
      <c r="B37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7" s="21"/>
      <c r="D37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7" s="21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7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7" s="3">
        <f>(1-(1-Table15[[#This Row],[rpm]]/Table36[idleRpm])^2)*Table7[idleT]</f>
        <v>-17126.388888888891</v>
      </c>
      <c r="N37" s="3">
        <f>MAX(0,(1-Table7[f1]*(Table36[maxTRpm1]-Table15[[#This Row],[rpm]])^2)*Table36[maxT])</f>
        <v>0</v>
      </c>
      <c r="O37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0</v>
      </c>
      <c r="P37" s="3">
        <f>MAX(0,(Table36[maxPS]-Table7[f4]*(Table15[[#This Row],[rpm]]-Table36[maxPRpm])^2)/1.36*9550/MAX(1,Table15[[#This Row],[rpm]]))</f>
        <v>369.5820433436532</v>
      </c>
      <c r="Q37" s="3">
        <f>MAX(0,Table7[Nm2]*MIN(Table36[ratedRpm]/MAX(1,Table15[[#This Row],[rpm]]),1-(MAX(0,Table15[[#This Row],[rpm]]-Table36[ratedRpm])/Table36[fadeOut])^Table36[fadeOutExp]))</f>
        <v>0</v>
      </c>
      <c r="R37" s="3">
        <f>(1-(1-Table15[[#This Row],[rpm]]/Table36[idleRpm])^2)*Table7[idleTEco]</f>
        <v>-16270.069444444445</v>
      </c>
      <c r="S37" s="3">
        <f>MAX(0,(1-Table7[f1]*(Table36[maxTRpm1]-Table15[[#This Row],[rpm]])^2)*Table36[maxTEco])</f>
        <v>0</v>
      </c>
      <c r="T37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0</v>
      </c>
      <c r="U37" s="3">
        <f>MAX(0,(Table36[maxPSEco]-Table7[f4Eco]*(Table15[[#This Row],[rpm]]-Table36[maxPRpm])^2)/1.36*9550/MAX(1,Table15[[#This Row],[rpm]]))</f>
        <v>332.62383900928791</v>
      </c>
      <c r="V37" s="3">
        <f>MAX(0,Table7[Nm2Eco]*MIN(Table36[ratedRpm]/MAX(1,Table15[[#This Row],[rpm]]),1-(MAX(0,Table15[[#This Row],[rpm]]-Table36[ratedRpm])/Table36[fadeOut])^Table36[fadeOutExp]))</f>
        <v>0</v>
      </c>
    </row>
    <row r="38" spans="1:22" x14ac:dyDescent="0.25">
      <c r="A38" s="3">
        <v>5000</v>
      </c>
      <c r="B38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8" s="21"/>
      <c r="D38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8" s="21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8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8" s="3">
        <f>(1-(1-Table15[[#This Row],[rpm]]/Table36[idleRpm])^2)*Table7[idleT]</f>
        <v>-19555.555555555555</v>
      </c>
      <c r="N38" s="3">
        <f>MAX(0,(1-Table7[f1]*(Table36[maxTRpm1]-Table15[[#This Row],[rpm]])^2)*Table36[maxT])</f>
        <v>0</v>
      </c>
      <c r="O38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0</v>
      </c>
      <c r="P38" s="3">
        <f>MAX(0,(Table36[maxPS]-Table7[f4]*(Table15[[#This Row],[rpm]]-Table36[maxPRpm])^2)/1.36*9550/MAX(1,Table15[[#This Row],[rpm]]))</f>
        <v>351.10294117647055</v>
      </c>
      <c r="Q38" s="3">
        <f>MAX(0,Table7[Nm2]*MIN(Table36[ratedRpm]/MAX(1,Table15[[#This Row],[rpm]]),1-(MAX(0,Table15[[#This Row],[rpm]]-Table36[ratedRpm])/Table36[fadeOut])^Table36[fadeOutExp]))</f>
        <v>0</v>
      </c>
      <c r="R38" s="3">
        <f>(1-(1-Table15[[#This Row],[rpm]]/Table36[idleRpm])^2)*Table7[idleTEco]</f>
        <v>-18577.777777777777</v>
      </c>
      <c r="S38" s="3">
        <f>MAX(0,(1-Table7[f1]*(Table36[maxTRpm1]-Table15[[#This Row],[rpm]])^2)*Table36[maxTEco])</f>
        <v>0</v>
      </c>
      <c r="T38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0</v>
      </c>
      <c r="U38" s="3">
        <f>MAX(0,(Table36[maxPSEco]-Table7[f4Eco]*(Table15[[#This Row],[rpm]]-Table36[maxPRpm])^2)/1.36*9550/MAX(1,Table15[[#This Row],[rpm]]))</f>
        <v>315.99264705882354</v>
      </c>
      <c r="V38" s="3">
        <f>MAX(0,Table7[Nm2Eco]*MIN(Table36[ratedRpm]/MAX(1,Table15[[#This Row],[rpm]]),1-(MAX(0,Table15[[#This Row],[rpm]]-Table36[ratedRpm])/Table36[fadeOut])^Table36[fadeOutExp]))</f>
        <v>0</v>
      </c>
    </row>
    <row r="39" spans="1:22" x14ac:dyDescent="0.25">
      <c r="A39" s="3">
        <v>5250</v>
      </c>
      <c r="B39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9" s="21"/>
      <c r="D39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9" s="21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9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9" s="3">
        <f>(1-(1-Table15[[#This Row],[rpm]]/Table36[idleRpm])^2)*Table7[idleT]</f>
        <v>-22137.499999999996</v>
      </c>
      <c r="N39" s="3">
        <f>MAX(0,(1-Table7[f1]*(Table36[maxTRpm1]-Table15[[#This Row],[rpm]])^2)*Table36[maxT])</f>
        <v>0</v>
      </c>
      <c r="O39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0</v>
      </c>
      <c r="P39" s="3">
        <f>MAX(0,(Table36[maxPS]-Table7[f4]*(Table15[[#This Row],[rpm]]-Table36[maxPRpm])^2)/1.36*9550/MAX(1,Table15[[#This Row],[rpm]]))</f>
        <v>334.38375350140052</v>
      </c>
      <c r="Q39" s="3">
        <f>MAX(0,Table7[Nm2]*MIN(Table36[ratedRpm]/MAX(1,Table15[[#This Row],[rpm]]),1-(MAX(0,Table15[[#This Row],[rpm]]-Table36[ratedRpm])/Table36[fadeOut])^Table36[fadeOutExp]))</f>
        <v>0</v>
      </c>
      <c r="R39" s="3">
        <f>(1-(1-Table15[[#This Row],[rpm]]/Table36[idleRpm])^2)*Table7[idleTEco]</f>
        <v>-21030.624999999996</v>
      </c>
      <c r="S39" s="3">
        <f>MAX(0,(1-Table7[f1]*(Table36[maxTRpm1]-Table15[[#This Row],[rpm]])^2)*Table36[maxTEco])</f>
        <v>0</v>
      </c>
      <c r="T39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0</v>
      </c>
      <c r="U39" s="3">
        <f>MAX(0,(Table36[maxPSEco]-Table7[f4Eco]*(Table15[[#This Row],[rpm]]-Table36[maxPRpm])^2)/1.36*9550/MAX(1,Table15[[#This Row],[rpm]]))</f>
        <v>300.94537815126051</v>
      </c>
      <c r="V39" s="3">
        <f>MAX(0,Table7[Nm2Eco]*MIN(Table36[ratedRpm]/MAX(1,Table15[[#This Row],[rpm]]),1-(MAX(0,Table15[[#This Row],[rpm]]-Table36[ratedRpm])/Table36[fadeOut])^Table36[fadeOutExp]))</f>
        <v>0</v>
      </c>
    </row>
    <row r="40" spans="1:22" x14ac:dyDescent="0.25">
      <c r="A40" s="3">
        <v>5500</v>
      </c>
      <c r="B40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40" s="21"/>
      <c r="D40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40" s="21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40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0" s="3">
        <f>(1-(1-Table15[[#This Row],[rpm]]/Table36[idleRpm])^2)*Table7[idleT]</f>
        <v>-24872.222222222219</v>
      </c>
      <c r="N40" s="3">
        <f>MAX(0,(1-Table7[f1]*(Table36[maxTRpm1]-Table15[[#This Row],[rpm]])^2)*Table36[maxT])</f>
        <v>0</v>
      </c>
      <c r="O40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0</v>
      </c>
      <c r="P40" s="3">
        <f>MAX(0,(Table36[maxPS]-Table7[f4]*(Table15[[#This Row],[rpm]]-Table36[maxPRpm])^2)/1.36*9550/MAX(1,Table15[[#This Row],[rpm]]))</f>
        <v>319.18449197860957</v>
      </c>
      <c r="Q40" s="3">
        <f>MAX(0,Table7[Nm2]*MIN(Table36[ratedRpm]/MAX(1,Table15[[#This Row],[rpm]]),1-(MAX(0,Table15[[#This Row],[rpm]]-Table36[ratedRpm])/Table36[fadeOut])^Table36[fadeOutExp]))</f>
        <v>0</v>
      </c>
      <c r="R40" s="3">
        <f>(1-(1-Table15[[#This Row],[rpm]]/Table36[idleRpm])^2)*Table7[idleTEco]</f>
        <v>-23628.611111111106</v>
      </c>
      <c r="S40" s="3">
        <f>MAX(0,(1-Table7[f1]*(Table36[maxTRpm1]-Table15[[#This Row],[rpm]])^2)*Table36[maxTEco])</f>
        <v>0</v>
      </c>
      <c r="T40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0</v>
      </c>
      <c r="U40" s="3">
        <f>MAX(0,(Table36[maxPSEco]-Table7[f4Eco]*(Table15[[#This Row],[rpm]]-Table36[maxPRpm])^2)/1.36*9550/MAX(1,Table15[[#This Row],[rpm]]))</f>
        <v>287.26604278074865</v>
      </c>
      <c r="V40" s="3">
        <f>MAX(0,Table7[Nm2Eco]*MIN(Table36[ratedRpm]/MAX(1,Table15[[#This Row],[rpm]]),1-(MAX(0,Table15[[#This Row],[rpm]]-Table36[ratedRpm])/Table36[fadeOut])^Table36[fadeOutExp]))</f>
        <v>0</v>
      </c>
    </row>
    <row r="41" spans="1:22" x14ac:dyDescent="0.25">
      <c r="A41" s="3">
        <v>5750</v>
      </c>
      <c r="B41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41" s="21"/>
      <c r="D41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41" s="21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41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1" s="3">
        <f>(1-(1-Table15[[#This Row],[rpm]]/Table36[idleRpm])^2)*Table7[idleT]</f>
        <v>-27759.722222222226</v>
      </c>
      <c r="N41" s="3">
        <f>MAX(0,(1-Table7[f1]*(Table36[maxTRpm1]-Table15[[#This Row],[rpm]])^2)*Table36[maxT])</f>
        <v>0</v>
      </c>
      <c r="O41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0</v>
      </c>
      <c r="P41" s="3">
        <f>MAX(0,(Table36[maxPS]-Table7[f4]*(Table15[[#This Row],[rpm]]-Table36[maxPRpm])^2)/1.36*9550/MAX(1,Table15[[#This Row],[rpm]]))</f>
        <v>305.30690537084394</v>
      </c>
      <c r="Q41" s="3">
        <f>MAX(0,Table7[Nm2]*MIN(Table36[ratedRpm]/MAX(1,Table15[[#This Row],[rpm]]),1-(MAX(0,Table15[[#This Row],[rpm]]-Table36[ratedRpm])/Table36[fadeOut])^Table36[fadeOutExp]))</f>
        <v>0</v>
      </c>
      <c r="R41" s="3">
        <f>(1-(1-Table15[[#This Row],[rpm]]/Table36[idleRpm])^2)*Table7[idleTEco]</f>
        <v>-26371.736111111113</v>
      </c>
      <c r="S41" s="3">
        <f>MAX(0,(1-Table7[f1]*(Table36[maxTRpm1]-Table15[[#This Row],[rpm]])^2)*Table36[maxTEco])</f>
        <v>0</v>
      </c>
      <c r="T41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0</v>
      </c>
      <c r="U41" s="3">
        <f>MAX(0,(Table36[maxPSEco]-Table7[f4Eco]*(Table15[[#This Row],[rpm]]-Table36[maxPRpm])^2)/1.36*9550/MAX(1,Table15[[#This Row],[rpm]]))</f>
        <v>274.77621483375958</v>
      </c>
      <c r="V41" s="3">
        <f>MAX(0,Table7[Nm2Eco]*MIN(Table36[ratedRpm]/MAX(1,Table15[[#This Row],[rpm]]),1-(MAX(0,Table15[[#This Row],[rpm]]-Table36[ratedRpm])/Table36[fadeOut])^Table36[fadeOutExp]))</f>
        <v>0</v>
      </c>
    </row>
    <row r="42" spans="1:22" ht="15.75" thickBot="1" x14ac:dyDescent="0.3">
      <c r="A42" s="3">
        <v>6000</v>
      </c>
      <c r="B42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42" s="22"/>
      <c r="D42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42" s="22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30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42" s="10" t="str">
        <f>IF(Table15[[#This Row],[rpm]]&gt;Table36[ratedRpm]+Table36[fadeOut],"",IF(Table15[[#This Row],[rpm]]&lt;1,Table7[xmlComment],CONCATENATE("        &lt;torque rpm=""",Table15[[#This Row],[rpm]],""" motorTorque=""",ROUND(Table15[[#This Row],[motor]],0),""" motorTorqueEco=""",ROUND(Table15[[#This Row],[motorEco]],0),"""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2" s="3">
        <f>(1-(1-Table15[[#This Row],[rpm]]/Table36[idleRpm])^2)*Table7[idleT]</f>
        <v>-30800.000000000004</v>
      </c>
      <c r="N42" s="3">
        <f>MAX(0,(1-Table7[f1]*(Table36[maxTRpm1]-Table15[[#This Row],[rpm]])^2)*Table36[maxT])</f>
        <v>0</v>
      </c>
      <c r="O42" s="3">
        <f>MIN(Table7[Nm]*Table36[maxPRpm]/Table15[[#This Row],[rpm]],MAX(0,(Table36[linearDown]*(1-Table7[f2]*(Table15[[#This Row],[rpm]]-Table36[maxTRpm]))+(1-Table36[linearDown])*(1-Table7[f3]*(Table15[[#This Row],[rpm]]-Table36[maxTRpm])^2))*Table36[maxT]))</f>
        <v>0</v>
      </c>
      <c r="P42" s="3">
        <f>MAX(0,(Table36[maxPS]-Table7[f4]*(Table15[[#This Row],[rpm]]-Table36[maxPRpm])^2)/1.36*9550/MAX(1,Table15[[#This Row],[rpm]]))</f>
        <v>292.58578431372547</v>
      </c>
      <c r="Q42" s="3">
        <f>MAX(0,Table7[Nm2]*MIN(Table36[ratedRpm]/MAX(1,Table15[[#This Row],[rpm]]),1-(MAX(0,Table15[[#This Row],[rpm]]-Table36[ratedRpm])/Table36[fadeOut])^Table36[fadeOutExp]))</f>
        <v>0</v>
      </c>
      <c r="R42" s="3">
        <f>(1-(1-Table15[[#This Row],[rpm]]/Table36[idleRpm])^2)*Table7[idleTEco]</f>
        <v>-29260.000000000004</v>
      </c>
      <c r="S42" s="3">
        <f>MAX(0,(1-Table7[f1]*(Table36[maxTRpm1]-Table15[[#This Row],[rpm]])^2)*Table36[maxTEco])</f>
        <v>0</v>
      </c>
      <c r="T42" s="3">
        <f>MIN(Table7[NmEco]*Table36[maxPRpm]/Table15[[#This Row],[rpm]],MAX(0,(Table36[linearDown]*(1-Table7[f2Eco]*(Table15[[#This Row],[rpm]]-Table36[maxTRpm]))+(1-Table36[linearDown])*(1-Table7[f3Eco]*(Table15[[#This Row],[rpm]]-Table36[maxTRpm])^2))*Table36[maxTEco]))</f>
        <v>0</v>
      </c>
      <c r="U42" s="3">
        <f>MAX(0,(Table36[maxPSEco]-Table7[f4Eco]*(Table15[[#This Row],[rpm]]-Table36[maxPRpm])^2)/1.36*9550/MAX(1,Table15[[#This Row],[rpm]]))</f>
        <v>263.32720588235293</v>
      </c>
      <c r="V42" s="3">
        <f>MAX(0,Table7[Nm2Eco]*MIN(Table36[ratedRpm]/MAX(1,Table15[[#This Row],[rpm]]),1-(MAX(0,Table15[[#This Row],[rpm]]-Table36[ratedRpm])/Table36[fadeOut])^Table36[fadeOutExp]))</f>
        <v>0</v>
      </c>
    </row>
  </sheetData>
  <conditionalFormatting sqref="I7:I25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42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4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4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4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H7:H42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H7:I42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F7:G42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35" sqref="I35"/>
    </sheetView>
  </sheetViews>
  <sheetFormatPr defaultRowHeight="15" x14ac:dyDescent="0.25"/>
  <cols>
    <col min="7" max="7" width="39.42578125" bestFit="1" customWidth="1"/>
  </cols>
  <sheetData>
    <row r="1" spans="1:9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</row>
    <row r="2" spans="1:9" x14ac:dyDescent="0.25">
      <c r="A2">
        <v>900</v>
      </c>
      <c r="B2">
        <v>0</v>
      </c>
      <c r="C2">
        <f>$I$2*Table13[[#This Row],[rawData]]</f>
        <v>0</v>
      </c>
      <c r="D2">
        <f t="shared" ref="D2:D17" si="0">A2*C2/9550</f>
        <v>0</v>
      </c>
      <c r="E2">
        <f>Table13[[#This Row],[kw_pto]]*1.36/0.94</f>
        <v>0</v>
      </c>
      <c r="F2">
        <f t="shared" ref="F2:F17" si="1">C2/0.94</f>
        <v>0</v>
      </c>
      <c r="G2" t="str">
        <f>CONCATENATE("&lt;torque rpm=""",Table13[[#This Row],[rpm]],""" motorTorque=""",ROUND(Table13[[#This Row],[motor]],0),"""/&gt;")</f>
        <v>&lt;torque rpm="900" motorTorque="0"/&gt;</v>
      </c>
      <c r="I2">
        <f>1.35581795*0.94</f>
        <v>1.274468873</v>
      </c>
    </row>
    <row r="3" spans="1:9" x14ac:dyDescent="0.25">
      <c r="A3">
        <v>1000</v>
      </c>
      <c r="B3">
        <v>1850</v>
      </c>
      <c r="C3">
        <f>$I$2*Table13[[#This Row],[rawData]]</f>
        <v>2357.7674150500002</v>
      </c>
      <c r="D3">
        <f t="shared" si="0"/>
        <v>246.88664031937174</v>
      </c>
      <c r="E3">
        <f>Table13[[#This Row],[kw_pto]]*1.36/0.94</f>
        <v>357.1976923769634</v>
      </c>
      <c r="F3">
        <f t="shared" si="1"/>
        <v>2508.2632075000001</v>
      </c>
      <c r="G3" t="str">
        <f>CONCATENATE("&lt;torque rpm=""",Table13[[#This Row],[rpm]],""" motorTorque=""",ROUND(Table13[[#This Row],[motor]],0),"""/&gt;")</f>
        <v>&lt;torque rpm="1000" motorTorque="2508"/&gt;</v>
      </c>
    </row>
    <row r="4" spans="1:9" x14ac:dyDescent="0.25">
      <c r="A4">
        <v>1100</v>
      </c>
      <c r="B4">
        <v>1850</v>
      </c>
      <c r="C4">
        <f>$I$2*Table13[[#This Row],[rawData]]</f>
        <v>2357.7674150500002</v>
      </c>
      <c r="D4">
        <f t="shared" si="0"/>
        <v>271.57530435130894</v>
      </c>
      <c r="E4">
        <f>Table13[[#This Row],[kw_pto]]*1.36/0.94</f>
        <v>392.91746161465977</v>
      </c>
      <c r="F4">
        <f t="shared" si="1"/>
        <v>2508.2632075000001</v>
      </c>
      <c r="G4" t="str">
        <f>CONCATENATE("&lt;torque rpm=""",Table13[[#This Row],[rpm]],""" motorTorque=""",ROUND(Table13[[#This Row],[motor]],0),"""/&gt;")</f>
        <v>&lt;torque rpm="1100" motorTorque="2508"/&gt;</v>
      </c>
    </row>
    <row r="5" spans="1:9" x14ac:dyDescent="0.25">
      <c r="A5">
        <v>1200</v>
      </c>
      <c r="B5">
        <v>1850</v>
      </c>
      <c r="C5">
        <f>$I$2*Table13[[#This Row],[rawData]]</f>
        <v>2357.7674150500002</v>
      </c>
      <c r="D5">
        <f t="shared" si="0"/>
        <v>296.26396838324609</v>
      </c>
      <c r="E5">
        <f>Table13[[#This Row],[kw_pto]]*1.36/0.94</f>
        <v>428.63723085235614</v>
      </c>
      <c r="F5">
        <f t="shared" si="1"/>
        <v>2508.2632075000001</v>
      </c>
      <c r="G5" t="str">
        <f>CONCATENATE("&lt;torque rpm=""",Table13[[#This Row],[rpm]],""" motorTorque=""",ROUND(Table13[[#This Row],[motor]],0),"""/&gt;")</f>
        <v>&lt;torque rpm="1200" motorTorque="2508"/&gt;</v>
      </c>
    </row>
    <row r="6" spans="1:9" x14ac:dyDescent="0.25">
      <c r="A6">
        <v>1300</v>
      </c>
      <c r="B6">
        <v>1850</v>
      </c>
      <c r="C6">
        <f>$I$2*Table13[[#This Row],[rawData]]</f>
        <v>2357.7674150500002</v>
      </c>
      <c r="D6">
        <f t="shared" si="0"/>
        <v>320.9526324151833</v>
      </c>
      <c r="E6">
        <f>Table13[[#This Row],[kw_pto]]*1.36/0.94</f>
        <v>464.35700009005245</v>
      </c>
      <c r="F6">
        <f t="shared" si="1"/>
        <v>2508.2632075000001</v>
      </c>
      <c r="G6" t="str">
        <f>CONCATENATE("&lt;torque rpm=""",Table13[[#This Row],[rpm]],""" motorTorque=""",ROUND(Table13[[#This Row],[motor]],0),"""/&gt;")</f>
        <v>&lt;torque rpm="1300" motorTorque="2508"/&gt;</v>
      </c>
    </row>
    <row r="7" spans="1:9" x14ac:dyDescent="0.25">
      <c r="A7">
        <v>1400</v>
      </c>
      <c r="B7">
        <v>1810</v>
      </c>
      <c r="C7">
        <f>$I$2*Table13[[#This Row],[rawData]]</f>
        <v>2306.7886601300002</v>
      </c>
      <c r="D7">
        <f t="shared" si="0"/>
        <v>338.16797111853407</v>
      </c>
      <c r="E7">
        <f>Table13[[#This Row],[kw_pto]]*1.36/0.94</f>
        <v>489.26429863958128</v>
      </c>
      <c r="F7">
        <f t="shared" si="1"/>
        <v>2454.0304895000004</v>
      </c>
      <c r="G7" t="str">
        <f>CONCATENATE("&lt;torque rpm=""",Table13[[#This Row],[rpm]],""" motorTorque=""",ROUND(Table13[[#This Row],[motor]],0),"""/&gt;")</f>
        <v>&lt;torque rpm="1400" motorTorque="2454"/&gt;</v>
      </c>
    </row>
    <row r="8" spans="1:9" x14ac:dyDescent="0.25">
      <c r="A8">
        <v>1500</v>
      </c>
      <c r="B8">
        <v>1690</v>
      </c>
      <c r="C8">
        <f>$I$2*Table13[[#This Row],[rawData]]</f>
        <v>2153.8523953700001</v>
      </c>
      <c r="D8">
        <f t="shared" si="0"/>
        <v>338.30142335654449</v>
      </c>
      <c r="E8">
        <f>Table13[[#This Row],[kw_pto]]*1.36/0.94</f>
        <v>489.45737847329849</v>
      </c>
      <c r="F8">
        <f t="shared" si="1"/>
        <v>2291.3323355000002</v>
      </c>
      <c r="G8" t="str">
        <f>CONCATENATE("&lt;torque rpm=""",Table13[[#This Row],[rpm]],""" motorTorque=""",ROUND(Table13[[#This Row],[motor]],0),"""/&gt;")</f>
        <v>&lt;torque rpm="1500" motorTorque="2291"/&gt;</v>
      </c>
    </row>
    <row r="9" spans="1:9" x14ac:dyDescent="0.25">
      <c r="A9">
        <v>1600</v>
      </c>
      <c r="B9">
        <v>1585</v>
      </c>
      <c r="C9">
        <f>$I$2*Table13[[#This Row],[rawData]]</f>
        <v>2020.0331637050001</v>
      </c>
      <c r="D9">
        <f t="shared" si="0"/>
        <v>338.43487559455502</v>
      </c>
      <c r="E9">
        <f>Table13[[#This Row],[kw_pto]]*1.36/0.94</f>
        <v>489.65045830701581</v>
      </c>
      <c r="F9">
        <f t="shared" si="1"/>
        <v>2148.9714507500003</v>
      </c>
      <c r="G9" t="str">
        <f>CONCATENATE("&lt;torque rpm=""",Table13[[#This Row],[rpm]],""" motorTorque=""",ROUND(Table13[[#This Row],[motor]],0),"""/&gt;")</f>
        <v>&lt;torque rpm="1600" motorTorque="2149"/&gt;</v>
      </c>
    </row>
    <row r="10" spans="1:9" x14ac:dyDescent="0.25">
      <c r="A10">
        <v>1700</v>
      </c>
      <c r="B10">
        <v>1492</v>
      </c>
      <c r="C10">
        <f>$I$2*Table13[[#This Row],[rawData]]</f>
        <v>1901.507558516</v>
      </c>
      <c r="D10">
        <f t="shared" si="0"/>
        <v>338.48825648975912</v>
      </c>
      <c r="E10">
        <f>Table13[[#This Row],[kw_pto]]*1.36/0.94</f>
        <v>489.72769024050262</v>
      </c>
      <c r="F10">
        <f t="shared" si="1"/>
        <v>2022.8803814</v>
      </c>
      <c r="G10" t="str">
        <f>CONCATENATE("&lt;torque rpm=""",Table13[[#This Row],[rpm]],""" motorTorque=""",ROUND(Table13[[#This Row],[motor]],0),"""/&gt;")</f>
        <v>&lt;torque rpm="1700" motorTorque="2023"/&gt;</v>
      </c>
    </row>
    <row r="11" spans="1:9" x14ac:dyDescent="0.25">
      <c r="A11">
        <v>1800</v>
      </c>
      <c r="B11">
        <v>1410</v>
      </c>
      <c r="C11">
        <f>$I$2*Table13[[#This Row],[rawData]]</f>
        <v>1797.0011109300001</v>
      </c>
      <c r="D11">
        <f t="shared" si="0"/>
        <v>338.70178007057592</v>
      </c>
      <c r="E11">
        <f>Table13[[#This Row],[kw_pto]]*1.36/0.94</f>
        <v>490.03661797445034</v>
      </c>
      <c r="F11">
        <f t="shared" si="1"/>
        <v>1911.7033095000002</v>
      </c>
      <c r="G11" t="str">
        <f>CONCATENATE("&lt;torque rpm=""",Table13[[#This Row],[rpm]],""" motorTorque=""",ROUND(Table13[[#This Row],[motor]],0),"""/&gt;")</f>
        <v>&lt;torque rpm="1800" motorTorque="1912"/&gt;</v>
      </c>
    </row>
    <row r="12" spans="1:9" x14ac:dyDescent="0.25">
      <c r="A12">
        <v>1900</v>
      </c>
      <c r="B12">
        <v>1320</v>
      </c>
      <c r="C12">
        <f>$I$2*Table13[[#This Row],[rawData]]</f>
        <v>1682.29891236</v>
      </c>
      <c r="D12">
        <f t="shared" si="0"/>
        <v>334.69821293026177</v>
      </c>
      <c r="E12">
        <f>Table13[[#This Row],[kw_pto]]*1.36/0.94</f>
        <v>484.24422296293199</v>
      </c>
      <c r="F12">
        <f t="shared" si="1"/>
        <v>1789.6796940000002</v>
      </c>
      <c r="G12" t="str">
        <f>CONCATENATE("&lt;torque rpm=""",Table13[[#This Row],[rpm]],""" motorTorque=""",ROUND(Table13[[#This Row],[motor]],0),"""/&gt;")</f>
        <v>&lt;torque rpm="1900" motorTorque="1790"/&gt;</v>
      </c>
    </row>
    <row r="13" spans="1:9" x14ac:dyDescent="0.25">
      <c r="A13">
        <v>2000</v>
      </c>
      <c r="B13">
        <v>1250</v>
      </c>
      <c r="C13">
        <f>$I$2*Table13[[#This Row],[rawData]]</f>
        <v>1593.08609125</v>
      </c>
      <c r="D13">
        <f t="shared" si="0"/>
        <v>333.63059502617801</v>
      </c>
      <c r="E13">
        <f>Table13[[#This Row],[kw_pto]]*1.36/0.94</f>
        <v>482.69958429319377</v>
      </c>
      <c r="F13">
        <f t="shared" si="1"/>
        <v>1694.7724375</v>
      </c>
      <c r="G13" t="str">
        <f>CONCATENATE("&lt;torque rpm=""",Table13[[#This Row],[rpm]],""" motorTorque=""",ROUND(Table13[[#This Row],[motor]],0),"""/&gt;")</f>
        <v>&lt;torque rpm="2000" motorTorque="1695"/&gt;</v>
      </c>
    </row>
    <row r="14" spans="1:9" x14ac:dyDescent="0.25">
      <c r="A14">
        <v>2100</v>
      </c>
      <c r="B14">
        <v>1180</v>
      </c>
      <c r="C14">
        <f>$I$2*Table13[[#This Row],[rawData]]</f>
        <v>1503.8732701399999</v>
      </c>
      <c r="D14">
        <f t="shared" si="0"/>
        <v>330.69464578994763</v>
      </c>
      <c r="E14">
        <f>Table13[[#This Row],[kw_pto]]*1.36/0.94</f>
        <v>478.45182795141369</v>
      </c>
      <c r="F14">
        <f t="shared" si="1"/>
        <v>1599.8651810000001</v>
      </c>
      <c r="G14" t="str">
        <f>CONCATENATE("&lt;torque rpm=""",Table13[[#This Row],[rpm]],""" motorTorque=""",ROUND(Table13[[#This Row],[motor]],0),"""/&gt;")</f>
        <v>&lt;torque rpm="2100" motorTorque="1600"/&gt;</v>
      </c>
    </row>
    <row r="15" spans="1:9" x14ac:dyDescent="0.25">
      <c r="A15">
        <v>2200</v>
      </c>
      <c r="B15">
        <v>500</v>
      </c>
      <c r="C15">
        <f>$I$2*Table13[[#This Row],[rawData]]</f>
        <v>637.23443650000002</v>
      </c>
      <c r="D15">
        <f t="shared" si="0"/>
        <v>146.79746181151833</v>
      </c>
      <c r="E15">
        <f>Table13[[#This Row],[kw_pto]]*1.36/0.94</f>
        <v>212.3878170890053</v>
      </c>
      <c r="F15">
        <f t="shared" si="1"/>
        <v>677.90897500000005</v>
      </c>
      <c r="G15" t="str">
        <f>CONCATENATE("&lt;torque rpm=""",Table13[[#This Row],[rpm]],""" motorTorque=""",ROUND(Table13[[#This Row],[motor]],0),"""/&gt;")</f>
        <v>&lt;torque rpm="2200" motorTorque="678"/&gt;</v>
      </c>
    </row>
    <row r="16" spans="1:9" x14ac:dyDescent="0.25">
      <c r="A16">
        <v>2300</v>
      </c>
      <c r="B16">
        <v>0</v>
      </c>
      <c r="C16">
        <f>$I$2*Table13[[#This Row],[rawData]]</f>
        <v>0</v>
      </c>
      <c r="D16">
        <f t="shared" si="0"/>
        <v>0</v>
      </c>
      <c r="E16">
        <f>Table13[[#This Row],[kw_pto]]*1.36/0.94</f>
        <v>0</v>
      </c>
      <c r="F16">
        <f t="shared" si="1"/>
        <v>0</v>
      </c>
      <c r="G16" t="str">
        <f>CONCATENATE("&lt;torque rpm=""",Table13[[#This Row],[rpm]],""" motorTorque=""",ROUND(Table13[[#This Row],[motor]],0),"""/&gt;")</f>
        <v>&lt;torque rpm="2300" motorTorque="0"/&gt;</v>
      </c>
    </row>
    <row r="17" spans="1:7" x14ac:dyDescent="0.25">
      <c r="A17">
        <v>2300</v>
      </c>
      <c r="B17">
        <v>0</v>
      </c>
      <c r="C17">
        <f>$I$2*Table13[[#This Row],[rawData]]</f>
        <v>0</v>
      </c>
      <c r="D17">
        <f t="shared" si="0"/>
        <v>0</v>
      </c>
      <c r="E17">
        <f>Table13[[#This Row],[kw_pto]]*1.36/0.94</f>
        <v>0</v>
      </c>
      <c r="F17">
        <f t="shared" si="1"/>
        <v>0</v>
      </c>
      <c r="G17" t="str">
        <f>CONCATENATE("&lt;torque rpm=""",Table13[[#This Row],[rpm]],""" motorTorque=""",ROUND(Table13[[#This Row],[motor]],0),"""/&gt;")</f>
        <v>&lt;torque rpm="2300" motorTorque="0"/&gt;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Sheet1 (2)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2015-12-02T21:57:16Z</dcterms:modified>
</cp:coreProperties>
</file>