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bookViews>
    <workbookView xWindow="27555" yWindow="0" windowWidth="20400" windowHeight="9945"/>
  </bookViews>
  <sheets>
    <sheet name="Calculate from Values" sheetId="3" r:id="rId1"/>
    <sheet name="Sheet1" sheetId="1" r:id="rId2"/>
    <sheet name="Sheet1 (2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4" i="3" l="1"/>
  <c r="M4" i="3" l="1"/>
  <c r="L4" i="3"/>
  <c r="K4" i="3"/>
  <c r="F2" i="3" l="1"/>
  <c r="T2" i="3" l="1"/>
  <c r="S2" i="3"/>
  <c r="U2" i="3" s="1"/>
  <c r="J44" i="3" l="1"/>
  <c r="J48" i="3"/>
  <c r="J52" i="3"/>
  <c r="J45" i="3"/>
  <c r="J49" i="3"/>
  <c r="J53" i="3"/>
  <c r="J46" i="3"/>
  <c r="J50" i="3"/>
  <c r="J54" i="3"/>
  <c r="J47" i="3"/>
  <c r="J51" i="3"/>
  <c r="J43" i="3"/>
  <c r="J9" i="3"/>
  <c r="J41" i="3"/>
  <c r="J37" i="3"/>
  <c r="J29" i="3"/>
  <c r="J20" i="3"/>
  <c r="J8" i="3"/>
  <c r="J40" i="3"/>
  <c r="J36" i="3"/>
  <c r="J32" i="3"/>
  <c r="J28" i="3"/>
  <c r="J23" i="3"/>
  <c r="J19" i="3"/>
  <c r="J15" i="3"/>
  <c r="J11" i="3"/>
  <c r="J7" i="3"/>
  <c r="J39" i="3"/>
  <c r="J35" i="3"/>
  <c r="J31" i="3"/>
  <c r="J27" i="3"/>
  <c r="J22" i="3"/>
  <c r="J18" i="3"/>
  <c r="J14" i="3"/>
  <c r="J10" i="3"/>
  <c r="J25" i="3"/>
  <c r="J33" i="3"/>
  <c r="J24" i="3"/>
  <c r="J16" i="3"/>
  <c r="J12" i="3"/>
  <c r="J42" i="3"/>
  <c r="J38" i="3"/>
  <c r="J34" i="3"/>
  <c r="J30" i="3"/>
  <c r="J26" i="3"/>
  <c r="J21" i="3"/>
  <c r="J17" i="3"/>
  <c r="J13" i="3"/>
  <c r="V2" i="3"/>
  <c r="L54" i="3" l="1"/>
  <c r="L53" i="3"/>
  <c r="Y2" i="3"/>
  <c r="C2" i="3" s="1"/>
  <c r="V4" i="3" l="1"/>
  <c r="K7" i="3" s="1"/>
  <c r="J2" i="3"/>
  <c r="J4" i="3"/>
  <c r="L7" i="3" l="1"/>
  <c r="O4" i="3"/>
  <c r="P4" i="3"/>
  <c r="H4" i="3" l="1"/>
  <c r="V44" i="3"/>
  <c r="V48" i="3"/>
  <c r="V52" i="3"/>
  <c r="D52" i="3" s="1"/>
  <c r="G52" i="3" s="1"/>
  <c r="I52" i="3" s="1"/>
  <c r="V51" i="3"/>
  <c r="V45" i="3"/>
  <c r="V49" i="3"/>
  <c r="V53" i="3"/>
  <c r="D53" i="3" s="1"/>
  <c r="G53" i="3" s="1"/>
  <c r="I53" i="3" s="1"/>
  <c r="V43" i="3"/>
  <c r="V46" i="3"/>
  <c r="V50" i="3"/>
  <c r="V54" i="3"/>
  <c r="D54" i="3" s="1"/>
  <c r="G54" i="3" s="1"/>
  <c r="I54" i="3" s="1"/>
  <c r="V47" i="3"/>
  <c r="R4" i="3"/>
  <c r="V9" i="3"/>
  <c r="V13" i="3"/>
  <c r="V17" i="3"/>
  <c r="V21" i="3"/>
  <c r="V25" i="3"/>
  <c r="V29" i="3"/>
  <c r="V33" i="3"/>
  <c r="V37" i="3"/>
  <c r="V41" i="3"/>
  <c r="V14" i="3"/>
  <c r="V22" i="3"/>
  <c r="V30" i="3"/>
  <c r="V38" i="3"/>
  <c r="V7" i="3"/>
  <c r="V11" i="3"/>
  <c r="V15" i="3"/>
  <c r="V19" i="3"/>
  <c r="V23" i="3"/>
  <c r="V27" i="3"/>
  <c r="V31" i="3"/>
  <c r="V35" i="3"/>
  <c r="V39" i="3"/>
  <c r="V8" i="3"/>
  <c r="V12" i="3"/>
  <c r="V16" i="3"/>
  <c r="V20" i="3"/>
  <c r="V24" i="3"/>
  <c r="V28" i="3"/>
  <c r="V32" i="3"/>
  <c r="V36" i="3"/>
  <c r="V40" i="3"/>
  <c r="V10" i="3"/>
  <c r="V18" i="3"/>
  <c r="V26" i="3"/>
  <c r="V34" i="3"/>
  <c r="V42" i="3"/>
  <c r="Q4" i="3"/>
  <c r="S4" i="3"/>
  <c r="U46" i="3" l="1"/>
  <c r="U51" i="3"/>
  <c r="D51" i="3" s="1"/>
  <c r="G51" i="3" s="1"/>
  <c r="I51" i="3" s="1"/>
  <c r="U48" i="3"/>
  <c r="U50" i="3"/>
  <c r="U45" i="3"/>
  <c r="U52" i="3"/>
  <c r="U43" i="3"/>
  <c r="U54" i="3"/>
  <c r="U53" i="3"/>
  <c r="U49" i="3"/>
  <c r="U47" i="3"/>
  <c r="U44" i="3"/>
  <c r="T45" i="3"/>
  <c r="D45" i="3" s="1"/>
  <c r="G45" i="3" s="1"/>
  <c r="I45" i="3" s="1"/>
  <c r="T49" i="3"/>
  <c r="D49" i="3" s="1"/>
  <c r="G49" i="3" s="1"/>
  <c r="I49" i="3" s="1"/>
  <c r="T53" i="3"/>
  <c r="T43" i="3"/>
  <c r="D43" i="3" s="1"/>
  <c r="G43" i="3" s="1"/>
  <c r="I43" i="3" s="1"/>
  <c r="T52" i="3"/>
  <c r="T46" i="3"/>
  <c r="D46" i="3" s="1"/>
  <c r="G46" i="3" s="1"/>
  <c r="I46" i="3" s="1"/>
  <c r="T50" i="3"/>
  <c r="T54" i="3"/>
  <c r="T44" i="3"/>
  <c r="T47" i="3"/>
  <c r="T51" i="3"/>
  <c r="T48" i="3"/>
  <c r="D48" i="3" s="1"/>
  <c r="G48" i="3" s="1"/>
  <c r="I48" i="3" s="1"/>
  <c r="U7" i="3"/>
  <c r="U23" i="3"/>
  <c r="U39" i="3"/>
  <c r="U20" i="3"/>
  <c r="U36" i="3"/>
  <c r="U17" i="3"/>
  <c r="U33" i="3"/>
  <c r="U26" i="3"/>
  <c r="U30" i="3"/>
  <c r="U11" i="3"/>
  <c r="U27" i="3"/>
  <c r="U8" i="3"/>
  <c r="U24" i="3"/>
  <c r="U40" i="3"/>
  <c r="U21" i="3"/>
  <c r="U37" i="3"/>
  <c r="U42" i="3"/>
  <c r="U38" i="3"/>
  <c r="U19" i="3"/>
  <c r="U16" i="3"/>
  <c r="U13" i="3"/>
  <c r="U10" i="3"/>
  <c r="U34" i="3"/>
  <c r="U15" i="3"/>
  <c r="U31" i="3"/>
  <c r="U12" i="3"/>
  <c r="U28" i="3"/>
  <c r="U9" i="3"/>
  <c r="U25" i="3"/>
  <c r="U41" i="3"/>
  <c r="U22" i="3"/>
  <c r="U18" i="3"/>
  <c r="U35" i="3"/>
  <c r="U32" i="3"/>
  <c r="U29" i="3"/>
  <c r="U14" i="3"/>
  <c r="T7" i="3"/>
  <c r="T11" i="3"/>
  <c r="T15" i="3"/>
  <c r="T19" i="3"/>
  <c r="T23" i="3"/>
  <c r="T27" i="3"/>
  <c r="T31" i="3"/>
  <c r="T35" i="3"/>
  <c r="D35" i="3" s="1"/>
  <c r="G35" i="3" s="1"/>
  <c r="I35" i="3" s="1"/>
  <c r="T39" i="3"/>
  <c r="T8" i="3"/>
  <c r="T12" i="3"/>
  <c r="T16" i="3"/>
  <c r="T20" i="3"/>
  <c r="T24" i="3"/>
  <c r="T28" i="3"/>
  <c r="T32" i="3"/>
  <c r="T36" i="3"/>
  <c r="D36" i="3" s="1"/>
  <c r="G36" i="3" s="1"/>
  <c r="I36" i="3" s="1"/>
  <c r="T40" i="3"/>
  <c r="D40" i="3" s="1"/>
  <c r="G40" i="3" s="1"/>
  <c r="I40" i="3" s="1"/>
  <c r="T9" i="3"/>
  <c r="T13" i="3"/>
  <c r="T17" i="3"/>
  <c r="T21" i="3"/>
  <c r="T25" i="3"/>
  <c r="T29" i="3"/>
  <c r="T33" i="3"/>
  <c r="T37" i="3"/>
  <c r="T41" i="3"/>
  <c r="D41" i="3" s="1"/>
  <c r="G41" i="3" s="1"/>
  <c r="I41" i="3" s="1"/>
  <c r="T10" i="3"/>
  <c r="T26" i="3"/>
  <c r="T42" i="3"/>
  <c r="D42" i="3" s="1"/>
  <c r="G42" i="3" s="1"/>
  <c r="I42" i="3" s="1"/>
  <c r="T38" i="3"/>
  <c r="D38" i="3" s="1"/>
  <c r="G38" i="3" s="1"/>
  <c r="I38" i="3" s="1"/>
  <c r="T14" i="3"/>
  <c r="T30" i="3"/>
  <c r="T18" i="3"/>
  <c r="T34" i="3"/>
  <c r="D34" i="3" s="1"/>
  <c r="G34" i="3" s="1"/>
  <c r="I34" i="3" s="1"/>
  <c r="T22" i="3"/>
  <c r="D47" i="3" l="1"/>
  <c r="G47" i="3" s="1"/>
  <c r="I47" i="3" s="1"/>
  <c r="D39" i="3"/>
  <c r="G39" i="3" s="1"/>
  <c r="I39" i="3" s="1"/>
  <c r="D50" i="3"/>
  <c r="G50" i="3" s="1"/>
  <c r="I50" i="3" s="1"/>
  <c r="D37" i="3"/>
  <c r="G37" i="3" s="1"/>
  <c r="I37" i="3" s="1"/>
  <c r="D44" i="3"/>
  <c r="G44" i="3" s="1"/>
  <c r="I44" i="3" s="1"/>
  <c r="D4" i="3"/>
  <c r="E4" i="3"/>
  <c r="A4" i="3"/>
  <c r="F4" i="3"/>
  <c r="N47" i="3" l="1"/>
  <c r="N51" i="3"/>
  <c r="S45" i="3"/>
  <c r="S49" i="3"/>
  <c r="S53" i="3"/>
  <c r="N43" i="3"/>
  <c r="N44" i="3"/>
  <c r="N48" i="3"/>
  <c r="N52" i="3"/>
  <c r="S46" i="3"/>
  <c r="S50" i="3"/>
  <c r="S54" i="3"/>
  <c r="S43" i="3"/>
  <c r="N50" i="3"/>
  <c r="S44" i="3"/>
  <c r="S48" i="3"/>
  <c r="N45" i="3"/>
  <c r="N49" i="3"/>
  <c r="N53" i="3"/>
  <c r="S47" i="3"/>
  <c r="S51" i="3"/>
  <c r="N46" i="3"/>
  <c r="N54" i="3"/>
  <c r="S52" i="3"/>
  <c r="Q45" i="3"/>
  <c r="Q49" i="3"/>
  <c r="Q53" i="3"/>
  <c r="B53" i="3" s="1"/>
  <c r="F53" i="3" s="1"/>
  <c r="Q43" i="3"/>
  <c r="Q52" i="3"/>
  <c r="Q46" i="3"/>
  <c r="Q50" i="3"/>
  <c r="Q54" i="3"/>
  <c r="B54" i="3" s="1"/>
  <c r="F54" i="3" s="1"/>
  <c r="H54" i="3" s="1"/>
  <c r="Q48" i="3"/>
  <c r="Q47" i="3"/>
  <c r="Q51" i="3"/>
  <c r="Q44" i="3"/>
  <c r="B52" i="3"/>
  <c r="F52" i="3" s="1"/>
  <c r="P45" i="3"/>
  <c r="P49" i="3"/>
  <c r="P53" i="3"/>
  <c r="P46" i="3"/>
  <c r="P50" i="3"/>
  <c r="P54" i="3"/>
  <c r="P44" i="3"/>
  <c r="P52" i="3"/>
  <c r="P47" i="3"/>
  <c r="P51" i="3"/>
  <c r="B51" i="3" s="1"/>
  <c r="F51" i="3" s="1"/>
  <c r="P43" i="3"/>
  <c r="P48" i="3"/>
  <c r="P7" i="3"/>
  <c r="P11" i="3"/>
  <c r="P15" i="3"/>
  <c r="P19" i="3"/>
  <c r="P23" i="3"/>
  <c r="P27" i="3"/>
  <c r="P31" i="3"/>
  <c r="P35" i="3"/>
  <c r="P39" i="3"/>
  <c r="P8" i="3"/>
  <c r="P12" i="3"/>
  <c r="P16" i="3"/>
  <c r="P20" i="3"/>
  <c r="P24" i="3"/>
  <c r="P28" i="3"/>
  <c r="P32" i="3"/>
  <c r="P36" i="3"/>
  <c r="P40" i="3"/>
  <c r="P9" i="3"/>
  <c r="P13" i="3"/>
  <c r="P17" i="3"/>
  <c r="P21" i="3"/>
  <c r="P25" i="3"/>
  <c r="P29" i="3"/>
  <c r="P33" i="3"/>
  <c r="P37" i="3"/>
  <c r="P41" i="3"/>
  <c r="P10" i="3"/>
  <c r="P26" i="3"/>
  <c r="P42" i="3"/>
  <c r="P22" i="3"/>
  <c r="P14" i="3"/>
  <c r="P30" i="3"/>
  <c r="P38" i="3"/>
  <c r="P18" i="3"/>
  <c r="P34" i="3"/>
  <c r="Q7" i="3"/>
  <c r="Q11" i="3"/>
  <c r="Q15" i="3"/>
  <c r="Q19" i="3"/>
  <c r="Q23" i="3"/>
  <c r="Q27" i="3"/>
  <c r="Q31" i="3"/>
  <c r="Q35" i="3"/>
  <c r="Q39" i="3"/>
  <c r="Q8" i="3"/>
  <c r="Q12" i="3"/>
  <c r="Q16" i="3"/>
  <c r="Q20" i="3"/>
  <c r="Q24" i="3"/>
  <c r="Q28" i="3"/>
  <c r="Q32" i="3"/>
  <c r="Q36" i="3"/>
  <c r="Q40" i="3"/>
  <c r="Q9" i="3"/>
  <c r="Q13" i="3"/>
  <c r="Q17" i="3"/>
  <c r="Q21" i="3"/>
  <c r="Q25" i="3"/>
  <c r="Q29" i="3"/>
  <c r="Q33" i="3"/>
  <c r="Q37" i="3"/>
  <c r="Q41" i="3"/>
  <c r="Q14" i="3"/>
  <c r="Q30" i="3"/>
  <c r="Q10" i="3"/>
  <c r="Q18" i="3"/>
  <c r="Q34" i="3"/>
  <c r="Q42" i="3"/>
  <c r="Q22" i="3"/>
  <c r="Q38" i="3"/>
  <c r="Q26" i="3"/>
  <c r="S7" i="3"/>
  <c r="S11" i="3"/>
  <c r="S15" i="3"/>
  <c r="D15" i="3" s="1"/>
  <c r="G15" i="3" s="1"/>
  <c r="S19" i="3"/>
  <c r="D19" i="3" s="1"/>
  <c r="G19" i="3" s="1"/>
  <c r="S23" i="3"/>
  <c r="D23" i="3" s="1"/>
  <c r="G23" i="3" s="1"/>
  <c r="I23" i="3" s="1"/>
  <c r="S27" i="3"/>
  <c r="D27" i="3" s="1"/>
  <c r="G27" i="3" s="1"/>
  <c r="I27" i="3" s="1"/>
  <c r="S31" i="3"/>
  <c r="D31" i="3" s="1"/>
  <c r="G31" i="3" s="1"/>
  <c r="I31" i="3" s="1"/>
  <c r="S35" i="3"/>
  <c r="S39" i="3"/>
  <c r="N7" i="3"/>
  <c r="N11" i="3"/>
  <c r="N15" i="3"/>
  <c r="B15" i="3" s="1"/>
  <c r="N19" i="3"/>
  <c r="N23" i="3"/>
  <c r="N27" i="3"/>
  <c r="N31" i="3"/>
  <c r="N35" i="3"/>
  <c r="N39" i="3"/>
  <c r="S8" i="3"/>
  <c r="S12" i="3"/>
  <c r="D12" i="3" s="1"/>
  <c r="S16" i="3"/>
  <c r="D16" i="3" s="1"/>
  <c r="G16" i="3" s="1"/>
  <c r="S20" i="3"/>
  <c r="D20" i="3" s="1"/>
  <c r="G20" i="3" s="1"/>
  <c r="I20" i="3" s="1"/>
  <c r="S24" i="3"/>
  <c r="D24" i="3" s="1"/>
  <c r="G24" i="3" s="1"/>
  <c r="I24" i="3" s="1"/>
  <c r="S28" i="3"/>
  <c r="D28" i="3" s="1"/>
  <c r="G28" i="3" s="1"/>
  <c r="I28" i="3" s="1"/>
  <c r="S32" i="3"/>
  <c r="D32" i="3" s="1"/>
  <c r="G32" i="3" s="1"/>
  <c r="I32" i="3" s="1"/>
  <c r="S36" i="3"/>
  <c r="S40" i="3"/>
  <c r="N8" i="3"/>
  <c r="N12" i="3"/>
  <c r="B12" i="3" s="1"/>
  <c r="N16" i="3"/>
  <c r="B16" i="3" s="1"/>
  <c r="N20" i="3"/>
  <c r="N24" i="3"/>
  <c r="N28" i="3"/>
  <c r="N32" i="3"/>
  <c r="N36" i="3"/>
  <c r="N40" i="3"/>
  <c r="S9" i="3"/>
  <c r="S13" i="3"/>
  <c r="D13" i="3" s="1"/>
  <c r="G13" i="3" s="1"/>
  <c r="S17" i="3"/>
  <c r="D17" i="3" s="1"/>
  <c r="G17" i="3" s="1"/>
  <c r="S21" i="3"/>
  <c r="D21" i="3" s="1"/>
  <c r="G21" i="3" s="1"/>
  <c r="I21" i="3" s="1"/>
  <c r="S25" i="3"/>
  <c r="D25" i="3" s="1"/>
  <c r="G25" i="3" s="1"/>
  <c r="I25" i="3" s="1"/>
  <c r="S29" i="3"/>
  <c r="D29" i="3" s="1"/>
  <c r="G29" i="3" s="1"/>
  <c r="I29" i="3" s="1"/>
  <c r="S33" i="3"/>
  <c r="D33" i="3" s="1"/>
  <c r="G33" i="3" s="1"/>
  <c r="I33" i="3" s="1"/>
  <c r="S37" i="3"/>
  <c r="S41" i="3"/>
  <c r="N9" i="3"/>
  <c r="N13" i="3"/>
  <c r="B13" i="3" s="1"/>
  <c r="N17" i="3"/>
  <c r="B17" i="3" s="1"/>
  <c r="N21" i="3"/>
  <c r="N25" i="3"/>
  <c r="N29" i="3"/>
  <c r="N33" i="3"/>
  <c r="N37" i="3"/>
  <c r="N41" i="3"/>
  <c r="S22" i="3"/>
  <c r="D22" i="3" s="1"/>
  <c r="G22" i="3" s="1"/>
  <c r="I22" i="3" s="1"/>
  <c r="S38" i="3"/>
  <c r="N18" i="3"/>
  <c r="N34" i="3"/>
  <c r="S10" i="3"/>
  <c r="S26" i="3"/>
  <c r="D26" i="3" s="1"/>
  <c r="G26" i="3" s="1"/>
  <c r="I26" i="3" s="1"/>
  <c r="S42" i="3"/>
  <c r="N22" i="3"/>
  <c r="N38" i="3"/>
  <c r="S18" i="3"/>
  <c r="D18" i="3" s="1"/>
  <c r="G18" i="3" s="1"/>
  <c r="N14" i="3"/>
  <c r="B14" i="3" s="1"/>
  <c r="S14" i="3"/>
  <c r="D14" i="3" s="1"/>
  <c r="G14" i="3" s="1"/>
  <c r="S30" i="3"/>
  <c r="D30" i="3" s="1"/>
  <c r="G30" i="3" s="1"/>
  <c r="I30" i="3" s="1"/>
  <c r="N10" i="3"/>
  <c r="N26" i="3"/>
  <c r="N42" i="3"/>
  <c r="S34" i="3"/>
  <c r="N30" i="3"/>
  <c r="B4" i="3"/>
  <c r="I4" i="3"/>
  <c r="N4" i="3"/>
  <c r="G4" i="3" s="1"/>
  <c r="U4" i="3"/>
  <c r="T4" i="3"/>
  <c r="C4" i="3"/>
  <c r="B13" i="1"/>
  <c r="B14" i="1"/>
  <c r="B15" i="1"/>
  <c r="A22" i="1"/>
  <c r="H53" i="3" l="1"/>
  <c r="K53" i="3"/>
  <c r="R44" i="3"/>
  <c r="R48" i="3"/>
  <c r="R52" i="3"/>
  <c r="R43" i="3"/>
  <c r="R51" i="3"/>
  <c r="R45" i="3"/>
  <c r="R49" i="3"/>
  <c r="R53" i="3"/>
  <c r="R46" i="3"/>
  <c r="R50" i="3"/>
  <c r="R54" i="3"/>
  <c r="R47" i="3"/>
  <c r="M46" i="3"/>
  <c r="M50" i="3"/>
  <c r="M54" i="3"/>
  <c r="M47" i="3"/>
  <c r="M51" i="3"/>
  <c r="M44" i="3"/>
  <c r="M48" i="3"/>
  <c r="M52" i="3"/>
  <c r="M43" i="3"/>
  <c r="M45" i="3"/>
  <c r="M49" i="3"/>
  <c r="M53" i="3"/>
  <c r="H51" i="3"/>
  <c r="K51" i="3"/>
  <c r="H52" i="3"/>
  <c r="K52" i="3"/>
  <c r="O44" i="3"/>
  <c r="B44" i="3" s="1"/>
  <c r="F44" i="3" s="1"/>
  <c r="O48" i="3"/>
  <c r="B48" i="3" s="1"/>
  <c r="F48" i="3" s="1"/>
  <c r="O52" i="3"/>
  <c r="O51" i="3"/>
  <c r="O45" i="3"/>
  <c r="B45" i="3" s="1"/>
  <c r="F45" i="3" s="1"/>
  <c r="O49" i="3"/>
  <c r="B49" i="3" s="1"/>
  <c r="F49" i="3" s="1"/>
  <c r="O53" i="3"/>
  <c r="O43" i="3"/>
  <c r="B43" i="3" s="1"/>
  <c r="F43" i="3" s="1"/>
  <c r="O46" i="3"/>
  <c r="B46" i="3" s="1"/>
  <c r="F46" i="3" s="1"/>
  <c r="O50" i="3"/>
  <c r="B50" i="3" s="1"/>
  <c r="F50" i="3" s="1"/>
  <c r="O54" i="3"/>
  <c r="O47" i="3"/>
  <c r="B47" i="3" s="1"/>
  <c r="F47" i="3" s="1"/>
  <c r="M10" i="3"/>
  <c r="B10" i="3" s="1"/>
  <c r="F10" i="3" s="1"/>
  <c r="M14" i="3"/>
  <c r="M18" i="3"/>
  <c r="M22" i="3"/>
  <c r="M26" i="3"/>
  <c r="M30" i="3"/>
  <c r="M34" i="3"/>
  <c r="M38" i="3"/>
  <c r="M42" i="3"/>
  <c r="M13" i="3"/>
  <c r="M25" i="3"/>
  <c r="M37" i="3"/>
  <c r="M7" i="3"/>
  <c r="B7" i="3" s="1"/>
  <c r="M11" i="3"/>
  <c r="B11" i="3" s="1"/>
  <c r="F11" i="3" s="1"/>
  <c r="M15" i="3"/>
  <c r="M19" i="3"/>
  <c r="M23" i="3"/>
  <c r="M27" i="3"/>
  <c r="M31" i="3"/>
  <c r="M35" i="3"/>
  <c r="M39" i="3"/>
  <c r="M17" i="3"/>
  <c r="M29" i="3"/>
  <c r="M41" i="3"/>
  <c r="M8" i="3"/>
  <c r="B8" i="3" s="1"/>
  <c r="M12" i="3"/>
  <c r="M16" i="3"/>
  <c r="M20" i="3"/>
  <c r="M24" i="3"/>
  <c r="M28" i="3"/>
  <c r="M32" i="3"/>
  <c r="M36" i="3"/>
  <c r="M40" i="3"/>
  <c r="M9" i="3"/>
  <c r="B9" i="3" s="1"/>
  <c r="M21" i="3"/>
  <c r="M33" i="3"/>
  <c r="R7" i="3"/>
  <c r="D7" i="3" s="1"/>
  <c r="G7" i="3" s="1"/>
  <c r="I7" i="3" s="1"/>
  <c r="R11" i="3"/>
  <c r="D11" i="3" s="1"/>
  <c r="G11" i="3" s="1"/>
  <c r="R15" i="3"/>
  <c r="R19" i="3"/>
  <c r="R23" i="3"/>
  <c r="R27" i="3"/>
  <c r="R31" i="3"/>
  <c r="R35" i="3"/>
  <c r="R39" i="3"/>
  <c r="R8" i="3"/>
  <c r="R12" i="3"/>
  <c r="R16" i="3"/>
  <c r="R20" i="3"/>
  <c r="R24" i="3"/>
  <c r="R28" i="3"/>
  <c r="R32" i="3"/>
  <c r="R36" i="3"/>
  <c r="R40" i="3"/>
  <c r="R9" i="3"/>
  <c r="D9" i="3" s="1"/>
  <c r="G9" i="3" s="1"/>
  <c r="R13" i="3"/>
  <c r="R17" i="3"/>
  <c r="R21" i="3"/>
  <c r="R25" i="3"/>
  <c r="R29" i="3"/>
  <c r="R33" i="3"/>
  <c r="R37" i="3"/>
  <c r="R41" i="3"/>
  <c r="R18" i="3"/>
  <c r="R34" i="3"/>
  <c r="R22" i="3"/>
  <c r="R38" i="3"/>
  <c r="R30" i="3"/>
  <c r="R10" i="3"/>
  <c r="R26" i="3"/>
  <c r="R42" i="3"/>
  <c r="R14" i="3"/>
  <c r="O7" i="3"/>
  <c r="O11" i="3"/>
  <c r="O15" i="3"/>
  <c r="O19" i="3"/>
  <c r="O23" i="3"/>
  <c r="B23" i="3" s="1"/>
  <c r="F23" i="3" s="1"/>
  <c r="K23" i="3" s="1"/>
  <c r="O27" i="3"/>
  <c r="B27" i="3" s="1"/>
  <c r="F27" i="3" s="1"/>
  <c r="O31" i="3"/>
  <c r="B31" i="3" s="1"/>
  <c r="F31" i="3" s="1"/>
  <c r="O35" i="3"/>
  <c r="B35" i="3" s="1"/>
  <c r="F35" i="3" s="1"/>
  <c r="O39" i="3"/>
  <c r="B39" i="3" s="1"/>
  <c r="F39" i="3" s="1"/>
  <c r="O8" i="3"/>
  <c r="O12" i="3"/>
  <c r="O16" i="3"/>
  <c r="O20" i="3"/>
  <c r="O24" i="3"/>
  <c r="B24" i="3" s="1"/>
  <c r="F24" i="3" s="1"/>
  <c r="K24" i="3" s="1"/>
  <c r="O28" i="3"/>
  <c r="B28" i="3" s="1"/>
  <c r="F28" i="3" s="1"/>
  <c r="O32" i="3"/>
  <c r="B32" i="3" s="1"/>
  <c r="F32" i="3" s="1"/>
  <c r="O36" i="3"/>
  <c r="B36" i="3" s="1"/>
  <c r="F36" i="3" s="1"/>
  <c r="O40" i="3"/>
  <c r="B40" i="3" s="1"/>
  <c r="F40" i="3" s="1"/>
  <c r="O9" i="3"/>
  <c r="O13" i="3"/>
  <c r="O17" i="3"/>
  <c r="O21" i="3"/>
  <c r="O25" i="3"/>
  <c r="B25" i="3" s="1"/>
  <c r="F25" i="3" s="1"/>
  <c r="K25" i="3" s="1"/>
  <c r="O29" i="3"/>
  <c r="B29" i="3" s="1"/>
  <c r="F29" i="3" s="1"/>
  <c r="O33" i="3"/>
  <c r="B33" i="3" s="1"/>
  <c r="F33" i="3" s="1"/>
  <c r="O37" i="3"/>
  <c r="B37" i="3" s="1"/>
  <c r="F37" i="3" s="1"/>
  <c r="O41" i="3"/>
  <c r="B41" i="3" s="1"/>
  <c r="F41" i="3" s="1"/>
  <c r="O22" i="3"/>
  <c r="B22" i="3" s="1"/>
  <c r="F22" i="3" s="1"/>
  <c r="K22" i="3" s="1"/>
  <c r="O38" i="3"/>
  <c r="B38" i="3" s="1"/>
  <c r="F38" i="3" s="1"/>
  <c r="O34" i="3"/>
  <c r="B34" i="3" s="1"/>
  <c r="F34" i="3" s="1"/>
  <c r="O10" i="3"/>
  <c r="O26" i="3"/>
  <c r="B26" i="3" s="1"/>
  <c r="F26" i="3" s="1"/>
  <c r="K26" i="3" s="1"/>
  <c r="O42" i="3"/>
  <c r="B42" i="3" s="1"/>
  <c r="F42" i="3" s="1"/>
  <c r="O14" i="3"/>
  <c r="O30" i="3"/>
  <c r="B30" i="3" s="1"/>
  <c r="F30" i="3" s="1"/>
  <c r="O18" i="3"/>
  <c r="B18" i="3" s="1"/>
  <c r="F18" i="3" s="1"/>
  <c r="K18" i="3" s="1"/>
  <c r="I18" i="3"/>
  <c r="I15" i="3"/>
  <c r="I14" i="3"/>
  <c r="I13" i="3"/>
  <c r="I16" i="3"/>
  <c r="I19" i="3"/>
  <c r="I17" i="3"/>
  <c r="G12" i="3"/>
  <c r="F17" i="3"/>
  <c r="K17" i="3" s="1"/>
  <c r="F16" i="3"/>
  <c r="K16" i="3" s="1"/>
  <c r="F12" i="3"/>
  <c r="F13" i="3"/>
  <c r="K13" i="3" s="1"/>
  <c r="F15" i="3"/>
  <c r="K15" i="3" s="1"/>
  <c r="F14" i="3"/>
  <c r="K14" i="3" s="1"/>
  <c r="D22" i="1"/>
  <c r="K31" i="3" l="1"/>
  <c r="K34" i="3"/>
  <c r="K37" i="3"/>
  <c r="K40" i="3"/>
  <c r="H50" i="3"/>
  <c r="K50" i="3"/>
  <c r="H49" i="3"/>
  <c r="K49" i="3"/>
  <c r="H48" i="3"/>
  <c r="K48" i="3"/>
  <c r="K30" i="3"/>
  <c r="K38" i="3"/>
  <c r="K33" i="3"/>
  <c r="K36" i="3"/>
  <c r="K39" i="3"/>
  <c r="H46" i="3"/>
  <c r="K46" i="3"/>
  <c r="H45" i="3"/>
  <c r="K45" i="3"/>
  <c r="H44" i="3"/>
  <c r="K44" i="3"/>
  <c r="K41" i="3"/>
  <c r="K28" i="3"/>
  <c r="K42" i="3"/>
  <c r="K29" i="3"/>
  <c r="K32" i="3"/>
  <c r="K35" i="3"/>
  <c r="H47" i="3"/>
  <c r="K47" i="3"/>
  <c r="H43" i="3"/>
  <c r="K43" i="3"/>
  <c r="K12" i="3"/>
  <c r="K27" i="3"/>
  <c r="K11" i="3"/>
  <c r="D10" i="3"/>
  <c r="G10" i="3" s="1"/>
  <c r="K10" i="3" s="1"/>
  <c r="D8" i="3"/>
  <c r="G8" i="3" s="1"/>
  <c r="I8" i="3" s="1"/>
  <c r="B19" i="3"/>
  <c r="F19" i="3" s="1"/>
  <c r="K19" i="3" s="1"/>
  <c r="B21" i="3"/>
  <c r="F21" i="3" s="1"/>
  <c r="K21" i="3" s="1"/>
  <c r="B20" i="3"/>
  <c r="F20" i="3" s="1"/>
  <c r="K20" i="3" s="1"/>
  <c r="I12" i="3"/>
  <c r="I11" i="3"/>
  <c r="I9" i="3"/>
  <c r="H39" i="3"/>
  <c r="H34" i="3"/>
  <c r="H14" i="3"/>
  <c r="H33" i="3"/>
  <c r="H15" i="3"/>
  <c r="H26" i="3"/>
  <c r="H41" i="3"/>
  <c r="H11" i="3"/>
  <c r="H23" i="3"/>
  <c r="H24" i="3"/>
  <c r="H40" i="3"/>
  <c r="H25" i="3"/>
  <c r="H38" i="3"/>
  <c r="H17" i="3"/>
  <c r="H13" i="3"/>
  <c r="H10" i="3"/>
  <c r="H12" i="3"/>
  <c r="H28" i="3"/>
  <c r="H18" i="3"/>
  <c r="H36" i="3"/>
  <c r="H16" i="3"/>
  <c r="H32" i="3"/>
  <c r="H42" i="3"/>
  <c r="H35" i="3"/>
  <c r="H22" i="3"/>
  <c r="H37" i="3"/>
  <c r="H29" i="3"/>
  <c r="H31" i="3"/>
  <c r="H27" i="3"/>
  <c r="H30" i="3"/>
  <c r="F8" i="3"/>
  <c r="F9" i="3"/>
  <c r="K9" i="3" s="1"/>
  <c r="F7" i="3"/>
  <c r="C3" i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10" i="1"/>
  <c r="F10" i="1" s="1"/>
  <c r="C11" i="1"/>
  <c r="D11" i="1" s="1"/>
  <c r="E11" i="1" s="1"/>
  <c r="C12" i="1"/>
  <c r="D12" i="1" s="1"/>
  <c r="E12" i="1" s="1"/>
  <c r="C13" i="1"/>
  <c r="D13" i="1" s="1"/>
  <c r="E13" i="1" s="1"/>
  <c r="C14" i="1"/>
  <c r="F14" i="1" s="1"/>
  <c r="C15" i="1"/>
  <c r="D15" i="1" s="1"/>
  <c r="E15" i="1" s="1"/>
  <c r="C16" i="1"/>
  <c r="D16" i="1" s="1"/>
  <c r="E16" i="1" s="1"/>
  <c r="C17" i="1"/>
  <c r="D17" i="1" s="1"/>
  <c r="E17" i="1" s="1"/>
  <c r="L50" i="3" l="1"/>
  <c r="L52" i="3"/>
  <c r="L28" i="3"/>
  <c r="L29" i="3"/>
  <c r="L44" i="3"/>
  <c r="L40" i="3"/>
  <c r="L34" i="3"/>
  <c r="L47" i="3"/>
  <c r="L39" i="3"/>
  <c r="L33" i="3"/>
  <c r="L30" i="3"/>
  <c r="L35" i="3"/>
  <c r="L26" i="3"/>
  <c r="L51" i="3"/>
  <c r="L43" i="3"/>
  <c r="L32" i="3"/>
  <c r="L42" i="3"/>
  <c r="L41" i="3"/>
  <c r="L46" i="3"/>
  <c r="L49" i="3"/>
  <c r="L37" i="3"/>
  <c r="L31" i="3"/>
  <c r="L45" i="3"/>
  <c r="L36" i="3"/>
  <c r="L38" i="3"/>
  <c r="L48" i="3"/>
  <c r="L27" i="3"/>
  <c r="K8" i="3"/>
  <c r="I10" i="3"/>
  <c r="H20" i="3"/>
  <c r="H21" i="3"/>
  <c r="H19" i="3"/>
  <c r="L14" i="3"/>
  <c r="L11" i="3"/>
  <c r="L20" i="3"/>
  <c r="L8" i="3"/>
  <c r="L18" i="3"/>
  <c r="L23" i="3"/>
  <c r="L13" i="3"/>
  <c r="L22" i="3"/>
  <c r="L25" i="3"/>
  <c r="L9" i="3"/>
  <c r="L24" i="3"/>
  <c r="L12" i="3"/>
  <c r="L21" i="3"/>
  <c r="L15" i="3"/>
  <c r="L10" i="3"/>
  <c r="L16" i="3"/>
  <c r="L19" i="3"/>
  <c r="L17" i="3"/>
  <c r="H9" i="3"/>
  <c r="H8" i="3"/>
  <c r="H7" i="3"/>
  <c r="F16" i="1"/>
  <c r="G14" i="1"/>
  <c r="G10" i="1"/>
  <c r="D10" i="1"/>
  <c r="E10" i="1" s="1"/>
  <c r="F6" i="1"/>
  <c r="F8" i="1"/>
  <c r="D14" i="1"/>
  <c r="E14" i="1" s="1"/>
  <c r="F9" i="1"/>
  <c r="F17" i="1"/>
  <c r="F12" i="1"/>
  <c r="F13" i="1"/>
  <c r="F5" i="1"/>
  <c r="F4" i="1"/>
  <c r="F15" i="1"/>
  <c r="F11" i="1"/>
  <c r="F7" i="1"/>
  <c r="F3" i="1"/>
  <c r="C19" i="1"/>
  <c r="D19" i="1" s="1"/>
  <c r="E19" i="1" s="1"/>
  <c r="G19" i="1"/>
  <c r="C2" i="1"/>
  <c r="D2" i="1" s="1"/>
  <c r="E2" i="1" s="1"/>
  <c r="C18" i="1"/>
  <c r="G15" i="1" l="1"/>
  <c r="G12" i="1"/>
  <c r="G8" i="1"/>
  <c r="G3" i="1"/>
  <c r="G4" i="1"/>
  <c r="G17" i="1"/>
  <c r="G6" i="1"/>
  <c r="G7" i="1"/>
  <c r="G5" i="1"/>
  <c r="G9" i="1"/>
  <c r="G11" i="1"/>
  <c r="G13" i="1"/>
  <c r="G16" i="1"/>
  <c r="F2" i="1"/>
  <c r="I2" i="2"/>
  <c r="C17" i="2" s="1"/>
  <c r="D17" i="2" s="1"/>
  <c r="E17" i="2" s="1"/>
  <c r="C5" i="2"/>
  <c r="D5" i="2" s="1"/>
  <c r="E5" i="2" s="1"/>
  <c r="G2" i="1" l="1"/>
  <c r="C2" i="2"/>
  <c r="F2" i="2" s="1"/>
  <c r="G2" i="2" s="1"/>
  <c r="C6" i="2"/>
  <c r="F6" i="2" s="1"/>
  <c r="G6" i="2" s="1"/>
  <c r="C10" i="2"/>
  <c r="D10" i="2" s="1"/>
  <c r="E10" i="2" s="1"/>
  <c r="C14" i="2"/>
  <c r="F14" i="2" s="1"/>
  <c r="G14" i="2" s="1"/>
  <c r="C3" i="2"/>
  <c r="F3" i="2" s="1"/>
  <c r="G3" i="2" s="1"/>
  <c r="C7" i="2"/>
  <c r="F7" i="2" s="1"/>
  <c r="G7" i="2" s="1"/>
  <c r="C11" i="2"/>
  <c r="F11" i="2" s="1"/>
  <c r="G11" i="2" s="1"/>
  <c r="C15" i="2"/>
  <c r="F15" i="2" s="1"/>
  <c r="G15" i="2" s="1"/>
  <c r="C4" i="2"/>
  <c r="F4" i="2" s="1"/>
  <c r="G4" i="2" s="1"/>
  <c r="C8" i="2"/>
  <c r="F8" i="2" s="1"/>
  <c r="G8" i="2" s="1"/>
  <c r="C12" i="2"/>
  <c r="F12" i="2" s="1"/>
  <c r="G12" i="2" s="1"/>
  <c r="C16" i="2"/>
  <c r="F16" i="2" s="1"/>
  <c r="G16" i="2" s="1"/>
  <c r="C9" i="2"/>
  <c r="D9" i="2" s="1"/>
  <c r="E9" i="2" s="1"/>
  <c r="C13" i="2"/>
  <c r="D13" i="2" s="1"/>
  <c r="E13" i="2" s="1"/>
  <c r="F5" i="2"/>
  <c r="G5" i="2" s="1"/>
  <c r="D2" i="2"/>
  <c r="E2" i="2" s="1"/>
  <c r="D6" i="2"/>
  <c r="E6" i="2" s="1"/>
  <c r="F17" i="2"/>
  <c r="G17" i="2" s="1"/>
  <c r="D3" i="2"/>
  <c r="E3" i="2" s="1"/>
  <c r="D4" i="2"/>
  <c r="E4" i="2" s="1"/>
  <c r="D18" i="1"/>
  <c r="E18" i="1" s="1"/>
  <c r="D14" i="2" l="1"/>
  <c r="E14" i="2" s="1"/>
  <c r="F13" i="2"/>
  <c r="G13" i="2" s="1"/>
  <c r="D12" i="2"/>
  <c r="E12" i="2" s="1"/>
  <c r="D11" i="2"/>
  <c r="E11" i="2" s="1"/>
  <c r="F10" i="2"/>
  <c r="G10" i="2" s="1"/>
  <c r="F9" i="2"/>
  <c r="G9" i="2" s="1"/>
  <c r="D8" i="2"/>
  <c r="E8" i="2" s="1"/>
  <c r="D7" i="2"/>
  <c r="E7" i="2" s="1"/>
  <c r="D16" i="2"/>
  <c r="E16" i="2" s="1"/>
  <c r="D15" i="2"/>
  <c r="E15" i="2" s="1"/>
  <c r="F18" i="1"/>
  <c r="H18" i="1" l="1"/>
  <c r="H8" i="1"/>
  <c r="H6" i="1"/>
  <c r="H11" i="1"/>
  <c r="H2" i="1"/>
  <c r="H9" i="1"/>
  <c r="H15" i="1"/>
  <c r="H16" i="1"/>
  <c r="H5" i="1"/>
  <c r="H19" i="1"/>
  <c r="H12" i="1"/>
  <c r="H4" i="1"/>
  <c r="H3" i="1"/>
  <c r="H10" i="1"/>
  <c r="H14" i="1"/>
  <c r="H17" i="1"/>
  <c r="H13" i="1"/>
  <c r="H7" i="1"/>
  <c r="G18" i="1"/>
</calcChain>
</file>

<file path=xl/sharedStrings.xml><?xml version="1.0" encoding="utf-8"?>
<sst xmlns="http://schemas.openxmlformats.org/spreadsheetml/2006/main" count="88" uniqueCount="72">
  <si>
    <t>rpm</t>
  </si>
  <si>
    <t>ps</t>
  </si>
  <si>
    <t>pto</t>
  </si>
  <si>
    <t>xml</t>
  </si>
  <si>
    <t>motor</t>
  </si>
  <si>
    <t>rawData</t>
  </si>
  <si>
    <t>kw_pto</t>
  </si>
  <si>
    <t>Factor</t>
  </si>
  <si>
    <t>ratedRpm</t>
  </si>
  <si>
    <t>xml2</t>
  </si>
  <si>
    <t>PS</t>
  </si>
  <si>
    <t>Nm_rated</t>
  </si>
  <si>
    <t>maxTRpm</t>
  </si>
  <si>
    <t>maxT</t>
  </si>
  <si>
    <t>idleRpm</t>
  </si>
  <si>
    <t>idleRatio</t>
  </si>
  <si>
    <t>f1</t>
  </si>
  <si>
    <t>f2</t>
  </si>
  <si>
    <t>maxPRpm</t>
  </si>
  <si>
    <t>Nm</t>
  </si>
  <si>
    <t>Nm2</t>
  </si>
  <si>
    <t>fadeOut</t>
  </si>
  <si>
    <t>maxTRpm1</t>
  </si>
  <si>
    <t>maxPS</t>
  </si>
  <si>
    <t>f3</t>
  </si>
  <si>
    <t>linearDown</t>
  </si>
  <si>
    <t>f4</t>
  </si>
  <si>
    <t>Anfahrmoment</t>
  </si>
  <si>
    <t>xmlComment</t>
  </si>
  <si>
    <t>manualData</t>
  </si>
  <si>
    <t>fuelMinRpm</t>
  </si>
  <si>
    <t>fuelMinRate</t>
  </si>
  <si>
    <t>fuelIdleRate</t>
  </si>
  <si>
    <t>fuelRatedRate</t>
  </si>
  <si>
    <t>fuelUsageRatio</t>
  </si>
  <si>
    <t>maxPSEco</t>
  </si>
  <si>
    <t>PSEco</t>
  </si>
  <si>
    <t>NmEco</t>
  </si>
  <si>
    <t>Nm2Eco</t>
  </si>
  <si>
    <t>f3Eco</t>
  </si>
  <si>
    <t>f4Eco</t>
  </si>
  <si>
    <t>f2Eco</t>
  </si>
  <si>
    <t>idleT</t>
  </si>
  <si>
    <t>rawDataEco</t>
  </si>
  <si>
    <t>manDataEco</t>
  </si>
  <si>
    <t>psEco</t>
  </si>
  <si>
    <t>motorEco</t>
  </si>
  <si>
    <t>maxTEco</t>
  </si>
  <si>
    <t>idleTEco</t>
  </si>
  <si>
    <t>Efficiency</t>
  </si>
  <si>
    <t>t1</t>
  </si>
  <si>
    <t>t2</t>
  </si>
  <si>
    <t>t3</t>
  </si>
  <si>
    <t>t4</t>
  </si>
  <si>
    <t>t5</t>
  </si>
  <si>
    <t>t1E</t>
  </si>
  <si>
    <t>t2E</t>
  </si>
  <si>
    <t>t4E</t>
  </si>
  <si>
    <t>t5E</t>
  </si>
  <si>
    <t>t3E</t>
  </si>
  <si>
    <t>normRpm</t>
  </si>
  <si>
    <t>Anstieg</t>
  </si>
  <si>
    <t>Abfall</t>
  </si>
  <si>
    <t>PSEcoRate</t>
  </si>
  <si>
    <t>NmEcoRate</t>
  </si>
  <si>
    <t>Nm1000</t>
  </si>
  <si>
    <t>AnstiegE</t>
  </si>
  <si>
    <t>maxPsEcoRate</t>
  </si>
  <si>
    <t>fadeOutExp</t>
  </si>
  <si>
    <t>g/kWh</t>
  </si>
  <si>
    <t>max kW</t>
  </si>
  <si>
    <t>rated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</si>
</sst>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textRotation="45"/>
    </xf>
    <xf numFmtId="49" fontId="0" fillId="0" borderId="0" xfId="0" applyNumberFormat="1" applyAlignment="1">
      <alignment textRotation="45"/>
    </xf>
    <xf numFmtId="0" fontId="0" fillId="0" borderId="0" xfId="0" applyNumberFormat="1" applyAlignment="1">
      <alignment textRotation="45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2" fillId="0" borderId="0" xfId="0" applyNumberFormat="1" applyFont="1"/>
    <xf numFmtId="0" fontId="3" fillId="2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2" xfId="0" applyFont="1" applyBorder="1"/>
    <xf numFmtId="0" fontId="5" fillId="0" borderId="3" xfId="0" applyFont="1" applyBorder="1"/>
    <xf numFmtId="0" fontId="5" fillId="3" borderId="4" xfId="0" applyFont="1" applyFill="1" applyBorder="1"/>
    <xf numFmtId="0" fontId="5" fillId="0" borderId="4" xfId="0" applyFont="1" applyBorder="1"/>
    <xf numFmtId="1" fontId="0" fillId="0" borderId="5" xfId="0" applyNumberFormat="1" applyBorder="1"/>
    <xf numFmtId="1" fontId="0" fillId="0" borderId="6" xfId="0" applyNumberFormat="1" applyBorder="1"/>
    <xf numFmtId="9" fontId="4" fillId="2" borderId="10" xfId="1" applyFont="1" applyFill="1" applyBorder="1"/>
    <xf numFmtId="9" fontId="4" fillId="2" borderId="11" xfId="1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5" fillId="0" borderId="1" xfId="0" applyFont="1" applyBorder="1"/>
    <xf numFmtId="164" fontId="0" fillId="0" borderId="0" xfId="0" applyNumberFormat="1"/>
    <xf numFmtId="0" fontId="0" fillId="0" borderId="13" xfId="0" applyBorder="1"/>
    <xf numFmtId="0" fontId="0" fillId="0" borderId="7" xfId="0" applyBorder="1"/>
    <xf numFmtId="9" fontId="0" fillId="0" borderId="8" xfId="1" applyFont="1" applyBorder="1"/>
    <xf numFmtId="0" fontId="0" fillId="0" borderId="9" xfId="0" applyBorder="1"/>
    <xf numFmtId="1" fontId="4" fillId="2" borderId="10" xfId="1" applyNumberFormat="1" applyFont="1" applyFill="1" applyBorder="1"/>
    <xf numFmtId="1" fontId="4" fillId="2" borderId="11" xfId="1" applyNumberFormat="1" applyFont="1" applyFill="1" applyBorder="1"/>
    <xf numFmtId="1" fontId="4" fillId="2" borderId="12" xfId="1" applyNumberFormat="1" applyFont="1" applyFill="1" applyBorder="1"/>
    <xf numFmtId="1" fontId="7" fillId="0" borderId="0" xfId="0" applyNumberFormat="1" applyFont="1"/>
  </cellXfs>
  <cellStyles count="2">
    <cellStyle name="Normal" xfId="0" builtinId="0"/>
    <cellStyle name="Percent" xfId="1" builtinId="5"/>
  </cellStyles>
  <dxfs count="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i/>
        <color theme="0" tint="-0.34998626667073579"/>
      </font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</dxf>
    <dxf>
      <font>
        <i/>
        <color theme="0" tint="-0.34998626667073579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indexed="64"/>
        </left>
        <right/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medium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border diagonalUp="0" diagonalDown="0" outline="0">
        <left/>
        <right style="medium">
          <color indexed="64"/>
        </right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bottom" textRotation="45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6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6"/>
        <color theme="1"/>
        <name val="Calibri"/>
        <scheme val="minor"/>
      </font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" formatCode="0"/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202653051670501E-2"/>
          <c:y val="2.0063836607697848E-2"/>
          <c:w val="0.90235456715814155"/>
          <c:h val="0.89894519082618773"/>
        </c:manualLayout>
      </c:layout>
      <c:scatterChart>
        <c:scatterStyle val="lineMarker"/>
        <c:varyColors val="0"/>
        <c:ser>
          <c:idx val="1"/>
          <c:order val="1"/>
          <c:tx>
            <c:strRef>
              <c:f>'Calculate from Values'!$F$6</c:f>
              <c:strCache>
                <c:ptCount val="1"/>
                <c:pt idx="0">
                  <c:v>motor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'Calculate from Values'!$A$7:$A$54</c:f>
              <c:numCache>
                <c:formatCode>0</c:formatCode>
                <c:ptCount val="48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2750</c:v>
                </c:pt>
                <c:pt idx="23">
                  <c:v>3000</c:v>
                </c:pt>
                <c:pt idx="24">
                  <c:v>3250</c:v>
                </c:pt>
                <c:pt idx="25">
                  <c:v>3500</c:v>
                </c:pt>
                <c:pt idx="26">
                  <c:v>3750</c:v>
                </c:pt>
                <c:pt idx="27">
                  <c:v>4000</c:v>
                </c:pt>
                <c:pt idx="28">
                  <c:v>4250</c:v>
                </c:pt>
                <c:pt idx="29">
                  <c:v>4500</c:v>
                </c:pt>
                <c:pt idx="30">
                  <c:v>4750</c:v>
                </c:pt>
                <c:pt idx="31">
                  <c:v>5000</c:v>
                </c:pt>
                <c:pt idx="32">
                  <c:v>5250</c:v>
                </c:pt>
                <c:pt idx="33">
                  <c:v>5500</c:v>
                </c:pt>
                <c:pt idx="34">
                  <c:v>5750</c:v>
                </c:pt>
                <c:pt idx="35">
                  <c:v>6000</c:v>
                </c:pt>
                <c:pt idx="36">
                  <c:v>6250</c:v>
                </c:pt>
                <c:pt idx="37">
                  <c:v>6500</c:v>
                </c:pt>
                <c:pt idx="38">
                  <c:v>6750</c:v>
                </c:pt>
                <c:pt idx="39">
                  <c:v>7000</c:v>
                </c:pt>
                <c:pt idx="40">
                  <c:v>7250</c:v>
                </c:pt>
                <c:pt idx="41">
                  <c:v>7500</c:v>
                </c:pt>
                <c:pt idx="42">
                  <c:v>7750</c:v>
                </c:pt>
                <c:pt idx="43">
                  <c:v>8000</c:v>
                </c:pt>
                <c:pt idx="44">
                  <c:v>8250</c:v>
                </c:pt>
                <c:pt idx="45">
                  <c:v>8500</c:v>
                </c:pt>
                <c:pt idx="46">
                  <c:v>8750</c:v>
                </c:pt>
                <c:pt idx="47">
                  <c:v>9000</c:v>
                </c:pt>
              </c:numCache>
            </c:numRef>
          </c:xVal>
          <c:yVal>
            <c:numRef>
              <c:f>'Calculate from Values'!$F$7:$F$54</c:f>
              <c:numCache>
                <c:formatCode>0</c:formatCode>
                <c:ptCount val="48"/>
                <c:pt idx="0">
                  <c:v>0</c:v>
                </c:pt>
                <c:pt idx="1">
                  <c:v>151.11111111111111</c:v>
                </c:pt>
                <c:pt idx="2">
                  <c:v>426.66666666666674</c:v>
                </c:pt>
                <c:pt idx="3">
                  <c:v>676.66666666666674</c:v>
                </c:pt>
                <c:pt idx="4">
                  <c:v>746.66666666666674</c:v>
                </c:pt>
                <c:pt idx="5">
                  <c:v>810</c:v>
                </c:pt>
                <c:pt idx="6">
                  <c:v>860</c:v>
                </c:pt>
                <c:pt idx="7">
                  <c:v>890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889.5696594427244</c:v>
                </c:pt>
                <c:pt idx="12">
                  <c:v>875.66253869969034</c:v>
                </c:pt>
                <c:pt idx="13">
                  <c:v>858.27863777089772</c:v>
                </c:pt>
                <c:pt idx="14">
                  <c:v>837.41795665634663</c:v>
                </c:pt>
                <c:pt idx="15">
                  <c:v>813.08049535603709</c:v>
                </c:pt>
                <c:pt idx="16">
                  <c:v>754.87132352941171</c:v>
                </c:pt>
                <c:pt idx="17">
                  <c:v>668.76750700280115</c:v>
                </c:pt>
                <c:pt idx="18">
                  <c:v>559.69808836781647</c:v>
                </c:pt>
                <c:pt idx="19">
                  <c:v>131.6466853258444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'Calculate from Values'!$G$6</c:f>
              <c:strCache>
                <c:ptCount val="1"/>
                <c:pt idx="0">
                  <c:v>motorEco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'Calculate from Values'!$A$7:$A$54</c:f>
              <c:numCache>
                <c:formatCode>0</c:formatCode>
                <c:ptCount val="48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2750</c:v>
                </c:pt>
                <c:pt idx="23">
                  <c:v>3000</c:v>
                </c:pt>
                <c:pt idx="24">
                  <c:v>3250</c:v>
                </c:pt>
                <c:pt idx="25">
                  <c:v>3500</c:v>
                </c:pt>
                <c:pt idx="26">
                  <c:v>3750</c:v>
                </c:pt>
                <c:pt idx="27">
                  <c:v>4000</c:v>
                </c:pt>
                <c:pt idx="28">
                  <c:v>4250</c:v>
                </c:pt>
                <c:pt idx="29">
                  <c:v>4500</c:v>
                </c:pt>
                <c:pt idx="30">
                  <c:v>4750</c:v>
                </c:pt>
                <c:pt idx="31">
                  <c:v>5000</c:v>
                </c:pt>
                <c:pt idx="32">
                  <c:v>5250</c:v>
                </c:pt>
                <c:pt idx="33">
                  <c:v>5500</c:v>
                </c:pt>
                <c:pt idx="34">
                  <c:v>5750</c:v>
                </c:pt>
                <c:pt idx="35">
                  <c:v>6000</c:v>
                </c:pt>
                <c:pt idx="36">
                  <c:v>6250</c:v>
                </c:pt>
                <c:pt idx="37">
                  <c:v>6500</c:v>
                </c:pt>
                <c:pt idx="38">
                  <c:v>6750</c:v>
                </c:pt>
                <c:pt idx="39">
                  <c:v>7000</c:v>
                </c:pt>
                <c:pt idx="40">
                  <c:v>7250</c:v>
                </c:pt>
                <c:pt idx="41">
                  <c:v>7500</c:v>
                </c:pt>
                <c:pt idx="42">
                  <c:v>7750</c:v>
                </c:pt>
                <c:pt idx="43">
                  <c:v>8000</c:v>
                </c:pt>
                <c:pt idx="44">
                  <c:v>8250</c:v>
                </c:pt>
                <c:pt idx="45">
                  <c:v>8500</c:v>
                </c:pt>
                <c:pt idx="46">
                  <c:v>8750</c:v>
                </c:pt>
                <c:pt idx="47">
                  <c:v>9000</c:v>
                </c:pt>
              </c:numCache>
            </c:numRef>
          </c:xVal>
          <c:yVal>
            <c:numRef>
              <c:f>'Calculate from Values'!$G$7:$G$54</c:f>
              <c:numCache>
                <c:formatCode>0</c:formatCode>
                <c:ptCount val="48"/>
                <c:pt idx="0">
                  <c:v>0</c:v>
                </c:pt>
                <c:pt idx="1">
                  <c:v>151.11111111111111</c:v>
                </c:pt>
                <c:pt idx="2">
                  <c:v>426.66666666666674</c:v>
                </c:pt>
                <c:pt idx="3">
                  <c:v>676.66666666666674</c:v>
                </c:pt>
                <c:pt idx="4">
                  <c:v>746.66666666666674</c:v>
                </c:pt>
                <c:pt idx="5">
                  <c:v>810</c:v>
                </c:pt>
                <c:pt idx="6">
                  <c:v>860</c:v>
                </c:pt>
                <c:pt idx="7">
                  <c:v>890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889.5696594427244</c:v>
                </c:pt>
                <c:pt idx="12">
                  <c:v>875.66253869969034</c:v>
                </c:pt>
                <c:pt idx="13">
                  <c:v>858.27863777089772</c:v>
                </c:pt>
                <c:pt idx="14">
                  <c:v>837.41795665634663</c:v>
                </c:pt>
                <c:pt idx="15">
                  <c:v>813.08049535603709</c:v>
                </c:pt>
                <c:pt idx="16">
                  <c:v>754.87132352941171</c:v>
                </c:pt>
                <c:pt idx="17">
                  <c:v>668.76750700280115</c:v>
                </c:pt>
                <c:pt idx="18">
                  <c:v>559.69808836781647</c:v>
                </c:pt>
                <c:pt idx="19">
                  <c:v>131.6466853258444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769624"/>
        <c:axId val="387772368"/>
      </c:scatterChart>
      <c:scatterChart>
        <c:scatterStyle val="lineMarker"/>
        <c:varyColors val="0"/>
        <c:ser>
          <c:idx val="0"/>
          <c:order val="0"/>
          <c:tx>
            <c:strRef>
              <c:f>'Calculate from Values'!$H$6</c:f>
              <c:strCache>
                <c:ptCount val="1"/>
                <c:pt idx="0">
                  <c:v>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'Calculate from Values'!$A$7:$A$54</c:f>
              <c:numCache>
                <c:formatCode>0</c:formatCode>
                <c:ptCount val="48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2750</c:v>
                </c:pt>
                <c:pt idx="23">
                  <c:v>3000</c:v>
                </c:pt>
                <c:pt idx="24">
                  <c:v>3250</c:v>
                </c:pt>
                <c:pt idx="25">
                  <c:v>3500</c:v>
                </c:pt>
                <c:pt idx="26">
                  <c:v>3750</c:v>
                </c:pt>
                <c:pt idx="27">
                  <c:v>4000</c:v>
                </c:pt>
                <c:pt idx="28">
                  <c:v>4250</c:v>
                </c:pt>
                <c:pt idx="29">
                  <c:v>4500</c:v>
                </c:pt>
                <c:pt idx="30">
                  <c:v>4750</c:v>
                </c:pt>
                <c:pt idx="31">
                  <c:v>5000</c:v>
                </c:pt>
                <c:pt idx="32">
                  <c:v>5250</c:v>
                </c:pt>
                <c:pt idx="33">
                  <c:v>5500</c:v>
                </c:pt>
                <c:pt idx="34">
                  <c:v>5750</c:v>
                </c:pt>
                <c:pt idx="35">
                  <c:v>6000</c:v>
                </c:pt>
                <c:pt idx="36">
                  <c:v>6250</c:v>
                </c:pt>
                <c:pt idx="37">
                  <c:v>6500</c:v>
                </c:pt>
                <c:pt idx="38">
                  <c:v>6750</c:v>
                </c:pt>
                <c:pt idx="39">
                  <c:v>7000</c:v>
                </c:pt>
                <c:pt idx="40">
                  <c:v>7250</c:v>
                </c:pt>
                <c:pt idx="41">
                  <c:v>7500</c:v>
                </c:pt>
                <c:pt idx="42">
                  <c:v>7750</c:v>
                </c:pt>
                <c:pt idx="43">
                  <c:v>8000</c:v>
                </c:pt>
                <c:pt idx="44">
                  <c:v>8250</c:v>
                </c:pt>
                <c:pt idx="45">
                  <c:v>8500</c:v>
                </c:pt>
                <c:pt idx="46">
                  <c:v>8750</c:v>
                </c:pt>
                <c:pt idx="47">
                  <c:v>9000</c:v>
                </c:pt>
              </c:numCache>
            </c:numRef>
          </c:xVal>
          <c:yVal>
            <c:numRef>
              <c:f>'Calculate from Values'!$H$7:$H$54</c:f>
              <c:numCache>
                <c:formatCode>0.0</c:formatCode>
                <c:ptCount val="48"/>
                <c:pt idx="0">
                  <c:v>0</c:v>
                </c:pt>
                <c:pt idx="1">
                  <c:v>2.1519488074461899</c:v>
                </c:pt>
                <c:pt idx="2">
                  <c:v>24.304363001745205</c:v>
                </c:pt>
                <c:pt idx="3">
                  <c:v>67.454101221640514</c:v>
                </c:pt>
                <c:pt idx="4">
                  <c:v>85.065270506108206</c:v>
                </c:pt>
                <c:pt idx="5">
                  <c:v>103.81570680628272</c:v>
                </c:pt>
                <c:pt idx="6">
                  <c:v>122.47120418848168</c:v>
                </c:pt>
                <c:pt idx="7">
                  <c:v>139.41780104712041</c:v>
                </c:pt>
                <c:pt idx="8">
                  <c:v>153.80104712041887</c:v>
                </c:pt>
                <c:pt idx="9">
                  <c:v>166.61780104712045</c:v>
                </c:pt>
                <c:pt idx="10">
                  <c:v>179.434554973822</c:v>
                </c:pt>
                <c:pt idx="11">
                  <c:v>190.02325709561865</c:v>
                </c:pt>
                <c:pt idx="12">
                  <c:v>199.5226894461284</c:v>
                </c:pt>
                <c:pt idx="13">
                  <c:v>207.78431523835764</c:v>
                </c:pt>
                <c:pt idx="14">
                  <c:v>214.65959768531275</c:v>
                </c:pt>
                <c:pt idx="15">
                  <c:v>220</c:v>
                </c:pt>
                <c:pt idx="16">
                  <c:v>214.99999999999997</c:v>
                </c:pt>
                <c:pt idx="17">
                  <c:v>200</c:v>
                </c:pt>
                <c:pt idx="18">
                  <c:v>175.35253197869181</c:v>
                </c:pt>
                <c:pt idx="19">
                  <c:v>43.119458816674481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'Calculate from Values'!$I$6</c:f>
              <c:strCache>
                <c:ptCount val="1"/>
                <c:pt idx="0">
                  <c:v>psEco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'Calculate from Values'!$A$7:$A$54</c:f>
              <c:numCache>
                <c:formatCode>0</c:formatCode>
                <c:ptCount val="48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2750</c:v>
                </c:pt>
                <c:pt idx="23">
                  <c:v>3000</c:v>
                </c:pt>
                <c:pt idx="24">
                  <c:v>3250</c:v>
                </c:pt>
                <c:pt idx="25">
                  <c:v>3500</c:v>
                </c:pt>
                <c:pt idx="26">
                  <c:v>3750</c:v>
                </c:pt>
                <c:pt idx="27">
                  <c:v>4000</c:v>
                </c:pt>
                <c:pt idx="28">
                  <c:v>4250</c:v>
                </c:pt>
                <c:pt idx="29">
                  <c:v>4500</c:v>
                </c:pt>
                <c:pt idx="30">
                  <c:v>4750</c:v>
                </c:pt>
                <c:pt idx="31">
                  <c:v>5000</c:v>
                </c:pt>
                <c:pt idx="32">
                  <c:v>5250</c:v>
                </c:pt>
                <c:pt idx="33">
                  <c:v>5500</c:v>
                </c:pt>
                <c:pt idx="34">
                  <c:v>5750</c:v>
                </c:pt>
                <c:pt idx="35">
                  <c:v>6000</c:v>
                </c:pt>
                <c:pt idx="36">
                  <c:v>6250</c:v>
                </c:pt>
                <c:pt idx="37">
                  <c:v>6500</c:v>
                </c:pt>
                <c:pt idx="38">
                  <c:v>6750</c:v>
                </c:pt>
                <c:pt idx="39">
                  <c:v>7000</c:v>
                </c:pt>
                <c:pt idx="40">
                  <c:v>7250</c:v>
                </c:pt>
                <c:pt idx="41">
                  <c:v>7500</c:v>
                </c:pt>
                <c:pt idx="42">
                  <c:v>7750</c:v>
                </c:pt>
                <c:pt idx="43">
                  <c:v>8000</c:v>
                </c:pt>
                <c:pt idx="44">
                  <c:v>8250</c:v>
                </c:pt>
                <c:pt idx="45">
                  <c:v>8500</c:v>
                </c:pt>
                <c:pt idx="46">
                  <c:v>8750</c:v>
                </c:pt>
                <c:pt idx="47">
                  <c:v>9000</c:v>
                </c:pt>
              </c:numCache>
            </c:numRef>
          </c:xVal>
          <c:yVal>
            <c:numRef>
              <c:f>'Calculate from Values'!$I$7:$I$54</c:f>
              <c:numCache>
                <c:formatCode>0.0</c:formatCode>
                <c:ptCount val="48"/>
                <c:pt idx="0">
                  <c:v>0</c:v>
                </c:pt>
                <c:pt idx="1">
                  <c:v>2.1519488074461899</c:v>
                </c:pt>
                <c:pt idx="2">
                  <c:v>24.304363001745205</c:v>
                </c:pt>
                <c:pt idx="3">
                  <c:v>67.454101221640514</c:v>
                </c:pt>
                <c:pt idx="4">
                  <c:v>85.065270506108206</c:v>
                </c:pt>
                <c:pt idx="5">
                  <c:v>103.81570680628272</c:v>
                </c:pt>
                <c:pt idx="6">
                  <c:v>122.47120418848168</c:v>
                </c:pt>
                <c:pt idx="7">
                  <c:v>139.41780104712041</c:v>
                </c:pt>
                <c:pt idx="8">
                  <c:v>153.80104712041887</c:v>
                </c:pt>
                <c:pt idx="9">
                  <c:v>166.61780104712045</c:v>
                </c:pt>
                <c:pt idx="10">
                  <c:v>179.434554973822</c:v>
                </c:pt>
                <c:pt idx="11">
                  <c:v>190.02325709561865</c:v>
                </c:pt>
                <c:pt idx="12">
                  <c:v>199.5226894461284</c:v>
                </c:pt>
                <c:pt idx="13">
                  <c:v>207.78431523835764</c:v>
                </c:pt>
                <c:pt idx="14">
                  <c:v>214.65959768531275</c:v>
                </c:pt>
                <c:pt idx="15">
                  <c:v>220</c:v>
                </c:pt>
                <c:pt idx="16">
                  <c:v>214.99999999999997</c:v>
                </c:pt>
                <c:pt idx="17">
                  <c:v>200</c:v>
                </c:pt>
                <c:pt idx="18">
                  <c:v>175.35253197869181</c:v>
                </c:pt>
                <c:pt idx="19">
                  <c:v>43.119458816674481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773544"/>
        <c:axId val="387772760"/>
      </c:scatterChart>
      <c:valAx>
        <c:axId val="387769624"/>
        <c:scaling>
          <c:orientation val="minMax"/>
          <c:max val="9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72368"/>
        <c:crosses val="autoZero"/>
        <c:crossBetween val="midCat"/>
        <c:majorUnit val="500"/>
      </c:valAx>
      <c:valAx>
        <c:axId val="3877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69624"/>
        <c:crosses val="autoZero"/>
        <c:crossBetween val="midCat"/>
      </c:valAx>
      <c:valAx>
        <c:axId val="38777276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73544"/>
        <c:crosses val="max"/>
        <c:crossBetween val="midCat"/>
      </c:valAx>
      <c:valAx>
        <c:axId val="387773544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387772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0013718915204581E-2"/>
          <c:y val="3.5339353154546407E-2"/>
          <c:w val="6.0738902528053279E-2"/>
          <c:h val="0.12311985909068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56974962060876E-2"/>
          <c:y val="4.9052396878483832E-2"/>
          <c:w val="0.93796827046547449"/>
          <c:h val="0.75293954476426228"/>
        </c:manualLayout>
      </c:layout>
      <c:scatterChart>
        <c:scatterStyle val="lineMarker"/>
        <c:varyColors val="0"/>
        <c:ser>
          <c:idx val="7"/>
          <c:order val="0"/>
          <c:tx>
            <c:strRef>
              <c:f>'Calculate from Values'!$J$6</c:f>
              <c:strCache>
                <c:ptCount val="1"/>
                <c:pt idx="0">
                  <c:v>fuelUsageRatio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'Calculate from Values'!$A$7:$A$54</c:f>
              <c:numCache>
                <c:formatCode>0</c:formatCode>
                <c:ptCount val="48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2750</c:v>
                </c:pt>
                <c:pt idx="23">
                  <c:v>3000</c:v>
                </c:pt>
                <c:pt idx="24">
                  <c:v>3250</c:v>
                </c:pt>
                <c:pt idx="25">
                  <c:v>3500</c:v>
                </c:pt>
                <c:pt idx="26">
                  <c:v>3750</c:v>
                </c:pt>
                <c:pt idx="27">
                  <c:v>4000</c:v>
                </c:pt>
                <c:pt idx="28">
                  <c:v>4250</c:v>
                </c:pt>
                <c:pt idx="29">
                  <c:v>4500</c:v>
                </c:pt>
                <c:pt idx="30">
                  <c:v>4750</c:v>
                </c:pt>
                <c:pt idx="31">
                  <c:v>5000</c:v>
                </c:pt>
                <c:pt idx="32">
                  <c:v>5250</c:v>
                </c:pt>
                <c:pt idx="33">
                  <c:v>5500</c:v>
                </c:pt>
                <c:pt idx="34">
                  <c:v>5750</c:v>
                </c:pt>
                <c:pt idx="35">
                  <c:v>6000</c:v>
                </c:pt>
                <c:pt idx="36">
                  <c:v>6250</c:v>
                </c:pt>
                <c:pt idx="37">
                  <c:v>6500</c:v>
                </c:pt>
                <c:pt idx="38">
                  <c:v>6750</c:v>
                </c:pt>
                <c:pt idx="39">
                  <c:v>7000</c:v>
                </c:pt>
                <c:pt idx="40">
                  <c:v>7250</c:v>
                </c:pt>
                <c:pt idx="41">
                  <c:v>7500</c:v>
                </c:pt>
                <c:pt idx="42">
                  <c:v>7750</c:v>
                </c:pt>
                <c:pt idx="43">
                  <c:v>8000</c:v>
                </c:pt>
                <c:pt idx="44">
                  <c:v>8250</c:v>
                </c:pt>
                <c:pt idx="45">
                  <c:v>8500</c:v>
                </c:pt>
                <c:pt idx="46">
                  <c:v>8750</c:v>
                </c:pt>
                <c:pt idx="47">
                  <c:v>9000</c:v>
                </c:pt>
              </c:numCache>
            </c:numRef>
          </c:xVal>
          <c:yVal>
            <c:numRef>
              <c:f>'Calculate from Values'!$J$7:$J$54</c:f>
              <c:numCache>
                <c:formatCode>0.0</c:formatCode>
                <c:ptCount val="48"/>
                <c:pt idx="0">
                  <c:v>315.93055555555543</c:v>
                </c:pt>
                <c:pt idx="1">
                  <c:v>300.99999999999989</c:v>
                </c:pt>
                <c:pt idx="2">
                  <c:v>263.37499999999994</c:v>
                </c:pt>
                <c:pt idx="3">
                  <c:v>236.49999999999997</c:v>
                </c:pt>
                <c:pt idx="4">
                  <c:v>229.93055555555554</c:v>
                </c:pt>
                <c:pt idx="5">
                  <c:v>224.55555555555554</c:v>
                </c:pt>
                <c:pt idx="6">
                  <c:v>220.375</c:v>
                </c:pt>
                <c:pt idx="7">
                  <c:v>217.38888888888889</c:v>
                </c:pt>
                <c:pt idx="8">
                  <c:v>215.59722222222223</c:v>
                </c:pt>
                <c:pt idx="9">
                  <c:v>215</c:v>
                </c:pt>
                <c:pt idx="10">
                  <c:v>215.37326388888889</c:v>
                </c:pt>
                <c:pt idx="11">
                  <c:v>216.49305555555554</c:v>
                </c:pt>
                <c:pt idx="12">
                  <c:v>218.359375</c:v>
                </c:pt>
                <c:pt idx="13">
                  <c:v>220.97222222222223</c:v>
                </c:pt>
                <c:pt idx="14">
                  <c:v>224.33159722222223</c:v>
                </c:pt>
                <c:pt idx="15">
                  <c:v>228.4375</c:v>
                </c:pt>
                <c:pt idx="16">
                  <c:v>233.28993055555554</c:v>
                </c:pt>
                <c:pt idx="17">
                  <c:v>238.88888888888889</c:v>
                </c:pt>
                <c:pt idx="18">
                  <c:v>272.16551203617928</c:v>
                </c:pt>
                <c:pt idx="19">
                  <c:v>427.12989594839519</c:v>
                </c:pt>
                <c:pt idx="20">
                  <c:v>477.77777777777777</c:v>
                </c:pt>
                <c:pt idx="21">
                  <c:v>477.77777777777777</c:v>
                </c:pt>
                <c:pt idx="22">
                  <c:v>477.77777777777777</c:v>
                </c:pt>
                <c:pt idx="23">
                  <c:v>477.77777777777777</c:v>
                </c:pt>
                <c:pt idx="24">
                  <c:v>477.77777777777777</c:v>
                </c:pt>
                <c:pt idx="25">
                  <c:v>477.77777777777777</c:v>
                </c:pt>
                <c:pt idx="26">
                  <c:v>477.77777777777777</c:v>
                </c:pt>
                <c:pt idx="27">
                  <c:v>477.77777777777777</c:v>
                </c:pt>
                <c:pt idx="28">
                  <c:v>477.77777777777777</c:v>
                </c:pt>
                <c:pt idx="29">
                  <c:v>477.77777777777777</c:v>
                </c:pt>
                <c:pt idx="30">
                  <c:v>477.77777777777777</c:v>
                </c:pt>
                <c:pt idx="31">
                  <c:v>477.77777777777777</c:v>
                </c:pt>
                <c:pt idx="32">
                  <c:v>477.77777777777777</c:v>
                </c:pt>
                <c:pt idx="33">
                  <c:v>477.77777777777777</c:v>
                </c:pt>
                <c:pt idx="34">
                  <c:v>477.77777777777777</c:v>
                </c:pt>
                <c:pt idx="35">
                  <c:v>477.77777777777777</c:v>
                </c:pt>
                <c:pt idx="36">
                  <c:v>477.77777777777777</c:v>
                </c:pt>
                <c:pt idx="37">
                  <c:v>477.77777777777777</c:v>
                </c:pt>
                <c:pt idx="38">
                  <c:v>477.77777777777777</c:v>
                </c:pt>
                <c:pt idx="39">
                  <c:v>477.77777777777777</c:v>
                </c:pt>
                <c:pt idx="40">
                  <c:v>477.77777777777777</c:v>
                </c:pt>
                <c:pt idx="41">
                  <c:v>477.77777777777777</c:v>
                </c:pt>
                <c:pt idx="42">
                  <c:v>477.77777777777777</c:v>
                </c:pt>
                <c:pt idx="43">
                  <c:v>477.77777777777777</c:v>
                </c:pt>
                <c:pt idx="44">
                  <c:v>477.77777777777777</c:v>
                </c:pt>
                <c:pt idx="45">
                  <c:v>477.77777777777777</c:v>
                </c:pt>
                <c:pt idx="46">
                  <c:v>477.77777777777777</c:v>
                </c:pt>
                <c:pt idx="47">
                  <c:v>477.77777777777777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771192"/>
        <c:axId val="387768448"/>
      </c:scatterChart>
      <c:valAx>
        <c:axId val="387771192"/>
        <c:scaling>
          <c:orientation val="minMax"/>
          <c:max val="9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68448"/>
        <c:crosses val="autoZero"/>
        <c:crossBetween val="midCat"/>
        <c:majorUnit val="500"/>
      </c:valAx>
      <c:valAx>
        <c:axId val="387768448"/>
        <c:scaling>
          <c:orientation val="minMax"/>
          <c:max val="260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71192"/>
        <c:crosses val="autoZero"/>
        <c:crossBetween val="midCat"/>
        <c:majorUnit val="20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7522415150043117E-2"/>
          <c:y val="0.15468183533914445"/>
          <c:w val="8.1528476562206229E-2"/>
          <c:h val="7.5251362810417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  <c:pt idx="13">
                  <c:v>2100</c:v>
                </c:pt>
                <c:pt idx="14">
                  <c:v>2200</c:v>
                </c:pt>
                <c:pt idx="15">
                  <c:v>2300</c:v>
                </c:pt>
                <c:pt idx="16">
                  <c:v>2400</c:v>
                </c:pt>
                <c:pt idx="17">
                  <c:v>2500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  <c:pt idx="0">
                  <c:v>2444</c:v>
                </c:pt>
                <c:pt idx="1">
                  <c:v>2566.1999999999998</c:v>
                </c:pt>
                <c:pt idx="2">
                  <c:v>2632</c:v>
                </c:pt>
                <c:pt idx="3">
                  <c:v>2679</c:v>
                </c:pt>
                <c:pt idx="4">
                  <c:v>2716.6</c:v>
                </c:pt>
                <c:pt idx="5">
                  <c:v>2744.7999999999997</c:v>
                </c:pt>
                <c:pt idx="6">
                  <c:v>2764.54</c:v>
                </c:pt>
                <c:pt idx="7">
                  <c:v>2726</c:v>
                </c:pt>
                <c:pt idx="8">
                  <c:v>2660.2</c:v>
                </c:pt>
                <c:pt idx="9">
                  <c:v>2575.6</c:v>
                </c:pt>
                <c:pt idx="10">
                  <c:v>2491</c:v>
                </c:pt>
                <c:pt idx="11">
                  <c:v>2404.0572755417952</c:v>
                </c:pt>
                <c:pt idx="12">
                  <c:v>2283.8544117647057</c:v>
                </c:pt>
                <c:pt idx="13">
                  <c:v>2175.09943977591</c:v>
                </c:pt>
                <c:pt idx="14">
                  <c:v>1880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769232"/>
        <c:axId val="387770016"/>
      </c:scatterChart>
      <c:valAx>
        <c:axId val="387769232"/>
        <c:scaling>
          <c:orientation val="minMax"/>
          <c:max val="27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70016"/>
        <c:crosses val="autoZero"/>
        <c:crossBetween val="midCat"/>
      </c:valAx>
      <c:valAx>
        <c:axId val="3877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76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pto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(2)'!$A$2:$A$17</c:f>
              <c:numCache>
                <c:formatCode>General</c:formatCode>
                <c:ptCount val="16"/>
                <c:pt idx="0">
                  <c:v>900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2300</c:v>
                </c:pt>
              </c:numCache>
            </c:numRef>
          </c:xVal>
          <c:yVal>
            <c:numRef>
              <c:f>'Sheet1 (2)'!$C$2:$C$17</c:f>
              <c:numCache>
                <c:formatCode>General</c:formatCode>
                <c:ptCount val="16"/>
                <c:pt idx="0">
                  <c:v>0</c:v>
                </c:pt>
                <c:pt idx="1">
                  <c:v>2357.7674150500002</c:v>
                </c:pt>
                <c:pt idx="2">
                  <c:v>2357.7674150500002</c:v>
                </c:pt>
                <c:pt idx="3">
                  <c:v>2357.7674150500002</c:v>
                </c:pt>
                <c:pt idx="4">
                  <c:v>2357.7674150500002</c:v>
                </c:pt>
                <c:pt idx="5">
                  <c:v>2306.7886601300002</c:v>
                </c:pt>
                <c:pt idx="6">
                  <c:v>2153.8523953700001</c:v>
                </c:pt>
                <c:pt idx="7">
                  <c:v>2020.0331637050001</c:v>
                </c:pt>
                <c:pt idx="8">
                  <c:v>1901.507558516</c:v>
                </c:pt>
                <c:pt idx="9">
                  <c:v>1797.0011109300001</c:v>
                </c:pt>
                <c:pt idx="10">
                  <c:v>1682.29891236</c:v>
                </c:pt>
                <c:pt idx="11">
                  <c:v>1593.08609125</c:v>
                </c:pt>
                <c:pt idx="12">
                  <c:v>1503.8732701399999</c:v>
                </c:pt>
                <c:pt idx="13">
                  <c:v>637.23443650000002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882856"/>
        <c:axId val="391883248"/>
      </c:scatterChart>
      <c:valAx>
        <c:axId val="391882856"/>
        <c:scaling>
          <c:orientation val="minMax"/>
          <c:max val="2400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883248"/>
        <c:crosses val="autoZero"/>
        <c:crossBetween val="midCat"/>
      </c:valAx>
      <c:valAx>
        <c:axId val="3918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882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4</xdr:row>
      <xdr:rowOff>28575</xdr:rowOff>
    </xdr:from>
    <xdr:to>
      <xdr:col>67</xdr:col>
      <xdr:colOff>171449</xdr:colOff>
      <xdr:row>30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76202</xdr:colOff>
      <xdr:row>30</xdr:row>
      <xdr:rowOff>66675</xdr:rowOff>
    </xdr:from>
    <xdr:to>
      <xdr:col>65</xdr:col>
      <xdr:colOff>276226</xdr:colOff>
      <xdr:row>48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47624</xdr:rowOff>
    </xdr:from>
    <xdr:to>
      <xdr:col>19</xdr:col>
      <xdr:colOff>590550</xdr:colOff>
      <xdr:row>46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47624</xdr:rowOff>
    </xdr:from>
    <xdr:to>
      <xdr:col>19</xdr:col>
      <xdr:colOff>590550</xdr:colOff>
      <xdr:row>46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15" displayName="Table15" ref="A6:V54" totalsRowShown="0" headerRowDxfId="75" dataDxfId="74">
  <tableColumns count="22">
    <tableColumn id="1" name="rpm" dataDxfId="73"/>
    <tableColumn id="7" name="rawData" dataDxfId="72">
      <calculatedColumnFormula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calculatedColumnFormula>
    </tableColumn>
    <tableColumn id="9" name="manualData" dataDxfId="71"/>
    <tableColumn id="12" name="rawDataEco" dataDxfId="70">
      <calculatedColumnFormula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calculatedColumnFormula>
    </tableColumn>
    <tableColumn id="11" name="manDataEco" dataDxfId="69"/>
    <tableColumn id="4" name="motor" dataDxfId="68">
      <calculatedColumnFormula>Table36[Factor]*IF(Table15[[#This Row],[manualData]]&gt;0,Table15[[#This Row],[manualData]],Table15[[#This Row],[rawData]])</calculatedColumnFormula>
    </tableColumn>
    <tableColumn id="14" name="motorEco" dataDxfId="67">
      <calculatedColumnFormula>Table36[Factor]*IF(Table15[[#This Row],[manDataEco]]&gt;0,Table15[[#This Row],[manDataEco]],Table15[[#This Row],[rawDataEco]])</calculatedColumnFormula>
    </tableColumn>
    <tableColumn id="3" name="ps" dataDxfId="66">
      <calculatedColumnFormula>1.36*Table15[[#This Row],[rpm]]*Table15[[#This Row],[motor]]/9550</calculatedColumnFormula>
    </tableColumn>
    <tableColumn id="13" name="psEco" dataDxfId="65">
      <calculatedColumnFormula>1.36*Table15[[#This Row],[rpm]]*Table15[[#This Row],[motorEco]]/9550</calculatedColumnFormula>
    </tableColumn>
    <tableColumn id="10" name="fuelUsageRatio" dataDxfId="64">
      <calculatedColumnFormula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calculatedColumnFormula>
    </tableColumn>
    <tableColumn id="5" name="xml" dataDxfId="63">
      <calculatedColumnFormula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calculatedColumnFormula>
    </tableColumn>
    <tableColumn id="8" name="xml2" dataDxfId="62">
      <calculatedColumnFormula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calculatedColumnFormula>
    </tableColumn>
    <tableColumn id="15" name="t1" dataDxfId="61">
      <calculatedColumnFormula>(1-(1-Table15[[#This Row],[rpm]]/Table36[idleRpm])^2)*Table7[idleT]</calculatedColumnFormula>
    </tableColumn>
    <tableColumn id="18" name="t2" dataDxfId="60">
      <calculatedColumnFormula>MAX(0,(1-Table7[f1]*(Table36[maxTRpm1]-Table15[[#This Row],[rpm]])^2)*Table36[maxT])</calculatedColumnFormula>
    </tableColumn>
    <tableColumn id="19" name="t3" dataDxfId="59">
      <calculatedColumnFormula>MAX(0,(Table36[linearDown]*(1-Table7[f2]*(Table15[[#This Row],[rpm]]-Table36[maxTRpm]))+(1-Table36[linearDown])*(1-Table7[f3]*(Table15[[#This Row],[rpm]]-Table36[maxTRpm])^2))*Table36[maxT])</calculatedColumnFormula>
    </tableColumn>
    <tableColumn id="16" name="t4" dataDxfId="58">
      <calculatedColumnFormula>MAX(0,(Table36[maxPS]-Table7[f4]*(Table15[[#This Row],[rpm]]-Table36[maxPRpm])^2)/1.36*9550/MAX(1,Table15[[#This Row],[rpm]]))</calculatedColumnFormula>
    </tableColumn>
    <tableColumn id="17" name="t5" dataDxfId="57">
      <calculatedColumnFormula>MAX(0,Table7[Nm2]*MIN(Table36[ratedRpm]/MAX(1,Table15[[#This Row],[rpm]]),1-(MAX(0,Table15[[#This Row],[rpm]]-Table36[ratedRpm])/Table36[fadeOut])^Table36[fadeOutExp]))</calculatedColumnFormula>
    </tableColumn>
    <tableColumn id="21" name="t1E" dataDxfId="56">
      <calculatedColumnFormula>(1-(1-Table15[[#This Row],[rpm]]/Table36[idleRpm])^2)*Table7[idleTEco]</calculatedColumnFormula>
    </tableColumn>
    <tableColumn id="22" name="t2E" dataDxfId="55">
      <calculatedColumnFormula>MAX(0,(1-Table7[f1]*(Table36[maxTRpm1]-Table15[[#This Row],[rpm]])^2)*Table36[maxTEco])</calculatedColumnFormula>
    </tableColumn>
    <tableColumn id="23" name="t3E" dataDxfId="54">
      <calculatedColumnFormula>MAX(0,(Table36[linearDown]*(1-Table7[f2Eco]*(Table15[[#This Row],[rpm]]-Table36[maxTRpm]))+(1-Table36[linearDown])*(1-Table7[f3Eco]*(Table15[[#This Row],[rpm]]-Table36[maxTRpm])^2))*Table36[maxTEco])</calculatedColumnFormula>
    </tableColumn>
    <tableColumn id="24" name="t4E" dataDxfId="53">
      <calculatedColumnFormula>MAX(0,(Table36[maxPSEco]-Table7[f4Eco]*(Table15[[#This Row],[rpm]]-Table36[maxPRpm])^2)/1.36*9550/MAX(1,Table15[[#This Row],[rpm]]))</calculatedColumnFormula>
    </tableColumn>
    <tableColumn id="25" name="t5E" dataDxfId="52">
      <calculatedColumnFormula>MAX(0,Table7[Nm2Eco]*MIN(Table36[ratedRpm]/MAX(1,Table15[[#This Row],[rpm]]),1-(MAX(0,Table15[[#This Row],[rpm]]-Table36[ratedRpm])/Table36[fadeOut])^Table36[fadeOutExp]))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A1:Y2" totalsRowShown="0" headerRowDxfId="51">
  <autoFilter ref="A1: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5">
    <tableColumn id="10" name="maxPRpm" dataDxfId="50"/>
    <tableColumn id="14" name="maxPS" dataDxfId="49"/>
    <tableColumn id="19" name="maxPSEco" dataDxfId="48">
      <calculatedColumnFormula>Table36[maxPsEcoRate]*Table36[maxPS]</calculatedColumnFormula>
    </tableColumn>
    <tableColumn id="2" name="ratedRpm"/>
    <tableColumn id="3" name="PS"/>
    <tableColumn id="20" name="PSEco" dataDxfId="47">
      <calculatedColumnFormula>Table36[PS]*Table36[PSEcoRate]</calculatedColumnFormula>
    </tableColumn>
    <tableColumn id="12" name="maxTRpm1" dataDxfId="46"/>
    <tableColumn id="4" name="maxTRpm" dataDxfId="45"/>
    <tableColumn id="5" name="maxT" dataDxfId="44"/>
    <tableColumn id="21" name="maxTEco" dataDxfId="43">
      <calculatedColumnFormula>Table36[NmEcoRate]*Table36[maxT]</calculatedColumnFormula>
    </tableColumn>
    <tableColumn id="6" name="idleRpm"/>
    <tableColumn id="7" name="idleRatio" dataCellStyle="Percent"/>
    <tableColumn id="11" name="fadeOut" dataDxfId="42"/>
    <tableColumn id="15" name="linearDown" dataDxfId="41"/>
    <tableColumn id="25" name="fadeOutExp" dataDxfId="40"/>
    <tableColumn id="22" name="Efficiency" dataDxfId="39"/>
    <tableColumn id="16" name="Factor" dataDxfId="38"/>
    <tableColumn id="13" name="fuelMinRate" dataDxfId="37"/>
    <tableColumn id="18" name="fuelRatedRate" dataDxfId="36">
      <calculatedColumnFormula>Table36[fuelMinRate]/0.9</calculatedColumnFormula>
    </tableColumn>
    <tableColumn id="9" name="fuelMinRpm" dataDxfId="35">
      <calculatedColumnFormula>ROUND(MIN(0.6*Table36[idleRpm]+0.4*Table36[ratedRpm],0.5*Table36[maxTRpm1]+0.5*Table36[maxTRpm]),-1)</calculatedColumnFormula>
    </tableColumn>
    <tableColumn id="17" name="fuelIdleRate" dataDxfId="34">
      <calculatedColumnFormula>0.94*Table36[fuelRatedRate]</calculatedColumnFormula>
    </tableColumn>
    <tableColumn id="1" name="normRpm" dataDxfId="33">
      <calculatedColumnFormula>ROUND(Table36[ratedRpm]+0.49*Table36[fadeOut],-2)</calculatedColumnFormula>
    </tableColumn>
    <tableColumn id="8" name="PSEcoRate" dataDxfId="32"/>
    <tableColumn id="23" name="NmEcoRate"/>
    <tableColumn id="24" name="maxPsEcoRate" dataDxfId="31">
      <calculatedColumnFormula>Table36[PSEcoRate]* (Table36[maxPRpm]-Table36[maxTRpm])/(Table36[ratedRpm]-Table36[maxTRpm]) + Table36[NmEcoRate]* (1- (Table36[maxPRpm]-Table36[maxTRpm])/(Table36[ratedRpm]-Table36[maxTRpm]))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3:V4" totalsRowShown="0" headerRowDxfId="30" dataDxfId="29">
  <tableColumns count="22">
    <tableColumn id="1" name="f1" dataDxfId="28">
      <calculatedColumnFormula>(1-Table36[idleRatio])/((Table36[maxTRpm1]-Table36[idleRpm])^2)</calculatedColumnFormula>
    </tableColumn>
    <tableColumn id="2" name="f2" dataDxfId="27">
      <calculatedColumnFormula>(Table36[maxT]-Table7[Nm])/Table36[maxT]/(Table36[maxPRpm]-Table36[maxTRpm])</calculatedColumnFormula>
    </tableColumn>
    <tableColumn id="5" name="f3" dataDxfId="26">
      <calculatedColumnFormula>(Table36[maxT]-Table7[Nm])/Table36[maxT]/(Table36[maxPRpm]-Table36[maxTRpm])^2</calculatedColumnFormula>
    </tableColumn>
    <tableColumn id="6" name="f4" dataDxfId="25">
      <calculatedColumnFormula>(Table36[maxPS]-Table36[PS])/MAX(1,Table36[ratedRpm]-Table36[maxPRpm])^2</calculatedColumnFormula>
    </tableColumn>
    <tableColumn id="3" name="Nm" dataDxfId="24">
      <calculatedColumnFormula>Table36[maxPS]/1.36*9550/Table36[maxPRpm]</calculatedColumnFormula>
    </tableColumn>
    <tableColumn id="4" name="Nm2" dataDxfId="23">
      <calculatedColumnFormula>Table36[PS]/1.36*9550/Table36[ratedRpm]</calculatedColumnFormula>
    </tableColumn>
    <tableColumn id="7" name="Anfahrmoment" dataDxfId="22" dataCellStyle="Percent">
      <calculatedColumnFormula>Table7[Nm1000]/Table7[Nm2Eco]</calculatedColumnFormula>
    </tableColumn>
    <tableColumn id="17" name="AnstiegE" dataDxfId="21" dataCellStyle="Percent">
      <calculatedColumnFormula>Table36[maxTEco]/Table7[Nm2Eco]-1</calculatedColumnFormula>
    </tableColumn>
    <tableColumn id="14" name="Anstieg" dataDxfId="20" dataCellStyle="Percent">
      <calculatedColumnFormula>Table36[maxT]/Table7[Nm2]-1</calculatedColumnFormula>
    </tableColumn>
    <tableColumn id="15" name="Abfall" dataDxfId="19" dataCellStyle="Percent">
      <calculatedColumnFormula>1-Table36[maxTRpm]/Table36[ratedRpm]</calculatedColumnFormula>
    </tableColumn>
    <tableColumn id="20" name="max kW" dataDxfId="18" dataCellStyle="Percent">
      <calculatedColumnFormula>Table36[maxPS]/1.36</calculatedColumnFormula>
    </tableColumn>
    <tableColumn id="18" name="rated kW" dataDxfId="17" dataCellStyle="Percent">
      <calculatedColumnFormula>Table36[PS]/1.36</calculatedColumnFormula>
    </tableColumn>
    <tableColumn id="23" name="g/kWh" dataDxfId="16" dataCellStyle="Percent">
      <calculatedColumnFormula>Table36[fuelRatedRate]*1.1</calculatedColumnFormula>
    </tableColumn>
    <tableColumn id="16" name="Nm1000" dataDxfId="15" dataCellStyle="Percent">
      <calculatedColumnFormula>(1-Table7[f1]*(Table36[maxTRpm1]-1000)^2)*Table36[maxTEco]</calculatedColumnFormula>
    </tableColumn>
    <tableColumn id="8" name="NmEco" dataDxfId="14">
      <calculatedColumnFormula>Table36[maxPSEco]/1.36*9550/Table36[maxPRpm]</calculatedColumnFormula>
    </tableColumn>
    <tableColumn id="9" name="Nm2Eco" dataDxfId="13">
      <calculatedColumnFormula>Table36[PSEco]/1.36*9550/Table36[ratedRpm]</calculatedColumnFormula>
    </tableColumn>
    <tableColumn id="12" name="f2Eco" dataDxfId="12">
      <calculatedColumnFormula>(Table36[maxTEco]-Table7[NmEco])/Table36[maxTEco]/(Table36[maxPRpm]-Table36[maxTRpm])</calculatedColumnFormula>
    </tableColumn>
    <tableColumn id="10" name="f3Eco" dataDxfId="11">
      <calculatedColumnFormula>(Table36[maxTEco]-Table7[NmEco])/Table36[maxTEco]/(Table36[maxPRpm]-Table36[maxTRpm])^2</calculatedColumnFormula>
    </tableColumn>
    <tableColumn id="11" name="f4Eco" dataDxfId="10">
      <calculatedColumnFormula>(Table36[maxPSEco]-Table36[PSEco])/MAX(1,Table36[ratedRpm]-Table36[maxPRpm])^2</calculatedColumnFormula>
    </tableColumn>
    <tableColumn id="13" name="idleT" dataDxfId="9">
      <calculatedColumnFormula>(1-Table7[f1]*(Table36[maxTRpm1]-Table36[idleRpm])^2)*Table36[maxT]</calculatedColumnFormula>
    </tableColumn>
    <tableColumn id="19" name="idleTEco" dataDxfId="8">
      <calculatedColumnFormula>(1-Table7[f1]*(Table36[maxTRpm1]-Table36[idleRpm])^2)*Table36[maxTEco]</calculatedColumnFormula>
    </tableColumn>
    <tableColumn id="21" name="xmlComment" dataDxfId="7">
      <calculatedColumnFormula>CONCATENATE("        &lt;!-- ",Table36[maxPRpm],": ",Table36[maxPS],"(",ROUND(Table36[maxPSEco],0),") | ",Table36[ratedRpm],": ",Table36[PS],"(",ROUND(Table36[PSEco],0),") | ",Table36[maxTRpm1],"..",Table36[maxTRpm],": ",Table36[maxT],"(",ROUND(Table36[maxTEco],0),") | ",Table36[idleRatio]*100," | ",Table36[linearDown]," | ",Table36[fadeOut]," | ",Table36[fadeOutExp]," | ",Table36[normRpm]," | ",Table36[fuelMinRpm],": ",Table36[fuelMinRate]," --&gt;")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H19" totalsRowShown="0">
  <autoFilter ref="A1:H19"/>
  <tableColumns count="8">
    <tableColumn id="1" name="rpm"/>
    <tableColumn id="7" name="rawData"/>
    <tableColumn id="2" name="pto">
      <calculatedColumnFormula>$A$22*Table1[[#This Row],[rawData]]</calculatedColumnFormula>
    </tableColumn>
    <tableColumn id="6" name="kw_pto" dataDxfId="6">
      <calculatedColumnFormula>A2*C2/9550</calculatedColumnFormula>
    </tableColumn>
    <tableColumn id="3" name="ps" dataDxfId="5">
      <calculatedColumnFormula>Table1[[#This Row],[kw_pto]]*1.36/0.94</calculatedColumnFormula>
    </tableColumn>
    <tableColumn id="4" name="motor"/>
    <tableColumn id="5" name="xml" dataDxfId="4">
      <calculatedColumnFormula>CONCATENATE("&lt;torque rpm=""",Table1[[#This Row],[rpm]],""" motorTorque=""",ROUND(Table1[[#This Row],[motor]],0),"""/&gt;")</calculatedColumnFormula>
    </tableColumn>
    <tableColumn id="8" name="xml2" dataDxfId="3">
      <calculatedColumnFormula>CONCATENATE("&lt;torque normRpm=""",ROUND(Table1[[#This Row],[rpm]]/Table3[ratedRpm],3),""" torque=""",ROUND(Table1[[#This Row],[motor]]/MAX(Table1[motor]),3),"""/&gt;")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21:D22" totalsRowShown="0">
  <autoFilter ref="A21:D22"/>
  <tableColumns count="4">
    <tableColumn id="1" name="Factor">
      <calculatedColumnFormula>0.94</calculatedColumnFormula>
    </tableColumn>
    <tableColumn id="2" name="ratedRpm"/>
    <tableColumn id="3" name="PS"/>
    <tableColumn id="4" name="Nm_rated">
      <calculatedColumnFormula>Table3[PS]/1.36*9548/Table3[ratedRpm]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2" name="Table13" displayName="Table13" ref="A1:G17" totalsRowShown="0">
  <autoFilter ref="A1:G17"/>
  <tableColumns count="7">
    <tableColumn id="1" name="rpm"/>
    <tableColumn id="7" name="rawData"/>
    <tableColumn id="2" name="pto">
      <calculatedColumnFormula>$I$2*Table13[[#This Row],[rawData]]</calculatedColumnFormula>
    </tableColumn>
    <tableColumn id="6" name="kw_pto" dataDxfId="2">
      <calculatedColumnFormula>A2*C2/9550</calculatedColumnFormula>
    </tableColumn>
    <tableColumn id="3" name="ps" dataDxfId="1">
      <calculatedColumnFormula>Table13[[#This Row],[kw_pto]]*1.36/0.94</calculatedColumnFormula>
    </tableColumn>
    <tableColumn id="4" name="motor">
      <calculatedColumnFormula>C2/0.94</calculatedColumnFormula>
    </tableColumn>
    <tableColumn id="5" name="xml" dataDxfId="0">
      <calculatedColumnFormula>CONCATENATE("&lt;torque rpm=""",Table13[[#This Row],[rpm]],""" motorTorque=""",ROUND(Table13[[#This Row],[motor]],0),"""/&gt;")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workbookViewId="0">
      <selection activeCell="L3" sqref="L3"/>
    </sheetView>
  </sheetViews>
  <sheetFormatPr defaultColWidth="7.140625" defaultRowHeight="15" x14ac:dyDescent="0.25"/>
  <cols>
    <col min="1" max="1" width="10" bestFit="1" customWidth="1"/>
    <col min="2" max="3" width="12" bestFit="1" customWidth="1"/>
    <col min="4" max="4" width="7.28515625" bestFit="1" customWidth="1"/>
    <col min="5" max="5" width="10.85546875" customWidth="1"/>
    <col min="6" max="6" width="7.5703125" bestFit="1" customWidth="1"/>
    <col min="7" max="10" width="7.28515625" bestFit="1" customWidth="1"/>
    <col min="11" max="11" width="11.140625" bestFit="1" customWidth="1"/>
    <col min="12" max="12" width="11" bestFit="1" customWidth="1"/>
    <col min="13" max="14" width="7.28515625" bestFit="1" customWidth="1"/>
  </cols>
  <sheetData>
    <row r="1" spans="1:25" s="4" customFormat="1" ht="45.75" customHeight="1" thickBot="1" x14ac:dyDescent="0.3">
      <c r="A1" s="4" t="s">
        <v>18</v>
      </c>
      <c r="B1" s="4" t="s">
        <v>23</v>
      </c>
      <c r="C1" s="4" t="s">
        <v>35</v>
      </c>
      <c r="D1" s="4" t="s">
        <v>8</v>
      </c>
      <c r="E1" s="4" t="s">
        <v>10</v>
      </c>
      <c r="F1" s="4" t="s">
        <v>36</v>
      </c>
      <c r="G1" s="4" t="s">
        <v>22</v>
      </c>
      <c r="H1" s="4" t="s">
        <v>12</v>
      </c>
      <c r="I1" s="5" t="s">
        <v>13</v>
      </c>
      <c r="J1" s="4" t="s">
        <v>47</v>
      </c>
      <c r="K1" s="4" t="s">
        <v>14</v>
      </c>
      <c r="L1" s="4" t="s">
        <v>15</v>
      </c>
      <c r="M1" s="4" t="s">
        <v>21</v>
      </c>
      <c r="N1" s="4" t="s">
        <v>25</v>
      </c>
      <c r="O1" s="4" t="s">
        <v>68</v>
      </c>
      <c r="P1" s="4" t="s">
        <v>49</v>
      </c>
      <c r="Q1" s="4" t="s">
        <v>7</v>
      </c>
      <c r="R1" s="4" t="s">
        <v>31</v>
      </c>
      <c r="S1" s="4" t="s">
        <v>33</v>
      </c>
      <c r="T1" s="4" t="s">
        <v>30</v>
      </c>
      <c r="U1" s="4" t="s">
        <v>32</v>
      </c>
      <c r="V1" s="4" t="s">
        <v>60</v>
      </c>
      <c r="W1" s="4" t="s">
        <v>63</v>
      </c>
      <c r="X1" s="4" t="s">
        <v>64</v>
      </c>
      <c r="Y1" s="4" t="s">
        <v>67</v>
      </c>
    </row>
    <row r="2" spans="1:25" ht="15.75" thickBot="1" x14ac:dyDescent="0.3">
      <c r="A2" s="12">
        <v>1900</v>
      </c>
      <c r="B2" s="13">
        <v>220</v>
      </c>
      <c r="C2" s="17">
        <f>Table36[maxPsEcoRate]*Table36[maxPS]</f>
        <v>220</v>
      </c>
      <c r="D2" s="7">
        <v>2100</v>
      </c>
      <c r="E2" s="8">
        <v>200</v>
      </c>
      <c r="F2" s="18">
        <f>Table36[PS]*Table36[PSEcoRate]</f>
        <v>200</v>
      </c>
      <c r="G2" s="12">
        <v>1200</v>
      </c>
      <c r="H2" s="13">
        <v>1400</v>
      </c>
      <c r="I2" s="13">
        <v>900</v>
      </c>
      <c r="J2" s="17">
        <f>Table36[NmEcoRate]*Table36[maxT]</f>
        <v>900</v>
      </c>
      <c r="K2" s="29">
        <v>900</v>
      </c>
      <c r="L2" s="30">
        <v>0.9</v>
      </c>
      <c r="M2" s="31">
        <v>220</v>
      </c>
      <c r="N2" s="12">
        <v>0.5</v>
      </c>
      <c r="O2" s="13">
        <v>2.2999999999999998</v>
      </c>
      <c r="P2" s="13">
        <v>0.94</v>
      </c>
      <c r="Q2" s="14">
        <v>1</v>
      </c>
      <c r="R2" s="28">
        <v>215</v>
      </c>
      <c r="S2" s="15">
        <f>Table36[fuelMinRate]/0.9</f>
        <v>238.88888888888889</v>
      </c>
      <c r="T2" s="16">
        <f>ROUND(MIN(0.6*Table36[idleRpm]+0.4*Table36[ratedRpm],0.5*Table36[maxTRpm1]+0.5*Table36[maxTRpm]),-1)</f>
        <v>1300</v>
      </c>
      <c r="U2" s="18">
        <f>0.94*Table36[fuelRatedRate]</f>
        <v>224.55555555555554</v>
      </c>
      <c r="V2" s="15">
        <f>ROUND(Table36[ratedRpm]+0.49*Table36[fadeOut],-2)</f>
        <v>2200</v>
      </c>
      <c r="W2" s="7">
        <v>1</v>
      </c>
      <c r="X2" s="9">
        <v>1</v>
      </c>
      <c r="Y2" s="26">
        <f>Table36[PSEcoRate]* (Table36[maxPRpm]-Table36[maxTRpm])/(Table36[ratedRpm]-Table36[maxTRpm]) + Table36[NmEcoRate]* (1- (Table36[maxPRpm]-Table36[maxTRpm])/(Table36[ratedRpm]-Table36[maxTRpm]))</f>
        <v>1</v>
      </c>
    </row>
    <row r="3" spans="1:25" x14ac:dyDescent="0.25">
      <c r="A3" s="11" t="s">
        <v>16</v>
      </c>
      <c r="B3" s="11" t="s">
        <v>17</v>
      </c>
      <c r="C3" s="11" t="s">
        <v>24</v>
      </c>
      <c r="D3" s="11" t="s">
        <v>26</v>
      </c>
      <c r="E3" s="11" t="s">
        <v>19</v>
      </c>
      <c r="F3" s="11" t="s">
        <v>20</v>
      </c>
      <c r="G3" s="23" t="s">
        <v>27</v>
      </c>
      <c r="H3" s="24" t="s">
        <v>66</v>
      </c>
      <c r="I3" s="24" t="s">
        <v>61</v>
      </c>
      <c r="J3" s="24" t="s">
        <v>62</v>
      </c>
      <c r="K3" s="23" t="s">
        <v>70</v>
      </c>
      <c r="L3" s="24" t="s">
        <v>71</v>
      </c>
      <c r="M3" s="25" t="s">
        <v>69</v>
      </c>
      <c r="N3" s="11" t="s">
        <v>65</v>
      </c>
      <c r="O3" s="11" t="s">
        <v>37</v>
      </c>
      <c r="P3" s="11" t="s">
        <v>38</v>
      </c>
      <c r="Q3" s="11" t="s">
        <v>41</v>
      </c>
      <c r="R3" s="11" t="s">
        <v>39</v>
      </c>
      <c r="S3" s="11" t="s">
        <v>40</v>
      </c>
      <c r="T3" s="11" t="s">
        <v>42</v>
      </c>
      <c r="U3" s="11" t="s">
        <v>48</v>
      </c>
      <c r="V3" s="11" t="s">
        <v>28</v>
      </c>
    </row>
    <row r="4" spans="1:25" ht="15.75" thickBot="1" x14ac:dyDescent="0.3">
      <c r="A4" s="11">
        <f>(1-Table36[idleRatio])/((Table36[maxTRpm1]-Table36[idleRpm])^2)</f>
        <v>1.1111111111111108E-6</v>
      </c>
      <c r="B4" s="11">
        <f>(Table36[maxT]-Table7[Nm])/Table36[maxT]/(Table36[maxPRpm]-Table36[maxTRpm])</f>
        <v>1.9315445476436203E-4</v>
      </c>
      <c r="C4" s="11">
        <f>(Table36[maxT]-Table7[Nm])/Table36[maxT]/(Table36[maxPRpm]-Table36[maxTRpm])^2</f>
        <v>3.8630890952872404E-7</v>
      </c>
      <c r="D4" s="11">
        <f>(Table36[maxPS]-Table36[PS])/MAX(1,Table36[ratedRpm]-Table36[maxPRpm])^2</f>
        <v>5.0000000000000001E-4</v>
      </c>
      <c r="E4" s="11">
        <f>Table36[maxPS]/1.36*9550/Table36[maxPRpm]</f>
        <v>813.08049535603709</v>
      </c>
      <c r="F4" s="11">
        <f>Table36[PS]/1.36*9550/Table36[ratedRpm]</f>
        <v>668.76750700280115</v>
      </c>
      <c r="G4" s="21">
        <f>Table7[Nm1000]/Table7[Nm2Eco]</f>
        <v>1.2859476439790576</v>
      </c>
      <c r="H4" s="22">
        <f>Table36[maxTEco]/Table7[Nm2Eco]-1</f>
        <v>0.34575916230366488</v>
      </c>
      <c r="I4" s="22">
        <f>Table36[maxT]/Table7[Nm2]-1</f>
        <v>0.34575916230366488</v>
      </c>
      <c r="J4" s="22">
        <f>1-Table36[maxTRpm]/Table36[ratedRpm]</f>
        <v>0.33333333333333337</v>
      </c>
      <c r="K4" s="32">
        <f>Table36[maxPS]/1.36</f>
        <v>161.76470588235293</v>
      </c>
      <c r="L4" s="33">
        <f>Table36[PS]/1.36</f>
        <v>147.05882352941177</v>
      </c>
      <c r="M4" s="34">
        <f>Table36[fuelRatedRate]*1.1</f>
        <v>262.77777777777777</v>
      </c>
      <c r="N4" s="11">
        <f>(1-Table7[f1]*(Table36[maxTRpm1]-1000)^2)*Table36[maxTEco]</f>
        <v>860</v>
      </c>
      <c r="O4" s="11">
        <f>Table36[maxPSEco]/1.36*9550/Table36[maxPRpm]</f>
        <v>813.08049535603709</v>
      </c>
      <c r="P4" s="11">
        <f>Table36[PSEco]/1.36*9550/Table36[ratedRpm]</f>
        <v>668.76750700280115</v>
      </c>
      <c r="Q4" s="11">
        <f>(Table36[maxTEco]-Table7[NmEco])/Table36[maxTEco]/(Table36[maxPRpm]-Table36[maxTRpm])</f>
        <v>1.9315445476436203E-4</v>
      </c>
      <c r="R4" s="11">
        <f>(Table36[maxTEco]-Table7[NmEco])/Table36[maxTEco]/(Table36[maxPRpm]-Table36[maxTRpm])^2</f>
        <v>3.8630890952872404E-7</v>
      </c>
      <c r="S4" s="11">
        <f>(Table36[maxPSEco]-Table36[PSEco])/MAX(1,Table36[ratedRpm]-Table36[maxPRpm])^2</f>
        <v>5.0000000000000001E-4</v>
      </c>
      <c r="T4" s="11">
        <f>(1-Table7[f1]*(Table36[maxTRpm1]-Table36[idleRpm])^2)*Table36[maxT]</f>
        <v>810</v>
      </c>
      <c r="U4" s="11">
        <f>(1-Table7[f1]*(Table36[maxTRpm1]-Table36[idleRpm])^2)*Table36[maxTEco]</f>
        <v>810</v>
      </c>
      <c r="V4" s="11" t="str">
        <f>CONCATENATE("        &lt;!-- ",Table36[maxPRpm],": ",Table36[maxPS],"(",ROUND(Table36[maxPSEco],0),") | ",Table36[ratedRpm],": ",Table36[PS],"(",ROUND(Table36[PSEco],0),") | ",Table36[maxTRpm1],"..",Table36[maxTRpm],": ",Table36[maxT],"(",ROUND(Table36[maxTEco],0),") | ",Table36[idleRatio]*100," | ",Table36[linearDown]," | ",Table36[fadeOut]," | ",Table36[fadeOutExp]," | ",Table36[normRpm]," | ",Table36[fuelMinRpm],": ",Table36[fuelMinRate]," --&gt;")</f>
        <v xml:space="preserve">        &lt;!-- 1900: 220(220) | 2100: 200(200) | 1200..1400: 900(900) | 90 | 0.5 | 220 | 2.3 | 2200 | 1300: 215 --&gt;</v>
      </c>
    </row>
    <row r="6" spans="1:25" s="4" customFormat="1" ht="62.25" thickBot="1" x14ac:dyDescent="0.3">
      <c r="A6" s="4" t="s">
        <v>0</v>
      </c>
      <c r="B6" s="4" t="s">
        <v>5</v>
      </c>
      <c r="C6" s="4" t="s">
        <v>29</v>
      </c>
      <c r="D6" s="4" t="s">
        <v>43</v>
      </c>
      <c r="E6" s="4" t="s">
        <v>44</v>
      </c>
      <c r="F6" s="4" t="s">
        <v>4</v>
      </c>
      <c r="G6" s="4" t="s">
        <v>46</v>
      </c>
      <c r="H6" s="4" t="s">
        <v>1</v>
      </c>
      <c r="I6" s="4" t="s">
        <v>45</v>
      </c>
      <c r="J6" s="4" t="s">
        <v>34</v>
      </c>
      <c r="K6" s="6" t="s">
        <v>3</v>
      </c>
      <c r="L6" s="4" t="s">
        <v>9</v>
      </c>
      <c r="M6" s="4" t="s">
        <v>50</v>
      </c>
      <c r="N6" s="4" t="s">
        <v>51</v>
      </c>
      <c r="O6" s="4" t="s">
        <v>52</v>
      </c>
      <c r="P6" s="4" t="s">
        <v>53</v>
      </c>
      <c r="Q6" s="4" t="s">
        <v>54</v>
      </c>
      <c r="R6" s="4" t="s">
        <v>55</v>
      </c>
      <c r="S6" s="4" t="s">
        <v>56</v>
      </c>
      <c r="T6" s="4" t="s">
        <v>59</v>
      </c>
      <c r="U6" s="4" t="s">
        <v>57</v>
      </c>
      <c r="V6" s="4" t="s">
        <v>58</v>
      </c>
    </row>
    <row r="7" spans="1:25" x14ac:dyDescent="0.25">
      <c r="A7" s="3">
        <v>0</v>
      </c>
      <c r="B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7" s="19"/>
      <c r="D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7" s="19"/>
      <c r="F7" s="3">
        <f>Table36[Factor]*IF(Table15[[#This Row],[manualData]]&gt;0,Table15[[#This Row],[manualData]],Table15[[#This Row],[rawData]])</f>
        <v>0</v>
      </c>
      <c r="G7" s="3">
        <f>Table36[Factor]*IF(Table15[[#This Row],[manDataEco]]&gt;0,Table15[[#This Row],[manDataEco]],Table15[[#This Row],[rawDataEco]])</f>
        <v>0</v>
      </c>
      <c r="H7" s="27">
        <f>1.36*Table15[[#This Row],[rpm]]*Table15[[#This Row],[motor]]/9550</f>
        <v>0</v>
      </c>
      <c r="I7" s="27">
        <f>1.36*Table15[[#This Row],[rpm]]*Table15[[#This Row],[motorEco]]/9550</f>
        <v>0</v>
      </c>
      <c r="J7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315.93055555555543</v>
      </c>
      <c r="K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&lt;!-- 1900: 220(220) | 2100: 200(200) | 1200..1400: 900(900) | 90 | 0.5 | 220 | 2.3 | 2200 | 1300: 215 --&gt;</v>
      </c>
      <c r="L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&lt;!-- 1900: 220(220) | 2100: 200(200) | 1200..1400: 900(900) | 90 | 0.5 | 220 | 2.3 | 2200 | 1300: 215 --&gt;</v>
      </c>
      <c r="M7" s="3">
        <f>(1-(1-Table15[[#This Row],[rpm]]/Table36[idleRpm])^2)*Table7[idleT]</f>
        <v>0</v>
      </c>
      <c r="N7" s="3">
        <f>MAX(0,(1-Table7[f1]*(Table36[maxTRpm1]-Table15[[#This Row],[rpm]])^2)*Table36[maxT])</f>
        <v>0</v>
      </c>
      <c r="O7" s="3">
        <f>MAX(0,(Table36[linearDown]*(1-Table7[f2]*(Table15[[#This Row],[rpm]]-Table36[maxTRpm]))+(1-Table36[linearDown])*(1-Table7[f3]*(Table15[[#This Row],[rpm]]-Table36[maxTRpm])^2))*Table36[maxT])</f>
        <v>680.96284829721344</v>
      </c>
      <c r="P7" s="3">
        <f>MAX(0,(Table36[maxPS]-Table7[f4]*(Table15[[#This Row],[rpm]]-Table36[maxPRpm])^2)/1.36*9550/MAX(1,Table15[[#This Row],[rpm]]))</f>
        <v>0</v>
      </c>
      <c r="Q7" s="3">
        <f>MAX(0,Table7[Nm2]*MIN(Table36[ratedRpm]/MAX(1,Table15[[#This Row],[rpm]]),1-(MAX(0,Table15[[#This Row],[rpm]]-Table36[ratedRpm])/Table36[fadeOut])^Table36[fadeOutExp]))</f>
        <v>668.76750700280115</v>
      </c>
      <c r="R7" s="3">
        <f>(1-(1-Table15[[#This Row],[rpm]]/Table36[idleRpm])^2)*Table7[idleTEco]</f>
        <v>0</v>
      </c>
      <c r="S7" s="3">
        <f>MAX(0,(1-Table7[f1]*(Table36[maxTRpm1]-Table15[[#This Row],[rpm]])^2)*Table36[maxTEco])</f>
        <v>0</v>
      </c>
      <c r="T7" s="3">
        <f>MAX(0,(Table36[linearDown]*(1-Table7[f2Eco]*(Table15[[#This Row],[rpm]]-Table36[maxTRpm]))+(1-Table36[linearDown])*(1-Table7[f3Eco]*(Table15[[#This Row],[rpm]]-Table36[maxTRpm])^2))*Table36[maxTEco])</f>
        <v>680.96284829721344</v>
      </c>
      <c r="U7" s="3">
        <f>MAX(0,(Table36[maxPSEco]-Table7[f4Eco]*(Table15[[#This Row],[rpm]]-Table36[maxPRpm])^2)/1.36*9550/MAX(1,Table15[[#This Row],[rpm]]))</f>
        <v>0</v>
      </c>
      <c r="V7" s="3">
        <f>MAX(0,Table7[Nm2Eco]*MIN(Table36[ratedRpm]/MAX(1,Table15[[#This Row],[rpm]]),1-(MAX(0,Table15[[#This Row],[rpm]]-Table36[ratedRpm])/Table36[fadeOut])^Table36[fadeOutExp]))</f>
        <v>668.76750700280115</v>
      </c>
    </row>
    <row r="8" spans="1:25" x14ac:dyDescent="0.25">
      <c r="A8" s="3">
        <v>100</v>
      </c>
      <c r="B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151.11111111111111</v>
      </c>
      <c r="C8" s="20"/>
      <c r="D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151.11111111111111</v>
      </c>
      <c r="E8" s="20"/>
      <c r="F8" s="3">
        <f>Table36[Factor]*IF(Table15[[#This Row],[manualData]]&gt;0,Table15[[#This Row],[manualData]],Table15[[#This Row],[rawData]])</f>
        <v>151.11111111111111</v>
      </c>
      <c r="G8" s="3">
        <f>Table36[Factor]*IF(Table15[[#This Row],[manDataEco]]&gt;0,Table15[[#This Row],[manDataEco]],Table15[[#This Row],[rawDataEco]])</f>
        <v>151.11111111111111</v>
      </c>
      <c r="H8" s="27">
        <f>1.36*Table15[[#This Row],[rpm]]*Table15[[#This Row],[motor]]/9550</f>
        <v>2.1519488074461899</v>
      </c>
      <c r="I8" s="27">
        <f>1.36*Table15[[#This Row],[rpm]]*Table15[[#This Row],[motorEco]]/9550</f>
        <v>2.1519488074461899</v>
      </c>
      <c r="J8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300.99999999999989</v>
      </c>
      <c r="K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rpm="100" motorTorque="151" fuelUsageRatio="301"/&gt;</v>
      </c>
      <c r="L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normRpm="0.045" torque="0.168"/&gt;</v>
      </c>
      <c r="M8" s="3">
        <f>(1-(1-Table15[[#This Row],[rpm]]/Table36[idleRpm])^2)*Table7[idleT]</f>
        <v>170.00000000000003</v>
      </c>
      <c r="N8" s="3">
        <f>MAX(0,(1-Table7[f1]*(Table36[maxTRpm1]-Table15[[#This Row],[rpm]])^2)*Table36[maxT])</f>
        <v>0</v>
      </c>
      <c r="O8" s="3">
        <f>MAX(0,(Table36[linearDown]*(1-Table7[f2]*(Table15[[#This Row],[rpm]]-Table36[maxTRpm]))+(1-Table36[linearDown])*(1-Table7[f3]*(Table15[[#This Row],[rpm]]-Table36[maxTRpm])^2))*Table36[maxT])</f>
        <v>719.20743034055727</v>
      </c>
      <c r="P8" s="3">
        <f>MAX(0,(Table36[maxPS]-Table7[f4]*(Table15[[#This Row],[rpm]]-Table36[maxPRpm])^2)/1.36*9550/MAX(1,Table15[[#This Row],[rpm]]))</f>
        <v>0</v>
      </c>
      <c r="Q8" s="3">
        <f>MAX(0,Table7[Nm2]*MIN(Table36[ratedRpm]/MAX(1,Table15[[#This Row],[rpm]]),1-(MAX(0,Table15[[#This Row],[rpm]]-Table36[ratedRpm])/Table36[fadeOut])^Table36[fadeOutExp]))</f>
        <v>668.76750700280115</v>
      </c>
      <c r="R8" s="3">
        <f>(1-(1-Table15[[#This Row],[rpm]]/Table36[idleRpm])^2)*Table7[idleTEco]</f>
        <v>170.00000000000003</v>
      </c>
      <c r="S8" s="3">
        <f>MAX(0,(1-Table7[f1]*(Table36[maxTRpm1]-Table15[[#This Row],[rpm]])^2)*Table36[maxTEco])</f>
        <v>0</v>
      </c>
      <c r="T8" s="3">
        <f>MAX(0,(Table36[linearDown]*(1-Table7[f2Eco]*(Table15[[#This Row],[rpm]]-Table36[maxTRpm]))+(1-Table36[linearDown])*(1-Table7[f3Eco]*(Table15[[#This Row],[rpm]]-Table36[maxTRpm])^2))*Table36[maxTEco])</f>
        <v>719.20743034055727</v>
      </c>
      <c r="U8" s="3">
        <f>MAX(0,(Table36[maxPSEco]-Table7[f4Eco]*(Table15[[#This Row],[rpm]]-Table36[maxPRpm])^2)/1.36*9550/MAX(1,Table15[[#This Row],[rpm]]))</f>
        <v>0</v>
      </c>
      <c r="V8" s="3">
        <f>MAX(0,Table7[Nm2Eco]*MIN(Table36[ratedRpm]/MAX(1,Table15[[#This Row],[rpm]]),1-(MAX(0,Table15[[#This Row],[rpm]]-Table36[ratedRpm])/Table36[fadeOut])^Table36[fadeOutExp]))</f>
        <v>668.76750700280115</v>
      </c>
    </row>
    <row r="9" spans="1:25" x14ac:dyDescent="0.25">
      <c r="A9" s="3">
        <v>400</v>
      </c>
      <c r="B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426.66666666666674</v>
      </c>
      <c r="C9" s="20"/>
      <c r="D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426.66666666666674</v>
      </c>
      <c r="E9" s="20"/>
      <c r="F9" s="3">
        <f>Table36[Factor]*IF(Table15[[#This Row],[manualData]]&gt;0,Table15[[#This Row],[manualData]],Table15[[#This Row],[rawData]])</f>
        <v>426.66666666666674</v>
      </c>
      <c r="G9" s="3">
        <f>Table36[Factor]*IF(Table15[[#This Row],[manDataEco]]&gt;0,Table15[[#This Row],[manDataEco]],Table15[[#This Row],[rawDataEco]])</f>
        <v>426.66666666666674</v>
      </c>
      <c r="H9" s="27">
        <f>1.36*Table15[[#This Row],[rpm]]*Table15[[#This Row],[motor]]/9550</f>
        <v>24.304363001745205</v>
      </c>
      <c r="I9" s="27">
        <f>1.36*Table15[[#This Row],[rpm]]*Table15[[#This Row],[motorEco]]/9550</f>
        <v>24.304363001745205</v>
      </c>
      <c r="J9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263.37499999999994</v>
      </c>
      <c r="K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rpm="400" motorTorque="427" fuelUsageRatio="263.4"/&gt;</v>
      </c>
      <c r="L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normRpm="0.182" torque="0.474"/&gt;</v>
      </c>
      <c r="M9" s="3">
        <f>(1-(1-Table15[[#This Row],[rpm]]/Table36[idleRpm])^2)*Table7[idleT]</f>
        <v>560</v>
      </c>
      <c r="N9" s="3">
        <f>MAX(0,(1-Table7[f1]*(Table36[maxTRpm1]-Table15[[#This Row],[rpm]])^2)*Table36[maxT])</f>
        <v>260.00000000000017</v>
      </c>
      <c r="O9" s="3">
        <f>MAX(0,(Table36[linearDown]*(1-Table7[f2]*(Table15[[#This Row],[rpm]]-Table36[maxTRpm]))+(1-Table36[linearDown])*(1-Table7[f3]*(Table15[[#This Row],[rpm]]-Table36[maxTRpm])^2))*Table36[maxT])</f>
        <v>813.08049535603709</v>
      </c>
      <c r="P9" s="3">
        <f>MAX(0,(Table36[maxPS]-Table7[f4]*(Table15[[#This Row],[rpm]]-Table36[maxPRpm])^2)/1.36*9550/MAX(1,Table15[[#This Row],[rpm]]))</f>
        <v>0</v>
      </c>
      <c r="Q9" s="3">
        <f>MAX(0,Table7[Nm2]*MIN(Table36[ratedRpm]/MAX(1,Table15[[#This Row],[rpm]]),1-(MAX(0,Table15[[#This Row],[rpm]]-Table36[ratedRpm])/Table36[fadeOut])^Table36[fadeOutExp]))</f>
        <v>668.76750700280115</v>
      </c>
      <c r="R9" s="3">
        <f>(1-(1-Table15[[#This Row],[rpm]]/Table36[idleRpm])^2)*Table7[idleTEco]</f>
        <v>560</v>
      </c>
      <c r="S9" s="3">
        <f>MAX(0,(1-Table7[f1]*(Table36[maxTRpm1]-Table15[[#This Row],[rpm]])^2)*Table36[maxTEco])</f>
        <v>260.00000000000017</v>
      </c>
      <c r="T9" s="3">
        <f>MAX(0,(Table36[linearDown]*(1-Table7[f2Eco]*(Table15[[#This Row],[rpm]]-Table36[maxTRpm]))+(1-Table36[linearDown])*(1-Table7[f3Eco]*(Table15[[#This Row],[rpm]]-Table36[maxTRpm])^2))*Table36[maxTEco])</f>
        <v>813.08049535603709</v>
      </c>
      <c r="U9" s="3">
        <f>MAX(0,(Table36[maxPSEco]-Table7[f4Eco]*(Table15[[#This Row],[rpm]]-Table36[maxPRpm])^2)/1.36*9550/MAX(1,Table15[[#This Row],[rpm]]))</f>
        <v>0</v>
      </c>
      <c r="V9" s="3">
        <f>MAX(0,Table7[Nm2Eco]*MIN(Table36[ratedRpm]/MAX(1,Table15[[#This Row],[rpm]]),1-(MAX(0,Table15[[#This Row],[rpm]]-Table36[ratedRpm])/Table36[fadeOut])^Table36[fadeOutExp]))</f>
        <v>668.76750700280115</v>
      </c>
    </row>
    <row r="10" spans="1:25" x14ac:dyDescent="0.25">
      <c r="A10" s="3">
        <v>700</v>
      </c>
      <c r="B1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676.66666666666674</v>
      </c>
      <c r="C10" s="20"/>
      <c r="D1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676.66666666666674</v>
      </c>
      <c r="E10" s="20"/>
      <c r="F10" s="3">
        <f>Table36[Factor]*IF(Table15[[#This Row],[manualData]]&gt;0,Table15[[#This Row],[manualData]],Table15[[#This Row],[rawData]])</f>
        <v>676.66666666666674</v>
      </c>
      <c r="G10" s="3">
        <f>Table36[Factor]*IF(Table15[[#This Row],[manDataEco]]&gt;0,Table15[[#This Row],[manDataEco]],Table15[[#This Row],[rawDataEco]])</f>
        <v>676.66666666666674</v>
      </c>
      <c r="H10" s="27">
        <f>1.36*Table15[[#This Row],[rpm]]*Table15[[#This Row],[motor]]/9550</f>
        <v>67.454101221640514</v>
      </c>
      <c r="I10" s="27">
        <f>1.36*Table15[[#This Row],[rpm]]*Table15[[#This Row],[motorEco]]/9550</f>
        <v>67.454101221640514</v>
      </c>
      <c r="J10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236.49999999999997</v>
      </c>
      <c r="K1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rpm="700" motorTorque="677" fuelUsageRatio="236.5"/&gt;</v>
      </c>
      <c r="L1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normRpm="0.318" torque="0.752"/&gt;</v>
      </c>
      <c r="M10" s="3">
        <f>(1-(1-Table15[[#This Row],[rpm]]/Table36[idleRpm])^2)*Table7[idleT]</f>
        <v>770</v>
      </c>
      <c r="N10" s="3">
        <f>MAX(0,(1-Table7[f1]*(Table36[maxTRpm1]-Table15[[#This Row],[rpm]])^2)*Table36[maxT])</f>
        <v>650.00000000000011</v>
      </c>
      <c r="O10" s="3">
        <f>MAX(0,(Table36[linearDown]*(1-Table7[f2]*(Table15[[#This Row],[rpm]]-Table36[maxTRpm]))+(1-Table36[linearDown])*(1-Table7[f3]*(Table15[[#This Row],[rpm]]-Table36[maxTRpm])^2))*Table36[maxT])</f>
        <v>875.66253869969023</v>
      </c>
      <c r="P10" s="3">
        <f>MAX(0,(Table36[maxPS]-Table7[f4]*(Table15[[#This Row],[rpm]]-Table36[maxPRpm])^2)/1.36*9550/MAX(1,Table15[[#This Row],[rpm]]))</f>
        <v>0</v>
      </c>
      <c r="Q10" s="3">
        <f>MAX(0,Table7[Nm2]*MIN(Table36[ratedRpm]/MAX(1,Table15[[#This Row],[rpm]]),1-(MAX(0,Table15[[#This Row],[rpm]]-Table36[ratedRpm])/Table36[fadeOut])^Table36[fadeOutExp]))</f>
        <v>668.76750700280115</v>
      </c>
      <c r="R10" s="3">
        <f>(1-(1-Table15[[#This Row],[rpm]]/Table36[idleRpm])^2)*Table7[idleTEco]</f>
        <v>770</v>
      </c>
      <c r="S10" s="3">
        <f>MAX(0,(1-Table7[f1]*(Table36[maxTRpm1]-Table15[[#This Row],[rpm]])^2)*Table36[maxTEco])</f>
        <v>650.00000000000011</v>
      </c>
      <c r="T10" s="3">
        <f>MAX(0,(Table36[linearDown]*(1-Table7[f2Eco]*(Table15[[#This Row],[rpm]]-Table36[maxTRpm]))+(1-Table36[linearDown])*(1-Table7[f3Eco]*(Table15[[#This Row],[rpm]]-Table36[maxTRpm])^2))*Table36[maxTEco])</f>
        <v>875.66253869969023</v>
      </c>
      <c r="U10" s="3">
        <f>MAX(0,(Table36[maxPSEco]-Table7[f4Eco]*(Table15[[#This Row],[rpm]]-Table36[maxPRpm])^2)/1.36*9550/MAX(1,Table15[[#This Row],[rpm]]))</f>
        <v>0</v>
      </c>
      <c r="V10" s="3">
        <f>MAX(0,Table7[Nm2Eco]*MIN(Table36[ratedRpm]/MAX(1,Table15[[#This Row],[rpm]]),1-(MAX(0,Table15[[#This Row],[rpm]]-Table36[ratedRpm])/Table36[fadeOut])^Table36[fadeOutExp]))</f>
        <v>668.76750700280115</v>
      </c>
    </row>
    <row r="11" spans="1:25" x14ac:dyDescent="0.25">
      <c r="A11" s="3">
        <v>800</v>
      </c>
      <c r="B1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746.66666666666674</v>
      </c>
      <c r="C11" s="20"/>
      <c r="D1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746.66666666666674</v>
      </c>
      <c r="E11" s="20"/>
      <c r="F11" s="3">
        <f>Table36[Factor]*IF(Table15[[#This Row],[manualData]]&gt;0,Table15[[#This Row],[manualData]],Table15[[#This Row],[rawData]])</f>
        <v>746.66666666666674</v>
      </c>
      <c r="G11" s="3">
        <f>Table36[Factor]*IF(Table15[[#This Row],[manDataEco]]&gt;0,Table15[[#This Row],[manDataEco]],Table15[[#This Row],[rawDataEco]])</f>
        <v>746.66666666666674</v>
      </c>
      <c r="H11" s="27">
        <f>1.36*Table15[[#This Row],[rpm]]*Table15[[#This Row],[motor]]/9550</f>
        <v>85.065270506108206</v>
      </c>
      <c r="I11" s="27">
        <f>1.36*Table15[[#This Row],[rpm]]*Table15[[#This Row],[motorEco]]/9550</f>
        <v>85.065270506108206</v>
      </c>
      <c r="J11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229.93055555555554</v>
      </c>
      <c r="K1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rpm="800" motorTorque="747" fuelUsageRatio="229.9"/&gt;</v>
      </c>
      <c r="L1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normRpm="0.364" torque="0.83"/&gt;</v>
      </c>
      <c r="M11" s="3">
        <f>(1-(1-Table15[[#This Row],[rpm]]/Table36[idleRpm])^2)*Table7[idleT]</f>
        <v>800</v>
      </c>
      <c r="N11" s="3">
        <f>MAX(0,(1-Table7[f1]*(Table36[maxTRpm1]-Table15[[#This Row],[rpm]])^2)*Table36[maxT])</f>
        <v>740.00000000000011</v>
      </c>
      <c r="O11" s="3">
        <f>MAX(0,(Table36[linearDown]*(1-Table7[f2]*(Table15[[#This Row],[rpm]]-Table36[maxTRpm]))+(1-Table36[linearDown])*(1-Table7[f3]*(Table15[[#This Row],[rpm]]-Table36[maxTRpm])^2))*Table36[maxT])</f>
        <v>889.5696594427244</v>
      </c>
      <c r="P11" s="3">
        <f>MAX(0,(Table36[maxPS]-Table7[f4]*(Table15[[#This Row],[rpm]]-Table36[maxPRpm])^2)/1.36*9550/MAX(1,Table15[[#This Row],[rpm]]))</f>
        <v>0</v>
      </c>
      <c r="Q11" s="3">
        <f>MAX(0,Table7[Nm2]*MIN(Table36[ratedRpm]/MAX(1,Table15[[#This Row],[rpm]]),1-(MAX(0,Table15[[#This Row],[rpm]]-Table36[ratedRpm])/Table36[fadeOut])^Table36[fadeOutExp]))</f>
        <v>668.76750700280115</v>
      </c>
      <c r="R11" s="3">
        <f>(1-(1-Table15[[#This Row],[rpm]]/Table36[idleRpm])^2)*Table7[idleTEco]</f>
        <v>800</v>
      </c>
      <c r="S11" s="3">
        <f>MAX(0,(1-Table7[f1]*(Table36[maxTRpm1]-Table15[[#This Row],[rpm]])^2)*Table36[maxTEco])</f>
        <v>740.00000000000011</v>
      </c>
      <c r="T11" s="3">
        <f>MAX(0,(Table36[linearDown]*(1-Table7[f2Eco]*(Table15[[#This Row],[rpm]]-Table36[maxTRpm]))+(1-Table36[linearDown])*(1-Table7[f3Eco]*(Table15[[#This Row],[rpm]]-Table36[maxTRpm])^2))*Table36[maxTEco])</f>
        <v>889.5696594427244</v>
      </c>
      <c r="U11" s="3">
        <f>MAX(0,(Table36[maxPSEco]-Table7[f4Eco]*(Table15[[#This Row],[rpm]]-Table36[maxPRpm])^2)/1.36*9550/MAX(1,Table15[[#This Row],[rpm]]))</f>
        <v>0</v>
      </c>
      <c r="V11" s="3">
        <f>MAX(0,Table7[Nm2Eco]*MIN(Table36[ratedRpm]/MAX(1,Table15[[#This Row],[rpm]]),1-(MAX(0,Table15[[#This Row],[rpm]]-Table36[ratedRpm])/Table36[fadeOut])^Table36[fadeOutExp]))</f>
        <v>668.76750700280115</v>
      </c>
    </row>
    <row r="12" spans="1:25" x14ac:dyDescent="0.25">
      <c r="A12" s="3">
        <v>900</v>
      </c>
      <c r="B1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810</v>
      </c>
      <c r="C12" s="20"/>
      <c r="D1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810</v>
      </c>
      <c r="E12" s="20"/>
      <c r="F12" s="3">
        <f>Table36[Factor]*IF(Table15[[#This Row],[manualData]]&gt;0,Table15[[#This Row],[manualData]],Table15[[#This Row],[rawData]])</f>
        <v>810</v>
      </c>
      <c r="G12" s="3">
        <f>Table36[Factor]*IF(Table15[[#This Row],[manDataEco]]&gt;0,Table15[[#This Row],[manDataEco]],Table15[[#This Row],[rawDataEco]])</f>
        <v>810</v>
      </c>
      <c r="H12" s="27">
        <f>1.36*Table15[[#This Row],[rpm]]*Table15[[#This Row],[motor]]/9550</f>
        <v>103.81570680628272</v>
      </c>
      <c r="I12" s="27">
        <f>1.36*Table15[[#This Row],[rpm]]*Table15[[#This Row],[motorEco]]/9550</f>
        <v>103.81570680628272</v>
      </c>
      <c r="J12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224.55555555555554</v>
      </c>
      <c r="K1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rpm="900" motorTorque="810" fuelUsageRatio="224.6"/&gt;</v>
      </c>
      <c r="L1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normRpm="0.409" torque="0.9"/&gt;</v>
      </c>
      <c r="M12" s="3">
        <f>(1-(1-Table15[[#This Row],[rpm]]/Table36[idleRpm])^2)*Table7[idleT]</f>
        <v>810</v>
      </c>
      <c r="N12" s="3">
        <f>MAX(0,(1-Table7[f1]*(Table36[maxTRpm1]-Table15[[#This Row],[rpm]])^2)*Table36[maxT])</f>
        <v>810</v>
      </c>
      <c r="O12" s="3">
        <f>MAX(0,(Table36[linearDown]*(1-Table7[f2]*(Table15[[#This Row],[rpm]]-Table36[maxTRpm]))+(1-Table36[linearDown])*(1-Table7[f3]*(Table15[[#This Row],[rpm]]-Table36[maxTRpm])^2))*Table36[maxT])</f>
        <v>900</v>
      </c>
      <c r="P12" s="3">
        <f>MAX(0,(Table36[maxPS]-Table7[f4]*(Table15[[#This Row],[rpm]]-Table36[maxPRpm])^2)/1.36*9550/MAX(1,Table15[[#This Row],[rpm]]))</f>
        <v>0</v>
      </c>
      <c r="Q12" s="3">
        <f>MAX(0,Table7[Nm2]*MIN(Table36[ratedRpm]/MAX(1,Table15[[#This Row],[rpm]]),1-(MAX(0,Table15[[#This Row],[rpm]]-Table36[ratedRpm])/Table36[fadeOut])^Table36[fadeOutExp]))</f>
        <v>668.76750700280115</v>
      </c>
      <c r="R12" s="3">
        <f>(1-(1-Table15[[#This Row],[rpm]]/Table36[idleRpm])^2)*Table7[idleTEco]</f>
        <v>810</v>
      </c>
      <c r="S12" s="3">
        <f>MAX(0,(1-Table7[f1]*(Table36[maxTRpm1]-Table15[[#This Row],[rpm]])^2)*Table36[maxTEco])</f>
        <v>810</v>
      </c>
      <c r="T12" s="3">
        <f>MAX(0,(Table36[linearDown]*(1-Table7[f2Eco]*(Table15[[#This Row],[rpm]]-Table36[maxTRpm]))+(1-Table36[linearDown])*(1-Table7[f3Eco]*(Table15[[#This Row],[rpm]]-Table36[maxTRpm])^2))*Table36[maxTEco])</f>
        <v>900</v>
      </c>
      <c r="U12" s="3">
        <f>MAX(0,(Table36[maxPSEco]-Table7[f4Eco]*(Table15[[#This Row],[rpm]]-Table36[maxPRpm])^2)/1.36*9550/MAX(1,Table15[[#This Row],[rpm]]))</f>
        <v>0</v>
      </c>
      <c r="V12" s="3">
        <f>MAX(0,Table7[Nm2Eco]*MIN(Table36[ratedRpm]/MAX(1,Table15[[#This Row],[rpm]]),1-(MAX(0,Table15[[#This Row],[rpm]]-Table36[ratedRpm])/Table36[fadeOut])^Table36[fadeOutExp]))</f>
        <v>668.76750700280115</v>
      </c>
    </row>
    <row r="13" spans="1:25" x14ac:dyDescent="0.25">
      <c r="A13" s="3">
        <v>1000</v>
      </c>
      <c r="B1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860</v>
      </c>
      <c r="C13" s="20"/>
      <c r="D1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860</v>
      </c>
      <c r="E13" s="20"/>
      <c r="F13" s="3">
        <f>Table36[Factor]*IF(Table15[[#This Row],[manualData]]&gt;0,Table15[[#This Row],[manualData]],Table15[[#This Row],[rawData]])</f>
        <v>860</v>
      </c>
      <c r="G13" s="3">
        <f>Table36[Factor]*IF(Table15[[#This Row],[manDataEco]]&gt;0,Table15[[#This Row],[manDataEco]],Table15[[#This Row],[rawDataEco]])</f>
        <v>860</v>
      </c>
      <c r="H13" s="27">
        <f>1.36*Table15[[#This Row],[rpm]]*Table15[[#This Row],[motor]]/9550</f>
        <v>122.47120418848168</v>
      </c>
      <c r="I13" s="27">
        <f>1.36*Table15[[#This Row],[rpm]]*Table15[[#This Row],[motorEco]]/9550</f>
        <v>122.47120418848168</v>
      </c>
      <c r="J13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220.375</v>
      </c>
      <c r="K13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rpm="1000" motorTorque="860" fuelUsageRatio="220.4"/&gt;</v>
      </c>
      <c r="L13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normRpm="0.455" torque="0.956"/&gt;</v>
      </c>
      <c r="M13" s="3">
        <f>(1-(1-Table15[[#This Row],[rpm]]/Table36[idleRpm])^2)*Table7[idleT]</f>
        <v>800</v>
      </c>
      <c r="N13" s="3">
        <f>MAX(0,(1-Table7[f1]*(Table36[maxTRpm1]-Table15[[#This Row],[rpm]])^2)*Table36[maxT])</f>
        <v>860</v>
      </c>
      <c r="O13" s="3">
        <f>MAX(0,(Table36[linearDown]*(1-Table7[f2]*(Table15[[#This Row],[rpm]]-Table36[maxTRpm]))+(1-Table36[linearDown])*(1-Table7[f3]*(Table15[[#This Row],[rpm]]-Table36[maxTRpm])^2))*Table36[maxT])</f>
        <v>906.95356037151703</v>
      </c>
      <c r="P13" s="3">
        <f>MAX(0,(Table36[maxPS]-Table7[f4]*(Table15[[#This Row],[rpm]]-Table36[maxPRpm])^2)/1.36*9550/MAX(1,Table15[[#This Row],[rpm]]))</f>
        <v>0</v>
      </c>
      <c r="Q13" s="3">
        <f>MAX(0,Table7[Nm2]*MIN(Table36[ratedRpm]/MAX(1,Table15[[#This Row],[rpm]]),1-(MAX(0,Table15[[#This Row],[rpm]]-Table36[ratedRpm])/Table36[fadeOut])^Table36[fadeOutExp]))</f>
        <v>668.76750700280115</v>
      </c>
      <c r="R13" s="3">
        <f>(1-(1-Table15[[#This Row],[rpm]]/Table36[idleRpm])^2)*Table7[idleTEco]</f>
        <v>800</v>
      </c>
      <c r="S13" s="3">
        <f>MAX(0,(1-Table7[f1]*(Table36[maxTRpm1]-Table15[[#This Row],[rpm]])^2)*Table36[maxTEco])</f>
        <v>860</v>
      </c>
      <c r="T13" s="3">
        <f>MAX(0,(Table36[linearDown]*(1-Table7[f2Eco]*(Table15[[#This Row],[rpm]]-Table36[maxTRpm]))+(1-Table36[linearDown])*(1-Table7[f3Eco]*(Table15[[#This Row],[rpm]]-Table36[maxTRpm])^2))*Table36[maxTEco])</f>
        <v>906.95356037151703</v>
      </c>
      <c r="U13" s="3">
        <f>MAX(0,(Table36[maxPSEco]-Table7[f4Eco]*(Table15[[#This Row],[rpm]]-Table36[maxPRpm])^2)/1.36*9550/MAX(1,Table15[[#This Row],[rpm]]))</f>
        <v>0</v>
      </c>
      <c r="V13" s="3">
        <f>MAX(0,Table7[Nm2Eco]*MIN(Table36[ratedRpm]/MAX(1,Table15[[#This Row],[rpm]]),1-(MAX(0,Table15[[#This Row],[rpm]]-Table36[ratedRpm])/Table36[fadeOut])^Table36[fadeOutExp]))</f>
        <v>668.76750700280115</v>
      </c>
    </row>
    <row r="14" spans="1:25" x14ac:dyDescent="0.25">
      <c r="A14" s="3">
        <v>1100</v>
      </c>
      <c r="B1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890</v>
      </c>
      <c r="C14" s="20"/>
      <c r="D1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890</v>
      </c>
      <c r="E14" s="20"/>
      <c r="F14" s="3">
        <f>Table36[Factor]*IF(Table15[[#This Row],[manualData]]&gt;0,Table15[[#This Row],[manualData]],Table15[[#This Row],[rawData]])</f>
        <v>890</v>
      </c>
      <c r="G14" s="3">
        <f>Table36[Factor]*IF(Table15[[#This Row],[manDataEco]]&gt;0,Table15[[#This Row],[manDataEco]],Table15[[#This Row],[rawDataEco]])</f>
        <v>890</v>
      </c>
      <c r="H14" s="27">
        <f>1.36*Table15[[#This Row],[rpm]]*Table15[[#This Row],[motor]]/9550</f>
        <v>139.41780104712041</v>
      </c>
      <c r="I14" s="27">
        <f>1.36*Table15[[#This Row],[rpm]]*Table15[[#This Row],[motorEco]]/9550</f>
        <v>139.41780104712041</v>
      </c>
      <c r="J14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217.38888888888889</v>
      </c>
      <c r="K14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rpm="1100" motorTorque="890" fuelUsageRatio="217.4"/&gt;</v>
      </c>
      <c r="L14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normRpm="0.5" torque="0.989"/&gt;</v>
      </c>
      <c r="M14" s="3">
        <f>(1-(1-Table15[[#This Row],[rpm]]/Table36[idleRpm])^2)*Table7[idleT]</f>
        <v>770</v>
      </c>
      <c r="N14" s="3">
        <f>MAX(0,(1-Table7[f1]*(Table36[maxTRpm1]-Table15[[#This Row],[rpm]])^2)*Table36[maxT])</f>
        <v>890</v>
      </c>
      <c r="O14" s="3">
        <f>MAX(0,(Table36[linearDown]*(1-Table7[f2]*(Table15[[#This Row],[rpm]]-Table36[maxTRpm]))+(1-Table36[linearDown])*(1-Table7[f3]*(Table15[[#This Row],[rpm]]-Table36[maxTRpm])^2))*Table36[maxT])</f>
        <v>910.4303405572756</v>
      </c>
      <c r="P14" s="3">
        <f>MAX(0,(Table36[maxPS]-Table7[f4]*(Table15[[#This Row],[rpm]]-Table36[maxPRpm])^2)/1.36*9550/MAX(1,Table15[[#This Row],[rpm]]))</f>
        <v>0</v>
      </c>
      <c r="Q14" s="3">
        <f>MAX(0,Table7[Nm2]*MIN(Table36[ratedRpm]/MAX(1,Table15[[#This Row],[rpm]]),1-(MAX(0,Table15[[#This Row],[rpm]]-Table36[ratedRpm])/Table36[fadeOut])^Table36[fadeOutExp]))</f>
        <v>668.76750700280115</v>
      </c>
      <c r="R14" s="3">
        <f>(1-(1-Table15[[#This Row],[rpm]]/Table36[idleRpm])^2)*Table7[idleTEco]</f>
        <v>770</v>
      </c>
      <c r="S14" s="3">
        <f>MAX(0,(1-Table7[f1]*(Table36[maxTRpm1]-Table15[[#This Row],[rpm]])^2)*Table36[maxTEco])</f>
        <v>890</v>
      </c>
      <c r="T14" s="3">
        <f>MAX(0,(Table36[linearDown]*(1-Table7[f2Eco]*(Table15[[#This Row],[rpm]]-Table36[maxTRpm]))+(1-Table36[linearDown])*(1-Table7[f3Eco]*(Table15[[#This Row],[rpm]]-Table36[maxTRpm])^2))*Table36[maxTEco])</f>
        <v>910.4303405572756</v>
      </c>
      <c r="U14" s="3">
        <f>MAX(0,(Table36[maxPSEco]-Table7[f4Eco]*(Table15[[#This Row],[rpm]]-Table36[maxPRpm])^2)/1.36*9550/MAX(1,Table15[[#This Row],[rpm]]))</f>
        <v>0</v>
      </c>
      <c r="V14" s="3">
        <f>MAX(0,Table7[Nm2Eco]*MIN(Table36[ratedRpm]/MAX(1,Table15[[#This Row],[rpm]]),1-(MAX(0,Table15[[#This Row],[rpm]]-Table36[ratedRpm])/Table36[fadeOut])^Table36[fadeOutExp]))</f>
        <v>668.76750700280115</v>
      </c>
    </row>
    <row r="15" spans="1:25" x14ac:dyDescent="0.25">
      <c r="A15" s="3">
        <v>1200</v>
      </c>
      <c r="B1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900</v>
      </c>
      <c r="C15" s="20"/>
      <c r="D1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900</v>
      </c>
      <c r="E15" s="20"/>
      <c r="F15" s="3">
        <f>Table36[Factor]*IF(Table15[[#This Row],[manualData]]&gt;0,Table15[[#This Row],[manualData]],Table15[[#This Row],[rawData]])</f>
        <v>900</v>
      </c>
      <c r="G15" s="3">
        <f>Table36[Factor]*IF(Table15[[#This Row],[manDataEco]]&gt;0,Table15[[#This Row],[manDataEco]],Table15[[#This Row],[rawDataEco]])</f>
        <v>900</v>
      </c>
      <c r="H15" s="27">
        <f>1.36*Table15[[#This Row],[rpm]]*Table15[[#This Row],[motor]]/9550</f>
        <v>153.80104712041887</v>
      </c>
      <c r="I15" s="27">
        <f>1.36*Table15[[#This Row],[rpm]]*Table15[[#This Row],[motorEco]]/9550</f>
        <v>153.80104712041887</v>
      </c>
      <c r="J15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215.59722222222223</v>
      </c>
      <c r="K15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rpm="1200" motorTorque="900" fuelUsageRatio="215.6"/&gt;</v>
      </c>
      <c r="L15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normRpm="0.545" torque="1"/&gt;</v>
      </c>
      <c r="M15" s="3">
        <f>(1-(1-Table15[[#This Row],[rpm]]/Table36[idleRpm])^2)*Table7[idleT]</f>
        <v>720</v>
      </c>
      <c r="N15" s="3">
        <f>MAX(0,(1-Table7[f1]*(Table36[maxTRpm1]-Table15[[#This Row],[rpm]])^2)*Table36[maxT])</f>
        <v>900</v>
      </c>
      <c r="O15" s="3">
        <f>MAX(0,(Table36[linearDown]*(1-Table7[f2]*(Table15[[#This Row],[rpm]]-Table36[maxTRpm]))+(1-Table36[linearDown])*(1-Table7[f3]*(Table15[[#This Row],[rpm]]-Table36[maxTRpm])^2))*Table36[maxT])</f>
        <v>910.4303405572756</v>
      </c>
      <c r="P15" s="3">
        <f>MAX(0,(Table36[maxPS]-Table7[f4]*(Table15[[#This Row],[rpm]]-Table36[maxPRpm])^2)/1.36*9550/MAX(1,Table15[[#This Row],[rpm]]))</f>
        <v>0</v>
      </c>
      <c r="Q15" s="3">
        <f>MAX(0,Table7[Nm2]*MIN(Table36[ratedRpm]/MAX(1,Table15[[#This Row],[rpm]]),1-(MAX(0,Table15[[#This Row],[rpm]]-Table36[ratedRpm])/Table36[fadeOut])^Table36[fadeOutExp]))</f>
        <v>668.76750700280115</v>
      </c>
      <c r="R15" s="3">
        <f>(1-(1-Table15[[#This Row],[rpm]]/Table36[idleRpm])^2)*Table7[idleTEco]</f>
        <v>720</v>
      </c>
      <c r="S15" s="3">
        <f>MAX(0,(1-Table7[f1]*(Table36[maxTRpm1]-Table15[[#This Row],[rpm]])^2)*Table36[maxTEco])</f>
        <v>900</v>
      </c>
      <c r="T15" s="3">
        <f>MAX(0,(Table36[linearDown]*(1-Table7[f2Eco]*(Table15[[#This Row],[rpm]]-Table36[maxTRpm]))+(1-Table36[linearDown])*(1-Table7[f3Eco]*(Table15[[#This Row],[rpm]]-Table36[maxTRpm])^2))*Table36[maxTEco])</f>
        <v>910.4303405572756</v>
      </c>
      <c r="U15" s="3">
        <f>MAX(0,(Table36[maxPSEco]-Table7[f4Eco]*(Table15[[#This Row],[rpm]]-Table36[maxPRpm])^2)/1.36*9550/MAX(1,Table15[[#This Row],[rpm]]))</f>
        <v>0</v>
      </c>
      <c r="V15" s="3">
        <f>MAX(0,Table7[Nm2Eco]*MIN(Table36[ratedRpm]/MAX(1,Table15[[#This Row],[rpm]]),1-(MAX(0,Table15[[#This Row],[rpm]]-Table36[ratedRpm])/Table36[fadeOut])^Table36[fadeOutExp]))</f>
        <v>668.76750700280115</v>
      </c>
    </row>
    <row r="16" spans="1:25" x14ac:dyDescent="0.25">
      <c r="A16" s="3">
        <v>1300</v>
      </c>
      <c r="B1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900</v>
      </c>
      <c r="C16" s="20"/>
      <c r="D1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900</v>
      </c>
      <c r="E16" s="20"/>
      <c r="F16" s="3">
        <f>Table36[Factor]*IF(Table15[[#This Row],[manualData]]&gt;0,Table15[[#This Row],[manualData]],Table15[[#This Row],[rawData]])</f>
        <v>900</v>
      </c>
      <c r="G16" s="3">
        <f>Table36[Factor]*IF(Table15[[#This Row],[manDataEco]]&gt;0,Table15[[#This Row],[manDataEco]],Table15[[#This Row],[rawDataEco]])</f>
        <v>900</v>
      </c>
      <c r="H16" s="27">
        <f>1.36*Table15[[#This Row],[rpm]]*Table15[[#This Row],[motor]]/9550</f>
        <v>166.61780104712045</v>
      </c>
      <c r="I16" s="27">
        <f>1.36*Table15[[#This Row],[rpm]]*Table15[[#This Row],[motorEco]]/9550</f>
        <v>166.61780104712045</v>
      </c>
      <c r="J16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215</v>
      </c>
      <c r="K16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rpm="1300" motorTorque="900" fuelUsageRatio="215"/&gt;</v>
      </c>
      <c r="L16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normRpm="0.591" torque="1"/&gt;</v>
      </c>
      <c r="M16" s="3">
        <f>(1-(1-Table15[[#This Row],[rpm]]/Table36[idleRpm])^2)*Table7[idleT]</f>
        <v>650</v>
      </c>
      <c r="N16" s="3">
        <f>MAX(0,(1-Table7[f1]*(Table36[maxTRpm1]-Table15[[#This Row],[rpm]])^2)*Table36[maxT])</f>
        <v>890</v>
      </c>
      <c r="O16" s="3">
        <f>MAX(0,(Table36[linearDown]*(1-Table7[f2]*(Table15[[#This Row],[rpm]]-Table36[maxTRpm]))+(1-Table36[linearDown])*(1-Table7[f3]*(Table15[[#This Row],[rpm]]-Table36[maxTRpm])^2))*Table36[maxT])</f>
        <v>906.95356037151703</v>
      </c>
      <c r="P16" s="3">
        <f>MAX(0,(Table36[maxPS]-Table7[f4]*(Table15[[#This Row],[rpm]]-Table36[maxPRpm])^2)/1.36*9550/MAX(1,Table15[[#This Row],[rpm]]))</f>
        <v>216.06334841628959</v>
      </c>
      <c r="Q16" s="3">
        <f>MAX(0,Table7[Nm2]*MIN(Table36[ratedRpm]/MAX(1,Table15[[#This Row],[rpm]]),1-(MAX(0,Table15[[#This Row],[rpm]]-Table36[ratedRpm])/Table36[fadeOut])^Table36[fadeOutExp]))</f>
        <v>668.76750700280115</v>
      </c>
      <c r="R16" s="3">
        <f>(1-(1-Table15[[#This Row],[rpm]]/Table36[idleRpm])^2)*Table7[idleTEco]</f>
        <v>650</v>
      </c>
      <c r="S16" s="3">
        <f>MAX(0,(1-Table7[f1]*(Table36[maxTRpm1]-Table15[[#This Row],[rpm]])^2)*Table36[maxTEco])</f>
        <v>890</v>
      </c>
      <c r="T16" s="3">
        <f>MAX(0,(Table36[linearDown]*(1-Table7[f2Eco]*(Table15[[#This Row],[rpm]]-Table36[maxTRpm]))+(1-Table36[linearDown])*(1-Table7[f3Eco]*(Table15[[#This Row],[rpm]]-Table36[maxTRpm])^2))*Table36[maxTEco])</f>
        <v>906.95356037151703</v>
      </c>
      <c r="U16" s="3">
        <f>MAX(0,(Table36[maxPSEco]-Table7[f4Eco]*(Table15[[#This Row],[rpm]]-Table36[maxPRpm])^2)/1.36*9550/MAX(1,Table15[[#This Row],[rpm]]))</f>
        <v>216.06334841628959</v>
      </c>
      <c r="V16" s="3">
        <f>MAX(0,Table7[Nm2Eco]*MIN(Table36[ratedRpm]/MAX(1,Table15[[#This Row],[rpm]]),1-(MAX(0,Table15[[#This Row],[rpm]]-Table36[ratedRpm])/Table36[fadeOut])^Table36[fadeOutExp]))</f>
        <v>668.76750700280115</v>
      </c>
    </row>
    <row r="17" spans="1:22" x14ac:dyDescent="0.25">
      <c r="A17" s="3">
        <v>1400</v>
      </c>
      <c r="B1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900</v>
      </c>
      <c r="C17" s="20"/>
      <c r="D1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900</v>
      </c>
      <c r="E17" s="20"/>
      <c r="F17" s="3">
        <f>Table36[Factor]*IF(Table15[[#This Row],[manualData]]&gt;0,Table15[[#This Row],[manualData]],Table15[[#This Row],[rawData]])</f>
        <v>900</v>
      </c>
      <c r="G17" s="3">
        <f>Table36[Factor]*IF(Table15[[#This Row],[manDataEco]]&gt;0,Table15[[#This Row],[manDataEco]],Table15[[#This Row],[rawDataEco]])</f>
        <v>900</v>
      </c>
      <c r="H17" s="27">
        <f>1.36*Table15[[#This Row],[rpm]]*Table15[[#This Row],[motor]]/9550</f>
        <v>179.434554973822</v>
      </c>
      <c r="I17" s="27">
        <f>1.36*Table15[[#This Row],[rpm]]*Table15[[#This Row],[motorEco]]/9550</f>
        <v>179.434554973822</v>
      </c>
      <c r="J17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215.37326388888889</v>
      </c>
      <c r="K1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rpm="1400" motorTorque="900" fuelUsageRatio="215.4"/&gt;</v>
      </c>
      <c r="L1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normRpm="0.636" torque="1"/&gt;</v>
      </c>
      <c r="M17" s="3">
        <f>(1-(1-Table15[[#This Row],[rpm]]/Table36[idleRpm])^2)*Table7[idleT]</f>
        <v>560</v>
      </c>
      <c r="N17" s="3">
        <f>MAX(0,(1-Table7[f1]*(Table36[maxTRpm1]-Table15[[#This Row],[rpm]])^2)*Table36[maxT])</f>
        <v>860</v>
      </c>
      <c r="O17" s="3">
        <f>MAX(0,(Table36[linearDown]*(1-Table7[f2]*(Table15[[#This Row],[rpm]]-Table36[maxTRpm]))+(1-Table36[linearDown])*(1-Table7[f3]*(Table15[[#This Row],[rpm]]-Table36[maxTRpm])^2))*Table36[maxT])</f>
        <v>900</v>
      </c>
      <c r="P17" s="3">
        <f>MAX(0,(Table36[maxPS]-Table7[f4]*(Table15[[#This Row],[rpm]]-Table36[maxPRpm])^2)/1.36*9550/MAX(1,Table15[[#This Row],[rpm]]))</f>
        <v>476.4968487394957</v>
      </c>
      <c r="Q17" s="3">
        <f>MAX(0,Table7[Nm2]*MIN(Table36[ratedRpm]/MAX(1,Table15[[#This Row],[rpm]]),1-(MAX(0,Table15[[#This Row],[rpm]]-Table36[ratedRpm])/Table36[fadeOut])^Table36[fadeOutExp]))</f>
        <v>668.76750700280115</v>
      </c>
      <c r="R17" s="3">
        <f>(1-(1-Table15[[#This Row],[rpm]]/Table36[idleRpm])^2)*Table7[idleTEco]</f>
        <v>560</v>
      </c>
      <c r="S17" s="3">
        <f>MAX(0,(1-Table7[f1]*(Table36[maxTRpm1]-Table15[[#This Row],[rpm]])^2)*Table36[maxTEco])</f>
        <v>860</v>
      </c>
      <c r="T17" s="3">
        <f>MAX(0,(Table36[linearDown]*(1-Table7[f2Eco]*(Table15[[#This Row],[rpm]]-Table36[maxTRpm]))+(1-Table36[linearDown])*(1-Table7[f3Eco]*(Table15[[#This Row],[rpm]]-Table36[maxTRpm])^2))*Table36[maxTEco])</f>
        <v>900</v>
      </c>
      <c r="U17" s="3">
        <f>MAX(0,(Table36[maxPSEco]-Table7[f4Eco]*(Table15[[#This Row],[rpm]]-Table36[maxPRpm])^2)/1.36*9550/MAX(1,Table15[[#This Row],[rpm]]))</f>
        <v>476.4968487394957</v>
      </c>
      <c r="V17" s="3">
        <f>MAX(0,Table7[Nm2Eco]*MIN(Table36[ratedRpm]/MAX(1,Table15[[#This Row],[rpm]]),1-(MAX(0,Table15[[#This Row],[rpm]]-Table36[ratedRpm])/Table36[fadeOut])^Table36[fadeOutExp]))</f>
        <v>668.76750700280115</v>
      </c>
    </row>
    <row r="18" spans="1:22" x14ac:dyDescent="0.25">
      <c r="A18" s="3">
        <v>1500</v>
      </c>
      <c r="B1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889.5696594427244</v>
      </c>
      <c r="C18" s="20"/>
      <c r="D1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889.5696594427244</v>
      </c>
      <c r="E18" s="20"/>
      <c r="F18" s="3">
        <f>Table36[Factor]*IF(Table15[[#This Row],[manualData]]&gt;0,Table15[[#This Row],[manualData]],Table15[[#This Row],[rawData]])</f>
        <v>889.5696594427244</v>
      </c>
      <c r="G18" s="3">
        <f>Table36[Factor]*IF(Table15[[#This Row],[manDataEco]]&gt;0,Table15[[#This Row],[manDataEco]],Table15[[#This Row],[rawDataEco]])</f>
        <v>889.5696594427244</v>
      </c>
      <c r="H18" s="27">
        <f>1.36*Table15[[#This Row],[rpm]]*Table15[[#This Row],[motor]]/9550</f>
        <v>190.02325709561865</v>
      </c>
      <c r="I18" s="27">
        <f>1.36*Table15[[#This Row],[rpm]]*Table15[[#This Row],[motorEco]]/9550</f>
        <v>190.02325709561865</v>
      </c>
      <c r="J18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216.49305555555554</v>
      </c>
      <c r="K1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rpm="1500" motorTorque="890" fuelUsageRatio="216.5"/&gt;</v>
      </c>
      <c r="L1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normRpm="0.682" torque="0.988"/&gt;</v>
      </c>
      <c r="M18" s="3">
        <f>(1-(1-Table15[[#This Row],[rpm]]/Table36[idleRpm])^2)*Table7[idleT]</f>
        <v>449.99999999999994</v>
      </c>
      <c r="N18" s="3">
        <f>MAX(0,(1-Table7[f1]*(Table36[maxTRpm1]-Table15[[#This Row],[rpm]])^2)*Table36[maxT])</f>
        <v>810</v>
      </c>
      <c r="O18" s="3">
        <f>MAX(0,(Table36[linearDown]*(1-Table7[f2]*(Table15[[#This Row],[rpm]]-Table36[maxTRpm]))+(1-Table36[linearDown])*(1-Table7[f3]*(Table15[[#This Row],[rpm]]-Table36[maxTRpm])^2))*Table36[maxT])</f>
        <v>889.5696594427244</v>
      </c>
      <c r="P18" s="3">
        <f>MAX(0,(Table36[maxPS]-Table7[f4]*(Table15[[#This Row],[rpm]]-Table36[maxPRpm])^2)/1.36*9550/MAX(1,Table15[[#This Row],[rpm]]))</f>
        <v>655.39215686274508</v>
      </c>
      <c r="Q18" s="3">
        <f>MAX(0,Table7[Nm2]*MIN(Table36[ratedRpm]/MAX(1,Table15[[#This Row],[rpm]]),1-(MAX(0,Table15[[#This Row],[rpm]]-Table36[ratedRpm])/Table36[fadeOut])^Table36[fadeOutExp]))</f>
        <v>668.76750700280115</v>
      </c>
      <c r="R18" s="3">
        <f>(1-(1-Table15[[#This Row],[rpm]]/Table36[idleRpm])^2)*Table7[idleTEco]</f>
        <v>449.99999999999994</v>
      </c>
      <c r="S18" s="3">
        <f>MAX(0,(1-Table7[f1]*(Table36[maxTRpm1]-Table15[[#This Row],[rpm]])^2)*Table36[maxTEco])</f>
        <v>810</v>
      </c>
      <c r="T18" s="3">
        <f>MAX(0,(Table36[linearDown]*(1-Table7[f2Eco]*(Table15[[#This Row],[rpm]]-Table36[maxTRpm]))+(1-Table36[linearDown])*(1-Table7[f3Eco]*(Table15[[#This Row],[rpm]]-Table36[maxTRpm])^2))*Table36[maxTEco])</f>
        <v>889.5696594427244</v>
      </c>
      <c r="U18" s="3">
        <f>MAX(0,(Table36[maxPSEco]-Table7[f4Eco]*(Table15[[#This Row],[rpm]]-Table36[maxPRpm])^2)/1.36*9550/MAX(1,Table15[[#This Row],[rpm]]))</f>
        <v>655.39215686274508</v>
      </c>
      <c r="V18" s="3">
        <f>MAX(0,Table7[Nm2Eco]*MIN(Table36[ratedRpm]/MAX(1,Table15[[#This Row],[rpm]]),1-(MAX(0,Table15[[#This Row],[rpm]]-Table36[ratedRpm])/Table36[fadeOut])^Table36[fadeOutExp]))</f>
        <v>668.76750700280115</v>
      </c>
    </row>
    <row r="19" spans="1:22" x14ac:dyDescent="0.25">
      <c r="A19" s="3">
        <v>1600</v>
      </c>
      <c r="B1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875.66253869969034</v>
      </c>
      <c r="C19" s="20"/>
      <c r="D1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875.66253869969034</v>
      </c>
      <c r="E19" s="20"/>
      <c r="F19" s="3">
        <f>Table36[Factor]*IF(Table15[[#This Row],[manualData]]&gt;0,Table15[[#This Row],[manualData]],Table15[[#This Row],[rawData]])</f>
        <v>875.66253869969034</v>
      </c>
      <c r="G19" s="3">
        <f>Table36[Factor]*IF(Table15[[#This Row],[manDataEco]]&gt;0,Table15[[#This Row],[manDataEco]],Table15[[#This Row],[rawDataEco]])</f>
        <v>875.66253869969034</v>
      </c>
      <c r="H19" s="27">
        <f>1.36*Table15[[#This Row],[rpm]]*Table15[[#This Row],[motor]]/9550</f>
        <v>199.5226894461284</v>
      </c>
      <c r="I19" s="27">
        <f>1.36*Table15[[#This Row],[rpm]]*Table15[[#This Row],[motorEco]]/9550</f>
        <v>199.5226894461284</v>
      </c>
      <c r="J19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218.359375</v>
      </c>
      <c r="K1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rpm="1600" motorTorque="876" fuelUsageRatio="218.4"/&gt;</v>
      </c>
      <c r="L1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normRpm="0.727" torque="0.973"/&gt;</v>
      </c>
      <c r="M19" s="3">
        <f>(1-(1-Table15[[#This Row],[rpm]]/Table36[idleRpm])^2)*Table7[idleT]</f>
        <v>320.00000000000017</v>
      </c>
      <c r="N19" s="3">
        <f>MAX(0,(1-Table7[f1]*(Table36[maxTRpm1]-Table15[[#This Row],[rpm]])^2)*Table36[maxT])</f>
        <v>740.00000000000011</v>
      </c>
      <c r="O19" s="3">
        <f>MAX(0,(Table36[linearDown]*(1-Table7[f2]*(Table15[[#This Row],[rpm]]-Table36[maxTRpm]))+(1-Table36[linearDown])*(1-Table7[f3]*(Table15[[#This Row],[rpm]]-Table36[maxTRpm])^2))*Table36[maxT])</f>
        <v>875.66253869969034</v>
      </c>
      <c r="P19" s="3">
        <f>MAX(0,(Table36[maxPS]-Table7[f4]*(Table15[[#This Row],[rpm]]-Table36[maxPRpm])^2)/1.36*9550/MAX(1,Table15[[#This Row],[rpm]]))</f>
        <v>768.03768382352939</v>
      </c>
      <c r="Q19" s="3">
        <f>MAX(0,Table7[Nm2]*MIN(Table36[ratedRpm]/MAX(1,Table15[[#This Row],[rpm]]),1-(MAX(0,Table15[[#This Row],[rpm]]-Table36[ratedRpm])/Table36[fadeOut])^Table36[fadeOutExp]))</f>
        <v>668.76750700280115</v>
      </c>
      <c r="R19" s="3">
        <f>(1-(1-Table15[[#This Row],[rpm]]/Table36[idleRpm])^2)*Table7[idleTEco]</f>
        <v>320.00000000000017</v>
      </c>
      <c r="S19" s="3">
        <f>MAX(0,(1-Table7[f1]*(Table36[maxTRpm1]-Table15[[#This Row],[rpm]])^2)*Table36[maxTEco])</f>
        <v>740.00000000000011</v>
      </c>
      <c r="T19" s="3">
        <f>MAX(0,(Table36[linearDown]*(1-Table7[f2Eco]*(Table15[[#This Row],[rpm]]-Table36[maxTRpm]))+(1-Table36[linearDown])*(1-Table7[f3Eco]*(Table15[[#This Row],[rpm]]-Table36[maxTRpm])^2))*Table36[maxTEco])</f>
        <v>875.66253869969034</v>
      </c>
      <c r="U19" s="3">
        <f>MAX(0,(Table36[maxPSEco]-Table7[f4Eco]*(Table15[[#This Row],[rpm]]-Table36[maxPRpm])^2)/1.36*9550/MAX(1,Table15[[#This Row],[rpm]]))</f>
        <v>768.03768382352939</v>
      </c>
      <c r="V19" s="3">
        <f>MAX(0,Table7[Nm2Eco]*MIN(Table36[ratedRpm]/MAX(1,Table15[[#This Row],[rpm]]),1-(MAX(0,Table15[[#This Row],[rpm]]-Table36[ratedRpm])/Table36[fadeOut])^Table36[fadeOutExp]))</f>
        <v>668.76750700280115</v>
      </c>
    </row>
    <row r="20" spans="1:22" x14ac:dyDescent="0.25">
      <c r="A20" s="3">
        <v>1700</v>
      </c>
      <c r="B2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858.27863777089772</v>
      </c>
      <c r="C20" s="20"/>
      <c r="D2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858.27863777089772</v>
      </c>
      <c r="E20" s="20"/>
      <c r="F20" s="3">
        <f>Table36[Factor]*IF(Table15[[#This Row],[manualData]]&gt;0,Table15[[#This Row],[manualData]],Table15[[#This Row],[rawData]])</f>
        <v>858.27863777089772</v>
      </c>
      <c r="G20" s="3">
        <f>Table36[Factor]*IF(Table15[[#This Row],[manDataEco]]&gt;0,Table15[[#This Row],[manDataEco]],Table15[[#This Row],[rawDataEco]])</f>
        <v>858.27863777089772</v>
      </c>
      <c r="H20" s="27">
        <f>1.36*Table15[[#This Row],[rpm]]*Table15[[#This Row],[motor]]/9550</f>
        <v>207.78431523835764</v>
      </c>
      <c r="I20" s="27">
        <f>1.36*Table15[[#This Row],[rpm]]*Table15[[#This Row],[motorEco]]/9550</f>
        <v>207.78431523835764</v>
      </c>
      <c r="J20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220.97222222222223</v>
      </c>
      <c r="K2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rpm="1700" motorTorque="858" fuelUsageRatio="221"/&gt;</v>
      </c>
      <c r="L2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normRpm="0.773" torque="0.954"/&gt;</v>
      </c>
      <c r="M20" s="3">
        <f>(1-(1-Table15[[#This Row],[rpm]]/Table36[idleRpm])^2)*Table7[idleT]</f>
        <v>170.00000000000003</v>
      </c>
      <c r="N20" s="3">
        <f>MAX(0,(1-Table7[f1]*(Table36[maxTRpm1]-Table15[[#This Row],[rpm]])^2)*Table36[maxT])</f>
        <v>650.00000000000011</v>
      </c>
      <c r="O20" s="3">
        <f>MAX(0,(Table36[linearDown]*(1-Table7[f2]*(Table15[[#This Row],[rpm]]-Table36[maxTRpm]))+(1-Table36[linearDown])*(1-Table7[f3]*(Table15[[#This Row],[rpm]]-Table36[maxTRpm])^2))*Table36[maxT])</f>
        <v>858.27863777089772</v>
      </c>
      <c r="P20" s="3">
        <f>MAX(0,(Table36[maxPS]-Table7[f4]*(Table15[[#This Row],[rpm]]-Table36[maxPRpm])^2)/1.36*9550/MAX(1,Table15[[#This Row],[rpm]]))</f>
        <v>826.12456747404849</v>
      </c>
      <c r="Q20" s="3">
        <f>MAX(0,Table7[Nm2]*MIN(Table36[ratedRpm]/MAX(1,Table15[[#This Row],[rpm]]),1-(MAX(0,Table15[[#This Row],[rpm]]-Table36[ratedRpm])/Table36[fadeOut])^Table36[fadeOutExp]))</f>
        <v>668.76750700280115</v>
      </c>
      <c r="R20" s="3">
        <f>(1-(1-Table15[[#This Row],[rpm]]/Table36[idleRpm])^2)*Table7[idleTEco]</f>
        <v>170.00000000000003</v>
      </c>
      <c r="S20" s="3">
        <f>MAX(0,(1-Table7[f1]*(Table36[maxTRpm1]-Table15[[#This Row],[rpm]])^2)*Table36[maxTEco])</f>
        <v>650.00000000000011</v>
      </c>
      <c r="T20" s="3">
        <f>MAX(0,(Table36[linearDown]*(1-Table7[f2Eco]*(Table15[[#This Row],[rpm]]-Table36[maxTRpm]))+(1-Table36[linearDown])*(1-Table7[f3Eco]*(Table15[[#This Row],[rpm]]-Table36[maxTRpm])^2))*Table36[maxTEco])</f>
        <v>858.27863777089772</v>
      </c>
      <c r="U20" s="3">
        <f>MAX(0,(Table36[maxPSEco]-Table7[f4Eco]*(Table15[[#This Row],[rpm]]-Table36[maxPRpm])^2)/1.36*9550/MAX(1,Table15[[#This Row],[rpm]]))</f>
        <v>826.12456747404849</v>
      </c>
      <c r="V20" s="3">
        <f>MAX(0,Table7[Nm2Eco]*MIN(Table36[ratedRpm]/MAX(1,Table15[[#This Row],[rpm]]),1-(MAX(0,Table15[[#This Row],[rpm]]-Table36[ratedRpm])/Table36[fadeOut])^Table36[fadeOutExp]))</f>
        <v>668.76750700280115</v>
      </c>
    </row>
    <row r="21" spans="1:22" x14ac:dyDescent="0.25">
      <c r="A21" s="3">
        <v>1800</v>
      </c>
      <c r="B2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837.41795665634663</v>
      </c>
      <c r="C21" s="20"/>
      <c r="D2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837.41795665634663</v>
      </c>
      <c r="E21" s="20"/>
      <c r="F21" s="3">
        <f>Table36[Factor]*IF(Table15[[#This Row],[manualData]]&gt;0,Table15[[#This Row],[manualData]],Table15[[#This Row],[rawData]])</f>
        <v>837.41795665634663</v>
      </c>
      <c r="G21" s="3">
        <f>Table36[Factor]*IF(Table15[[#This Row],[manDataEco]]&gt;0,Table15[[#This Row],[manDataEco]],Table15[[#This Row],[rawDataEco]])</f>
        <v>837.41795665634663</v>
      </c>
      <c r="H21" s="27">
        <f>1.36*Table15[[#This Row],[rpm]]*Table15[[#This Row],[motor]]/9550</f>
        <v>214.65959768531275</v>
      </c>
      <c r="I21" s="27">
        <f>1.36*Table15[[#This Row],[rpm]]*Table15[[#This Row],[motorEco]]/9550</f>
        <v>214.65959768531275</v>
      </c>
      <c r="J21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224.33159722222223</v>
      </c>
      <c r="K2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rpm="1800" motorTorque="837" fuelUsageRatio="224.3"/&gt;</v>
      </c>
      <c r="L2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normRpm="0.818" torque="0.93"/&gt;</v>
      </c>
      <c r="M21" s="3">
        <f>(1-(1-Table15[[#This Row],[rpm]]/Table36[idleRpm])^2)*Table7[idleT]</f>
        <v>0</v>
      </c>
      <c r="N21" s="3">
        <f>MAX(0,(1-Table7[f1]*(Table36[maxTRpm1]-Table15[[#This Row],[rpm]])^2)*Table36[maxT])</f>
        <v>540.00000000000011</v>
      </c>
      <c r="O21" s="3">
        <f>MAX(0,(Table36[linearDown]*(1-Table7[f2]*(Table15[[#This Row],[rpm]]-Table36[maxTRpm]))+(1-Table36[linearDown])*(1-Table7[f3]*(Table15[[#This Row],[rpm]]-Table36[maxTRpm])^2))*Table36[maxT])</f>
        <v>837.41795665634663</v>
      </c>
      <c r="P21" s="3">
        <f>MAX(0,(Table36[maxPS]-Table7[f4]*(Table15[[#This Row],[rpm]]-Table36[maxPRpm])^2)/1.36*9550/MAX(1,Table15[[#This Row],[rpm]]))</f>
        <v>838.7459150326797</v>
      </c>
      <c r="Q21" s="3">
        <f>MAX(0,Table7[Nm2]*MIN(Table36[ratedRpm]/MAX(1,Table15[[#This Row],[rpm]]),1-(MAX(0,Table15[[#This Row],[rpm]]-Table36[ratedRpm])/Table36[fadeOut])^Table36[fadeOutExp]))</f>
        <v>668.76750700280115</v>
      </c>
      <c r="R21" s="3">
        <f>(1-(1-Table15[[#This Row],[rpm]]/Table36[idleRpm])^2)*Table7[idleTEco]</f>
        <v>0</v>
      </c>
      <c r="S21" s="3">
        <f>MAX(0,(1-Table7[f1]*(Table36[maxTRpm1]-Table15[[#This Row],[rpm]])^2)*Table36[maxTEco])</f>
        <v>540.00000000000011</v>
      </c>
      <c r="T21" s="3">
        <f>MAX(0,(Table36[linearDown]*(1-Table7[f2Eco]*(Table15[[#This Row],[rpm]]-Table36[maxTRpm]))+(1-Table36[linearDown])*(1-Table7[f3Eco]*(Table15[[#This Row],[rpm]]-Table36[maxTRpm])^2))*Table36[maxTEco])</f>
        <v>837.41795665634663</v>
      </c>
      <c r="U21" s="3">
        <f>MAX(0,(Table36[maxPSEco]-Table7[f4Eco]*(Table15[[#This Row],[rpm]]-Table36[maxPRpm])^2)/1.36*9550/MAX(1,Table15[[#This Row],[rpm]]))</f>
        <v>838.7459150326797</v>
      </c>
      <c r="V21" s="3">
        <f>MAX(0,Table7[Nm2Eco]*MIN(Table36[ratedRpm]/MAX(1,Table15[[#This Row],[rpm]]),1-(MAX(0,Table15[[#This Row],[rpm]]-Table36[ratedRpm])/Table36[fadeOut])^Table36[fadeOutExp]))</f>
        <v>668.76750700280115</v>
      </c>
    </row>
    <row r="22" spans="1:22" x14ac:dyDescent="0.25">
      <c r="A22" s="3">
        <v>1900</v>
      </c>
      <c r="B2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813.08049535603709</v>
      </c>
      <c r="C22" s="20"/>
      <c r="D2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813.08049535603709</v>
      </c>
      <c r="E22" s="20"/>
      <c r="F22" s="3">
        <f>Table36[Factor]*IF(Table15[[#This Row],[manualData]]&gt;0,Table15[[#This Row],[manualData]],Table15[[#This Row],[rawData]])</f>
        <v>813.08049535603709</v>
      </c>
      <c r="G22" s="3">
        <f>Table36[Factor]*IF(Table15[[#This Row],[manDataEco]]&gt;0,Table15[[#This Row],[manDataEco]],Table15[[#This Row],[rawDataEco]])</f>
        <v>813.08049535603709</v>
      </c>
      <c r="H22" s="27">
        <f>1.36*Table15[[#This Row],[rpm]]*Table15[[#This Row],[motor]]/9550</f>
        <v>220</v>
      </c>
      <c r="I22" s="27">
        <f>1.36*Table15[[#This Row],[rpm]]*Table15[[#This Row],[motorEco]]/9550</f>
        <v>220</v>
      </c>
      <c r="J22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228.4375</v>
      </c>
      <c r="K2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rpm="1900" motorTorque="813" fuelUsageRatio="228.4"/&gt;</v>
      </c>
      <c r="L2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normRpm="0.864" torque="0.903"/&gt;</v>
      </c>
      <c r="M22" s="3">
        <f>(1-(1-Table15[[#This Row],[rpm]]/Table36[idleRpm])^2)*Table7[idleT]</f>
        <v>-190.00000000000011</v>
      </c>
      <c r="N22" s="3">
        <f>MAX(0,(1-Table7[f1]*(Table36[maxTRpm1]-Table15[[#This Row],[rpm]])^2)*Table36[maxT])</f>
        <v>410.00000000000011</v>
      </c>
      <c r="O22" s="3">
        <f>MAX(0,(Table36[linearDown]*(1-Table7[f2]*(Table15[[#This Row],[rpm]]-Table36[maxTRpm]))+(1-Table36[linearDown])*(1-Table7[f3]*(Table15[[#This Row],[rpm]]-Table36[maxTRpm])^2))*Table36[maxT])</f>
        <v>813.08049535603709</v>
      </c>
      <c r="P22" s="3">
        <f>MAX(0,(Table36[maxPS]-Table7[f4]*(Table15[[#This Row],[rpm]]-Table36[maxPRpm])^2)/1.36*9550/MAX(1,Table15[[#This Row],[rpm]]))</f>
        <v>813.08049535603709</v>
      </c>
      <c r="Q22" s="3">
        <f>MAX(0,Table7[Nm2]*MIN(Table36[ratedRpm]/MAX(1,Table15[[#This Row],[rpm]]),1-(MAX(0,Table15[[#This Row],[rpm]]-Table36[ratedRpm])/Table36[fadeOut])^Table36[fadeOutExp]))</f>
        <v>668.76750700280115</v>
      </c>
      <c r="R22" s="3">
        <f>(1-(1-Table15[[#This Row],[rpm]]/Table36[idleRpm])^2)*Table7[idleTEco]</f>
        <v>-190.00000000000011</v>
      </c>
      <c r="S22" s="3">
        <f>MAX(0,(1-Table7[f1]*(Table36[maxTRpm1]-Table15[[#This Row],[rpm]])^2)*Table36[maxTEco])</f>
        <v>410.00000000000011</v>
      </c>
      <c r="T22" s="3">
        <f>MAX(0,(Table36[linearDown]*(1-Table7[f2Eco]*(Table15[[#This Row],[rpm]]-Table36[maxTRpm]))+(1-Table36[linearDown])*(1-Table7[f3Eco]*(Table15[[#This Row],[rpm]]-Table36[maxTRpm])^2))*Table36[maxTEco])</f>
        <v>813.08049535603709</v>
      </c>
      <c r="U22" s="3">
        <f>MAX(0,(Table36[maxPSEco]-Table7[f4Eco]*(Table15[[#This Row],[rpm]]-Table36[maxPRpm])^2)/1.36*9550/MAX(1,Table15[[#This Row],[rpm]]))</f>
        <v>813.08049535603709</v>
      </c>
      <c r="V22" s="3">
        <f>MAX(0,Table7[Nm2Eco]*MIN(Table36[ratedRpm]/MAX(1,Table15[[#This Row],[rpm]]),1-(MAX(0,Table15[[#This Row],[rpm]]-Table36[ratedRpm])/Table36[fadeOut])^Table36[fadeOutExp]))</f>
        <v>668.76750700280115</v>
      </c>
    </row>
    <row r="23" spans="1:22" x14ac:dyDescent="0.25">
      <c r="A23" s="3">
        <v>2000</v>
      </c>
      <c r="B2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754.87132352941171</v>
      </c>
      <c r="C23" s="20"/>
      <c r="D2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754.87132352941171</v>
      </c>
      <c r="E23" s="20"/>
      <c r="F23" s="3">
        <f>Table36[Factor]*IF(Table15[[#This Row],[manualData]]&gt;0,Table15[[#This Row],[manualData]],Table15[[#This Row],[rawData]])</f>
        <v>754.87132352941171</v>
      </c>
      <c r="G23" s="3">
        <f>Table36[Factor]*IF(Table15[[#This Row],[manDataEco]]&gt;0,Table15[[#This Row],[manDataEco]],Table15[[#This Row],[rawDataEco]])</f>
        <v>754.87132352941171</v>
      </c>
      <c r="H23" s="27">
        <f>1.36*Table15[[#This Row],[rpm]]*Table15[[#This Row],[motor]]/9550</f>
        <v>214.99999999999997</v>
      </c>
      <c r="I23" s="27">
        <f>1.36*Table15[[#This Row],[rpm]]*Table15[[#This Row],[motorEco]]/9550</f>
        <v>214.99999999999997</v>
      </c>
      <c r="J23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233.28993055555554</v>
      </c>
      <c r="K23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rpm="2000" motorTorque="755" fuelUsageRatio="233.3"/&gt;</v>
      </c>
      <c r="L23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normRpm="0.909" torque="0.839"/&gt;</v>
      </c>
      <c r="M23" s="3">
        <f>(1-(1-Table15[[#This Row],[rpm]]/Table36[idleRpm])^2)*Table7[idleT]</f>
        <v>-400.00000000000017</v>
      </c>
      <c r="N23" s="3">
        <f>MAX(0,(1-Table7[f1]*(Table36[maxTRpm1]-Table15[[#This Row],[rpm]])^2)*Table36[maxT])</f>
        <v>260.00000000000017</v>
      </c>
      <c r="O23" s="3">
        <f>MAX(0,(Table36[linearDown]*(1-Table7[f2]*(Table15[[#This Row],[rpm]]-Table36[maxTRpm]))+(1-Table36[linearDown])*(1-Table7[f3]*(Table15[[#This Row],[rpm]]-Table36[maxTRpm])^2))*Table36[maxT])</f>
        <v>785.26625386996898</v>
      </c>
      <c r="P23" s="3">
        <f>MAX(0,(Table36[maxPS]-Table7[f4]*(Table15[[#This Row],[rpm]]-Table36[maxPRpm])^2)/1.36*9550/MAX(1,Table15[[#This Row],[rpm]]))</f>
        <v>754.87132352941171</v>
      </c>
      <c r="Q23" s="3">
        <f>MAX(0,Table7[Nm2]*MIN(Table36[ratedRpm]/MAX(1,Table15[[#This Row],[rpm]]),1-(MAX(0,Table15[[#This Row],[rpm]]-Table36[ratedRpm])/Table36[fadeOut])^Table36[fadeOutExp]))</f>
        <v>668.76750700280115</v>
      </c>
      <c r="R23" s="3">
        <f>(1-(1-Table15[[#This Row],[rpm]]/Table36[idleRpm])^2)*Table7[idleTEco]</f>
        <v>-400.00000000000017</v>
      </c>
      <c r="S23" s="3">
        <f>MAX(0,(1-Table7[f1]*(Table36[maxTRpm1]-Table15[[#This Row],[rpm]])^2)*Table36[maxTEco])</f>
        <v>260.00000000000017</v>
      </c>
      <c r="T23" s="3">
        <f>MAX(0,(Table36[linearDown]*(1-Table7[f2Eco]*(Table15[[#This Row],[rpm]]-Table36[maxTRpm]))+(1-Table36[linearDown])*(1-Table7[f3Eco]*(Table15[[#This Row],[rpm]]-Table36[maxTRpm])^2))*Table36[maxTEco])</f>
        <v>785.26625386996898</v>
      </c>
      <c r="U23" s="3">
        <f>MAX(0,(Table36[maxPSEco]-Table7[f4Eco]*(Table15[[#This Row],[rpm]]-Table36[maxPRpm])^2)/1.36*9550/MAX(1,Table15[[#This Row],[rpm]]))</f>
        <v>754.87132352941171</v>
      </c>
      <c r="V23" s="3">
        <f>MAX(0,Table7[Nm2Eco]*MIN(Table36[ratedRpm]/MAX(1,Table15[[#This Row],[rpm]]),1-(MAX(0,Table15[[#This Row],[rpm]]-Table36[ratedRpm])/Table36[fadeOut])^Table36[fadeOutExp]))</f>
        <v>668.76750700280115</v>
      </c>
    </row>
    <row r="24" spans="1:22" x14ac:dyDescent="0.25">
      <c r="A24" s="3">
        <v>2100</v>
      </c>
      <c r="B2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668.76750700280115</v>
      </c>
      <c r="C24" s="20"/>
      <c r="D2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668.76750700280115</v>
      </c>
      <c r="E24" s="20"/>
      <c r="F24" s="3">
        <f>Table36[Factor]*IF(Table15[[#This Row],[manualData]]&gt;0,Table15[[#This Row],[manualData]],Table15[[#This Row],[rawData]])</f>
        <v>668.76750700280115</v>
      </c>
      <c r="G24" s="3">
        <f>Table36[Factor]*IF(Table15[[#This Row],[manDataEco]]&gt;0,Table15[[#This Row],[manDataEco]],Table15[[#This Row],[rawDataEco]])</f>
        <v>668.76750700280115</v>
      </c>
      <c r="H24" s="27">
        <f>1.36*Table15[[#This Row],[rpm]]*Table15[[#This Row],[motor]]/9550</f>
        <v>200</v>
      </c>
      <c r="I24" s="27">
        <f>1.36*Table15[[#This Row],[rpm]]*Table15[[#This Row],[motorEco]]/9550</f>
        <v>200</v>
      </c>
      <c r="J24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238.88888888888889</v>
      </c>
      <c r="K24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rpm="2100" motorTorque="669" fuelUsageRatio="238.9"/&gt;</v>
      </c>
      <c r="L24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normRpm="0.955" torque="0.743"/&gt;</v>
      </c>
      <c r="M24" s="3">
        <f>(1-(1-Table15[[#This Row],[rpm]]/Table36[idleRpm])^2)*Table7[idleT]</f>
        <v>-630.00000000000023</v>
      </c>
      <c r="N24" s="3">
        <f>MAX(0,(1-Table7[f1]*(Table36[maxTRpm1]-Table15[[#This Row],[rpm]])^2)*Table36[maxT])</f>
        <v>90.000000000000185</v>
      </c>
      <c r="O24" s="3">
        <f>MAX(0,(Table36[linearDown]*(1-Table7[f2]*(Table15[[#This Row],[rpm]]-Table36[maxTRpm]))+(1-Table36[linearDown])*(1-Table7[f3]*(Table15[[#This Row],[rpm]]-Table36[maxTRpm])^2))*Table36[maxT])</f>
        <v>753.97523219814229</v>
      </c>
      <c r="P24" s="3">
        <f>MAX(0,(Table36[maxPS]-Table7[f4]*(Table15[[#This Row],[rpm]]-Table36[maxPRpm])^2)/1.36*9550/MAX(1,Table15[[#This Row],[rpm]]))</f>
        <v>668.76750700280115</v>
      </c>
      <c r="Q24" s="3">
        <f>MAX(0,Table7[Nm2]*MIN(Table36[ratedRpm]/MAX(1,Table15[[#This Row],[rpm]]),1-(MAX(0,Table15[[#This Row],[rpm]]-Table36[ratedRpm])/Table36[fadeOut])^Table36[fadeOutExp]))</f>
        <v>668.76750700280115</v>
      </c>
      <c r="R24" s="3">
        <f>(1-(1-Table15[[#This Row],[rpm]]/Table36[idleRpm])^2)*Table7[idleTEco]</f>
        <v>-630.00000000000023</v>
      </c>
      <c r="S24" s="3">
        <f>MAX(0,(1-Table7[f1]*(Table36[maxTRpm1]-Table15[[#This Row],[rpm]])^2)*Table36[maxTEco])</f>
        <v>90.000000000000185</v>
      </c>
      <c r="T24" s="3">
        <f>MAX(0,(Table36[linearDown]*(1-Table7[f2Eco]*(Table15[[#This Row],[rpm]]-Table36[maxTRpm]))+(1-Table36[linearDown])*(1-Table7[f3Eco]*(Table15[[#This Row],[rpm]]-Table36[maxTRpm])^2))*Table36[maxTEco])</f>
        <v>753.97523219814229</v>
      </c>
      <c r="U24" s="3">
        <f>MAX(0,(Table36[maxPSEco]-Table7[f4Eco]*(Table15[[#This Row],[rpm]]-Table36[maxPRpm])^2)/1.36*9550/MAX(1,Table15[[#This Row],[rpm]]))</f>
        <v>668.76750700280115</v>
      </c>
      <c r="V24" s="3">
        <f>MAX(0,Table7[Nm2Eco]*MIN(Table36[ratedRpm]/MAX(1,Table15[[#This Row],[rpm]]),1-(MAX(0,Table15[[#This Row],[rpm]]-Table36[ratedRpm])/Table36[fadeOut])^Table36[fadeOutExp]))</f>
        <v>668.76750700280115</v>
      </c>
    </row>
    <row r="25" spans="1:22" x14ac:dyDescent="0.25">
      <c r="A25" s="3">
        <v>2200</v>
      </c>
      <c r="B2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559.69808836781647</v>
      </c>
      <c r="C25" s="20"/>
      <c r="D2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559.69808836781647</v>
      </c>
      <c r="E25" s="20"/>
      <c r="F25" s="3">
        <f>Table36[Factor]*IF(Table15[[#This Row],[manualData]]&gt;0,Table15[[#This Row],[manualData]],Table15[[#This Row],[rawData]])</f>
        <v>559.69808836781647</v>
      </c>
      <c r="G25" s="3">
        <f>Table36[Factor]*IF(Table15[[#This Row],[manDataEco]]&gt;0,Table15[[#This Row],[manDataEco]],Table15[[#This Row],[rawDataEco]])</f>
        <v>559.69808836781647</v>
      </c>
      <c r="H25" s="27">
        <f>1.36*Table15[[#This Row],[rpm]]*Table15[[#This Row],[motor]]/9550</f>
        <v>175.35253197869181</v>
      </c>
      <c r="I25" s="27">
        <f>1.36*Table15[[#This Row],[rpm]]*Table15[[#This Row],[motorEco]]/9550</f>
        <v>175.35253197869181</v>
      </c>
      <c r="J25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272.16551203617928</v>
      </c>
      <c r="K25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rpm="2200" motorTorque="560" fuelUsageRatio="272.2"/&gt;</v>
      </c>
      <c r="L25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 xml:space="preserve">        &lt;torque normRpm="1" torque="0.622"/&gt;</v>
      </c>
      <c r="M25" s="3">
        <f>(1-(1-Table15[[#This Row],[rpm]]/Table36[idleRpm])^2)*Table7[idleT]</f>
        <v>-880.00000000000034</v>
      </c>
      <c r="N25" s="3">
        <f>MAX(0,(1-Table7[f1]*(Table36[maxTRpm1]-Table15[[#This Row],[rpm]])^2)*Table36[maxT])</f>
        <v>0</v>
      </c>
      <c r="O25" s="3">
        <f>MAX(0,(Table36[linearDown]*(1-Table7[f2]*(Table15[[#This Row],[rpm]]-Table36[maxTRpm]))+(1-Table36[linearDown])*(1-Table7[f3]*(Table15[[#This Row],[rpm]]-Table36[maxTRpm])^2))*Table36[maxT])</f>
        <v>719.20743034055715</v>
      </c>
      <c r="P25" s="3">
        <f>MAX(0,(Table36[maxPS]-Table7[f4]*(Table15[[#This Row],[rpm]]-Table36[maxPRpm])^2)/1.36*9550/MAX(1,Table15[[#This Row],[rpm]]))</f>
        <v>558.57286096256678</v>
      </c>
      <c r="Q25" s="3">
        <f>MAX(0,Table7[Nm2]*MIN(Table36[ratedRpm]/MAX(1,Table15[[#This Row],[rpm]]),1-(MAX(0,Table15[[#This Row],[rpm]]-Table36[ratedRpm])/Table36[fadeOut])^Table36[fadeOutExp]))</f>
        <v>559.69808836781647</v>
      </c>
      <c r="R25" s="3">
        <f>(1-(1-Table15[[#This Row],[rpm]]/Table36[idleRpm])^2)*Table7[idleTEco]</f>
        <v>-880.00000000000034</v>
      </c>
      <c r="S25" s="3">
        <f>MAX(0,(1-Table7[f1]*(Table36[maxTRpm1]-Table15[[#This Row],[rpm]])^2)*Table36[maxTEco])</f>
        <v>0</v>
      </c>
      <c r="T25" s="3">
        <f>MAX(0,(Table36[linearDown]*(1-Table7[f2Eco]*(Table15[[#This Row],[rpm]]-Table36[maxTRpm]))+(1-Table36[linearDown])*(1-Table7[f3Eco]*(Table15[[#This Row],[rpm]]-Table36[maxTRpm])^2))*Table36[maxTEco])</f>
        <v>719.20743034055715</v>
      </c>
      <c r="U25" s="3">
        <f>MAX(0,(Table36[maxPSEco]-Table7[f4Eco]*(Table15[[#This Row],[rpm]]-Table36[maxPRpm])^2)/1.36*9550/MAX(1,Table15[[#This Row],[rpm]]))</f>
        <v>558.57286096256678</v>
      </c>
      <c r="V25" s="3">
        <f>MAX(0,Table7[Nm2Eco]*MIN(Table36[ratedRpm]/MAX(1,Table15[[#This Row],[rpm]]),1-(MAX(0,Table15[[#This Row],[rpm]]-Table36[ratedRpm])/Table36[fadeOut])^Table36[fadeOutExp]))</f>
        <v>559.69808836781647</v>
      </c>
    </row>
    <row r="26" spans="1:22" x14ac:dyDescent="0.25">
      <c r="A26" s="3">
        <v>2300</v>
      </c>
      <c r="B2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131.6466853258444</v>
      </c>
      <c r="C26" s="20"/>
      <c r="D2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131.6466853258444</v>
      </c>
      <c r="E26" s="20"/>
      <c r="F26" s="3">
        <f>Table36[Factor]*IF(Table15[[#This Row],[manualData]]&gt;0,Table15[[#This Row],[manualData]],Table15[[#This Row],[rawData]])</f>
        <v>131.6466853258444</v>
      </c>
      <c r="G26" s="3">
        <f>Table36[Factor]*IF(Table15[[#This Row],[manDataEco]]&gt;0,Table15[[#This Row],[manDataEco]],Table15[[#This Row],[rawDataEco]])</f>
        <v>131.6466853258444</v>
      </c>
      <c r="H26" s="27">
        <f>1.36*Table15[[#This Row],[rpm]]*Table15[[#This Row],[motor]]/9550</f>
        <v>43.119458816674481</v>
      </c>
      <c r="I26" s="27">
        <f>1.36*Table15[[#This Row],[rpm]]*Table15[[#This Row],[motorEco]]/9550</f>
        <v>43.119458816674481</v>
      </c>
      <c r="J26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427.12989594839519</v>
      </c>
      <c r="K26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rpm="2300" motorTorque="132" fuelUsageRatio="427.1"/&gt;</v>
      </c>
      <c r="L26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26" s="3">
        <f>(1-(1-Table15[[#This Row],[rpm]]/Table36[idleRpm])^2)*Table7[idleT]</f>
        <v>-1149.9999999999993</v>
      </c>
      <c r="N26" s="3">
        <f>MAX(0,(1-Table7[f1]*(Table36[maxTRpm1]-Table15[[#This Row],[rpm]])^2)*Table36[maxT])</f>
        <v>0</v>
      </c>
      <c r="O26" s="3">
        <f>MAX(0,(Table36[linearDown]*(1-Table7[f2]*(Table15[[#This Row],[rpm]]-Table36[maxTRpm]))+(1-Table36[linearDown])*(1-Table7[f3]*(Table15[[#This Row],[rpm]]-Table36[maxTRpm])^2))*Table36[maxT])</f>
        <v>680.96284829721344</v>
      </c>
      <c r="P26" s="3">
        <f>MAX(0,(Table36[maxPS]-Table7[f4]*(Table15[[#This Row],[rpm]]-Table36[maxPRpm])^2)/1.36*9550/MAX(1,Table15[[#This Row],[rpm]]))</f>
        <v>427.42966751918158</v>
      </c>
      <c r="Q26" s="3">
        <f>MAX(0,Table7[Nm2]*MIN(Table36[ratedRpm]/MAX(1,Table15[[#This Row],[rpm]]),1-(MAX(0,Table15[[#This Row],[rpm]]-Table36[ratedRpm])/Table36[fadeOut])^Table36[fadeOutExp]))</f>
        <v>131.6466853258444</v>
      </c>
      <c r="R26" s="3">
        <f>(1-(1-Table15[[#This Row],[rpm]]/Table36[idleRpm])^2)*Table7[idleTEco]</f>
        <v>-1149.9999999999993</v>
      </c>
      <c r="S26" s="3">
        <f>MAX(0,(1-Table7[f1]*(Table36[maxTRpm1]-Table15[[#This Row],[rpm]])^2)*Table36[maxTEco])</f>
        <v>0</v>
      </c>
      <c r="T26" s="3">
        <f>MAX(0,(Table36[linearDown]*(1-Table7[f2Eco]*(Table15[[#This Row],[rpm]]-Table36[maxTRpm]))+(1-Table36[linearDown])*(1-Table7[f3Eco]*(Table15[[#This Row],[rpm]]-Table36[maxTRpm])^2))*Table36[maxTEco])</f>
        <v>680.96284829721344</v>
      </c>
      <c r="U26" s="3">
        <f>MAX(0,(Table36[maxPSEco]-Table7[f4Eco]*(Table15[[#This Row],[rpm]]-Table36[maxPRpm])^2)/1.36*9550/MAX(1,Table15[[#This Row],[rpm]]))</f>
        <v>427.42966751918158</v>
      </c>
      <c r="V26" s="3">
        <f>MAX(0,Table7[Nm2Eco]*MIN(Table36[ratedRpm]/MAX(1,Table15[[#This Row],[rpm]]),1-(MAX(0,Table15[[#This Row],[rpm]]-Table36[ratedRpm])/Table36[fadeOut])^Table36[fadeOutExp]))</f>
        <v>131.6466853258444</v>
      </c>
    </row>
    <row r="27" spans="1:22" x14ac:dyDescent="0.25">
      <c r="A27" s="3">
        <v>2400</v>
      </c>
      <c r="B2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27" s="20"/>
      <c r="D2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27" s="20"/>
      <c r="F27" s="3">
        <f>Table36[Factor]*IF(Table15[[#This Row],[manualData]]&gt;0,Table15[[#This Row],[manualData]],Table15[[#This Row],[rawData]])</f>
        <v>0</v>
      </c>
      <c r="G27" s="3">
        <f>Table36[Factor]*IF(Table15[[#This Row],[manDataEco]]&gt;0,Table15[[#This Row],[manDataEco]],Table15[[#This Row],[rawDataEco]])</f>
        <v>0</v>
      </c>
      <c r="H27" s="3">
        <f>1.36*Table15[[#This Row],[rpm]]*Table15[[#This Row],[motor]]/9550</f>
        <v>0</v>
      </c>
      <c r="I27" s="3">
        <f>1.36*Table15[[#This Row],[rpm]]*Table15[[#This Row],[motorEco]]/9550</f>
        <v>0</v>
      </c>
      <c r="J27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2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 xml:space="preserve">        &lt;torque rpm="2400" motorTorque="0" fuelUsageRatio="477.8"/&gt;</v>
      </c>
      <c r="L2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27" s="3">
        <f>(1-(1-Table15[[#This Row],[rpm]]/Table36[idleRpm])^2)*Table7[idleT]</f>
        <v>-1439.9999999999995</v>
      </c>
      <c r="N27" s="3">
        <f>MAX(0,(1-Table7[f1]*(Table36[maxTRpm1]-Table15[[#This Row],[rpm]])^2)*Table36[maxT])</f>
        <v>0</v>
      </c>
      <c r="O27" s="3">
        <f>MAX(0,(Table36[linearDown]*(1-Table7[f2]*(Table15[[#This Row],[rpm]]-Table36[maxTRpm]))+(1-Table36[linearDown])*(1-Table7[f3]*(Table15[[#This Row],[rpm]]-Table36[maxTRpm])^2))*Table36[maxT])</f>
        <v>639.24148606811127</v>
      </c>
      <c r="P27" s="3">
        <f>MAX(0,(Table36[maxPS]-Table7[f4]*(Table15[[#This Row],[rpm]]-Table36[maxPRpm])^2)/1.36*9550/MAX(1,Table15[[#This Row],[rpm]]))</f>
        <v>277.95649509803917</v>
      </c>
      <c r="Q27" s="3">
        <f>MAX(0,Table7[Nm2]*MIN(Table36[ratedRpm]/MAX(1,Table15[[#This Row],[rpm]]),1-(MAX(0,Table15[[#This Row],[rpm]]-Table36[ratedRpm])/Table36[fadeOut])^Table36[fadeOutExp]))</f>
        <v>0</v>
      </c>
      <c r="R27" s="3">
        <f>(1-(1-Table15[[#This Row],[rpm]]/Table36[idleRpm])^2)*Table7[idleTEco]</f>
        <v>-1439.9999999999995</v>
      </c>
      <c r="S27" s="3">
        <f>MAX(0,(1-Table7[f1]*(Table36[maxTRpm1]-Table15[[#This Row],[rpm]])^2)*Table36[maxTEco])</f>
        <v>0</v>
      </c>
      <c r="T27" s="3">
        <f>MAX(0,(Table36[linearDown]*(1-Table7[f2Eco]*(Table15[[#This Row],[rpm]]-Table36[maxTRpm]))+(1-Table36[linearDown])*(1-Table7[f3Eco]*(Table15[[#This Row],[rpm]]-Table36[maxTRpm])^2))*Table36[maxTEco])</f>
        <v>639.24148606811127</v>
      </c>
      <c r="U27" s="3">
        <f>MAX(0,(Table36[maxPSEco]-Table7[f4Eco]*(Table15[[#This Row],[rpm]]-Table36[maxPRpm])^2)/1.36*9550/MAX(1,Table15[[#This Row],[rpm]]))</f>
        <v>277.95649509803917</v>
      </c>
      <c r="V27" s="3">
        <f>MAX(0,Table7[Nm2Eco]*MIN(Table36[ratedRpm]/MAX(1,Table15[[#This Row],[rpm]]),1-(MAX(0,Table15[[#This Row],[rpm]]-Table36[ratedRpm])/Table36[fadeOut])^Table36[fadeOutExp]))</f>
        <v>0</v>
      </c>
    </row>
    <row r="28" spans="1:22" x14ac:dyDescent="0.25">
      <c r="A28" s="3">
        <v>2500</v>
      </c>
      <c r="B2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28" s="20"/>
      <c r="D2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28" s="20"/>
      <c r="F28" s="3">
        <f>Table36[Factor]*IF(Table15[[#This Row],[manualData]]&gt;0,Table15[[#This Row],[manualData]],Table15[[#This Row],[rawData]])</f>
        <v>0</v>
      </c>
      <c r="G28" s="3">
        <f>Table36[Factor]*IF(Table15[[#This Row],[manDataEco]]&gt;0,Table15[[#This Row],[manDataEco]],Table15[[#This Row],[rawDataEco]])</f>
        <v>0</v>
      </c>
      <c r="H28" s="3">
        <f>1.36*Table15[[#This Row],[rpm]]*Table15[[#This Row],[motor]]/9550</f>
        <v>0</v>
      </c>
      <c r="I28" s="3">
        <f>1.36*Table15[[#This Row],[rpm]]*Table15[[#This Row],[motorEco]]/9550</f>
        <v>0</v>
      </c>
      <c r="J28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2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2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28" s="3">
        <f>(1-(1-Table15[[#This Row],[rpm]]/Table36[idleRpm])^2)*Table7[idleT]</f>
        <v>-1749.9999999999998</v>
      </c>
      <c r="N28" s="3">
        <f>MAX(0,(1-Table7[f1]*(Table36[maxTRpm1]-Table15[[#This Row],[rpm]])^2)*Table36[maxT])</f>
        <v>0</v>
      </c>
      <c r="O28" s="3">
        <f>MAX(0,(Table36[linearDown]*(1-Table7[f2]*(Table15[[#This Row],[rpm]]-Table36[maxTRpm]))+(1-Table36[linearDown])*(1-Table7[f3]*(Table15[[#This Row],[rpm]]-Table36[maxTRpm])^2))*Table36[maxT])</f>
        <v>594.04334365325042</v>
      </c>
      <c r="P28" s="3">
        <f>MAX(0,(Table36[maxPS]-Table7[f4]*(Table15[[#This Row],[rpm]]-Table36[maxPRpm])^2)/1.36*9550/MAX(1,Table15[[#This Row],[rpm]]))</f>
        <v>112.35294117647058</v>
      </c>
      <c r="Q28" s="3">
        <f>MAX(0,Table7[Nm2]*MIN(Table36[ratedRpm]/MAX(1,Table15[[#This Row],[rpm]]),1-(MAX(0,Table15[[#This Row],[rpm]]-Table36[ratedRpm])/Table36[fadeOut])^Table36[fadeOutExp]))</f>
        <v>0</v>
      </c>
      <c r="R28" s="3">
        <f>(1-(1-Table15[[#This Row],[rpm]]/Table36[idleRpm])^2)*Table7[idleTEco]</f>
        <v>-1749.9999999999998</v>
      </c>
      <c r="S28" s="3">
        <f>MAX(0,(1-Table7[f1]*(Table36[maxTRpm1]-Table15[[#This Row],[rpm]])^2)*Table36[maxTEco])</f>
        <v>0</v>
      </c>
      <c r="T28" s="3">
        <f>MAX(0,(Table36[linearDown]*(1-Table7[f2Eco]*(Table15[[#This Row],[rpm]]-Table36[maxTRpm]))+(1-Table36[linearDown])*(1-Table7[f3Eco]*(Table15[[#This Row],[rpm]]-Table36[maxTRpm])^2))*Table36[maxTEco])</f>
        <v>594.04334365325042</v>
      </c>
      <c r="U28" s="3">
        <f>MAX(0,(Table36[maxPSEco]-Table7[f4Eco]*(Table15[[#This Row],[rpm]]-Table36[maxPRpm])^2)/1.36*9550/MAX(1,Table15[[#This Row],[rpm]]))</f>
        <v>112.35294117647058</v>
      </c>
      <c r="V28" s="3">
        <f>MAX(0,Table7[Nm2Eco]*MIN(Table36[ratedRpm]/MAX(1,Table15[[#This Row],[rpm]]),1-(MAX(0,Table15[[#This Row],[rpm]]-Table36[ratedRpm])/Table36[fadeOut])^Table36[fadeOutExp]))</f>
        <v>0</v>
      </c>
    </row>
    <row r="29" spans="1:22" x14ac:dyDescent="0.25">
      <c r="A29" s="3">
        <v>2750</v>
      </c>
      <c r="B2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29" s="20"/>
      <c r="D2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29" s="20"/>
      <c r="F29" s="3">
        <f>Table36[Factor]*IF(Table15[[#This Row],[manualData]]&gt;0,Table15[[#This Row],[manualData]],Table15[[#This Row],[rawData]])</f>
        <v>0</v>
      </c>
      <c r="G29" s="3">
        <f>Table36[Factor]*IF(Table15[[#This Row],[manDataEco]]&gt;0,Table15[[#This Row],[manDataEco]],Table15[[#This Row],[rawDataEco]])</f>
        <v>0</v>
      </c>
      <c r="H29" s="3">
        <f>1.36*Table15[[#This Row],[rpm]]*Table15[[#This Row],[motor]]/9550</f>
        <v>0</v>
      </c>
      <c r="I29" s="3">
        <f>1.36*Table15[[#This Row],[rpm]]*Table15[[#This Row],[motorEco]]/9550</f>
        <v>0</v>
      </c>
      <c r="J29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2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2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29" s="3">
        <f>(1-(1-Table15[[#This Row],[rpm]]/Table36[idleRpm])^2)*Table7[idleT]</f>
        <v>-2612.4999999999991</v>
      </c>
      <c r="N29" s="3">
        <f>MAX(0,(1-Table7[f1]*(Table36[maxTRpm1]-Table15[[#This Row],[rpm]])^2)*Table36[maxT])</f>
        <v>0</v>
      </c>
      <c r="O29" s="3">
        <f>MAX(0,(Table36[linearDown]*(1-Table7[f2]*(Table15[[#This Row],[rpm]]-Table36[maxTRpm]))+(1-Table36[linearDown])*(1-Table7[f3]*(Table15[[#This Row],[rpm]]-Table36[maxTRpm])^2))*Table36[maxT])</f>
        <v>465.83707430340525</v>
      </c>
      <c r="P29" s="3">
        <f>MAX(0,(Table36[maxPS]-Table7[f4]*(Table15[[#This Row],[rpm]]-Table36[maxPRpm])^2)/1.36*9550/MAX(1,Table15[[#This Row],[rpm]]))</f>
        <v>0</v>
      </c>
      <c r="Q29" s="3">
        <f>MAX(0,Table7[Nm2]*MIN(Table36[ratedRpm]/MAX(1,Table15[[#This Row],[rpm]]),1-(MAX(0,Table15[[#This Row],[rpm]]-Table36[ratedRpm])/Table36[fadeOut])^Table36[fadeOutExp]))</f>
        <v>0</v>
      </c>
      <c r="R29" s="3">
        <f>(1-(1-Table15[[#This Row],[rpm]]/Table36[idleRpm])^2)*Table7[idleTEco]</f>
        <v>-2612.4999999999991</v>
      </c>
      <c r="S29" s="3">
        <f>MAX(0,(1-Table7[f1]*(Table36[maxTRpm1]-Table15[[#This Row],[rpm]])^2)*Table36[maxTEco])</f>
        <v>0</v>
      </c>
      <c r="T29" s="3">
        <f>MAX(0,(Table36[linearDown]*(1-Table7[f2Eco]*(Table15[[#This Row],[rpm]]-Table36[maxTRpm]))+(1-Table36[linearDown])*(1-Table7[f3Eco]*(Table15[[#This Row],[rpm]]-Table36[maxTRpm])^2))*Table36[maxTEco])</f>
        <v>465.83707430340525</v>
      </c>
      <c r="U29" s="3">
        <f>MAX(0,(Table36[maxPSEco]-Table7[f4Eco]*(Table15[[#This Row],[rpm]]-Table36[maxPRpm])^2)/1.36*9550/MAX(1,Table15[[#This Row],[rpm]]))</f>
        <v>0</v>
      </c>
      <c r="V29" s="3">
        <f>MAX(0,Table7[Nm2Eco]*MIN(Table36[ratedRpm]/MAX(1,Table15[[#This Row],[rpm]]),1-(MAX(0,Table15[[#This Row],[rpm]]-Table36[ratedRpm])/Table36[fadeOut])^Table36[fadeOutExp]))</f>
        <v>0</v>
      </c>
    </row>
    <row r="30" spans="1:22" x14ac:dyDescent="0.25">
      <c r="A30" s="3">
        <v>3000</v>
      </c>
      <c r="B3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0" s="20"/>
      <c r="D3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0" s="20"/>
      <c r="F30" s="3">
        <f>Table36[Factor]*IF(Table15[[#This Row],[manualData]]&gt;0,Table15[[#This Row],[manualData]],Table15[[#This Row],[rawData]])</f>
        <v>0</v>
      </c>
      <c r="G30" s="3">
        <f>Table36[Factor]*IF(Table15[[#This Row],[manDataEco]]&gt;0,Table15[[#This Row],[manDataEco]],Table15[[#This Row],[rawDataEco]])</f>
        <v>0</v>
      </c>
      <c r="H30" s="3">
        <f>1.36*Table15[[#This Row],[rpm]]*Table15[[#This Row],[motor]]/9550</f>
        <v>0</v>
      </c>
      <c r="I30" s="3">
        <f>1.36*Table15[[#This Row],[rpm]]*Table15[[#This Row],[motorEco]]/9550</f>
        <v>0</v>
      </c>
      <c r="J30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3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0" s="3">
        <f>(1-(1-Table15[[#This Row],[rpm]]/Table36[idleRpm])^2)*Table7[idleT]</f>
        <v>-3600.0000000000009</v>
      </c>
      <c r="N30" s="3">
        <f>MAX(0,(1-Table7[f1]*(Table36[maxTRpm1]-Table15[[#This Row],[rpm]])^2)*Table36[maxT])</f>
        <v>0</v>
      </c>
      <c r="O30" s="3">
        <f>MAX(0,(Table36[linearDown]*(1-Table7[f2]*(Table15[[#This Row],[rpm]]-Table36[maxTRpm]))+(1-Table36[linearDown])*(1-Table7[f3]*(Table15[[#This Row],[rpm]]-Table36[maxTRpm])^2))*Table36[maxT])</f>
        <v>315.90092879256923</v>
      </c>
      <c r="P30" s="3">
        <f>MAX(0,(Table36[maxPS]-Table7[f4]*(Table15[[#This Row],[rpm]]-Table36[maxPRpm])^2)/1.36*9550/MAX(1,Table15[[#This Row],[rpm]]))</f>
        <v>0</v>
      </c>
      <c r="Q30" s="3">
        <f>MAX(0,Table7[Nm2]*MIN(Table36[ratedRpm]/MAX(1,Table15[[#This Row],[rpm]]),1-(MAX(0,Table15[[#This Row],[rpm]]-Table36[ratedRpm])/Table36[fadeOut])^Table36[fadeOutExp]))</f>
        <v>0</v>
      </c>
      <c r="R30" s="3">
        <f>(1-(1-Table15[[#This Row],[rpm]]/Table36[idleRpm])^2)*Table7[idleTEco]</f>
        <v>-3600.0000000000009</v>
      </c>
      <c r="S30" s="3">
        <f>MAX(0,(1-Table7[f1]*(Table36[maxTRpm1]-Table15[[#This Row],[rpm]])^2)*Table36[maxTEco])</f>
        <v>0</v>
      </c>
      <c r="T30" s="3">
        <f>MAX(0,(Table36[linearDown]*(1-Table7[f2Eco]*(Table15[[#This Row],[rpm]]-Table36[maxTRpm]))+(1-Table36[linearDown])*(1-Table7[f3Eco]*(Table15[[#This Row],[rpm]]-Table36[maxTRpm])^2))*Table36[maxTEco])</f>
        <v>315.90092879256923</v>
      </c>
      <c r="U30" s="3">
        <f>MAX(0,(Table36[maxPSEco]-Table7[f4Eco]*(Table15[[#This Row],[rpm]]-Table36[maxPRpm])^2)/1.36*9550/MAX(1,Table15[[#This Row],[rpm]]))</f>
        <v>0</v>
      </c>
      <c r="V30" s="3">
        <f>MAX(0,Table7[Nm2Eco]*MIN(Table36[ratedRpm]/MAX(1,Table15[[#This Row],[rpm]]),1-(MAX(0,Table15[[#This Row],[rpm]]-Table36[ratedRpm])/Table36[fadeOut])^Table36[fadeOutExp]))</f>
        <v>0</v>
      </c>
    </row>
    <row r="31" spans="1:22" x14ac:dyDescent="0.25">
      <c r="A31" s="3">
        <v>3250</v>
      </c>
      <c r="B3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1" s="20"/>
      <c r="D3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1" s="20"/>
      <c r="F31" s="3">
        <f>Table36[Factor]*IF(Table15[[#This Row],[manualData]]&gt;0,Table15[[#This Row],[manualData]],Table15[[#This Row],[rawData]])</f>
        <v>0</v>
      </c>
      <c r="G31" s="3">
        <f>Table36[Factor]*IF(Table15[[#This Row],[manDataEco]]&gt;0,Table15[[#This Row],[manDataEco]],Table15[[#This Row],[rawDataEco]])</f>
        <v>0</v>
      </c>
      <c r="H31" s="3">
        <f>1.36*Table15[[#This Row],[rpm]]*Table15[[#This Row],[motor]]/9550</f>
        <v>0</v>
      </c>
      <c r="I31" s="3">
        <f>1.36*Table15[[#This Row],[rpm]]*Table15[[#This Row],[motorEco]]/9550</f>
        <v>0</v>
      </c>
      <c r="J31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3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1" s="3">
        <f>(1-(1-Table15[[#This Row],[rpm]]/Table36[idleRpm])^2)*Table7[idleT]</f>
        <v>-4712.5</v>
      </c>
      <c r="N31" s="3">
        <f>MAX(0,(1-Table7[f1]*(Table36[maxTRpm1]-Table15[[#This Row],[rpm]])^2)*Table36[maxT])</f>
        <v>0</v>
      </c>
      <c r="O31" s="3">
        <f>MAX(0,(Table36[linearDown]*(1-Table7[f2]*(Table15[[#This Row],[rpm]]-Table36[maxTRpm]))+(1-Table36[linearDown])*(1-Table7[f3]*(Table15[[#This Row],[rpm]]-Table36[maxTRpm])^2))*Table36[maxT])</f>
        <v>144.23490712074252</v>
      </c>
      <c r="P31" s="3">
        <f>MAX(0,(Table36[maxPS]-Table7[f4]*(Table15[[#This Row],[rpm]]-Table36[maxPRpm])^2)/1.36*9550/MAX(1,Table15[[#This Row],[rpm]]))</f>
        <v>0</v>
      </c>
      <c r="Q31" s="3">
        <f>MAX(0,Table7[Nm2]*MIN(Table36[ratedRpm]/MAX(1,Table15[[#This Row],[rpm]]),1-(MAX(0,Table15[[#This Row],[rpm]]-Table36[ratedRpm])/Table36[fadeOut])^Table36[fadeOutExp]))</f>
        <v>0</v>
      </c>
      <c r="R31" s="3">
        <f>(1-(1-Table15[[#This Row],[rpm]]/Table36[idleRpm])^2)*Table7[idleTEco]</f>
        <v>-4712.5</v>
      </c>
      <c r="S31" s="3">
        <f>MAX(0,(1-Table7[f1]*(Table36[maxTRpm1]-Table15[[#This Row],[rpm]])^2)*Table36[maxTEco])</f>
        <v>0</v>
      </c>
      <c r="T31" s="3">
        <f>MAX(0,(Table36[linearDown]*(1-Table7[f2Eco]*(Table15[[#This Row],[rpm]]-Table36[maxTRpm]))+(1-Table36[linearDown])*(1-Table7[f3Eco]*(Table15[[#This Row],[rpm]]-Table36[maxTRpm])^2))*Table36[maxTEco])</f>
        <v>144.23490712074252</v>
      </c>
      <c r="U31" s="3">
        <f>MAX(0,(Table36[maxPSEco]-Table7[f4Eco]*(Table15[[#This Row],[rpm]]-Table36[maxPRpm])^2)/1.36*9550/MAX(1,Table15[[#This Row],[rpm]]))</f>
        <v>0</v>
      </c>
      <c r="V31" s="3">
        <f>MAX(0,Table7[Nm2Eco]*MIN(Table36[ratedRpm]/MAX(1,Table15[[#This Row],[rpm]]),1-(MAX(0,Table15[[#This Row],[rpm]]-Table36[ratedRpm])/Table36[fadeOut])^Table36[fadeOutExp]))</f>
        <v>0</v>
      </c>
    </row>
    <row r="32" spans="1:22" x14ac:dyDescent="0.25">
      <c r="A32" s="3">
        <v>3500</v>
      </c>
      <c r="B3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2" s="20"/>
      <c r="D3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2" s="20"/>
      <c r="F32" s="3">
        <f>Table36[Factor]*IF(Table15[[#This Row],[manualData]]&gt;0,Table15[[#This Row],[manualData]],Table15[[#This Row],[rawData]])</f>
        <v>0</v>
      </c>
      <c r="G32" s="3">
        <f>Table36[Factor]*IF(Table15[[#This Row],[manDataEco]]&gt;0,Table15[[#This Row],[manDataEco]],Table15[[#This Row],[rawDataEco]])</f>
        <v>0</v>
      </c>
      <c r="H32" s="3">
        <f>1.36*Table15[[#This Row],[rpm]]*Table15[[#This Row],[motor]]/9550</f>
        <v>0</v>
      </c>
      <c r="I32" s="3">
        <f>1.36*Table15[[#This Row],[rpm]]*Table15[[#This Row],[motorEco]]/9550</f>
        <v>0</v>
      </c>
      <c r="J32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3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2" s="3">
        <f>(1-(1-Table15[[#This Row],[rpm]]/Table36[idleRpm])^2)*Table7[idleT]</f>
        <v>-5950</v>
      </c>
      <c r="N32" s="3">
        <f>MAX(0,(1-Table7[f1]*(Table36[maxTRpm1]-Table15[[#This Row],[rpm]])^2)*Table36[maxT])</f>
        <v>0</v>
      </c>
      <c r="O32" s="3">
        <f>MAX(0,(Table36[linearDown]*(1-Table7[f2]*(Table15[[#This Row],[rpm]]-Table36[maxTRpm]))+(1-Table36[linearDown])*(1-Table7[f3]*(Table15[[#This Row],[rpm]]-Table36[maxTRpm])^2))*Table36[maxT])</f>
        <v>0</v>
      </c>
      <c r="P32" s="3">
        <f>MAX(0,(Table36[maxPS]-Table7[f4]*(Table15[[#This Row],[rpm]]-Table36[maxPRpm])^2)/1.36*9550/MAX(1,Table15[[#This Row],[rpm]]))</f>
        <v>0</v>
      </c>
      <c r="Q32" s="3">
        <f>MAX(0,Table7[Nm2]*MIN(Table36[ratedRpm]/MAX(1,Table15[[#This Row],[rpm]]),1-(MAX(0,Table15[[#This Row],[rpm]]-Table36[ratedRpm])/Table36[fadeOut])^Table36[fadeOutExp]))</f>
        <v>0</v>
      </c>
      <c r="R32" s="3">
        <f>(1-(1-Table15[[#This Row],[rpm]]/Table36[idleRpm])^2)*Table7[idleTEco]</f>
        <v>-5950</v>
      </c>
      <c r="S32" s="3">
        <f>MAX(0,(1-Table7[f1]*(Table36[maxTRpm1]-Table15[[#This Row],[rpm]])^2)*Table36[maxTEco])</f>
        <v>0</v>
      </c>
      <c r="T32" s="3">
        <f>MAX(0,(Table36[linearDown]*(1-Table7[f2Eco]*(Table15[[#This Row],[rpm]]-Table36[maxTRpm]))+(1-Table36[linearDown])*(1-Table7[f3Eco]*(Table15[[#This Row],[rpm]]-Table36[maxTRpm])^2))*Table36[maxTEco])</f>
        <v>0</v>
      </c>
      <c r="U32" s="3">
        <f>MAX(0,(Table36[maxPSEco]-Table7[f4Eco]*(Table15[[#This Row],[rpm]]-Table36[maxPRpm])^2)/1.36*9550/MAX(1,Table15[[#This Row],[rpm]]))</f>
        <v>0</v>
      </c>
      <c r="V32" s="3">
        <f>MAX(0,Table7[Nm2Eco]*MIN(Table36[ratedRpm]/MAX(1,Table15[[#This Row],[rpm]]),1-(MAX(0,Table15[[#This Row],[rpm]]-Table36[ratedRpm])/Table36[fadeOut])^Table36[fadeOutExp]))</f>
        <v>0</v>
      </c>
    </row>
    <row r="33" spans="1:22" x14ac:dyDescent="0.25">
      <c r="A33" s="3">
        <v>3750</v>
      </c>
      <c r="B3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3" s="20"/>
      <c r="D3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3" s="20"/>
      <c r="F33" s="3">
        <f>Table36[Factor]*IF(Table15[[#This Row],[manualData]]&gt;0,Table15[[#This Row],[manualData]],Table15[[#This Row],[rawData]])</f>
        <v>0</v>
      </c>
      <c r="G33" s="3">
        <f>Table36[Factor]*IF(Table15[[#This Row],[manDataEco]]&gt;0,Table15[[#This Row],[manDataEco]],Table15[[#This Row],[rawDataEco]])</f>
        <v>0</v>
      </c>
      <c r="H33" s="3">
        <f>1.36*Table15[[#This Row],[rpm]]*Table15[[#This Row],[motor]]/9550</f>
        <v>0</v>
      </c>
      <c r="I33" s="3">
        <f>1.36*Table15[[#This Row],[rpm]]*Table15[[#This Row],[motorEco]]/9550</f>
        <v>0</v>
      </c>
      <c r="J33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33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3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3" s="3">
        <f>(1-(1-Table15[[#This Row],[rpm]]/Table36[idleRpm])^2)*Table7[idleT]</f>
        <v>-7312.5000000000018</v>
      </c>
      <c r="N33" s="3">
        <f>MAX(0,(1-Table7[f1]*(Table36[maxTRpm1]-Table15[[#This Row],[rpm]])^2)*Table36[maxT])</f>
        <v>0</v>
      </c>
      <c r="O33" s="3">
        <f>MAX(0,(Table36[linearDown]*(1-Table7[f2]*(Table15[[#This Row],[rpm]]-Table36[maxTRpm]))+(1-Table36[linearDown])*(1-Table7[f3]*(Table15[[#This Row],[rpm]]-Table36[maxTRpm])^2))*Table36[maxT])</f>
        <v>0</v>
      </c>
      <c r="P33" s="3">
        <f>MAX(0,(Table36[maxPS]-Table7[f4]*(Table15[[#This Row],[rpm]]-Table36[maxPRpm])^2)/1.36*9550/MAX(1,Table15[[#This Row],[rpm]]))</f>
        <v>0</v>
      </c>
      <c r="Q33" s="3">
        <f>MAX(0,Table7[Nm2]*MIN(Table36[ratedRpm]/MAX(1,Table15[[#This Row],[rpm]]),1-(MAX(0,Table15[[#This Row],[rpm]]-Table36[ratedRpm])/Table36[fadeOut])^Table36[fadeOutExp]))</f>
        <v>0</v>
      </c>
      <c r="R33" s="3">
        <f>(1-(1-Table15[[#This Row],[rpm]]/Table36[idleRpm])^2)*Table7[idleTEco]</f>
        <v>-7312.5000000000018</v>
      </c>
      <c r="S33" s="3">
        <f>MAX(0,(1-Table7[f1]*(Table36[maxTRpm1]-Table15[[#This Row],[rpm]])^2)*Table36[maxTEco])</f>
        <v>0</v>
      </c>
      <c r="T33" s="3">
        <f>MAX(0,(Table36[linearDown]*(1-Table7[f2Eco]*(Table15[[#This Row],[rpm]]-Table36[maxTRpm]))+(1-Table36[linearDown])*(1-Table7[f3Eco]*(Table15[[#This Row],[rpm]]-Table36[maxTRpm])^2))*Table36[maxTEco])</f>
        <v>0</v>
      </c>
      <c r="U33" s="3">
        <f>MAX(0,(Table36[maxPSEco]-Table7[f4Eco]*(Table15[[#This Row],[rpm]]-Table36[maxPRpm])^2)/1.36*9550/MAX(1,Table15[[#This Row],[rpm]]))</f>
        <v>0</v>
      </c>
      <c r="V33" s="3">
        <f>MAX(0,Table7[Nm2Eco]*MIN(Table36[ratedRpm]/MAX(1,Table15[[#This Row],[rpm]]),1-(MAX(0,Table15[[#This Row],[rpm]]-Table36[ratedRpm])/Table36[fadeOut])^Table36[fadeOutExp]))</f>
        <v>0</v>
      </c>
    </row>
    <row r="34" spans="1:22" x14ac:dyDescent="0.25">
      <c r="A34" s="3">
        <v>4000</v>
      </c>
      <c r="B3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4" s="20"/>
      <c r="D3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4" s="20"/>
      <c r="F34" s="3">
        <f>Table36[Factor]*IF(Table15[[#This Row],[manualData]]&gt;0,Table15[[#This Row],[manualData]],Table15[[#This Row],[rawData]])</f>
        <v>0</v>
      </c>
      <c r="G34" s="3">
        <f>Table36[Factor]*IF(Table15[[#This Row],[manDataEco]]&gt;0,Table15[[#This Row],[manDataEco]],Table15[[#This Row],[rawDataEco]])</f>
        <v>0</v>
      </c>
      <c r="H34" s="3">
        <f>1.36*Table15[[#This Row],[rpm]]*Table15[[#This Row],[motor]]/9550</f>
        <v>0</v>
      </c>
      <c r="I34" s="3">
        <f>1.36*Table15[[#This Row],[rpm]]*Table15[[#This Row],[motorEco]]/9550</f>
        <v>0</v>
      </c>
      <c r="J34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34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4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4" s="3">
        <f>(1-(1-Table15[[#This Row],[rpm]]/Table36[idleRpm])^2)*Table7[idleT]</f>
        <v>-8800.0000000000018</v>
      </c>
      <c r="N34" s="3">
        <f>MAX(0,(1-Table7[f1]*(Table36[maxTRpm1]-Table15[[#This Row],[rpm]])^2)*Table36[maxT])</f>
        <v>0</v>
      </c>
      <c r="O34" s="3">
        <f>MAX(0,(Table36[linearDown]*(1-Table7[f2]*(Table15[[#This Row],[rpm]]-Table36[maxTRpm]))+(1-Table36[linearDown])*(1-Table7[f3]*(Table15[[#This Row],[rpm]]-Table36[maxTRpm])^2))*Table36[maxT])</f>
        <v>0</v>
      </c>
      <c r="P34" s="3">
        <f>MAX(0,(Table36[maxPS]-Table7[f4]*(Table15[[#This Row],[rpm]]-Table36[maxPRpm])^2)/1.36*9550/MAX(1,Table15[[#This Row],[rpm]]))</f>
        <v>0</v>
      </c>
      <c r="Q34" s="3">
        <f>MAX(0,Table7[Nm2]*MIN(Table36[ratedRpm]/MAX(1,Table15[[#This Row],[rpm]]),1-(MAX(0,Table15[[#This Row],[rpm]]-Table36[ratedRpm])/Table36[fadeOut])^Table36[fadeOutExp]))</f>
        <v>0</v>
      </c>
      <c r="R34" s="3">
        <f>(1-(1-Table15[[#This Row],[rpm]]/Table36[idleRpm])^2)*Table7[idleTEco]</f>
        <v>-8800.0000000000018</v>
      </c>
      <c r="S34" s="3">
        <f>MAX(0,(1-Table7[f1]*(Table36[maxTRpm1]-Table15[[#This Row],[rpm]])^2)*Table36[maxTEco])</f>
        <v>0</v>
      </c>
      <c r="T34" s="3">
        <f>MAX(0,(Table36[linearDown]*(1-Table7[f2Eco]*(Table15[[#This Row],[rpm]]-Table36[maxTRpm]))+(1-Table36[linearDown])*(1-Table7[f3Eco]*(Table15[[#This Row],[rpm]]-Table36[maxTRpm])^2))*Table36[maxTEco])</f>
        <v>0</v>
      </c>
      <c r="U34" s="3">
        <f>MAX(0,(Table36[maxPSEco]-Table7[f4Eco]*(Table15[[#This Row],[rpm]]-Table36[maxPRpm])^2)/1.36*9550/MAX(1,Table15[[#This Row],[rpm]]))</f>
        <v>0</v>
      </c>
      <c r="V34" s="3">
        <f>MAX(0,Table7[Nm2Eco]*MIN(Table36[ratedRpm]/MAX(1,Table15[[#This Row],[rpm]]),1-(MAX(0,Table15[[#This Row],[rpm]]-Table36[ratedRpm])/Table36[fadeOut])^Table36[fadeOutExp]))</f>
        <v>0</v>
      </c>
    </row>
    <row r="35" spans="1:22" x14ac:dyDescent="0.25">
      <c r="A35" s="3">
        <v>4250</v>
      </c>
      <c r="B3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5" s="20"/>
      <c r="D3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5" s="20"/>
      <c r="F35" s="3">
        <f>Table36[Factor]*IF(Table15[[#This Row],[manualData]]&gt;0,Table15[[#This Row],[manualData]],Table15[[#This Row],[rawData]])</f>
        <v>0</v>
      </c>
      <c r="G35" s="3">
        <f>Table36[Factor]*IF(Table15[[#This Row],[manDataEco]]&gt;0,Table15[[#This Row],[manDataEco]],Table15[[#This Row],[rawDataEco]])</f>
        <v>0</v>
      </c>
      <c r="H35" s="3">
        <f>1.36*Table15[[#This Row],[rpm]]*Table15[[#This Row],[motor]]/9550</f>
        <v>0</v>
      </c>
      <c r="I35" s="3">
        <f>1.36*Table15[[#This Row],[rpm]]*Table15[[#This Row],[motorEco]]/9550</f>
        <v>0</v>
      </c>
      <c r="J35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35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5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5" s="3">
        <f>(1-(1-Table15[[#This Row],[rpm]]/Table36[idleRpm])^2)*Table7[idleT]</f>
        <v>-10412.5</v>
      </c>
      <c r="N35" s="3">
        <f>MAX(0,(1-Table7[f1]*(Table36[maxTRpm1]-Table15[[#This Row],[rpm]])^2)*Table36[maxT])</f>
        <v>0</v>
      </c>
      <c r="O35" s="3">
        <f>MAX(0,(Table36[linearDown]*(1-Table7[f2]*(Table15[[#This Row],[rpm]]-Table36[maxTRpm]))+(1-Table36[linearDown])*(1-Table7[f3]*(Table15[[#This Row],[rpm]]-Table36[maxTRpm])^2))*Table36[maxT])</f>
        <v>0</v>
      </c>
      <c r="P35" s="3">
        <f>MAX(0,(Table36[maxPS]-Table7[f4]*(Table15[[#This Row],[rpm]]-Table36[maxPRpm])^2)/1.36*9550/MAX(1,Table15[[#This Row],[rpm]]))</f>
        <v>0</v>
      </c>
      <c r="Q35" s="3">
        <f>MAX(0,Table7[Nm2]*MIN(Table36[ratedRpm]/MAX(1,Table15[[#This Row],[rpm]]),1-(MAX(0,Table15[[#This Row],[rpm]]-Table36[ratedRpm])/Table36[fadeOut])^Table36[fadeOutExp]))</f>
        <v>0</v>
      </c>
      <c r="R35" s="3">
        <f>(1-(1-Table15[[#This Row],[rpm]]/Table36[idleRpm])^2)*Table7[idleTEco]</f>
        <v>-10412.5</v>
      </c>
      <c r="S35" s="3">
        <f>MAX(0,(1-Table7[f1]*(Table36[maxTRpm1]-Table15[[#This Row],[rpm]])^2)*Table36[maxTEco])</f>
        <v>0</v>
      </c>
      <c r="T35" s="3">
        <f>MAX(0,(Table36[linearDown]*(1-Table7[f2Eco]*(Table15[[#This Row],[rpm]]-Table36[maxTRpm]))+(1-Table36[linearDown])*(1-Table7[f3Eco]*(Table15[[#This Row],[rpm]]-Table36[maxTRpm])^2))*Table36[maxTEco])</f>
        <v>0</v>
      </c>
      <c r="U35" s="3">
        <f>MAX(0,(Table36[maxPSEco]-Table7[f4Eco]*(Table15[[#This Row],[rpm]]-Table36[maxPRpm])^2)/1.36*9550/MAX(1,Table15[[#This Row],[rpm]]))</f>
        <v>0</v>
      </c>
      <c r="V35" s="3">
        <f>MAX(0,Table7[Nm2Eco]*MIN(Table36[ratedRpm]/MAX(1,Table15[[#This Row],[rpm]]),1-(MAX(0,Table15[[#This Row],[rpm]]-Table36[ratedRpm])/Table36[fadeOut])^Table36[fadeOutExp]))</f>
        <v>0</v>
      </c>
    </row>
    <row r="36" spans="1:22" x14ac:dyDescent="0.25">
      <c r="A36" s="3">
        <v>4500</v>
      </c>
      <c r="B3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6" s="20"/>
      <c r="D3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6" s="20"/>
      <c r="F36" s="3">
        <f>Table36[Factor]*IF(Table15[[#This Row],[manualData]]&gt;0,Table15[[#This Row],[manualData]],Table15[[#This Row],[rawData]])</f>
        <v>0</v>
      </c>
      <c r="G36" s="3">
        <f>Table36[Factor]*IF(Table15[[#This Row],[manDataEco]]&gt;0,Table15[[#This Row],[manDataEco]],Table15[[#This Row],[rawDataEco]])</f>
        <v>0</v>
      </c>
      <c r="H36" s="3">
        <f>1.36*Table15[[#This Row],[rpm]]*Table15[[#This Row],[motor]]/9550</f>
        <v>0</v>
      </c>
      <c r="I36" s="3">
        <f>1.36*Table15[[#This Row],[rpm]]*Table15[[#This Row],[motorEco]]/9550</f>
        <v>0</v>
      </c>
      <c r="J36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36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6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6" s="3">
        <f>(1-(1-Table15[[#This Row],[rpm]]/Table36[idleRpm])^2)*Table7[idleT]</f>
        <v>-12150</v>
      </c>
      <c r="N36" s="3">
        <f>MAX(0,(1-Table7[f1]*(Table36[maxTRpm1]-Table15[[#This Row],[rpm]])^2)*Table36[maxT])</f>
        <v>0</v>
      </c>
      <c r="O36" s="3">
        <f>MAX(0,(Table36[linearDown]*(1-Table7[f2]*(Table15[[#This Row],[rpm]]-Table36[maxTRpm]))+(1-Table36[linearDown])*(1-Table7[f3]*(Table15[[#This Row],[rpm]]-Table36[maxTRpm])^2))*Table36[maxT])</f>
        <v>0</v>
      </c>
      <c r="P36" s="3">
        <f>MAX(0,(Table36[maxPS]-Table7[f4]*(Table15[[#This Row],[rpm]]-Table36[maxPRpm])^2)/1.36*9550/MAX(1,Table15[[#This Row],[rpm]]))</f>
        <v>0</v>
      </c>
      <c r="Q36" s="3">
        <f>MAX(0,Table7[Nm2]*MIN(Table36[ratedRpm]/MAX(1,Table15[[#This Row],[rpm]]),1-(MAX(0,Table15[[#This Row],[rpm]]-Table36[ratedRpm])/Table36[fadeOut])^Table36[fadeOutExp]))</f>
        <v>0</v>
      </c>
      <c r="R36" s="3">
        <f>(1-(1-Table15[[#This Row],[rpm]]/Table36[idleRpm])^2)*Table7[idleTEco]</f>
        <v>-12150</v>
      </c>
      <c r="S36" s="3">
        <f>MAX(0,(1-Table7[f1]*(Table36[maxTRpm1]-Table15[[#This Row],[rpm]])^2)*Table36[maxTEco])</f>
        <v>0</v>
      </c>
      <c r="T36" s="3">
        <f>MAX(0,(Table36[linearDown]*(1-Table7[f2Eco]*(Table15[[#This Row],[rpm]]-Table36[maxTRpm]))+(1-Table36[linearDown])*(1-Table7[f3Eco]*(Table15[[#This Row],[rpm]]-Table36[maxTRpm])^2))*Table36[maxTEco])</f>
        <v>0</v>
      </c>
      <c r="U36" s="3">
        <f>MAX(0,(Table36[maxPSEco]-Table7[f4Eco]*(Table15[[#This Row],[rpm]]-Table36[maxPRpm])^2)/1.36*9550/MAX(1,Table15[[#This Row],[rpm]]))</f>
        <v>0</v>
      </c>
      <c r="V36" s="3">
        <f>MAX(0,Table7[Nm2Eco]*MIN(Table36[ratedRpm]/MAX(1,Table15[[#This Row],[rpm]]),1-(MAX(0,Table15[[#This Row],[rpm]]-Table36[ratedRpm])/Table36[fadeOut])^Table36[fadeOutExp]))</f>
        <v>0</v>
      </c>
    </row>
    <row r="37" spans="1:22" x14ac:dyDescent="0.25">
      <c r="A37" s="3">
        <v>4750</v>
      </c>
      <c r="B3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7" s="20"/>
      <c r="D3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7" s="20"/>
      <c r="F37" s="3">
        <f>Table36[Factor]*IF(Table15[[#This Row],[manualData]]&gt;0,Table15[[#This Row],[manualData]],Table15[[#This Row],[rawData]])</f>
        <v>0</v>
      </c>
      <c r="G37" s="3">
        <f>Table36[Factor]*IF(Table15[[#This Row],[manDataEco]]&gt;0,Table15[[#This Row],[manDataEco]],Table15[[#This Row],[rawDataEco]])</f>
        <v>0</v>
      </c>
      <c r="H37" s="3">
        <f>1.36*Table15[[#This Row],[rpm]]*Table15[[#This Row],[motor]]/9550</f>
        <v>0</v>
      </c>
      <c r="I37" s="3">
        <f>1.36*Table15[[#This Row],[rpm]]*Table15[[#This Row],[motorEco]]/9550</f>
        <v>0</v>
      </c>
      <c r="J37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37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7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7" s="3">
        <f>(1-(1-Table15[[#This Row],[rpm]]/Table36[idleRpm])^2)*Table7[idleT]</f>
        <v>-14012.5</v>
      </c>
      <c r="N37" s="3">
        <f>MAX(0,(1-Table7[f1]*(Table36[maxTRpm1]-Table15[[#This Row],[rpm]])^2)*Table36[maxT])</f>
        <v>0</v>
      </c>
      <c r="O37" s="3">
        <f>MAX(0,(Table36[linearDown]*(1-Table7[f2]*(Table15[[#This Row],[rpm]]-Table36[maxTRpm]))+(1-Table36[linearDown])*(1-Table7[f3]*(Table15[[#This Row],[rpm]]-Table36[maxTRpm])^2))*Table36[maxT])</f>
        <v>0</v>
      </c>
      <c r="P37" s="3">
        <f>MAX(0,(Table36[maxPS]-Table7[f4]*(Table15[[#This Row],[rpm]]-Table36[maxPRpm])^2)/1.36*9550/MAX(1,Table15[[#This Row],[rpm]]))</f>
        <v>0</v>
      </c>
      <c r="Q37" s="3">
        <f>MAX(0,Table7[Nm2]*MIN(Table36[ratedRpm]/MAX(1,Table15[[#This Row],[rpm]]),1-(MAX(0,Table15[[#This Row],[rpm]]-Table36[ratedRpm])/Table36[fadeOut])^Table36[fadeOutExp]))</f>
        <v>0</v>
      </c>
      <c r="R37" s="3">
        <f>(1-(1-Table15[[#This Row],[rpm]]/Table36[idleRpm])^2)*Table7[idleTEco]</f>
        <v>-14012.5</v>
      </c>
      <c r="S37" s="3">
        <f>MAX(0,(1-Table7[f1]*(Table36[maxTRpm1]-Table15[[#This Row],[rpm]])^2)*Table36[maxTEco])</f>
        <v>0</v>
      </c>
      <c r="T37" s="3">
        <f>MAX(0,(Table36[linearDown]*(1-Table7[f2Eco]*(Table15[[#This Row],[rpm]]-Table36[maxTRpm]))+(1-Table36[linearDown])*(1-Table7[f3Eco]*(Table15[[#This Row],[rpm]]-Table36[maxTRpm])^2))*Table36[maxTEco])</f>
        <v>0</v>
      </c>
      <c r="U37" s="3">
        <f>MAX(0,(Table36[maxPSEco]-Table7[f4Eco]*(Table15[[#This Row],[rpm]]-Table36[maxPRpm])^2)/1.36*9550/MAX(1,Table15[[#This Row],[rpm]]))</f>
        <v>0</v>
      </c>
      <c r="V37" s="3">
        <f>MAX(0,Table7[Nm2Eco]*MIN(Table36[ratedRpm]/MAX(1,Table15[[#This Row],[rpm]]),1-(MAX(0,Table15[[#This Row],[rpm]]-Table36[ratedRpm])/Table36[fadeOut])^Table36[fadeOutExp]))</f>
        <v>0</v>
      </c>
    </row>
    <row r="38" spans="1:22" x14ac:dyDescent="0.25">
      <c r="A38" s="3">
        <v>5000</v>
      </c>
      <c r="B3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8" s="20"/>
      <c r="D3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8" s="20"/>
      <c r="F38" s="3">
        <f>Table36[Factor]*IF(Table15[[#This Row],[manualData]]&gt;0,Table15[[#This Row],[manualData]],Table15[[#This Row],[rawData]])</f>
        <v>0</v>
      </c>
      <c r="G38" s="3">
        <f>Table36[Factor]*IF(Table15[[#This Row],[manDataEco]]&gt;0,Table15[[#This Row],[manDataEco]],Table15[[#This Row],[rawDataEco]])</f>
        <v>0</v>
      </c>
      <c r="H38" s="3">
        <f>1.36*Table15[[#This Row],[rpm]]*Table15[[#This Row],[motor]]/9550</f>
        <v>0</v>
      </c>
      <c r="I38" s="3">
        <f>1.36*Table15[[#This Row],[rpm]]*Table15[[#This Row],[motorEco]]/9550</f>
        <v>0</v>
      </c>
      <c r="J38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38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8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8" s="3">
        <f>(1-(1-Table15[[#This Row],[rpm]]/Table36[idleRpm])^2)*Table7[idleT]</f>
        <v>-16000</v>
      </c>
      <c r="N38" s="3">
        <f>MAX(0,(1-Table7[f1]*(Table36[maxTRpm1]-Table15[[#This Row],[rpm]])^2)*Table36[maxT])</f>
        <v>0</v>
      </c>
      <c r="O38" s="3">
        <f>MAX(0,(Table36[linearDown]*(1-Table7[f2]*(Table15[[#This Row],[rpm]]-Table36[maxTRpm]))+(1-Table36[linearDown])*(1-Table7[f3]*(Table15[[#This Row],[rpm]]-Table36[maxTRpm])^2))*Table36[maxT])</f>
        <v>0</v>
      </c>
      <c r="P38" s="3">
        <f>MAX(0,(Table36[maxPS]-Table7[f4]*(Table15[[#This Row],[rpm]]-Table36[maxPRpm])^2)/1.36*9550/MAX(1,Table15[[#This Row],[rpm]]))</f>
        <v>0</v>
      </c>
      <c r="Q38" s="3">
        <f>MAX(0,Table7[Nm2]*MIN(Table36[ratedRpm]/MAX(1,Table15[[#This Row],[rpm]]),1-(MAX(0,Table15[[#This Row],[rpm]]-Table36[ratedRpm])/Table36[fadeOut])^Table36[fadeOutExp]))</f>
        <v>0</v>
      </c>
      <c r="R38" s="3">
        <f>(1-(1-Table15[[#This Row],[rpm]]/Table36[idleRpm])^2)*Table7[idleTEco]</f>
        <v>-16000</v>
      </c>
      <c r="S38" s="3">
        <f>MAX(0,(1-Table7[f1]*(Table36[maxTRpm1]-Table15[[#This Row],[rpm]])^2)*Table36[maxTEco])</f>
        <v>0</v>
      </c>
      <c r="T38" s="3">
        <f>MAX(0,(Table36[linearDown]*(1-Table7[f2Eco]*(Table15[[#This Row],[rpm]]-Table36[maxTRpm]))+(1-Table36[linearDown])*(1-Table7[f3Eco]*(Table15[[#This Row],[rpm]]-Table36[maxTRpm])^2))*Table36[maxTEco])</f>
        <v>0</v>
      </c>
      <c r="U38" s="3">
        <f>MAX(0,(Table36[maxPSEco]-Table7[f4Eco]*(Table15[[#This Row],[rpm]]-Table36[maxPRpm])^2)/1.36*9550/MAX(1,Table15[[#This Row],[rpm]]))</f>
        <v>0</v>
      </c>
      <c r="V38" s="3">
        <f>MAX(0,Table7[Nm2Eco]*MIN(Table36[ratedRpm]/MAX(1,Table15[[#This Row],[rpm]]),1-(MAX(0,Table15[[#This Row],[rpm]]-Table36[ratedRpm])/Table36[fadeOut])^Table36[fadeOutExp]))</f>
        <v>0</v>
      </c>
    </row>
    <row r="39" spans="1:22" x14ac:dyDescent="0.25">
      <c r="A39" s="3">
        <v>5250</v>
      </c>
      <c r="B3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39" s="20"/>
      <c r="D3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39" s="20"/>
      <c r="F39" s="3">
        <f>Table36[Factor]*IF(Table15[[#This Row],[manualData]]&gt;0,Table15[[#This Row],[manualData]],Table15[[#This Row],[rawData]])</f>
        <v>0</v>
      </c>
      <c r="G39" s="3">
        <f>Table36[Factor]*IF(Table15[[#This Row],[manDataEco]]&gt;0,Table15[[#This Row],[manDataEco]],Table15[[#This Row],[rawDataEco]])</f>
        <v>0</v>
      </c>
      <c r="H39" s="3">
        <f>1.36*Table15[[#This Row],[rpm]]*Table15[[#This Row],[motor]]/9550</f>
        <v>0</v>
      </c>
      <c r="I39" s="3">
        <f>1.36*Table15[[#This Row],[rpm]]*Table15[[#This Row],[motorEco]]/9550</f>
        <v>0</v>
      </c>
      <c r="J39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39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39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39" s="3">
        <f>(1-(1-Table15[[#This Row],[rpm]]/Table36[idleRpm])^2)*Table7[idleT]</f>
        <v>-18112.499999999996</v>
      </c>
      <c r="N39" s="3">
        <f>MAX(0,(1-Table7[f1]*(Table36[maxTRpm1]-Table15[[#This Row],[rpm]])^2)*Table36[maxT])</f>
        <v>0</v>
      </c>
      <c r="O39" s="3">
        <f>MAX(0,(Table36[linearDown]*(1-Table7[f2]*(Table15[[#This Row],[rpm]]-Table36[maxTRpm]))+(1-Table36[linearDown])*(1-Table7[f3]*(Table15[[#This Row],[rpm]]-Table36[maxTRpm])^2))*Table36[maxT])</f>
        <v>0</v>
      </c>
      <c r="P39" s="3">
        <f>MAX(0,(Table36[maxPS]-Table7[f4]*(Table15[[#This Row],[rpm]]-Table36[maxPRpm])^2)/1.36*9550/MAX(1,Table15[[#This Row],[rpm]]))</f>
        <v>0</v>
      </c>
      <c r="Q39" s="3">
        <f>MAX(0,Table7[Nm2]*MIN(Table36[ratedRpm]/MAX(1,Table15[[#This Row],[rpm]]),1-(MAX(0,Table15[[#This Row],[rpm]]-Table36[ratedRpm])/Table36[fadeOut])^Table36[fadeOutExp]))</f>
        <v>0</v>
      </c>
      <c r="R39" s="3">
        <f>(1-(1-Table15[[#This Row],[rpm]]/Table36[idleRpm])^2)*Table7[idleTEco]</f>
        <v>-18112.499999999996</v>
      </c>
      <c r="S39" s="3">
        <f>MAX(0,(1-Table7[f1]*(Table36[maxTRpm1]-Table15[[#This Row],[rpm]])^2)*Table36[maxTEco])</f>
        <v>0</v>
      </c>
      <c r="T39" s="3">
        <f>MAX(0,(Table36[linearDown]*(1-Table7[f2Eco]*(Table15[[#This Row],[rpm]]-Table36[maxTRpm]))+(1-Table36[linearDown])*(1-Table7[f3Eco]*(Table15[[#This Row],[rpm]]-Table36[maxTRpm])^2))*Table36[maxTEco])</f>
        <v>0</v>
      </c>
      <c r="U39" s="3">
        <f>MAX(0,(Table36[maxPSEco]-Table7[f4Eco]*(Table15[[#This Row],[rpm]]-Table36[maxPRpm])^2)/1.36*9550/MAX(1,Table15[[#This Row],[rpm]]))</f>
        <v>0</v>
      </c>
      <c r="V39" s="3">
        <f>MAX(0,Table7[Nm2Eco]*MIN(Table36[ratedRpm]/MAX(1,Table15[[#This Row],[rpm]]),1-(MAX(0,Table15[[#This Row],[rpm]]-Table36[ratedRpm])/Table36[fadeOut])^Table36[fadeOutExp]))</f>
        <v>0</v>
      </c>
    </row>
    <row r="40" spans="1:22" x14ac:dyDescent="0.25">
      <c r="A40" s="3">
        <v>5500</v>
      </c>
      <c r="B4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0" s="20"/>
      <c r="D4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0" s="20"/>
      <c r="F40" s="3">
        <f>Table36[Factor]*IF(Table15[[#This Row],[manualData]]&gt;0,Table15[[#This Row],[manualData]],Table15[[#This Row],[rawData]])</f>
        <v>0</v>
      </c>
      <c r="G40" s="3">
        <f>Table36[Factor]*IF(Table15[[#This Row],[manDataEco]]&gt;0,Table15[[#This Row],[manDataEco]],Table15[[#This Row],[rawDataEco]])</f>
        <v>0</v>
      </c>
      <c r="H40" s="3">
        <f>1.36*Table15[[#This Row],[rpm]]*Table15[[#This Row],[motor]]/9550</f>
        <v>0</v>
      </c>
      <c r="I40" s="3">
        <f>1.36*Table15[[#This Row],[rpm]]*Table15[[#This Row],[motorEco]]/9550</f>
        <v>0</v>
      </c>
      <c r="J40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40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0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0" s="3">
        <f>(1-(1-Table15[[#This Row],[rpm]]/Table36[idleRpm])^2)*Table7[idleT]</f>
        <v>-20349.999999999996</v>
      </c>
      <c r="N40" s="3">
        <f>MAX(0,(1-Table7[f1]*(Table36[maxTRpm1]-Table15[[#This Row],[rpm]])^2)*Table36[maxT])</f>
        <v>0</v>
      </c>
      <c r="O40" s="3">
        <f>MAX(0,(Table36[linearDown]*(1-Table7[f2]*(Table15[[#This Row],[rpm]]-Table36[maxTRpm]))+(1-Table36[linearDown])*(1-Table7[f3]*(Table15[[#This Row],[rpm]]-Table36[maxTRpm])^2))*Table36[maxT])</f>
        <v>0</v>
      </c>
      <c r="P40" s="3">
        <f>MAX(0,(Table36[maxPS]-Table7[f4]*(Table15[[#This Row],[rpm]]-Table36[maxPRpm])^2)/1.36*9550/MAX(1,Table15[[#This Row],[rpm]]))</f>
        <v>0</v>
      </c>
      <c r="Q40" s="3">
        <f>MAX(0,Table7[Nm2]*MIN(Table36[ratedRpm]/MAX(1,Table15[[#This Row],[rpm]]),1-(MAX(0,Table15[[#This Row],[rpm]]-Table36[ratedRpm])/Table36[fadeOut])^Table36[fadeOutExp]))</f>
        <v>0</v>
      </c>
      <c r="R40" s="3">
        <f>(1-(1-Table15[[#This Row],[rpm]]/Table36[idleRpm])^2)*Table7[idleTEco]</f>
        <v>-20349.999999999996</v>
      </c>
      <c r="S40" s="3">
        <f>MAX(0,(1-Table7[f1]*(Table36[maxTRpm1]-Table15[[#This Row],[rpm]])^2)*Table36[maxTEco])</f>
        <v>0</v>
      </c>
      <c r="T40" s="3">
        <f>MAX(0,(Table36[linearDown]*(1-Table7[f2Eco]*(Table15[[#This Row],[rpm]]-Table36[maxTRpm]))+(1-Table36[linearDown])*(1-Table7[f3Eco]*(Table15[[#This Row],[rpm]]-Table36[maxTRpm])^2))*Table36[maxTEco])</f>
        <v>0</v>
      </c>
      <c r="U40" s="3">
        <f>MAX(0,(Table36[maxPSEco]-Table7[f4Eco]*(Table15[[#This Row],[rpm]]-Table36[maxPRpm])^2)/1.36*9550/MAX(1,Table15[[#This Row],[rpm]]))</f>
        <v>0</v>
      </c>
      <c r="V40" s="3">
        <f>MAX(0,Table7[Nm2Eco]*MIN(Table36[ratedRpm]/MAX(1,Table15[[#This Row],[rpm]]),1-(MAX(0,Table15[[#This Row],[rpm]]-Table36[ratedRpm])/Table36[fadeOut])^Table36[fadeOutExp]))</f>
        <v>0</v>
      </c>
    </row>
    <row r="41" spans="1:22" x14ac:dyDescent="0.25">
      <c r="A41" s="3">
        <v>5750</v>
      </c>
      <c r="B4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1" s="20"/>
      <c r="D4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1" s="20"/>
      <c r="F41" s="3">
        <f>Table36[Factor]*IF(Table15[[#This Row],[manualData]]&gt;0,Table15[[#This Row],[manualData]],Table15[[#This Row],[rawData]])</f>
        <v>0</v>
      </c>
      <c r="G41" s="3">
        <f>Table36[Factor]*IF(Table15[[#This Row],[manDataEco]]&gt;0,Table15[[#This Row],[manDataEco]],Table15[[#This Row],[rawDataEco]])</f>
        <v>0</v>
      </c>
      <c r="H41" s="3">
        <f>1.36*Table15[[#This Row],[rpm]]*Table15[[#This Row],[motor]]/9550</f>
        <v>0</v>
      </c>
      <c r="I41" s="3">
        <f>1.36*Table15[[#This Row],[rpm]]*Table15[[#This Row],[motorEco]]/9550</f>
        <v>0</v>
      </c>
      <c r="J41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41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1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1" s="3">
        <f>(1-(1-Table15[[#This Row],[rpm]]/Table36[idleRpm])^2)*Table7[idleT]</f>
        <v>-22712.500000000004</v>
      </c>
      <c r="N41" s="3">
        <f>MAX(0,(1-Table7[f1]*(Table36[maxTRpm1]-Table15[[#This Row],[rpm]])^2)*Table36[maxT])</f>
        <v>0</v>
      </c>
      <c r="O41" s="3">
        <f>MAX(0,(Table36[linearDown]*(1-Table7[f2]*(Table15[[#This Row],[rpm]]-Table36[maxTRpm]))+(1-Table36[linearDown])*(1-Table7[f3]*(Table15[[#This Row],[rpm]]-Table36[maxTRpm])^2))*Table36[maxT])</f>
        <v>0</v>
      </c>
      <c r="P41" s="3">
        <f>MAX(0,(Table36[maxPS]-Table7[f4]*(Table15[[#This Row],[rpm]]-Table36[maxPRpm])^2)/1.36*9550/MAX(1,Table15[[#This Row],[rpm]]))</f>
        <v>0</v>
      </c>
      <c r="Q41" s="3">
        <f>MAX(0,Table7[Nm2]*MIN(Table36[ratedRpm]/MAX(1,Table15[[#This Row],[rpm]]),1-(MAX(0,Table15[[#This Row],[rpm]]-Table36[ratedRpm])/Table36[fadeOut])^Table36[fadeOutExp]))</f>
        <v>0</v>
      </c>
      <c r="R41" s="3">
        <f>(1-(1-Table15[[#This Row],[rpm]]/Table36[idleRpm])^2)*Table7[idleTEco]</f>
        <v>-22712.500000000004</v>
      </c>
      <c r="S41" s="3">
        <f>MAX(0,(1-Table7[f1]*(Table36[maxTRpm1]-Table15[[#This Row],[rpm]])^2)*Table36[maxTEco])</f>
        <v>0</v>
      </c>
      <c r="T41" s="3">
        <f>MAX(0,(Table36[linearDown]*(1-Table7[f2Eco]*(Table15[[#This Row],[rpm]]-Table36[maxTRpm]))+(1-Table36[linearDown])*(1-Table7[f3Eco]*(Table15[[#This Row],[rpm]]-Table36[maxTRpm])^2))*Table36[maxTEco])</f>
        <v>0</v>
      </c>
      <c r="U41" s="3">
        <f>MAX(0,(Table36[maxPSEco]-Table7[f4Eco]*(Table15[[#This Row],[rpm]]-Table36[maxPRpm])^2)/1.36*9550/MAX(1,Table15[[#This Row],[rpm]]))</f>
        <v>0</v>
      </c>
      <c r="V41" s="3">
        <f>MAX(0,Table7[Nm2Eco]*MIN(Table36[ratedRpm]/MAX(1,Table15[[#This Row],[rpm]]),1-(MAX(0,Table15[[#This Row],[rpm]]-Table36[ratedRpm])/Table36[fadeOut])^Table36[fadeOutExp]))</f>
        <v>0</v>
      </c>
    </row>
    <row r="42" spans="1:22" x14ac:dyDescent="0.25">
      <c r="A42" s="3">
        <v>6000</v>
      </c>
      <c r="B4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2" s="20"/>
      <c r="D4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2" s="20"/>
      <c r="F42" s="3">
        <f>Table36[Factor]*IF(Table15[[#This Row],[manualData]]&gt;0,Table15[[#This Row],[manualData]],Table15[[#This Row],[rawData]])</f>
        <v>0</v>
      </c>
      <c r="G42" s="3">
        <f>Table36[Factor]*IF(Table15[[#This Row],[manDataEco]]&gt;0,Table15[[#This Row],[manDataEco]],Table15[[#This Row],[rawDataEco]])</f>
        <v>0</v>
      </c>
      <c r="H42" s="3">
        <f>1.36*Table15[[#This Row],[rpm]]*Table15[[#This Row],[motor]]/9550</f>
        <v>0</v>
      </c>
      <c r="I42" s="3">
        <f>1.36*Table15[[#This Row],[rpm]]*Table15[[#This Row],[motorEco]]/9550</f>
        <v>0</v>
      </c>
      <c r="J42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42" s="10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2" s="10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2" s="3">
        <f>(1-(1-Table15[[#This Row],[rpm]]/Table36[idleRpm])^2)*Table7[idleT]</f>
        <v>-25200.000000000004</v>
      </c>
      <c r="N42" s="3">
        <f>MAX(0,(1-Table7[f1]*(Table36[maxTRpm1]-Table15[[#This Row],[rpm]])^2)*Table36[maxT])</f>
        <v>0</v>
      </c>
      <c r="O42" s="3">
        <f>MAX(0,(Table36[linearDown]*(1-Table7[f2]*(Table15[[#This Row],[rpm]]-Table36[maxTRpm]))+(1-Table36[linearDown])*(1-Table7[f3]*(Table15[[#This Row],[rpm]]-Table36[maxTRpm])^2))*Table36[maxT])</f>
        <v>0</v>
      </c>
      <c r="P42" s="3">
        <f>MAX(0,(Table36[maxPS]-Table7[f4]*(Table15[[#This Row],[rpm]]-Table36[maxPRpm])^2)/1.36*9550/MAX(1,Table15[[#This Row],[rpm]]))</f>
        <v>0</v>
      </c>
      <c r="Q42" s="3">
        <f>MAX(0,Table7[Nm2]*MIN(Table36[ratedRpm]/MAX(1,Table15[[#This Row],[rpm]]),1-(MAX(0,Table15[[#This Row],[rpm]]-Table36[ratedRpm])/Table36[fadeOut])^Table36[fadeOutExp]))</f>
        <v>0</v>
      </c>
      <c r="R42" s="3">
        <f>(1-(1-Table15[[#This Row],[rpm]]/Table36[idleRpm])^2)*Table7[idleTEco]</f>
        <v>-25200.000000000004</v>
      </c>
      <c r="S42" s="3">
        <f>MAX(0,(1-Table7[f1]*(Table36[maxTRpm1]-Table15[[#This Row],[rpm]])^2)*Table36[maxTEco])</f>
        <v>0</v>
      </c>
      <c r="T42" s="3">
        <f>MAX(0,(Table36[linearDown]*(1-Table7[f2Eco]*(Table15[[#This Row],[rpm]]-Table36[maxTRpm]))+(1-Table36[linearDown])*(1-Table7[f3Eco]*(Table15[[#This Row],[rpm]]-Table36[maxTRpm])^2))*Table36[maxTEco])</f>
        <v>0</v>
      </c>
      <c r="U42" s="3">
        <f>MAX(0,(Table36[maxPSEco]-Table7[f4Eco]*(Table15[[#This Row],[rpm]]-Table36[maxPRpm])^2)/1.36*9550/MAX(1,Table15[[#This Row],[rpm]]))</f>
        <v>0</v>
      </c>
      <c r="V42" s="3">
        <f>MAX(0,Table7[Nm2Eco]*MIN(Table36[ratedRpm]/MAX(1,Table15[[#This Row],[rpm]]),1-(MAX(0,Table15[[#This Row],[rpm]]-Table36[ratedRpm])/Table36[fadeOut])^Table36[fadeOutExp]))</f>
        <v>0</v>
      </c>
    </row>
    <row r="43" spans="1:22" x14ac:dyDescent="0.25">
      <c r="A43" s="3">
        <v>6250</v>
      </c>
      <c r="B4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3" s="20"/>
      <c r="D4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3" s="20"/>
      <c r="F43" s="3">
        <f>Table36[Factor]*IF(Table15[[#This Row],[manualData]]&gt;0,Table15[[#This Row],[manualData]],Table15[[#This Row],[rawData]])</f>
        <v>0</v>
      </c>
      <c r="G43" s="3">
        <f>Table36[Factor]*IF(Table15[[#This Row],[manDataEco]]&gt;0,Table15[[#This Row],[manDataEco]],Table15[[#This Row],[rawDataEco]])</f>
        <v>0</v>
      </c>
      <c r="H43" s="3">
        <f>1.36*Table15[[#This Row],[rpm]]*Table15[[#This Row],[motor]]/9550</f>
        <v>0</v>
      </c>
      <c r="I43" s="3">
        <f>1.36*Table15[[#This Row],[rpm]]*Table15[[#This Row],[motorEco]]/9550</f>
        <v>0</v>
      </c>
      <c r="J43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43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3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3" s="3">
        <f>(1-(1-Table15[[#This Row],[rpm]]/Table36[idleRpm])^2)*Table7[idleT]</f>
        <v>-27812.500000000004</v>
      </c>
      <c r="N43" s="3">
        <f>MAX(0,(1-Table7[f1]*(Table36[maxTRpm1]-Table15[[#This Row],[rpm]])^2)*Table36[maxT])</f>
        <v>0</v>
      </c>
      <c r="O43" s="3">
        <f>MAX(0,(Table36[linearDown]*(1-Table7[f2]*(Table15[[#This Row],[rpm]]-Table36[maxTRpm]))+(1-Table36[linearDown])*(1-Table7[f3]*(Table15[[#This Row],[rpm]]-Table36[maxTRpm])^2))*Table36[maxT])</f>
        <v>0</v>
      </c>
      <c r="P43" s="3">
        <f>MAX(0,(Table36[maxPS]-Table7[f4]*(Table15[[#This Row],[rpm]]-Table36[maxPRpm])^2)/1.36*9550/MAX(1,Table15[[#This Row],[rpm]]))</f>
        <v>0</v>
      </c>
      <c r="Q43" s="3">
        <f>MAX(0,Table7[Nm2]*MIN(Table36[ratedRpm]/MAX(1,Table15[[#This Row],[rpm]]),1-(MAX(0,Table15[[#This Row],[rpm]]-Table36[ratedRpm])/Table36[fadeOut])^Table36[fadeOutExp]))</f>
        <v>0</v>
      </c>
      <c r="R43" s="3">
        <f>(1-(1-Table15[[#This Row],[rpm]]/Table36[idleRpm])^2)*Table7[idleTEco]</f>
        <v>-27812.500000000004</v>
      </c>
      <c r="S43" s="3">
        <f>MAX(0,(1-Table7[f1]*(Table36[maxTRpm1]-Table15[[#This Row],[rpm]])^2)*Table36[maxTEco])</f>
        <v>0</v>
      </c>
      <c r="T43" s="3">
        <f>MAX(0,(Table36[linearDown]*(1-Table7[f2Eco]*(Table15[[#This Row],[rpm]]-Table36[maxTRpm]))+(1-Table36[linearDown])*(1-Table7[f3Eco]*(Table15[[#This Row],[rpm]]-Table36[maxTRpm])^2))*Table36[maxTEco])</f>
        <v>0</v>
      </c>
      <c r="U43" s="3">
        <f>MAX(0,(Table36[maxPSEco]-Table7[f4Eco]*(Table15[[#This Row],[rpm]]-Table36[maxPRpm])^2)/1.36*9550/MAX(1,Table15[[#This Row],[rpm]]))</f>
        <v>0</v>
      </c>
      <c r="V43" s="3">
        <f>MAX(0,Table7[Nm2Eco]*MIN(Table36[ratedRpm]/MAX(1,Table15[[#This Row],[rpm]]),1-(MAX(0,Table15[[#This Row],[rpm]]-Table36[ratedRpm])/Table36[fadeOut])^Table36[fadeOutExp]))</f>
        <v>0</v>
      </c>
    </row>
    <row r="44" spans="1:22" x14ac:dyDescent="0.25">
      <c r="A44" s="3">
        <v>6500</v>
      </c>
      <c r="B4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4" s="20"/>
      <c r="D4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4" s="20"/>
      <c r="F44" s="3">
        <f>Table36[Factor]*IF(Table15[[#This Row],[manualData]]&gt;0,Table15[[#This Row],[manualData]],Table15[[#This Row],[rawData]])</f>
        <v>0</v>
      </c>
      <c r="G44" s="3">
        <f>Table36[Factor]*IF(Table15[[#This Row],[manDataEco]]&gt;0,Table15[[#This Row],[manDataEco]],Table15[[#This Row],[rawDataEco]])</f>
        <v>0</v>
      </c>
      <c r="H44" s="3">
        <f>1.36*Table15[[#This Row],[rpm]]*Table15[[#This Row],[motor]]/9550</f>
        <v>0</v>
      </c>
      <c r="I44" s="3">
        <f>1.36*Table15[[#This Row],[rpm]]*Table15[[#This Row],[motorEco]]/9550</f>
        <v>0</v>
      </c>
      <c r="J44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44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4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4" s="3">
        <f>(1-(1-Table15[[#This Row],[rpm]]/Table36[idleRpm])^2)*Table7[idleT]</f>
        <v>-30550</v>
      </c>
      <c r="N44" s="3">
        <f>MAX(0,(1-Table7[f1]*(Table36[maxTRpm1]-Table15[[#This Row],[rpm]])^2)*Table36[maxT])</f>
        <v>0</v>
      </c>
      <c r="O44" s="3">
        <f>MAX(0,(Table36[linearDown]*(1-Table7[f2]*(Table15[[#This Row],[rpm]]-Table36[maxTRpm]))+(1-Table36[linearDown])*(1-Table7[f3]*(Table15[[#This Row],[rpm]]-Table36[maxTRpm])^2))*Table36[maxT])</f>
        <v>0</v>
      </c>
      <c r="P44" s="3">
        <f>MAX(0,(Table36[maxPS]-Table7[f4]*(Table15[[#This Row],[rpm]]-Table36[maxPRpm])^2)/1.36*9550/MAX(1,Table15[[#This Row],[rpm]]))</f>
        <v>0</v>
      </c>
      <c r="Q44" s="3">
        <f>MAX(0,Table7[Nm2]*MIN(Table36[ratedRpm]/MAX(1,Table15[[#This Row],[rpm]]),1-(MAX(0,Table15[[#This Row],[rpm]]-Table36[ratedRpm])/Table36[fadeOut])^Table36[fadeOutExp]))</f>
        <v>0</v>
      </c>
      <c r="R44" s="3">
        <f>(1-(1-Table15[[#This Row],[rpm]]/Table36[idleRpm])^2)*Table7[idleTEco]</f>
        <v>-30550</v>
      </c>
      <c r="S44" s="3">
        <f>MAX(0,(1-Table7[f1]*(Table36[maxTRpm1]-Table15[[#This Row],[rpm]])^2)*Table36[maxTEco])</f>
        <v>0</v>
      </c>
      <c r="T44" s="3">
        <f>MAX(0,(Table36[linearDown]*(1-Table7[f2Eco]*(Table15[[#This Row],[rpm]]-Table36[maxTRpm]))+(1-Table36[linearDown])*(1-Table7[f3Eco]*(Table15[[#This Row],[rpm]]-Table36[maxTRpm])^2))*Table36[maxTEco])</f>
        <v>0</v>
      </c>
      <c r="U44" s="3">
        <f>MAX(0,(Table36[maxPSEco]-Table7[f4Eco]*(Table15[[#This Row],[rpm]]-Table36[maxPRpm])^2)/1.36*9550/MAX(1,Table15[[#This Row],[rpm]]))</f>
        <v>0</v>
      </c>
      <c r="V44" s="3">
        <f>MAX(0,Table7[Nm2Eco]*MIN(Table36[ratedRpm]/MAX(1,Table15[[#This Row],[rpm]]),1-(MAX(0,Table15[[#This Row],[rpm]]-Table36[ratedRpm])/Table36[fadeOut])^Table36[fadeOutExp]))</f>
        <v>0</v>
      </c>
    </row>
    <row r="45" spans="1:22" x14ac:dyDescent="0.25">
      <c r="A45" s="3">
        <v>6750</v>
      </c>
      <c r="B45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5" s="20"/>
      <c r="D45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5" s="20"/>
      <c r="F45" s="3">
        <f>Table36[Factor]*IF(Table15[[#This Row],[manualData]]&gt;0,Table15[[#This Row],[manualData]],Table15[[#This Row],[rawData]])</f>
        <v>0</v>
      </c>
      <c r="G45" s="3">
        <f>Table36[Factor]*IF(Table15[[#This Row],[manDataEco]]&gt;0,Table15[[#This Row],[manDataEco]],Table15[[#This Row],[rawDataEco]])</f>
        <v>0</v>
      </c>
      <c r="H45" s="3">
        <f>1.36*Table15[[#This Row],[rpm]]*Table15[[#This Row],[motor]]/9550</f>
        <v>0</v>
      </c>
      <c r="I45" s="3">
        <f>1.36*Table15[[#This Row],[rpm]]*Table15[[#This Row],[motorEco]]/9550</f>
        <v>0</v>
      </c>
      <c r="J45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45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5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5" s="3">
        <f>(1-(1-Table15[[#This Row],[rpm]]/Table36[idleRpm])^2)*Table7[idleT]</f>
        <v>-33412.5</v>
      </c>
      <c r="N45" s="3">
        <f>MAX(0,(1-Table7[f1]*(Table36[maxTRpm1]-Table15[[#This Row],[rpm]])^2)*Table36[maxT])</f>
        <v>0</v>
      </c>
      <c r="O45" s="3">
        <f>MAX(0,(Table36[linearDown]*(1-Table7[f2]*(Table15[[#This Row],[rpm]]-Table36[maxTRpm]))+(1-Table36[linearDown])*(1-Table7[f3]*(Table15[[#This Row],[rpm]]-Table36[maxTRpm])^2))*Table36[maxT])</f>
        <v>0</v>
      </c>
      <c r="P45" s="3">
        <f>MAX(0,(Table36[maxPS]-Table7[f4]*(Table15[[#This Row],[rpm]]-Table36[maxPRpm])^2)/1.36*9550/MAX(1,Table15[[#This Row],[rpm]]))</f>
        <v>0</v>
      </c>
      <c r="Q45" s="3">
        <f>MAX(0,Table7[Nm2]*MIN(Table36[ratedRpm]/MAX(1,Table15[[#This Row],[rpm]]),1-(MAX(0,Table15[[#This Row],[rpm]]-Table36[ratedRpm])/Table36[fadeOut])^Table36[fadeOutExp]))</f>
        <v>0</v>
      </c>
      <c r="R45" s="3">
        <f>(1-(1-Table15[[#This Row],[rpm]]/Table36[idleRpm])^2)*Table7[idleTEco]</f>
        <v>-33412.5</v>
      </c>
      <c r="S45" s="3">
        <f>MAX(0,(1-Table7[f1]*(Table36[maxTRpm1]-Table15[[#This Row],[rpm]])^2)*Table36[maxTEco])</f>
        <v>0</v>
      </c>
      <c r="T45" s="3">
        <f>MAX(0,(Table36[linearDown]*(1-Table7[f2Eco]*(Table15[[#This Row],[rpm]]-Table36[maxTRpm]))+(1-Table36[linearDown])*(1-Table7[f3Eco]*(Table15[[#This Row],[rpm]]-Table36[maxTRpm])^2))*Table36[maxTEco])</f>
        <v>0</v>
      </c>
      <c r="U45" s="3">
        <f>MAX(0,(Table36[maxPSEco]-Table7[f4Eco]*(Table15[[#This Row],[rpm]]-Table36[maxPRpm])^2)/1.36*9550/MAX(1,Table15[[#This Row],[rpm]]))</f>
        <v>0</v>
      </c>
      <c r="V45" s="3">
        <f>MAX(0,Table7[Nm2Eco]*MIN(Table36[ratedRpm]/MAX(1,Table15[[#This Row],[rpm]]),1-(MAX(0,Table15[[#This Row],[rpm]]-Table36[ratedRpm])/Table36[fadeOut])^Table36[fadeOutExp]))</f>
        <v>0</v>
      </c>
    </row>
    <row r="46" spans="1:22" x14ac:dyDescent="0.25">
      <c r="A46" s="3">
        <v>7000</v>
      </c>
      <c r="B46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6" s="20"/>
      <c r="D46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6" s="20"/>
      <c r="F46" s="3">
        <f>Table36[Factor]*IF(Table15[[#This Row],[manualData]]&gt;0,Table15[[#This Row],[manualData]],Table15[[#This Row],[rawData]])</f>
        <v>0</v>
      </c>
      <c r="G46" s="3">
        <f>Table36[Factor]*IF(Table15[[#This Row],[manDataEco]]&gt;0,Table15[[#This Row],[manDataEco]],Table15[[#This Row],[rawDataEco]])</f>
        <v>0</v>
      </c>
      <c r="H46" s="3">
        <f>1.36*Table15[[#This Row],[rpm]]*Table15[[#This Row],[motor]]/9550</f>
        <v>0</v>
      </c>
      <c r="I46" s="3">
        <f>1.36*Table15[[#This Row],[rpm]]*Table15[[#This Row],[motorEco]]/9550</f>
        <v>0</v>
      </c>
      <c r="J46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46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6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6" s="3">
        <f>(1-(1-Table15[[#This Row],[rpm]]/Table36[idleRpm])^2)*Table7[idleT]</f>
        <v>-36400</v>
      </c>
      <c r="N46" s="3">
        <f>MAX(0,(1-Table7[f1]*(Table36[maxTRpm1]-Table15[[#This Row],[rpm]])^2)*Table36[maxT])</f>
        <v>0</v>
      </c>
      <c r="O46" s="3">
        <f>MAX(0,(Table36[linearDown]*(1-Table7[f2]*(Table15[[#This Row],[rpm]]-Table36[maxTRpm]))+(1-Table36[linearDown])*(1-Table7[f3]*(Table15[[#This Row],[rpm]]-Table36[maxTRpm])^2))*Table36[maxT])</f>
        <v>0</v>
      </c>
      <c r="P46" s="3">
        <f>MAX(0,(Table36[maxPS]-Table7[f4]*(Table15[[#This Row],[rpm]]-Table36[maxPRpm])^2)/1.36*9550/MAX(1,Table15[[#This Row],[rpm]]))</f>
        <v>0</v>
      </c>
      <c r="Q46" s="3">
        <f>MAX(0,Table7[Nm2]*MIN(Table36[ratedRpm]/MAX(1,Table15[[#This Row],[rpm]]),1-(MAX(0,Table15[[#This Row],[rpm]]-Table36[ratedRpm])/Table36[fadeOut])^Table36[fadeOutExp]))</f>
        <v>0</v>
      </c>
      <c r="R46" s="3">
        <f>(1-(1-Table15[[#This Row],[rpm]]/Table36[idleRpm])^2)*Table7[idleTEco]</f>
        <v>-36400</v>
      </c>
      <c r="S46" s="3">
        <f>MAX(0,(1-Table7[f1]*(Table36[maxTRpm1]-Table15[[#This Row],[rpm]])^2)*Table36[maxTEco])</f>
        <v>0</v>
      </c>
      <c r="T46" s="3">
        <f>MAX(0,(Table36[linearDown]*(1-Table7[f2Eco]*(Table15[[#This Row],[rpm]]-Table36[maxTRpm]))+(1-Table36[linearDown])*(1-Table7[f3Eco]*(Table15[[#This Row],[rpm]]-Table36[maxTRpm])^2))*Table36[maxTEco])</f>
        <v>0</v>
      </c>
      <c r="U46" s="3">
        <f>MAX(0,(Table36[maxPSEco]-Table7[f4Eco]*(Table15[[#This Row],[rpm]]-Table36[maxPRpm])^2)/1.36*9550/MAX(1,Table15[[#This Row],[rpm]]))</f>
        <v>0</v>
      </c>
      <c r="V46" s="3">
        <f>MAX(0,Table7[Nm2Eco]*MIN(Table36[ratedRpm]/MAX(1,Table15[[#This Row],[rpm]]),1-(MAX(0,Table15[[#This Row],[rpm]]-Table36[ratedRpm])/Table36[fadeOut])^Table36[fadeOutExp]))</f>
        <v>0</v>
      </c>
    </row>
    <row r="47" spans="1:22" x14ac:dyDescent="0.25">
      <c r="A47" s="3">
        <v>7250</v>
      </c>
      <c r="B47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7" s="20"/>
      <c r="D47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7" s="20"/>
      <c r="F47" s="3">
        <f>Table36[Factor]*IF(Table15[[#This Row],[manualData]]&gt;0,Table15[[#This Row],[manualData]],Table15[[#This Row],[rawData]])</f>
        <v>0</v>
      </c>
      <c r="G47" s="3">
        <f>Table36[Factor]*IF(Table15[[#This Row],[manDataEco]]&gt;0,Table15[[#This Row],[manDataEco]],Table15[[#This Row],[rawDataEco]])</f>
        <v>0</v>
      </c>
      <c r="H47" s="3">
        <f>1.36*Table15[[#This Row],[rpm]]*Table15[[#This Row],[motor]]/9550</f>
        <v>0</v>
      </c>
      <c r="I47" s="3">
        <f>1.36*Table15[[#This Row],[rpm]]*Table15[[#This Row],[motorEco]]/9550</f>
        <v>0</v>
      </c>
      <c r="J47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47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7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7" s="3">
        <f>(1-(1-Table15[[#This Row],[rpm]]/Table36[idleRpm])^2)*Table7[idleT]</f>
        <v>-39512.5</v>
      </c>
      <c r="N47" s="3">
        <f>MAX(0,(1-Table7[f1]*(Table36[maxTRpm1]-Table15[[#This Row],[rpm]])^2)*Table36[maxT])</f>
        <v>0</v>
      </c>
      <c r="O47" s="3">
        <f>MAX(0,(Table36[linearDown]*(1-Table7[f2]*(Table15[[#This Row],[rpm]]-Table36[maxTRpm]))+(1-Table36[linearDown])*(1-Table7[f3]*(Table15[[#This Row],[rpm]]-Table36[maxTRpm])^2))*Table36[maxT])</f>
        <v>0</v>
      </c>
      <c r="P47" s="3">
        <f>MAX(0,(Table36[maxPS]-Table7[f4]*(Table15[[#This Row],[rpm]]-Table36[maxPRpm])^2)/1.36*9550/MAX(1,Table15[[#This Row],[rpm]]))</f>
        <v>0</v>
      </c>
      <c r="Q47" s="3">
        <f>MAX(0,Table7[Nm2]*MIN(Table36[ratedRpm]/MAX(1,Table15[[#This Row],[rpm]]),1-(MAX(0,Table15[[#This Row],[rpm]]-Table36[ratedRpm])/Table36[fadeOut])^Table36[fadeOutExp]))</f>
        <v>0</v>
      </c>
      <c r="R47" s="3">
        <f>(1-(1-Table15[[#This Row],[rpm]]/Table36[idleRpm])^2)*Table7[idleTEco]</f>
        <v>-39512.5</v>
      </c>
      <c r="S47" s="3">
        <f>MAX(0,(1-Table7[f1]*(Table36[maxTRpm1]-Table15[[#This Row],[rpm]])^2)*Table36[maxTEco])</f>
        <v>0</v>
      </c>
      <c r="T47" s="3">
        <f>MAX(0,(Table36[linearDown]*(1-Table7[f2Eco]*(Table15[[#This Row],[rpm]]-Table36[maxTRpm]))+(1-Table36[linearDown])*(1-Table7[f3Eco]*(Table15[[#This Row],[rpm]]-Table36[maxTRpm])^2))*Table36[maxTEco])</f>
        <v>0</v>
      </c>
      <c r="U47" s="3">
        <f>MAX(0,(Table36[maxPSEco]-Table7[f4Eco]*(Table15[[#This Row],[rpm]]-Table36[maxPRpm])^2)/1.36*9550/MAX(1,Table15[[#This Row],[rpm]]))</f>
        <v>0</v>
      </c>
      <c r="V47" s="3">
        <f>MAX(0,Table7[Nm2Eco]*MIN(Table36[ratedRpm]/MAX(1,Table15[[#This Row],[rpm]]),1-(MAX(0,Table15[[#This Row],[rpm]]-Table36[ratedRpm])/Table36[fadeOut])^Table36[fadeOutExp]))</f>
        <v>0</v>
      </c>
    </row>
    <row r="48" spans="1:22" x14ac:dyDescent="0.25">
      <c r="A48" s="3">
        <v>7500</v>
      </c>
      <c r="B48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8" s="20"/>
      <c r="D48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8" s="20"/>
      <c r="F48" s="3">
        <f>Table36[Factor]*IF(Table15[[#This Row],[manualData]]&gt;0,Table15[[#This Row],[manualData]],Table15[[#This Row],[rawData]])</f>
        <v>0</v>
      </c>
      <c r="G48" s="3">
        <f>Table36[Factor]*IF(Table15[[#This Row],[manDataEco]]&gt;0,Table15[[#This Row],[manDataEco]],Table15[[#This Row],[rawDataEco]])</f>
        <v>0</v>
      </c>
      <c r="H48" s="3">
        <f>1.36*Table15[[#This Row],[rpm]]*Table15[[#This Row],[motor]]/9550</f>
        <v>0</v>
      </c>
      <c r="I48" s="3">
        <f>1.36*Table15[[#This Row],[rpm]]*Table15[[#This Row],[motorEco]]/9550</f>
        <v>0</v>
      </c>
      <c r="J48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48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8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8" s="3">
        <f>(1-(1-Table15[[#This Row],[rpm]]/Table36[idleRpm])^2)*Table7[idleT]</f>
        <v>-42750.000000000007</v>
      </c>
      <c r="N48" s="3">
        <f>MAX(0,(1-Table7[f1]*(Table36[maxTRpm1]-Table15[[#This Row],[rpm]])^2)*Table36[maxT])</f>
        <v>0</v>
      </c>
      <c r="O48" s="3">
        <f>MAX(0,(Table36[linearDown]*(1-Table7[f2]*(Table15[[#This Row],[rpm]]-Table36[maxTRpm]))+(1-Table36[linearDown])*(1-Table7[f3]*(Table15[[#This Row],[rpm]]-Table36[maxTRpm])^2))*Table36[maxT])</f>
        <v>0</v>
      </c>
      <c r="P48" s="3">
        <f>MAX(0,(Table36[maxPS]-Table7[f4]*(Table15[[#This Row],[rpm]]-Table36[maxPRpm])^2)/1.36*9550/MAX(1,Table15[[#This Row],[rpm]]))</f>
        <v>0</v>
      </c>
      <c r="Q48" s="3">
        <f>MAX(0,Table7[Nm2]*MIN(Table36[ratedRpm]/MAX(1,Table15[[#This Row],[rpm]]),1-(MAX(0,Table15[[#This Row],[rpm]]-Table36[ratedRpm])/Table36[fadeOut])^Table36[fadeOutExp]))</f>
        <v>0</v>
      </c>
      <c r="R48" s="3">
        <f>(1-(1-Table15[[#This Row],[rpm]]/Table36[idleRpm])^2)*Table7[idleTEco]</f>
        <v>-42750.000000000007</v>
      </c>
      <c r="S48" s="3">
        <f>MAX(0,(1-Table7[f1]*(Table36[maxTRpm1]-Table15[[#This Row],[rpm]])^2)*Table36[maxTEco])</f>
        <v>0</v>
      </c>
      <c r="T48" s="3">
        <f>MAX(0,(Table36[linearDown]*(1-Table7[f2Eco]*(Table15[[#This Row],[rpm]]-Table36[maxTRpm]))+(1-Table36[linearDown])*(1-Table7[f3Eco]*(Table15[[#This Row],[rpm]]-Table36[maxTRpm])^2))*Table36[maxTEco])</f>
        <v>0</v>
      </c>
      <c r="U48" s="3">
        <f>MAX(0,(Table36[maxPSEco]-Table7[f4Eco]*(Table15[[#This Row],[rpm]]-Table36[maxPRpm])^2)/1.36*9550/MAX(1,Table15[[#This Row],[rpm]]))</f>
        <v>0</v>
      </c>
      <c r="V48" s="3">
        <f>MAX(0,Table7[Nm2Eco]*MIN(Table36[ratedRpm]/MAX(1,Table15[[#This Row],[rpm]]),1-(MAX(0,Table15[[#This Row],[rpm]]-Table36[ratedRpm])/Table36[fadeOut])^Table36[fadeOutExp]))</f>
        <v>0</v>
      </c>
    </row>
    <row r="49" spans="1:22" x14ac:dyDescent="0.25">
      <c r="A49" s="3">
        <v>7750</v>
      </c>
      <c r="B49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49" s="20"/>
      <c r="D49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49" s="20"/>
      <c r="F49" s="3">
        <f>Table36[Factor]*IF(Table15[[#This Row],[manualData]]&gt;0,Table15[[#This Row],[manualData]],Table15[[#This Row],[rawData]])</f>
        <v>0</v>
      </c>
      <c r="G49" s="3">
        <f>Table36[Factor]*IF(Table15[[#This Row],[manDataEco]]&gt;0,Table15[[#This Row],[manDataEco]],Table15[[#This Row],[rawDataEco]])</f>
        <v>0</v>
      </c>
      <c r="H49" s="3">
        <f>1.36*Table15[[#This Row],[rpm]]*Table15[[#This Row],[motor]]/9550</f>
        <v>0</v>
      </c>
      <c r="I49" s="3">
        <f>1.36*Table15[[#This Row],[rpm]]*Table15[[#This Row],[motorEco]]/9550</f>
        <v>0</v>
      </c>
      <c r="J49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49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49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49" s="3">
        <f>(1-(1-Table15[[#This Row],[rpm]]/Table36[idleRpm])^2)*Table7[idleT]</f>
        <v>-46112.499999999993</v>
      </c>
      <c r="N49" s="3">
        <f>MAX(0,(1-Table7[f1]*(Table36[maxTRpm1]-Table15[[#This Row],[rpm]])^2)*Table36[maxT])</f>
        <v>0</v>
      </c>
      <c r="O49" s="3">
        <f>MAX(0,(Table36[linearDown]*(1-Table7[f2]*(Table15[[#This Row],[rpm]]-Table36[maxTRpm]))+(1-Table36[linearDown])*(1-Table7[f3]*(Table15[[#This Row],[rpm]]-Table36[maxTRpm])^2))*Table36[maxT])</f>
        <v>0</v>
      </c>
      <c r="P49" s="3">
        <f>MAX(0,(Table36[maxPS]-Table7[f4]*(Table15[[#This Row],[rpm]]-Table36[maxPRpm])^2)/1.36*9550/MAX(1,Table15[[#This Row],[rpm]]))</f>
        <v>0</v>
      </c>
      <c r="Q49" s="3">
        <f>MAX(0,Table7[Nm2]*MIN(Table36[ratedRpm]/MAX(1,Table15[[#This Row],[rpm]]),1-(MAX(0,Table15[[#This Row],[rpm]]-Table36[ratedRpm])/Table36[fadeOut])^Table36[fadeOutExp]))</f>
        <v>0</v>
      </c>
      <c r="R49" s="3">
        <f>(1-(1-Table15[[#This Row],[rpm]]/Table36[idleRpm])^2)*Table7[idleTEco]</f>
        <v>-46112.499999999993</v>
      </c>
      <c r="S49" s="3">
        <f>MAX(0,(1-Table7[f1]*(Table36[maxTRpm1]-Table15[[#This Row],[rpm]])^2)*Table36[maxTEco])</f>
        <v>0</v>
      </c>
      <c r="T49" s="3">
        <f>MAX(0,(Table36[linearDown]*(1-Table7[f2Eco]*(Table15[[#This Row],[rpm]]-Table36[maxTRpm]))+(1-Table36[linearDown])*(1-Table7[f3Eco]*(Table15[[#This Row],[rpm]]-Table36[maxTRpm])^2))*Table36[maxTEco])</f>
        <v>0</v>
      </c>
      <c r="U49" s="3">
        <f>MAX(0,(Table36[maxPSEco]-Table7[f4Eco]*(Table15[[#This Row],[rpm]]-Table36[maxPRpm])^2)/1.36*9550/MAX(1,Table15[[#This Row],[rpm]]))</f>
        <v>0</v>
      </c>
      <c r="V49" s="3">
        <f>MAX(0,Table7[Nm2Eco]*MIN(Table36[ratedRpm]/MAX(1,Table15[[#This Row],[rpm]]),1-(MAX(0,Table15[[#This Row],[rpm]]-Table36[ratedRpm])/Table36[fadeOut])^Table36[fadeOutExp]))</f>
        <v>0</v>
      </c>
    </row>
    <row r="50" spans="1:22" x14ac:dyDescent="0.25">
      <c r="A50" s="3">
        <v>8000</v>
      </c>
      <c r="B50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0" s="20"/>
      <c r="D50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0" s="20"/>
      <c r="F50" s="3">
        <f>Table36[Factor]*IF(Table15[[#This Row],[manualData]]&gt;0,Table15[[#This Row],[manualData]],Table15[[#This Row],[rawData]])</f>
        <v>0</v>
      </c>
      <c r="G50" s="3">
        <f>Table36[Factor]*IF(Table15[[#This Row],[manDataEco]]&gt;0,Table15[[#This Row],[manDataEco]],Table15[[#This Row],[rawDataEco]])</f>
        <v>0</v>
      </c>
      <c r="H50" s="3">
        <f>1.36*Table15[[#This Row],[rpm]]*Table15[[#This Row],[motor]]/9550</f>
        <v>0</v>
      </c>
      <c r="I50" s="3">
        <f>1.36*Table15[[#This Row],[rpm]]*Table15[[#This Row],[motorEco]]/9550</f>
        <v>0</v>
      </c>
      <c r="J50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50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0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0" s="3">
        <f>(1-(1-Table15[[#This Row],[rpm]]/Table36[idleRpm])^2)*Table7[idleT]</f>
        <v>-49600.000000000007</v>
      </c>
      <c r="N50" s="3">
        <f>MAX(0,(1-Table7[f1]*(Table36[maxTRpm1]-Table15[[#This Row],[rpm]])^2)*Table36[maxT])</f>
        <v>0</v>
      </c>
      <c r="O50" s="3">
        <f>MAX(0,(Table36[linearDown]*(1-Table7[f2]*(Table15[[#This Row],[rpm]]-Table36[maxTRpm]))+(1-Table36[linearDown])*(1-Table7[f3]*(Table15[[#This Row],[rpm]]-Table36[maxTRpm])^2))*Table36[maxT])</f>
        <v>0</v>
      </c>
      <c r="P50" s="3">
        <f>MAX(0,(Table36[maxPS]-Table7[f4]*(Table15[[#This Row],[rpm]]-Table36[maxPRpm])^2)/1.36*9550/MAX(1,Table15[[#This Row],[rpm]]))</f>
        <v>0</v>
      </c>
      <c r="Q50" s="3">
        <f>MAX(0,Table7[Nm2]*MIN(Table36[ratedRpm]/MAX(1,Table15[[#This Row],[rpm]]),1-(MAX(0,Table15[[#This Row],[rpm]]-Table36[ratedRpm])/Table36[fadeOut])^Table36[fadeOutExp]))</f>
        <v>0</v>
      </c>
      <c r="R50" s="3">
        <f>(1-(1-Table15[[#This Row],[rpm]]/Table36[idleRpm])^2)*Table7[idleTEco]</f>
        <v>-49600.000000000007</v>
      </c>
      <c r="S50" s="3">
        <f>MAX(0,(1-Table7[f1]*(Table36[maxTRpm1]-Table15[[#This Row],[rpm]])^2)*Table36[maxTEco])</f>
        <v>0</v>
      </c>
      <c r="T50" s="3">
        <f>MAX(0,(Table36[linearDown]*(1-Table7[f2Eco]*(Table15[[#This Row],[rpm]]-Table36[maxTRpm]))+(1-Table36[linearDown])*(1-Table7[f3Eco]*(Table15[[#This Row],[rpm]]-Table36[maxTRpm])^2))*Table36[maxTEco])</f>
        <v>0</v>
      </c>
      <c r="U50" s="3">
        <f>MAX(0,(Table36[maxPSEco]-Table7[f4Eco]*(Table15[[#This Row],[rpm]]-Table36[maxPRpm])^2)/1.36*9550/MAX(1,Table15[[#This Row],[rpm]]))</f>
        <v>0</v>
      </c>
      <c r="V50" s="3">
        <f>MAX(0,Table7[Nm2Eco]*MIN(Table36[ratedRpm]/MAX(1,Table15[[#This Row],[rpm]]),1-(MAX(0,Table15[[#This Row],[rpm]]-Table36[ratedRpm])/Table36[fadeOut])^Table36[fadeOutExp]))</f>
        <v>0</v>
      </c>
    </row>
    <row r="51" spans="1:22" x14ac:dyDescent="0.25">
      <c r="A51" s="3">
        <v>8250</v>
      </c>
      <c r="B51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1" s="20"/>
      <c r="D51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1" s="20"/>
      <c r="F51" s="3">
        <f>Table36[Factor]*IF(Table15[[#This Row],[manualData]]&gt;0,Table15[[#This Row],[manualData]],Table15[[#This Row],[rawData]])</f>
        <v>0</v>
      </c>
      <c r="G51" s="3">
        <f>Table36[Factor]*IF(Table15[[#This Row],[manDataEco]]&gt;0,Table15[[#This Row],[manDataEco]],Table15[[#This Row],[rawDataEco]])</f>
        <v>0</v>
      </c>
      <c r="H51" s="3">
        <f>1.36*Table15[[#This Row],[rpm]]*Table15[[#This Row],[motor]]/9550</f>
        <v>0</v>
      </c>
      <c r="I51" s="3">
        <f>1.36*Table15[[#This Row],[rpm]]*Table15[[#This Row],[motorEco]]/9550</f>
        <v>0</v>
      </c>
      <c r="J51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51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1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1" s="3">
        <f>(1-(1-Table15[[#This Row],[rpm]]/Table36[idleRpm])^2)*Table7[idleT]</f>
        <v>-53212.499999999985</v>
      </c>
      <c r="N51" s="3">
        <f>MAX(0,(1-Table7[f1]*(Table36[maxTRpm1]-Table15[[#This Row],[rpm]])^2)*Table36[maxT])</f>
        <v>0</v>
      </c>
      <c r="O51" s="3">
        <f>MAX(0,(Table36[linearDown]*(1-Table7[f2]*(Table15[[#This Row],[rpm]]-Table36[maxTRpm]))+(1-Table36[linearDown])*(1-Table7[f3]*(Table15[[#This Row],[rpm]]-Table36[maxTRpm])^2))*Table36[maxT])</f>
        <v>0</v>
      </c>
      <c r="P51" s="3">
        <f>MAX(0,(Table36[maxPS]-Table7[f4]*(Table15[[#This Row],[rpm]]-Table36[maxPRpm])^2)/1.36*9550/MAX(1,Table15[[#This Row],[rpm]]))</f>
        <v>0</v>
      </c>
      <c r="Q51" s="3">
        <f>MAX(0,Table7[Nm2]*MIN(Table36[ratedRpm]/MAX(1,Table15[[#This Row],[rpm]]),1-(MAX(0,Table15[[#This Row],[rpm]]-Table36[ratedRpm])/Table36[fadeOut])^Table36[fadeOutExp]))</f>
        <v>0</v>
      </c>
      <c r="R51" s="3">
        <f>(1-(1-Table15[[#This Row],[rpm]]/Table36[idleRpm])^2)*Table7[idleTEco]</f>
        <v>-53212.499999999985</v>
      </c>
      <c r="S51" s="3">
        <f>MAX(0,(1-Table7[f1]*(Table36[maxTRpm1]-Table15[[#This Row],[rpm]])^2)*Table36[maxTEco])</f>
        <v>0</v>
      </c>
      <c r="T51" s="3">
        <f>MAX(0,(Table36[linearDown]*(1-Table7[f2Eco]*(Table15[[#This Row],[rpm]]-Table36[maxTRpm]))+(1-Table36[linearDown])*(1-Table7[f3Eco]*(Table15[[#This Row],[rpm]]-Table36[maxTRpm])^2))*Table36[maxTEco])</f>
        <v>0</v>
      </c>
      <c r="U51" s="3">
        <f>MAX(0,(Table36[maxPSEco]-Table7[f4Eco]*(Table15[[#This Row],[rpm]]-Table36[maxPRpm])^2)/1.36*9550/MAX(1,Table15[[#This Row],[rpm]]))</f>
        <v>0</v>
      </c>
      <c r="V51" s="3">
        <f>MAX(0,Table7[Nm2Eco]*MIN(Table36[ratedRpm]/MAX(1,Table15[[#This Row],[rpm]]),1-(MAX(0,Table15[[#This Row],[rpm]]-Table36[ratedRpm])/Table36[fadeOut])^Table36[fadeOutExp]))</f>
        <v>0</v>
      </c>
    </row>
    <row r="52" spans="1:22" x14ac:dyDescent="0.25">
      <c r="A52" s="3">
        <v>8500</v>
      </c>
      <c r="B52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2" s="20"/>
      <c r="D52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2" s="20"/>
      <c r="F52" s="3">
        <f>Table36[Factor]*IF(Table15[[#This Row],[manualData]]&gt;0,Table15[[#This Row],[manualData]],Table15[[#This Row],[rawData]])</f>
        <v>0</v>
      </c>
      <c r="G52" s="3">
        <f>Table36[Factor]*IF(Table15[[#This Row],[manDataEco]]&gt;0,Table15[[#This Row],[manDataEco]],Table15[[#This Row],[rawDataEco]])</f>
        <v>0</v>
      </c>
      <c r="H52" s="3">
        <f>1.36*Table15[[#This Row],[rpm]]*Table15[[#This Row],[motor]]/9550</f>
        <v>0</v>
      </c>
      <c r="I52" s="3">
        <f>1.36*Table15[[#This Row],[rpm]]*Table15[[#This Row],[motorEco]]/9550</f>
        <v>0</v>
      </c>
      <c r="J52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52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2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2" s="3">
        <f>(1-(1-Table15[[#This Row],[rpm]]/Table36[idleRpm])^2)*Table7[idleT]</f>
        <v>-56950</v>
      </c>
      <c r="N52" s="3">
        <f>MAX(0,(1-Table7[f1]*(Table36[maxTRpm1]-Table15[[#This Row],[rpm]])^2)*Table36[maxT])</f>
        <v>0</v>
      </c>
      <c r="O52" s="3">
        <f>MAX(0,(Table36[linearDown]*(1-Table7[f2]*(Table15[[#This Row],[rpm]]-Table36[maxTRpm]))+(1-Table36[linearDown])*(1-Table7[f3]*(Table15[[#This Row],[rpm]]-Table36[maxTRpm])^2))*Table36[maxT])</f>
        <v>0</v>
      </c>
      <c r="P52" s="3">
        <f>MAX(0,(Table36[maxPS]-Table7[f4]*(Table15[[#This Row],[rpm]]-Table36[maxPRpm])^2)/1.36*9550/MAX(1,Table15[[#This Row],[rpm]]))</f>
        <v>0</v>
      </c>
      <c r="Q52" s="3">
        <f>MAX(0,Table7[Nm2]*MIN(Table36[ratedRpm]/MAX(1,Table15[[#This Row],[rpm]]),1-(MAX(0,Table15[[#This Row],[rpm]]-Table36[ratedRpm])/Table36[fadeOut])^Table36[fadeOutExp]))</f>
        <v>0</v>
      </c>
      <c r="R52" s="3">
        <f>(1-(1-Table15[[#This Row],[rpm]]/Table36[idleRpm])^2)*Table7[idleTEco]</f>
        <v>-56950</v>
      </c>
      <c r="S52" s="3">
        <f>MAX(0,(1-Table7[f1]*(Table36[maxTRpm1]-Table15[[#This Row],[rpm]])^2)*Table36[maxTEco])</f>
        <v>0</v>
      </c>
      <c r="T52" s="3">
        <f>MAX(0,(Table36[linearDown]*(1-Table7[f2Eco]*(Table15[[#This Row],[rpm]]-Table36[maxTRpm]))+(1-Table36[linearDown])*(1-Table7[f3Eco]*(Table15[[#This Row],[rpm]]-Table36[maxTRpm])^2))*Table36[maxTEco])</f>
        <v>0</v>
      </c>
      <c r="U52" s="3">
        <f>MAX(0,(Table36[maxPSEco]-Table7[f4Eco]*(Table15[[#This Row],[rpm]]-Table36[maxPRpm])^2)/1.36*9550/MAX(1,Table15[[#This Row],[rpm]]))</f>
        <v>0</v>
      </c>
      <c r="V52" s="3">
        <f>MAX(0,Table7[Nm2Eco]*MIN(Table36[ratedRpm]/MAX(1,Table15[[#This Row],[rpm]]),1-(MAX(0,Table15[[#This Row],[rpm]]-Table36[ratedRpm])/Table36[fadeOut])^Table36[fadeOutExp]))</f>
        <v>0</v>
      </c>
    </row>
    <row r="53" spans="1:22" x14ac:dyDescent="0.25">
      <c r="A53" s="3">
        <v>8750</v>
      </c>
      <c r="B53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3" s="20"/>
      <c r="D53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3" s="20"/>
      <c r="F53" s="3">
        <f>Table36[Factor]*IF(Table15[[#This Row],[manualData]]&gt;0,Table15[[#This Row],[manualData]],Table15[[#This Row],[rawData]])</f>
        <v>0</v>
      </c>
      <c r="G53" s="3">
        <f>Table36[Factor]*IF(Table15[[#This Row],[manDataEco]]&gt;0,Table15[[#This Row],[manDataEco]],Table15[[#This Row],[rawDataEco]])</f>
        <v>0</v>
      </c>
      <c r="H53" s="3">
        <f>1.36*Table15[[#This Row],[rpm]]*Table15[[#This Row],[motor]]/9550</f>
        <v>0</v>
      </c>
      <c r="I53" s="3">
        <f>1.36*Table15[[#This Row],[rpm]]*Table15[[#This Row],[motorEco]]/9550</f>
        <v>0</v>
      </c>
      <c r="J53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53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3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3" s="3">
        <f>(1-(1-Table15[[#This Row],[rpm]]/Table36[idleRpm])^2)*Table7[idleT]</f>
        <v>-60812.499999999993</v>
      </c>
      <c r="N53" s="3">
        <f>MAX(0,(1-Table7[f1]*(Table36[maxTRpm1]-Table15[[#This Row],[rpm]])^2)*Table36[maxT])</f>
        <v>0</v>
      </c>
      <c r="O53" s="3">
        <f>MAX(0,(Table36[linearDown]*(1-Table7[f2]*(Table15[[#This Row],[rpm]]-Table36[maxTRpm]))+(1-Table36[linearDown])*(1-Table7[f3]*(Table15[[#This Row],[rpm]]-Table36[maxTRpm])^2))*Table36[maxT])</f>
        <v>0</v>
      </c>
      <c r="P53" s="3">
        <f>MAX(0,(Table36[maxPS]-Table7[f4]*(Table15[[#This Row],[rpm]]-Table36[maxPRpm])^2)/1.36*9550/MAX(1,Table15[[#This Row],[rpm]]))</f>
        <v>0</v>
      </c>
      <c r="Q53" s="3">
        <f>MAX(0,Table7[Nm2]*MIN(Table36[ratedRpm]/MAX(1,Table15[[#This Row],[rpm]]),1-(MAX(0,Table15[[#This Row],[rpm]]-Table36[ratedRpm])/Table36[fadeOut])^Table36[fadeOutExp]))</f>
        <v>0</v>
      </c>
      <c r="R53" s="3">
        <f>(1-(1-Table15[[#This Row],[rpm]]/Table36[idleRpm])^2)*Table7[idleTEco]</f>
        <v>-60812.499999999993</v>
      </c>
      <c r="S53" s="3">
        <f>MAX(0,(1-Table7[f1]*(Table36[maxTRpm1]-Table15[[#This Row],[rpm]])^2)*Table36[maxTEco])</f>
        <v>0</v>
      </c>
      <c r="T53" s="3">
        <f>MAX(0,(Table36[linearDown]*(1-Table7[f2Eco]*(Table15[[#This Row],[rpm]]-Table36[maxTRpm]))+(1-Table36[linearDown])*(1-Table7[f3Eco]*(Table15[[#This Row],[rpm]]-Table36[maxTRpm])^2))*Table36[maxTEco])</f>
        <v>0</v>
      </c>
      <c r="U53" s="3">
        <f>MAX(0,(Table36[maxPSEco]-Table7[f4Eco]*(Table15[[#This Row],[rpm]]-Table36[maxPRpm])^2)/1.36*9550/MAX(1,Table15[[#This Row],[rpm]]))</f>
        <v>0</v>
      </c>
      <c r="V53" s="3">
        <f>MAX(0,Table7[Nm2Eco]*MIN(Table36[ratedRpm]/MAX(1,Table15[[#This Row],[rpm]]),1-(MAX(0,Table15[[#This Row],[rpm]]-Table36[ratedRpm])/Table36[fadeOut])^Table36[fadeOutExp]))</f>
        <v>0</v>
      </c>
    </row>
    <row r="54" spans="1:22" x14ac:dyDescent="0.25">
      <c r="A54" s="3">
        <v>9000</v>
      </c>
      <c r="B54" s="3">
        <f>MIN(IF(Table15[[#This Row],[rpm]]&gt;0,Table7[Nm]*Table36[maxPRpm]/Table15[[#This Row],[rpm]],0),MAX(0,IF(Table15[[#This Row],[rpm]]&lt;Table36[idleRpm],(1-Table15[[#This Row],[rpm]]/Table36[idleRpm])*Table15[[#This Row],[t1]]+Table15[[#This Row],[rpm]]/Table36[idleRpm]*Table15[[#This Row],[t2]],IF(Table15[[#This Row],[rpm]]&gt;=Table36[maxPRpm],IF(Table15[[#This Row],[rpm]]&gt;Table36[ratedRpm],Table15[[#This Row],[t5]],Table15[[#This Row],[t4]]),IF(Table15[[#This Row],[rpm]]&lt;Table36[maxTRpm1],Table15[[#This Row],[t2]],IF(Table15[[#This Row],[rpm]]&gt;Table36[maxTRpm],Table15[[#This Row],[t3]],Table36[maxT]))))))</f>
        <v>0</v>
      </c>
      <c r="C54" s="20"/>
      <c r="D54" s="3">
        <f>MIN(IF(Table15[[#This Row],[rpm]]&gt;0,Table7[NmEco]*Table36[maxPRpm]/Table15[[#This Row],[rpm]],0),MAX(0,IF(Table15[[#This Row],[rpm]]&lt;Table36[idleRpm],(1-Table15[[#This Row],[rpm]]/Table36[idleRpm])*Table15[[#This Row],[t1E]]+Table15[[#This Row],[rpm]]/Table36[idleRpm]*Table15[[#This Row],[t2E]],IF(Table15[[#This Row],[rpm]]&gt;=Table36[maxPRpm],IF(Table15[[#This Row],[rpm]]&gt;Table36[ratedRpm],Table15[[#This Row],[t5E]],Table15[[#This Row],[t4E]]),IF(Table15[[#This Row],[rpm]]&lt;Table36[maxTRpm1],Table15[[#This Row],[t2E]],IF(Table15[[#This Row],[rpm]]&gt;Table36[maxTRpm],Table15[[#This Row],[t3E]],Table36[maxTEco]))))))</f>
        <v>0</v>
      </c>
      <c r="E54" s="20"/>
      <c r="F54" s="3">
        <f>Table36[Factor]*IF(Table15[[#This Row],[manualData]]&gt;0,Table15[[#This Row],[manualData]],Table15[[#This Row],[rawData]])</f>
        <v>0</v>
      </c>
      <c r="G54" s="3">
        <f>Table36[Factor]*IF(Table15[[#This Row],[manDataEco]]&gt;0,Table15[[#This Row],[manDataEco]],Table15[[#This Row],[rawDataEco]])</f>
        <v>0</v>
      </c>
      <c r="H54" s="3">
        <f>1.36*Table15[[#This Row],[rpm]]*Table15[[#This Row],[motor]]/9550</f>
        <v>0</v>
      </c>
      <c r="I54" s="3">
        <f>1.36*Table15[[#This Row],[rpm]]*Table15[[#This Row],[motorEco]]/9550</f>
        <v>0</v>
      </c>
      <c r="J54" s="27">
        <f>IF(Table15[[#This Row],[rpm]]&lt;=Table36[fuelMinRpm],Table36[fuelMinRate]+(Table36[fuelIdleRate]-Table36[fuelMinRate])*((Table36[fuelMinRpm]-Table15[[#This Row],[rpm]])/(Table36[fuelMinRpm]-Table36[idleRpm]))^2,IF(Table15[[#This Row],[rpm]]&lt;=Table36[ratedRpm],Table36[fuelMinRate]+(Table36[fuelRatedRate]-Table36[fuelMinRate])*((Table15[[#This Row],[rpm]]-Table36[fuelMinRpm])/(Table36[ratedRpm]-Table36[fuelMinRpm]))^2,IF(Table15[[#This Row],[rpm]]&lt;=Table36[ratedRpm]+Table36[fadeOut],Table36[fuelRatedRate]+Table36[fuelRatedRate]*((Table15[[#This Row],[rpm]]-Table36[ratedRpm])/Table36[fadeOut])^2.5,Table36[fuelRatedRate]*2)))</f>
        <v>477.77777777777777</v>
      </c>
      <c r="K54" s="35" t="str">
        <f>IF(Table15[[#This Row],[rpm]]&gt;Table36[ratedRpm]+Table36[fadeOut]+99,"",IF(Table15[[#This Row],[rpm]]&lt;1,Table7[xmlComment],CONCATENATE("        &lt;torque rpm=""",Table15[[#This Row],[rpm]],""" motorTorque=""",ROUND(Table15[[#This Row],[motor]],0),"""",IF( Table15[[#This Row],[motorEco]] &lt; Table15[[#This Row],[motor]],CONCATENATE(" motorTorqueEco=""",ROUND(Table15[[#This Row],[motorEco]],0),""""),"")," fuelUsageRatio=""",ROUND(Table15[[#This Row],[fuelUsageRatio]],1),"""/&gt;",CONCATENATE(IF(Table15[[#This Row],[manualData]]&gt;0,CONCATENATE("&lt;!-- manualData: ",Table15[[#This Row],[manualData]],"--&gt;"),""),IF(Table15[[#This Row],[manDataEco]]&gt;0,CONCATENATE("&lt;!-- manDataEco: ",Table15[[#This Row],[manDataEco]],"--&gt;"),"")))))</f>
        <v/>
      </c>
      <c r="L54" s="35" t="str">
        <f>IF(Table15[[#This Row],[rpm]]&gt;Table36[normRpm],"",IF(Table15[[#This Row],[rpm]]&lt;1,Table7[xmlComment],CONCATENATE("        &lt;torque normRpm=""",ROUND(Table15[[#This Row],[rpm]]/Table36[normRpm],3),""" torque=""",ROUND(Table15[[#This Row],[motor]]/MAX(Table15[motor]),3),"""/&gt;")))</f>
        <v/>
      </c>
      <c r="M54" s="3">
        <f>(1-(1-Table15[[#This Row],[rpm]]/Table36[idleRpm])^2)*Table7[idleT]</f>
        <v>-64800</v>
      </c>
      <c r="N54" s="3">
        <f>MAX(0,(1-Table7[f1]*(Table36[maxTRpm1]-Table15[[#This Row],[rpm]])^2)*Table36[maxT])</f>
        <v>0</v>
      </c>
      <c r="O54" s="3">
        <f>MAX(0,(Table36[linearDown]*(1-Table7[f2]*(Table15[[#This Row],[rpm]]-Table36[maxTRpm]))+(1-Table36[linearDown])*(1-Table7[f3]*(Table15[[#This Row],[rpm]]-Table36[maxTRpm])^2))*Table36[maxT])</f>
        <v>0</v>
      </c>
      <c r="P54" s="3">
        <f>MAX(0,(Table36[maxPS]-Table7[f4]*(Table15[[#This Row],[rpm]]-Table36[maxPRpm])^2)/1.36*9550/MAX(1,Table15[[#This Row],[rpm]]))</f>
        <v>0</v>
      </c>
      <c r="Q54" s="3">
        <f>MAX(0,Table7[Nm2]*MIN(Table36[ratedRpm]/MAX(1,Table15[[#This Row],[rpm]]),1-(MAX(0,Table15[[#This Row],[rpm]]-Table36[ratedRpm])/Table36[fadeOut])^Table36[fadeOutExp]))</f>
        <v>0</v>
      </c>
      <c r="R54" s="3">
        <f>(1-(1-Table15[[#This Row],[rpm]]/Table36[idleRpm])^2)*Table7[idleTEco]</f>
        <v>-64800</v>
      </c>
      <c r="S54" s="3">
        <f>MAX(0,(1-Table7[f1]*(Table36[maxTRpm1]-Table15[[#This Row],[rpm]])^2)*Table36[maxTEco])</f>
        <v>0</v>
      </c>
      <c r="T54" s="3">
        <f>MAX(0,(Table36[linearDown]*(1-Table7[f2Eco]*(Table15[[#This Row],[rpm]]-Table36[maxTRpm]))+(1-Table36[linearDown])*(1-Table7[f3Eco]*(Table15[[#This Row],[rpm]]-Table36[maxTRpm])^2))*Table36[maxTEco])</f>
        <v>0</v>
      </c>
      <c r="U54" s="3">
        <f>MAX(0,(Table36[maxPSEco]-Table7[f4Eco]*(Table15[[#This Row],[rpm]]-Table36[maxPRpm])^2)/1.36*9550/MAX(1,Table15[[#This Row],[rpm]]))</f>
        <v>0</v>
      </c>
      <c r="V54" s="3">
        <f>MAX(0,Table7[Nm2Eco]*MIN(Table36[ratedRpm]/MAX(1,Table15[[#This Row],[rpm]]),1-(MAX(0,Table15[[#This Row],[rpm]]-Table36[ratedRpm])/Table36[fadeOut])^Table36[fadeOutExp]))</f>
        <v>0</v>
      </c>
    </row>
  </sheetData>
  <conditionalFormatting sqref="I7:I25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{E1C56E9C-EE7A-4A8D-B0DC-E752B34F8D7C}</x14:id>
        </ext>
      </extLst>
    </cfRule>
  </conditionalFormatting>
  <conditionalFormatting sqref="F7:G25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{38D9AB0E-4856-4112-B342-A97DADB3E4E7}</x14:id>
        </ext>
      </extLst>
    </cfRule>
  </conditionalFormatting>
  <conditionalFormatting sqref="H7:H54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{16AE14AC-497A-431B-A55E-276DD076547C}</x14:id>
        </ext>
      </extLst>
    </cfRule>
  </conditionalFormatting>
  <conditionalFormatting sqref="H7:I54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{DC5EE46E-370E-4713-8616-D3D113139AC2}</x14:id>
        </ext>
      </extLst>
    </cfRule>
  </conditionalFormatting>
  <conditionalFormatting sqref="F7:G54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{98050814-2C89-45D9-81C5-8AFF6038F3C7}</x14:id>
        </ext>
      </extLst>
    </cfRule>
  </conditionalFormatting>
  <conditionalFormatting sqref="J7:J5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{43DDCF38-9659-4E25-8C46-2A3E5E72C923}</x14:id>
        </ext>
      </extLst>
    </cfRule>
  </conditionalFormatting>
  <conditionalFormatting sqref="I2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{E2BB9A79-62A0-422A-B3E3-E4E54A57965C}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C56E9C-EE7A-4A8D-B0DC-E752B34F8D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I7:I25</xm:sqref>
        </x14:conditionalFormatting>
        <x14:conditionalFormatting xmlns:xm="http://schemas.microsoft.com/office/excel/2006/main">
          <x14:cfRule type="dataBar" id="{38D9AB0E-4856-4112-B342-A97DADB3E4E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F7:G25</xm:sqref>
        </x14:conditionalFormatting>
        <x14:conditionalFormatting xmlns:xm="http://schemas.microsoft.com/office/excel/2006/main">
          <x14:cfRule type="dataBar" id="{16AE14AC-497A-431B-A55E-276DD07654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H7:H54</xm:sqref>
        </x14:conditionalFormatting>
        <x14:conditionalFormatting xmlns:xm="http://schemas.microsoft.com/office/excel/2006/main">
          <x14:cfRule type="dataBar" id="{DC5EE46E-370E-4713-8616-D3D113139AC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H7:I54</xm:sqref>
        </x14:conditionalFormatting>
        <x14:conditionalFormatting xmlns:xm="http://schemas.microsoft.com/office/excel/2006/main">
          <x14:cfRule type="dataBar" id="{98050814-2C89-45D9-81C5-8AFF6038F3C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F7:G54</xm:sqref>
        </x14:conditionalFormatting>
        <x14:conditionalFormatting xmlns:xm="http://schemas.microsoft.com/office/excel/2006/main">
          <x14:cfRule type="dataBar" id="{43DDCF38-9659-4E25-8C46-2A3E5E72C9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J7:J54</xm:sqref>
        </x14:conditionalFormatting>
        <x14:conditionalFormatting xmlns:xm="http://schemas.microsoft.com/office/excel/2006/main">
          <x14:cfRule type="dataBar" id="{E2BB9A79-62A0-422A-B3E3-E4E54A5796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" sqref="G2:G17"/>
    </sheetView>
  </sheetViews>
  <sheetFormatPr defaultRowHeight="15" x14ac:dyDescent="0.25"/>
  <cols>
    <col min="2" max="2" width="11.85546875" customWidth="1"/>
    <col min="7" max="7" width="13.28515625" customWidth="1"/>
    <col min="8" max="8" width="16.140625" customWidth="1"/>
  </cols>
  <sheetData>
    <row r="1" spans="1:8" x14ac:dyDescent="0.25">
      <c r="A1" t="s">
        <v>0</v>
      </c>
      <c r="B1" t="s">
        <v>5</v>
      </c>
      <c r="C1" t="s">
        <v>2</v>
      </c>
      <c r="D1" t="s">
        <v>6</v>
      </c>
      <c r="E1" t="s">
        <v>1</v>
      </c>
      <c r="F1" t="s">
        <v>4</v>
      </c>
      <c r="G1" t="s">
        <v>3</v>
      </c>
      <c r="H1" t="s">
        <v>9</v>
      </c>
    </row>
    <row r="2" spans="1:8" x14ac:dyDescent="0.25">
      <c r="A2">
        <v>800</v>
      </c>
      <c r="B2">
        <v>2600</v>
      </c>
      <c r="C2">
        <f>$A$22*Table1[[#This Row],[rawData]]</f>
        <v>2444</v>
      </c>
      <c r="D2" s="1">
        <f>A2*C2/9550</f>
        <v>204.73298429319371</v>
      </c>
      <c r="E2" s="1">
        <f>Table1[[#This Row],[kw_pto]]*1.36/0.94</f>
        <v>296.20942408376965</v>
      </c>
      <c r="F2">
        <f t="shared" ref="F2" si="0">C2/0.94</f>
        <v>2600</v>
      </c>
      <c r="G2" s="1" t="str">
        <f>CONCATENATE("&lt;torque rpm=""",Table1[[#This Row],[rpm]],""" motorTorque=""",ROUND(Table1[[#This Row],[motor]],0),"""/&gt;")</f>
        <v>&lt;torque rpm="800" motorTorque="2600"/&gt;</v>
      </c>
      <c r="H2" s="1" t="str">
        <f>CONCATENATE("&lt;torque normRpm=""",ROUND(Table1[[#This Row],[rpm]]/Table3[ratedRpm],3),""" torque=""",ROUND(Table1[[#This Row],[motor]]/MAX(Table1[motor]),3),"""/&gt;")</f>
        <v>&lt;torque normRpm="0.381" torque="0.884"/&gt;</v>
      </c>
    </row>
    <row r="3" spans="1:8" x14ac:dyDescent="0.25">
      <c r="A3">
        <v>900</v>
      </c>
      <c r="B3">
        <v>2730</v>
      </c>
      <c r="C3">
        <f>$A$22*Table1[[#This Row],[rawData]]</f>
        <v>2566.1999999999998</v>
      </c>
      <c r="D3" s="1">
        <f>A3*C3/9550</f>
        <v>241.84083769633509</v>
      </c>
      <c r="E3" s="1">
        <f>Table1[[#This Row],[kw_pto]]*1.36/0.94</f>
        <v>349.89738219895293</v>
      </c>
      <c r="F3">
        <f t="shared" ref="F3:F18" si="1">C3/0.94</f>
        <v>2730</v>
      </c>
      <c r="G3" s="1" t="str">
        <f>CONCATENATE("&lt;torque rpm=""",Table1[[#This Row],[rpm]],""" motorTorque=""",ROUND(Table1[[#This Row],[motor]],0),"""/&gt;")</f>
        <v>&lt;torque rpm="900" motorTorque="2730"/&gt;</v>
      </c>
      <c r="H3" s="1" t="str">
        <f>CONCATENATE("&lt;torque normRpm=""",ROUND(Table1[[#This Row],[rpm]]/Table3[ratedRpm],3),""" torque=""",ROUND(Table1[[#This Row],[motor]]/MAX(Table1[motor]),3),"""/&gt;")</f>
        <v>&lt;torque normRpm="0.429" torque="0.928"/&gt;</v>
      </c>
    </row>
    <row r="4" spans="1:8" x14ac:dyDescent="0.25">
      <c r="A4">
        <v>1000</v>
      </c>
      <c r="B4">
        <v>2800</v>
      </c>
      <c r="C4">
        <f>$A$22*Table1[[#This Row],[rawData]]</f>
        <v>2632</v>
      </c>
      <c r="D4">
        <f t="shared" ref="D4:D18" si="2">A4*C4/9550</f>
        <v>275.60209424083769</v>
      </c>
      <c r="E4">
        <f>Table1[[#This Row],[kw_pto]]*1.36/0.94</f>
        <v>398.74345549738223</v>
      </c>
      <c r="F4">
        <f t="shared" si="1"/>
        <v>2800</v>
      </c>
      <c r="G4" t="str">
        <f>CONCATENATE("&lt;torque rpm=""",Table1[[#This Row],[rpm]],""" motorTorque=""",ROUND(Table1[[#This Row],[motor]],0),"""/&gt;")</f>
        <v>&lt;torque rpm="1000" motorTorque="2800"/&gt;</v>
      </c>
      <c r="H4" s="1" t="str">
        <f>CONCATENATE("&lt;torque normRpm=""",ROUND(Table1[[#This Row],[rpm]]/Table3[ratedRpm],3),""" torque=""",ROUND(Table1[[#This Row],[motor]]/MAX(Table1[motor]),3),"""/&gt;")</f>
        <v>&lt;torque normRpm="0.476" torque="0.952"/&gt;</v>
      </c>
    </row>
    <row r="5" spans="1:8" x14ac:dyDescent="0.25">
      <c r="A5">
        <v>1100</v>
      </c>
      <c r="B5">
        <v>2850</v>
      </c>
      <c r="C5">
        <f>$A$22*Table1[[#This Row],[rawData]]</f>
        <v>2679</v>
      </c>
      <c r="D5">
        <f t="shared" si="2"/>
        <v>308.57591623036649</v>
      </c>
      <c r="E5">
        <f>Table1[[#This Row],[kw_pto]]*1.36/0.94</f>
        <v>446.45026178010477</v>
      </c>
      <c r="F5">
        <f t="shared" si="1"/>
        <v>2850</v>
      </c>
      <c r="G5" t="str">
        <f>CONCATENATE("&lt;torque rpm=""",Table1[[#This Row],[rpm]],""" motorTorque=""",ROUND(Table1[[#This Row],[motor]],0),"""/&gt;")</f>
        <v>&lt;torque rpm="1100" motorTorque="2850"/&gt;</v>
      </c>
      <c r="H5" s="1" t="str">
        <f>CONCATENATE("&lt;torque normRpm=""",ROUND(Table1[[#This Row],[rpm]]/Table3[ratedRpm],3),""" torque=""",ROUND(Table1[[#This Row],[motor]]/MAX(Table1[motor]),3),"""/&gt;")</f>
        <v>&lt;torque normRpm="0.524" torque="0.969"/&gt;</v>
      </c>
    </row>
    <row r="6" spans="1:8" x14ac:dyDescent="0.25">
      <c r="A6">
        <v>1200</v>
      </c>
      <c r="B6">
        <v>2890</v>
      </c>
      <c r="C6">
        <f>$A$22*Table1[[#This Row],[rawData]]</f>
        <v>2716.6</v>
      </c>
      <c r="D6">
        <f t="shared" si="2"/>
        <v>341.35287958115185</v>
      </c>
      <c r="E6">
        <f>Table1[[#This Row],[kw_pto]]*1.36/0.94</f>
        <v>493.87225130890062</v>
      </c>
      <c r="F6">
        <f t="shared" si="1"/>
        <v>2890</v>
      </c>
      <c r="G6" t="str">
        <f>CONCATENATE("&lt;torque rpm=""",Table1[[#This Row],[rpm]],""" motorTorque=""",ROUND(Table1[[#This Row],[motor]],0),"""/&gt;")</f>
        <v>&lt;torque rpm="1200" motorTorque="2890"/&gt;</v>
      </c>
      <c r="H6" s="1" t="str">
        <f>CONCATENATE("&lt;torque normRpm=""",ROUND(Table1[[#This Row],[rpm]]/Table3[ratedRpm],3),""" torque=""",ROUND(Table1[[#This Row],[motor]]/MAX(Table1[motor]),3),"""/&gt;")</f>
        <v>&lt;torque normRpm="0.571" torque="0.983"/&gt;</v>
      </c>
    </row>
    <row r="7" spans="1:8" x14ac:dyDescent="0.25">
      <c r="A7">
        <v>1300</v>
      </c>
      <c r="B7">
        <v>2920</v>
      </c>
      <c r="C7">
        <f>$A$22*Table1[[#This Row],[rawData]]</f>
        <v>2744.7999999999997</v>
      </c>
      <c r="D7">
        <f t="shared" si="2"/>
        <v>373.63769633507849</v>
      </c>
      <c r="E7">
        <f>Table1[[#This Row],[kw_pto]]*1.36/0.94</f>
        <v>540.58219895287959</v>
      </c>
      <c r="F7">
        <f t="shared" si="1"/>
        <v>2920</v>
      </c>
      <c r="G7" t="str">
        <f>CONCATENATE("&lt;torque rpm=""",Table1[[#This Row],[rpm]],""" motorTorque=""",ROUND(Table1[[#This Row],[motor]],0),"""/&gt;")</f>
        <v>&lt;torque rpm="1300" motorTorque="2920"/&gt;</v>
      </c>
      <c r="H7" s="1" t="str">
        <f>CONCATENATE("&lt;torque normRpm=""",ROUND(Table1[[#This Row],[rpm]]/Table3[ratedRpm],3),""" torque=""",ROUND(Table1[[#This Row],[motor]]/MAX(Table1[motor]),3),"""/&gt;")</f>
        <v>&lt;torque normRpm="0.619" torque="0.993"/&gt;</v>
      </c>
    </row>
    <row r="8" spans="1:8" x14ac:dyDescent="0.25">
      <c r="A8">
        <v>1400</v>
      </c>
      <c r="B8">
        <v>2941</v>
      </c>
      <c r="C8">
        <f>$A$22*Table1[[#This Row],[rawData]]</f>
        <v>2764.54</v>
      </c>
      <c r="D8">
        <f t="shared" si="2"/>
        <v>405.27287958115181</v>
      </c>
      <c r="E8">
        <f>Table1[[#This Row],[kw_pto]]*1.36/0.94</f>
        <v>586.35225130890058</v>
      </c>
      <c r="F8">
        <f t="shared" si="1"/>
        <v>2941</v>
      </c>
      <c r="G8" t="str">
        <f>CONCATENATE("&lt;torque rpm=""",Table1[[#This Row],[rpm]],""" motorTorque=""",ROUND(Table1[[#This Row],[motor]],0),"""/&gt;")</f>
        <v>&lt;torque rpm="1400" motorTorque="2941"/&gt;</v>
      </c>
      <c r="H8" s="1" t="str">
        <f>CONCATENATE("&lt;torque normRpm=""",ROUND(Table1[[#This Row],[rpm]]/Table3[ratedRpm],3),""" torque=""",ROUND(Table1[[#This Row],[motor]]/MAX(Table1[motor]),3),"""/&gt;")</f>
        <v>&lt;torque normRpm="0.667" torque="1"/&gt;</v>
      </c>
    </row>
    <row r="9" spans="1:8" x14ac:dyDescent="0.25">
      <c r="A9">
        <v>1500</v>
      </c>
      <c r="B9">
        <v>2900</v>
      </c>
      <c r="C9">
        <f>$A$22*Table1[[#This Row],[rawData]]</f>
        <v>2726</v>
      </c>
      <c r="D9">
        <f t="shared" si="2"/>
        <v>428.16753926701568</v>
      </c>
      <c r="E9">
        <f>Table1[[#This Row],[kw_pto]]*1.36/0.94</f>
        <v>619.47643979057602</v>
      </c>
      <c r="F9">
        <f t="shared" si="1"/>
        <v>2900</v>
      </c>
      <c r="G9" t="str">
        <f>CONCATENATE("&lt;torque rpm=""",Table1[[#This Row],[rpm]],""" motorTorque=""",ROUND(Table1[[#This Row],[motor]],0),"""/&gt;")</f>
        <v>&lt;torque rpm="1500" motorTorque="2900"/&gt;</v>
      </c>
      <c r="H9" s="1" t="str">
        <f>CONCATENATE("&lt;torque normRpm=""",ROUND(Table1[[#This Row],[rpm]]/Table3[ratedRpm],3),""" torque=""",ROUND(Table1[[#This Row],[motor]]/MAX(Table1[motor]),3),"""/&gt;")</f>
        <v>&lt;torque normRpm="0.714" torque="0.986"/&gt;</v>
      </c>
    </row>
    <row r="10" spans="1:8" x14ac:dyDescent="0.25">
      <c r="A10">
        <v>1600</v>
      </c>
      <c r="B10">
        <v>2830</v>
      </c>
      <c r="C10">
        <f>$A$22*Table1[[#This Row],[rawData]]</f>
        <v>2660.2</v>
      </c>
      <c r="D10">
        <f t="shared" si="2"/>
        <v>445.68795811518322</v>
      </c>
      <c r="E10">
        <f>Table1[[#This Row],[kw_pto]]*1.36/0.94</f>
        <v>644.82513089005238</v>
      </c>
      <c r="F10">
        <f t="shared" si="1"/>
        <v>2830</v>
      </c>
      <c r="G10" t="str">
        <f>CONCATENATE("&lt;torque rpm=""",Table1[[#This Row],[rpm]],""" motorTorque=""",ROUND(Table1[[#This Row],[motor]],0),"""/&gt;")</f>
        <v>&lt;torque rpm="1600" motorTorque="2830"/&gt;</v>
      </c>
      <c r="H10" s="1" t="str">
        <f>CONCATENATE("&lt;torque normRpm=""",ROUND(Table1[[#This Row],[rpm]]/Table3[ratedRpm],3),""" torque=""",ROUND(Table1[[#This Row],[motor]]/MAX(Table1[motor]),3),"""/&gt;")</f>
        <v>&lt;torque normRpm="0.762" torque="0.962"/&gt;</v>
      </c>
    </row>
    <row r="11" spans="1:8" x14ac:dyDescent="0.25">
      <c r="A11">
        <v>1700</v>
      </c>
      <c r="B11">
        <v>2740</v>
      </c>
      <c r="C11">
        <f>$A$22*Table1[[#This Row],[rawData]]</f>
        <v>2575.6</v>
      </c>
      <c r="D11">
        <f t="shared" si="2"/>
        <v>458.48376963350785</v>
      </c>
      <c r="E11">
        <f>Table1[[#This Row],[kw_pto]]*1.36/0.94</f>
        <v>663.33821989528803</v>
      </c>
      <c r="F11">
        <f t="shared" si="1"/>
        <v>2740</v>
      </c>
      <c r="G11" t="str">
        <f>CONCATENATE("&lt;torque rpm=""",Table1[[#This Row],[rpm]],""" motorTorque=""",ROUND(Table1[[#This Row],[motor]],0),"""/&gt;")</f>
        <v>&lt;torque rpm="1700" motorTorque="2740"/&gt;</v>
      </c>
      <c r="H11" s="1" t="str">
        <f>CONCATENATE("&lt;torque normRpm=""",ROUND(Table1[[#This Row],[rpm]]/Table3[ratedRpm],3),""" torque=""",ROUND(Table1[[#This Row],[motor]]/MAX(Table1[motor]),3),"""/&gt;")</f>
        <v>&lt;torque normRpm="0.81" torque="0.932"/&gt;</v>
      </c>
    </row>
    <row r="12" spans="1:8" x14ac:dyDescent="0.25">
      <c r="A12">
        <v>1800</v>
      </c>
      <c r="B12">
        <v>2650</v>
      </c>
      <c r="C12">
        <f>$A$22*Table1[[#This Row],[rawData]]</f>
        <v>2491</v>
      </c>
      <c r="D12">
        <f t="shared" si="2"/>
        <v>469.50785340314138</v>
      </c>
      <c r="E12">
        <f>Table1[[#This Row],[kw_pto]]*1.36/0.94</f>
        <v>679.2879581151833</v>
      </c>
      <c r="F12">
        <f t="shared" si="1"/>
        <v>2650</v>
      </c>
      <c r="G12" t="str">
        <f>CONCATENATE("&lt;torque rpm=""",Table1[[#This Row],[rpm]],""" motorTorque=""",ROUND(Table1[[#This Row],[motor]],0),"""/&gt;")</f>
        <v>&lt;torque rpm="1800" motorTorque="2650"/&gt;</v>
      </c>
      <c r="H12" s="1" t="str">
        <f>CONCATENATE("&lt;torque normRpm=""",ROUND(Table1[[#This Row],[rpm]]/Table3[ratedRpm],3),""" torque=""",ROUND(Table1[[#This Row],[motor]]/MAX(Table1[motor]),3),"""/&gt;")</f>
        <v>&lt;torque normRpm="0.857" torque="0.901"/&gt;</v>
      </c>
    </row>
    <row r="13" spans="1:8" x14ac:dyDescent="0.25">
      <c r="A13">
        <v>1900</v>
      </c>
      <c r="B13">
        <f>0.94*Table3[PS]/1.36*9550/Table1[[#This Row],[rpm]]/Table3[Factor]</f>
        <v>2557.5077399380802</v>
      </c>
      <c r="C13">
        <f>$A$22*Table1[[#This Row],[rawData]]</f>
        <v>2404.0572755417952</v>
      </c>
      <c r="D13">
        <f t="shared" si="2"/>
        <v>478.29411764705873</v>
      </c>
      <c r="E13">
        <f>Table1[[#This Row],[kw_pto]]*1.36/0.94</f>
        <v>691.99999999999989</v>
      </c>
      <c r="F13">
        <f t="shared" si="1"/>
        <v>2557.5077399380802</v>
      </c>
      <c r="G13" t="str">
        <f>CONCATENATE("&lt;torque rpm=""",Table1[[#This Row],[rpm]],""" motorTorque=""",ROUND(Table1[[#This Row],[motor]],0),"""/&gt;")</f>
        <v>&lt;torque rpm="1900" motorTorque="2558"/&gt;</v>
      </c>
      <c r="H13" s="1" t="str">
        <f>CONCATENATE("&lt;torque normRpm=""",ROUND(Table1[[#This Row],[rpm]]/Table3[ratedRpm],3),""" torque=""",ROUND(Table1[[#This Row],[motor]]/MAX(Table1[motor]),3),"""/&gt;")</f>
        <v>&lt;torque normRpm="0.905" torque="0.87"/&gt;</v>
      </c>
    </row>
    <row r="14" spans="1:8" x14ac:dyDescent="0.25">
      <c r="A14">
        <v>2000</v>
      </c>
      <c r="B14">
        <f>0.94*Table3[PS]/1.36*9550/Table1[[#This Row],[rpm]]/Table3[Factor]</f>
        <v>2429.6323529411766</v>
      </c>
      <c r="C14">
        <f>$A$22*Table1[[#This Row],[rawData]]</f>
        <v>2283.8544117647057</v>
      </c>
      <c r="D14">
        <f t="shared" si="2"/>
        <v>478.29411764705873</v>
      </c>
      <c r="E14">
        <f>Table1[[#This Row],[kw_pto]]*1.36/0.94</f>
        <v>691.99999999999989</v>
      </c>
      <c r="F14">
        <f t="shared" si="1"/>
        <v>2429.6323529411766</v>
      </c>
      <c r="G14" t="str">
        <f>CONCATENATE("&lt;torque rpm=""",Table1[[#This Row],[rpm]],""" motorTorque=""",ROUND(Table1[[#This Row],[motor]],0),"""/&gt;")</f>
        <v>&lt;torque rpm="2000" motorTorque="2430"/&gt;</v>
      </c>
      <c r="H14" s="1" t="str">
        <f>CONCATENATE("&lt;torque normRpm=""",ROUND(Table1[[#This Row],[rpm]]/Table3[ratedRpm],3),""" torque=""",ROUND(Table1[[#This Row],[motor]]/MAX(Table1[motor]),3),"""/&gt;")</f>
        <v>&lt;torque normRpm="0.952" torque="0.826"/&gt;</v>
      </c>
    </row>
    <row r="15" spans="1:8" x14ac:dyDescent="0.25">
      <c r="A15">
        <v>2100</v>
      </c>
      <c r="B15">
        <f>0.94*Table3[PS]/1.36*9550/Table1[[#This Row],[rpm]]/Table3[Factor]</f>
        <v>2313.9355742296916</v>
      </c>
      <c r="C15">
        <f>$A$22*Table1[[#This Row],[rawData]]</f>
        <v>2175.09943977591</v>
      </c>
      <c r="D15">
        <f t="shared" si="2"/>
        <v>478.29411764705873</v>
      </c>
      <c r="E15">
        <f>Table1[[#This Row],[kw_pto]]*1.36/0.94</f>
        <v>691.99999999999989</v>
      </c>
      <c r="F15">
        <f t="shared" si="1"/>
        <v>2313.9355742296916</v>
      </c>
      <c r="G15" t="str">
        <f>CONCATENATE("&lt;torque rpm=""",Table1[[#This Row],[rpm]],""" motorTorque=""",ROUND(Table1[[#This Row],[motor]],0),"""/&gt;")</f>
        <v>&lt;torque rpm="2100" motorTorque="2314"/&gt;</v>
      </c>
      <c r="H15" s="1" t="str">
        <f>CONCATENATE("&lt;torque normRpm=""",ROUND(Table1[[#This Row],[rpm]]/Table3[ratedRpm],3),""" torque=""",ROUND(Table1[[#This Row],[motor]]/MAX(Table1[motor]),3),"""/&gt;")</f>
        <v>&lt;torque normRpm="1" torque="0.787"/&gt;</v>
      </c>
    </row>
    <row r="16" spans="1:8" x14ac:dyDescent="0.25">
      <c r="A16">
        <v>2200</v>
      </c>
      <c r="B16">
        <v>2000</v>
      </c>
      <c r="C16">
        <f>$A$22*Table1[[#This Row],[rawData]]</f>
        <v>1880</v>
      </c>
      <c r="D16">
        <f t="shared" si="2"/>
        <v>433.08900523560209</v>
      </c>
      <c r="E16">
        <f>Table1[[#This Row],[kw_pto]]*1.36/0.94</f>
        <v>626.59685863874358</v>
      </c>
      <c r="F16">
        <f t="shared" si="1"/>
        <v>2000</v>
      </c>
      <c r="G16" t="str">
        <f>CONCATENATE("&lt;torque rpm=""",Table1[[#This Row],[rpm]],""" motorTorque=""",ROUND(Table1[[#This Row],[motor]],0),"""/&gt;")</f>
        <v>&lt;torque rpm="2200" motorTorque="2000"/&gt;</v>
      </c>
      <c r="H16" s="1" t="str">
        <f>CONCATENATE("&lt;torque normRpm=""",ROUND(Table1[[#This Row],[rpm]]/Table3[ratedRpm],3),""" torque=""",ROUND(Table1[[#This Row],[motor]]/MAX(Table1[motor]),3),"""/&gt;")</f>
        <v>&lt;torque normRpm="1.048" torque="0.68"/&gt;</v>
      </c>
    </row>
    <row r="17" spans="1:8" x14ac:dyDescent="0.25">
      <c r="A17">
        <v>2300</v>
      </c>
      <c r="B17">
        <v>0</v>
      </c>
      <c r="C17">
        <f>$A$22*Table1[[#This Row],[rawData]]</f>
        <v>0</v>
      </c>
      <c r="D17">
        <f t="shared" si="2"/>
        <v>0</v>
      </c>
      <c r="E17">
        <f>Table1[[#This Row],[kw_pto]]*1.36/0.94</f>
        <v>0</v>
      </c>
      <c r="F17">
        <f t="shared" si="1"/>
        <v>0</v>
      </c>
      <c r="G17" t="str">
        <f>CONCATENATE("&lt;torque rpm=""",Table1[[#This Row],[rpm]],""" motorTorque=""",ROUND(Table1[[#This Row],[motor]],0),"""/&gt;")</f>
        <v>&lt;torque rpm="2300" motorTorque="0"/&gt;</v>
      </c>
      <c r="H17" s="1" t="str">
        <f>CONCATENATE("&lt;torque normRpm=""",ROUND(Table1[[#This Row],[rpm]]/Table3[ratedRpm],3),""" torque=""",ROUND(Table1[[#This Row],[motor]]/MAX(Table1[motor]),3),"""/&gt;")</f>
        <v>&lt;torque normRpm="1.095" torque="0"/&gt;</v>
      </c>
    </row>
    <row r="18" spans="1:8" x14ac:dyDescent="0.25">
      <c r="A18">
        <v>2400</v>
      </c>
      <c r="B18">
        <v>0</v>
      </c>
      <c r="C18">
        <f>$A$22*Table1[[#This Row],[rawData]]</f>
        <v>0</v>
      </c>
      <c r="D18">
        <f t="shared" si="2"/>
        <v>0</v>
      </c>
      <c r="E18">
        <f>Table1[[#This Row],[kw_pto]]*1.36/0.94</f>
        <v>0</v>
      </c>
      <c r="F18">
        <f t="shared" si="1"/>
        <v>0</v>
      </c>
      <c r="G18" t="str">
        <f>CONCATENATE("&lt;torque rpm=""",Table1[[#This Row],[rpm]],""" motorTorque=""",ROUND(Table1[[#This Row],[motor]],0),"""/&gt;")</f>
        <v>&lt;torque rpm="2400" motorTorque="0"/&gt;</v>
      </c>
      <c r="H18" s="1" t="str">
        <f>CONCATENATE("&lt;torque normRpm=""",ROUND(Table1[[#This Row],[rpm]]/Table3[ratedRpm],3),""" torque=""",ROUND(Table1[[#This Row],[motor]]/MAX(Table1[motor]),3),"""/&gt;")</f>
        <v>&lt;torque normRpm="1.143" torque="0"/&gt;</v>
      </c>
    </row>
    <row r="19" spans="1:8" x14ac:dyDescent="0.25">
      <c r="A19">
        <v>2500</v>
      </c>
      <c r="B19">
        <v>0</v>
      </c>
      <c r="C19">
        <f>$A$22*Table1[[#This Row],[rawData]]</f>
        <v>0</v>
      </c>
      <c r="D19" s="1">
        <f>A19*C19/9550</f>
        <v>0</v>
      </c>
      <c r="E19" s="1">
        <f>Table1[[#This Row],[kw_pto]]*1.36/0.94</f>
        <v>0</v>
      </c>
      <c r="G19" s="1" t="str">
        <f>CONCATENATE("&lt;torque rpm=""",Table1[[#This Row],[rpm]],""" motorTorque=""",ROUND(Table1[[#This Row],[motor]],0),"""/&gt;")</f>
        <v>&lt;torque rpm="2500" motorTorque="0"/&gt;</v>
      </c>
      <c r="H19" s="1" t="str">
        <f>CONCATENATE("&lt;torque normRpm=""",ROUND(Table1[[#This Row],[rpm]]/Table3[ratedRpm],3),""" torque=""",ROUND(Table1[[#This Row],[motor]]/MAX(Table1[motor]),3),"""/&gt;")</f>
        <v>&lt;torque normRpm="1.19" torque="0"/&gt;</v>
      </c>
    </row>
    <row r="21" spans="1:8" x14ac:dyDescent="0.25">
      <c r="A21" t="s">
        <v>7</v>
      </c>
      <c r="B21" t="s">
        <v>8</v>
      </c>
      <c r="C21" t="s">
        <v>10</v>
      </c>
      <c r="D21" t="s">
        <v>11</v>
      </c>
      <c r="E21" s="2"/>
    </row>
    <row r="22" spans="1:8" x14ac:dyDescent="0.25">
      <c r="A22">
        <f>0.94</f>
        <v>0.94</v>
      </c>
      <c r="B22">
        <v>2100</v>
      </c>
      <c r="C22">
        <v>692</v>
      </c>
      <c r="D22">
        <f>Table3[PS]/1.36*9548/Table3[ratedRpm]</f>
        <v>2313.4509803921569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35" sqref="I35"/>
    </sheetView>
  </sheetViews>
  <sheetFormatPr defaultRowHeight="15" x14ac:dyDescent="0.25"/>
  <cols>
    <col min="7" max="7" width="39.42578125" bestFit="1" customWidth="1"/>
  </cols>
  <sheetData>
    <row r="1" spans="1:9" x14ac:dyDescent="0.25">
      <c r="A1" t="s">
        <v>0</v>
      </c>
      <c r="B1" t="s">
        <v>5</v>
      </c>
      <c r="C1" t="s">
        <v>2</v>
      </c>
      <c r="D1" t="s">
        <v>6</v>
      </c>
      <c r="E1" t="s">
        <v>1</v>
      </c>
      <c r="F1" t="s">
        <v>4</v>
      </c>
      <c r="G1" t="s">
        <v>3</v>
      </c>
    </row>
    <row r="2" spans="1:9" x14ac:dyDescent="0.25">
      <c r="A2">
        <v>900</v>
      </c>
      <c r="B2">
        <v>0</v>
      </c>
      <c r="C2">
        <f>$I$2*Table13[[#This Row],[rawData]]</f>
        <v>0</v>
      </c>
      <c r="D2">
        <f t="shared" ref="D2:D17" si="0">A2*C2/9550</f>
        <v>0</v>
      </c>
      <c r="E2">
        <f>Table13[[#This Row],[kw_pto]]*1.36/0.94</f>
        <v>0</v>
      </c>
      <c r="F2">
        <f t="shared" ref="F2:F17" si="1">C2/0.94</f>
        <v>0</v>
      </c>
      <c r="G2" t="str">
        <f>CONCATENATE("&lt;torque rpm=""",Table13[[#This Row],[rpm]],""" motorTorque=""",ROUND(Table13[[#This Row],[motor]],0),"""/&gt;")</f>
        <v>&lt;torque rpm="900" motorTorque="0"/&gt;</v>
      </c>
      <c r="I2">
        <f>1.35581795*0.94</f>
        <v>1.274468873</v>
      </c>
    </row>
    <row r="3" spans="1:9" x14ac:dyDescent="0.25">
      <c r="A3">
        <v>1000</v>
      </c>
      <c r="B3">
        <v>1850</v>
      </c>
      <c r="C3">
        <f>$I$2*Table13[[#This Row],[rawData]]</f>
        <v>2357.7674150500002</v>
      </c>
      <c r="D3">
        <f t="shared" si="0"/>
        <v>246.88664031937174</v>
      </c>
      <c r="E3">
        <f>Table13[[#This Row],[kw_pto]]*1.36/0.94</f>
        <v>357.1976923769634</v>
      </c>
      <c r="F3">
        <f t="shared" si="1"/>
        <v>2508.2632075000001</v>
      </c>
      <c r="G3" t="str">
        <f>CONCATENATE("&lt;torque rpm=""",Table13[[#This Row],[rpm]],""" motorTorque=""",ROUND(Table13[[#This Row],[motor]],0),"""/&gt;")</f>
        <v>&lt;torque rpm="1000" motorTorque="2508"/&gt;</v>
      </c>
    </row>
    <row r="4" spans="1:9" x14ac:dyDescent="0.25">
      <c r="A4">
        <v>1100</v>
      </c>
      <c r="B4">
        <v>1850</v>
      </c>
      <c r="C4">
        <f>$I$2*Table13[[#This Row],[rawData]]</f>
        <v>2357.7674150500002</v>
      </c>
      <c r="D4">
        <f t="shared" si="0"/>
        <v>271.57530435130894</v>
      </c>
      <c r="E4">
        <f>Table13[[#This Row],[kw_pto]]*1.36/0.94</f>
        <v>392.91746161465977</v>
      </c>
      <c r="F4">
        <f t="shared" si="1"/>
        <v>2508.2632075000001</v>
      </c>
      <c r="G4" t="str">
        <f>CONCATENATE("&lt;torque rpm=""",Table13[[#This Row],[rpm]],""" motorTorque=""",ROUND(Table13[[#This Row],[motor]],0),"""/&gt;")</f>
        <v>&lt;torque rpm="1100" motorTorque="2508"/&gt;</v>
      </c>
    </row>
    <row r="5" spans="1:9" x14ac:dyDescent="0.25">
      <c r="A5">
        <v>1200</v>
      </c>
      <c r="B5">
        <v>1850</v>
      </c>
      <c r="C5">
        <f>$I$2*Table13[[#This Row],[rawData]]</f>
        <v>2357.7674150500002</v>
      </c>
      <c r="D5">
        <f t="shared" si="0"/>
        <v>296.26396838324609</v>
      </c>
      <c r="E5">
        <f>Table13[[#This Row],[kw_pto]]*1.36/0.94</f>
        <v>428.63723085235614</v>
      </c>
      <c r="F5">
        <f t="shared" si="1"/>
        <v>2508.2632075000001</v>
      </c>
      <c r="G5" t="str">
        <f>CONCATENATE("&lt;torque rpm=""",Table13[[#This Row],[rpm]],""" motorTorque=""",ROUND(Table13[[#This Row],[motor]],0),"""/&gt;")</f>
        <v>&lt;torque rpm="1200" motorTorque="2508"/&gt;</v>
      </c>
    </row>
    <row r="6" spans="1:9" x14ac:dyDescent="0.25">
      <c r="A6">
        <v>1300</v>
      </c>
      <c r="B6">
        <v>1850</v>
      </c>
      <c r="C6">
        <f>$I$2*Table13[[#This Row],[rawData]]</f>
        <v>2357.7674150500002</v>
      </c>
      <c r="D6">
        <f t="shared" si="0"/>
        <v>320.9526324151833</v>
      </c>
      <c r="E6">
        <f>Table13[[#This Row],[kw_pto]]*1.36/0.94</f>
        <v>464.35700009005245</v>
      </c>
      <c r="F6">
        <f t="shared" si="1"/>
        <v>2508.2632075000001</v>
      </c>
      <c r="G6" t="str">
        <f>CONCATENATE("&lt;torque rpm=""",Table13[[#This Row],[rpm]],""" motorTorque=""",ROUND(Table13[[#This Row],[motor]],0),"""/&gt;")</f>
        <v>&lt;torque rpm="1300" motorTorque="2508"/&gt;</v>
      </c>
    </row>
    <row r="7" spans="1:9" x14ac:dyDescent="0.25">
      <c r="A7">
        <v>1400</v>
      </c>
      <c r="B7">
        <v>1810</v>
      </c>
      <c r="C7">
        <f>$I$2*Table13[[#This Row],[rawData]]</f>
        <v>2306.7886601300002</v>
      </c>
      <c r="D7">
        <f t="shared" si="0"/>
        <v>338.16797111853407</v>
      </c>
      <c r="E7">
        <f>Table13[[#This Row],[kw_pto]]*1.36/0.94</f>
        <v>489.26429863958128</v>
      </c>
      <c r="F7">
        <f t="shared" si="1"/>
        <v>2454.0304895000004</v>
      </c>
      <c r="G7" t="str">
        <f>CONCATENATE("&lt;torque rpm=""",Table13[[#This Row],[rpm]],""" motorTorque=""",ROUND(Table13[[#This Row],[motor]],0),"""/&gt;")</f>
        <v>&lt;torque rpm="1400" motorTorque="2454"/&gt;</v>
      </c>
    </row>
    <row r="8" spans="1:9" x14ac:dyDescent="0.25">
      <c r="A8">
        <v>1500</v>
      </c>
      <c r="B8">
        <v>1690</v>
      </c>
      <c r="C8">
        <f>$I$2*Table13[[#This Row],[rawData]]</f>
        <v>2153.8523953700001</v>
      </c>
      <c r="D8">
        <f t="shared" si="0"/>
        <v>338.30142335654449</v>
      </c>
      <c r="E8">
        <f>Table13[[#This Row],[kw_pto]]*1.36/0.94</f>
        <v>489.45737847329849</v>
      </c>
      <c r="F8">
        <f t="shared" si="1"/>
        <v>2291.3323355000002</v>
      </c>
      <c r="G8" t="str">
        <f>CONCATENATE("&lt;torque rpm=""",Table13[[#This Row],[rpm]],""" motorTorque=""",ROUND(Table13[[#This Row],[motor]],0),"""/&gt;")</f>
        <v>&lt;torque rpm="1500" motorTorque="2291"/&gt;</v>
      </c>
    </row>
    <row r="9" spans="1:9" x14ac:dyDescent="0.25">
      <c r="A9">
        <v>1600</v>
      </c>
      <c r="B9">
        <v>1585</v>
      </c>
      <c r="C9">
        <f>$I$2*Table13[[#This Row],[rawData]]</f>
        <v>2020.0331637050001</v>
      </c>
      <c r="D9">
        <f t="shared" si="0"/>
        <v>338.43487559455502</v>
      </c>
      <c r="E9">
        <f>Table13[[#This Row],[kw_pto]]*1.36/0.94</f>
        <v>489.65045830701581</v>
      </c>
      <c r="F9">
        <f t="shared" si="1"/>
        <v>2148.9714507500003</v>
      </c>
      <c r="G9" t="str">
        <f>CONCATENATE("&lt;torque rpm=""",Table13[[#This Row],[rpm]],""" motorTorque=""",ROUND(Table13[[#This Row],[motor]],0),"""/&gt;")</f>
        <v>&lt;torque rpm="1600" motorTorque="2149"/&gt;</v>
      </c>
    </row>
    <row r="10" spans="1:9" x14ac:dyDescent="0.25">
      <c r="A10">
        <v>1700</v>
      </c>
      <c r="B10">
        <v>1492</v>
      </c>
      <c r="C10">
        <f>$I$2*Table13[[#This Row],[rawData]]</f>
        <v>1901.507558516</v>
      </c>
      <c r="D10">
        <f t="shared" si="0"/>
        <v>338.48825648975912</v>
      </c>
      <c r="E10">
        <f>Table13[[#This Row],[kw_pto]]*1.36/0.94</f>
        <v>489.72769024050262</v>
      </c>
      <c r="F10">
        <f t="shared" si="1"/>
        <v>2022.8803814</v>
      </c>
      <c r="G10" t="str">
        <f>CONCATENATE("&lt;torque rpm=""",Table13[[#This Row],[rpm]],""" motorTorque=""",ROUND(Table13[[#This Row],[motor]],0),"""/&gt;")</f>
        <v>&lt;torque rpm="1700" motorTorque="2023"/&gt;</v>
      </c>
    </row>
    <row r="11" spans="1:9" x14ac:dyDescent="0.25">
      <c r="A11">
        <v>1800</v>
      </c>
      <c r="B11">
        <v>1410</v>
      </c>
      <c r="C11">
        <f>$I$2*Table13[[#This Row],[rawData]]</f>
        <v>1797.0011109300001</v>
      </c>
      <c r="D11">
        <f t="shared" si="0"/>
        <v>338.70178007057592</v>
      </c>
      <c r="E11">
        <f>Table13[[#This Row],[kw_pto]]*1.36/0.94</f>
        <v>490.03661797445034</v>
      </c>
      <c r="F11">
        <f t="shared" si="1"/>
        <v>1911.7033095000002</v>
      </c>
      <c r="G11" t="str">
        <f>CONCATENATE("&lt;torque rpm=""",Table13[[#This Row],[rpm]],""" motorTorque=""",ROUND(Table13[[#This Row],[motor]],0),"""/&gt;")</f>
        <v>&lt;torque rpm="1800" motorTorque="1912"/&gt;</v>
      </c>
    </row>
    <row r="12" spans="1:9" x14ac:dyDescent="0.25">
      <c r="A12">
        <v>1900</v>
      </c>
      <c r="B12">
        <v>1320</v>
      </c>
      <c r="C12">
        <f>$I$2*Table13[[#This Row],[rawData]]</f>
        <v>1682.29891236</v>
      </c>
      <c r="D12">
        <f t="shared" si="0"/>
        <v>334.69821293026177</v>
      </c>
      <c r="E12">
        <f>Table13[[#This Row],[kw_pto]]*1.36/0.94</f>
        <v>484.24422296293199</v>
      </c>
      <c r="F12">
        <f t="shared" si="1"/>
        <v>1789.6796940000002</v>
      </c>
      <c r="G12" t="str">
        <f>CONCATENATE("&lt;torque rpm=""",Table13[[#This Row],[rpm]],""" motorTorque=""",ROUND(Table13[[#This Row],[motor]],0),"""/&gt;")</f>
        <v>&lt;torque rpm="1900" motorTorque="1790"/&gt;</v>
      </c>
    </row>
    <row r="13" spans="1:9" x14ac:dyDescent="0.25">
      <c r="A13">
        <v>2000</v>
      </c>
      <c r="B13">
        <v>1250</v>
      </c>
      <c r="C13">
        <f>$I$2*Table13[[#This Row],[rawData]]</f>
        <v>1593.08609125</v>
      </c>
      <c r="D13">
        <f t="shared" si="0"/>
        <v>333.63059502617801</v>
      </c>
      <c r="E13">
        <f>Table13[[#This Row],[kw_pto]]*1.36/0.94</f>
        <v>482.69958429319377</v>
      </c>
      <c r="F13">
        <f t="shared" si="1"/>
        <v>1694.7724375</v>
      </c>
      <c r="G13" t="str">
        <f>CONCATENATE("&lt;torque rpm=""",Table13[[#This Row],[rpm]],""" motorTorque=""",ROUND(Table13[[#This Row],[motor]],0),"""/&gt;")</f>
        <v>&lt;torque rpm="2000" motorTorque="1695"/&gt;</v>
      </c>
    </row>
    <row r="14" spans="1:9" x14ac:dyDescent="0.25">
      <c r="A14">
        <v>2100</v>
      </c>
      <c r="B14">
        <v>1180</v>
      </c>
      <c r="C14">
        <f>$I$2*Table13[[#This Row],[rawData]]</f>
        <v>1503.8732701399999</v>
      </c>
      <c r="D14">
        <f t="shared" si="0"/>
        <v>330.69464578994763</v>
      </c>
      <c r="E14">
        <f>Table13[[#This Row],[kw_pto]]*1.36/0.94</f>
        <v>478.45182795141369</v>
      </c>
      <c r="F14">
        <f t="shared" si="1"/>
        <v>1599.8651810000001</v>
      </c>
      <c r="G14" t="str">
        <f>CONCATENATE("&lt;torque rpm=""",Table13[[#This Row],[rpm]],""" motorTorque=""",ROUND(Table13[[#This Row],[motor]],0),"""/&gt;")</f>
        <v>&lt;torque rpm="2100" motorTorque="1600"/&gt;</v>
      </c>
    </row>
    <row r="15" spans="1:9" x14ac:dyDescent="0.25">
      <c r="A15">
        <v>2200</v>
      </c>
      <c r="B15">
        <v>500</v>
      </c>
      <c r="C15">
        <f>$I$2*Table13[[#This Row],[rawData]]</f>
        <v>637.23443650000002</v>
      </c>
      <c r="D15">
        <f t="shared" si="0"/>
        <v>146.79746181151833</v>
      </c>
      <c r="E15">
        <f>Table13[[#This Row],[kw_pto]]*1.36/0.94</f>
        <v>212.3878170890053</v>
      </c>
      <c r="F15">
        <f t="shared" si="1"/>
        <v>677.90897500000005</v>
      </c>
      <c r="G15" t="str">
        <f>CONCATENATE("&lt;torque rpm=""",Table13[[#This Row],[rpm]],""" motorTorque=""",ROUND(Table13[[#This Row],[motor]],0),"""/&gt;")</f>
        <v>&lt;torque rpm="2200" motorTorque="678"/&gt;</v>
      </c>
    </row>
    <row r="16" spans="1:9" x14ac:dyDescent="0.25">
      <c r="A16">
        <v>2300</v>
      </c>
      <c r="B16">
        <v>0</v>
      </c>
      <c r="C16">
        <f>$I$2*Table13[[#This Row],[rawData]]</f>
        <v>0</v>
      </c>
      <c r="D16">
        <f t="shared" si="0"/>
        <v>0</v>
      </c>
      <c r="E16">
        <f>Table13[[#This Row],[kw_pto]]*1.36/0.94</f>
        <v>0</v>
      </c>
      <c r="F16">
        <f t="shared" si="1"/>
        <v>0</v>
      </c>
      <c r="G16" t="str">
        <f>CONCATENATE("&lt;torque rpm=""",Table13[[#This Row],[rpm]],""" motorTorque=""",ROUND(Table13[[#This Row],[motor]],0),"""/&gt;")</f>
        <v>&lt;torque rpm="2300" motorTorque="0"/&gt;</v>
      </c>
    </row>
    <row r="17" spans="1:7" x14ac:dyDescent="0.25">
      <c r="A17">
        <v>2300</v>
      </c>
      <c r="B17">
        <v>0</v>
      </c>
      <c r="C17">
        <f>$I$2*Table13[[#This Row],[rawData]]</f>
        <v>0</v>
      </c>
      <c r="D17">
        <f t="shared" si="0"/>
        <v>0</v>
      </c>
      <c r="E17">
        <f>Table13[[#This Row],[kw_pto]]*1.36/0.94</f>
        <v>0</v>
      </c>
      <c r="F17">
        <f t="shared" si="1"/>
        <v>0</v>
      </c>
      <c r="G17" t="str">
        <f>CONCATENATE("&lt;torque rpm=""",Table13[[#This Row],[rpm]],""" motorTorque=""",ROUND(Table13[[#This Row],[motor]],0),"""/&gt;")</f>
        <v>&lt;torque rpm="2300" motorTorque="0"/&gt;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Calculate from Values</vt:lpstr>
      <vt:lpstr>Sheet1</vt:lpstr>
      <vt:lpstr>Sheet1 (2)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2015-02-21T09:03:51Z</dcterms:created>
  <dcterms:modified xsi:type="dcterms:W3CDTF">2016-01-11T09:45:25Z</dcterms:modified>
</cp:coreProperties>
</file>