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14550" yWindow="0" windowWidth="20400" windowHeight="9945"/>
  </bookViews>
  <sheets>
    <sheet name="Calculate from Values" sheetId="3" r:id="rId1"/>
    <sheet name="Sheet1" sheetId="1" r:id="rId2"/>
    <sheet name="Sheet1 (2)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1" i="3" l="1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X7" i="3"/>
  <c r="W7" i="3"/>
  <c r="B13" i="3"/>
  <c r="J2" i="3" l="1"/>
  <c r="F2" i="3"/>
  <c r="K58" i="3" l="1"/>
  <c r="K59" i="3"/>
  <c r="K60" i="3"/>
  <c r="K61" i="3"/>
  <c r="K62" i="3"/>
  <c r="K55" i="3"/>
  <c r="K56" i="3"/>
  <c r="K57" i="3"/>
  <c r="K38" i="3" l="1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L4" i="3" l="1"/>
  <c r="K4" i="3"/>
  <c r="T2" i="3" l="1"/>
  <c r="S2" i="3"/>
  <c r="J58" i="3" l="1"/>
  <c r="J62" i="3"/>
  <c r="J55" i="3"/>
  <c r="J59" i="3"/>
  <c r="J56" i="3"/>
  <c r="J60" i="3"/>
  <c r="J57" i="3"/>
  <c r="J61" i="3"/>
  <c r="U2" i="3"/>
  <c r="M4" i="3"/>
  <c r="J44" i="3"/>
  <c r="J48" i="3"/>
  <c r="J52" i="3"/>
  <c r="J45" i="3"/>
  <c r="J49" i="3"/>
  <c r="J53" i="3"/>
  <c r="J46" i="3"/>
  <c r="J50" i="3"/>
  <c r="J54" i="3"/>
  <c r="J47" i="3"/>
  <c r="J51" i="3"/>
  <c r="J43" i="3"/>
  <c r="J9" i="3"/>
  <c r="J41" i="3"/>
  <c r="J37" i="3"/>
  <c r="J29" i="3"/>
  <c r="J20" i="3"/>
  <c r="J8" i="3"/>
  <c r="J40" i="3"/>
  <c r="J36" i="3"/>
  <c r="J32" i="3"/>
  <c r="J28" i="3"/>
  <c r="J23" i="3"/>
  <c r="J19" i="3"/>
  <c r="J15" i="3"/>
  <c r="J11" i="3"/>
  <c r="J7" i="3"/>
  <c r="J39" i="3"/>
  <c r="J35" i="3"/>
  <c r="J31" i="3"/>
  <c r="J27" i="3"/>
  <c r="J22" i="3"/>
  <c r="J18" i="3"/>
  <c r="J14" i="3"/>
  <c r="J10" i="3"/>
  <c r="J25" i="3"/>
  <c r="J33" i="3"/>
  <c r="J24" i="3"/>
  <c r="J16" i="3"/>
  <c r="J12" i="3"/>
  <c r="J42" i="3"/>
  <c r="J38" i="3"/>
  <c r="J34" i="3"/>
  <c r="J30" i="3"/>
  <c r="J26" i="3"/>
  <c r="J21" i="3"/>
  <c r="J17" i="3"/>
  <c r="J13" i="3"/>
  <c r="V2" i="3"/>
  <c r="L60" i="3" l="1"/>
  <c r="L56" i="3"/>
  <c r="L55" i="3"/>
  <c r="L61" i="3"/>
  <c r="L57" i="3"/>
  <c r="L59" i="3"/>
  <c r="L58" i="3"/>
  <c r="L62" i="3"/>
  <c r="L54" i="3"/>
  <c r="L53" i="3"/>
  <c r="Y2" i="3"/>
  <c r="C2" i="3" s="1"/>
  <c r="X54" i="3" l="1"/>
  <c r="X60" i="3"/>
  <c r="X9" i="3"/>
  <c r="X15" i="3"/>
  <c r="X21" i="3"/>
  <c r="X29" i="3"/>
  <c r="X31" i="3"/>
  <c r="X33" i="3"/>
  <c r="X35" i="3"/>
  <c r="X37" i="3"/>
  <c r="X39" i="3"/>
  <c r="X41" i="3"/>
  <c r="X43" i="3"/>
  <c r="X45" i="3"/>
  <c r="X47" i="3"/>
  <c r="X49" i="3"/>
  <c r="X51" i="3"/>
  <c r="X53" i="3"/>
  <c r="X55" i="3"/>
  <c r="X57" i="3"/>
  <c r="X59" i="3"/>
  <c r="X61" i="3"/>
  <c r="X8" i="3"/>
  <c r="X10" i="3"/>
  <c r="X12" i="3"/>
  <c r="X14" i="3"/>
  <c r="X16" i="3"/>
  <c r="X18" i="3"/>
  <c r="X20" i="3"/>
  <c r="X22" i="3"/>
  <c r="X24" i="3"/>
  <c r="X26" i="3"/>
  <c r="X28" i="3"/>
  <c r="X30" i="3"/>
  <c r="X34" i="3"/>
  <c r="X38" i="3"/>
  <c r="X42" i="3"/>
  <c r="X46" i="3"/>
  <c r="X50" i="3"/>
  <c r="X56" i="3"/>
  <c r="X62" i="3"/>
  <c r="X13" i="3"/>
  <c r="X17" i="3"/>
  <c r="X23" i="3"/>
  <c r="X27" i="3"/>
  <c r="X32" i="3"/>
  <c r="X36" i="3"/>
  <c r="X40" i="3"/>
  <c r="X44" i="3"/>
  <c r="X48" i="3"/>
  <c r="X52" i="3"/>
  <c r="X58" i="3"/>
  <c r="X11" i="3"/>
  <c r="X19" i="3"/>
  <c r="X25" i="3"/>
  <c r="D13" i="3"/>
  <c r="J4" i="3"/>
  <c r="V4" i="3" l="1"/>
  <c r="K7" i="3" s="1"/>
  <c r="O4" i="3"/>
  <c r="H4" i="3" s="1"/>
  <c r="P4" i="3"/>
  <c r="L7" i="3" l="1"/>
  <c r="V59" i="3"/>
  <c r="D59" i="3" s="1"/>
  <c r="V58" i="3"/>
  <c r="V57" i="3"/>
  <c r="V60" i="3"/>
  <c r="V55" i="3"/>
  <c r="D55" i="3" s="1"/>
  <c r="G55" i="3" s="1"/>
  <c r="I55" i="3" s="1"/>
  <c r="V62" i="3"/>
  <c r="V61" i="3"/>
  <c r="V56" i="3"/>
  <c r="G59" i="3"/>
  <c r="I59" i="3" s="1"/>
  <c r="V44" i="3"/>
  <c r="D44" i="3" s="1"/>
  <c r="V48" i="3"/>
  <c r="D48" i="3" s="1"/>
  <c r="V52" i="3"/>
  <c r="V51" i="3"/>
  <c r="D51" i="3" s="1"/>
  <c r="V45" i="3"/>
  <c r="D45" i="3" s="1"/>
  <c r="V49" i="3"/>
  <c r="D49" i="3" s="1"/>
  <c r="V53" i="3"/>
  <c r="V43" i="3"/>
  <c r="D43" i="3" s="1"/>
  <c r="V46" i="3"/>
  <c r="D46" i="3" s="1"/>
  <c r="V50" i="3"/>
  <c r="D50" i="3" s="1"/>
  <c r="V54" i="3"/>
  <c r="V47" i="3"/>
  <c r="D47" i="3" s="1"/>
  <c r="R4" i="3"/>
  <c r="V9" i="3"/>
  <c r="V13" i="3"/>
  <c r="V17" i="3"/>
  <c r="V21" i="3"/>
  <c r="V25" i="3"/>
  <c r="V29" i="3"/>
  <c r="D29" i="3" s="1"/>
  <c r="V33" i="3"/>
  <c r="D33" i="3" s="1"/>
  <c r="V37" i="3"/>
  <c r="D37" i="3" s="1"/>
  <c r="V41" i="3"/>
  <c r="D41" i="3" s="1"/>
  <c r="V14" i="3"/>
  <c r="V22" i="3"/>
  <c r="V30" i="3"/>
  <c r="D30" i="3" s="1"/>
  <c r="V38" i="3"/>
  <c r="D38" i="3" s="1"/>
  <c r="V7" i="3"/>
  <c r="V11" i="3"/>
  <c r="V15" i="3"/>
  <c r="V19" i="3"/>
  <c r="V23" i="3"/>
  <c r="V27" i="3"/>
  <c r="D27" i="3" s="1"/>
  <c r="V31" i="3"/>
  <c r="D31" i="3" s="1"/>
  <c r="V35" i="3"/>
  <c r="D35" i="3" s="1"/>
  <c r="V39" i="3"/>
  <c r="D39" i="3" s="1"/>
  <c r="V8" i="3"/>
  <c r="V12" i="3"/>
  <c r="V16" i="3"/>
  <c r="V20" i="3"/>
  <c r="V24" i="3"/>
  <c r="V28" i="3"/>
  <c r="D28" i="3" s="1"/>
  <c r="V32" i="3"/>
  <c r="D32" i="3" s="1"/>
  <c r="V36" i="3"/>
  <c r="D36" i="3" s="1"/>
  <c r="V40" i="3"/>
  <c r="D40" i="3" s="1"/>
  <c r="V10" i="3"/>
  <c r="V18" i="3"/>
  <c r="V26" i="3"/>
  <c r="D26" i="3" s="1"/>
  <c r="V34" i="3"/>
  <c r="D34" i="3" s="1"/>
  <c r="V42" i="3"/>
  <c r="D42" i="3" s="1"/>
  <c r="Q4" i="3"/>
  <c r="S4" i="3"/>
  <c r="D61" i="3" l="1"/>
  <c r="G61" i="3" s="1"/>
  <c r="I61" i="3" s="1"/>
  <c r="D62" i="3"/>
  <c r="G62" i="3" s="1"/>
  <c r="I62" i="3" s="1"/>
  <c r="D58" i="3"/>
  <c r="G58" i="3" s="1"/>
  <c r="I58" i="3" s="1"/>
  <c r="D57" i="3"/>
  <c r="G57" i="3" s="1"/>
  <c r="I57" i="3" s="1"/>
  <c r="D54" i="3"/>
  <c r="G54" i="3" s="1"/>
  <c r="I54" i="3" s="1"/>
  <c r="D53" i="3"/>
  <c r="G53" i="3" s="1"/>
  <c r="I53" i="3" s="1"/>
  <c r="D52" i="3"/>
  <c r="G52" i="3" s="1"/>
  <c r="I52" i="3" s="1"/>
  <c r="D56" i="3"/>
  <c r="G56" i="3" s="1"/>
  <c r="I56" i="3" s="1"/>
  <c r="D60" i="3"/>
  <c r="G60" i="3" s="1"/>
  <c r="I60" i="3" s="1"/>
  <c r="U60" i="3"/>
  <c r="U56" i="3"/>
  <c r="U57" i="3"/>
  <c r="U58" i="3"/>
  <c r="U59" i="3"/>
  <c r="U62" i="3"/>
  <c r="U61" i="3"/>
  <c r="U55" i="3"/>
  <c r="T61" i="3"/>
  <c r="T56" i="3"/>
  <c r="T58" i="3"/>
  <c r="T62" i="3"/>
  <c r="T57" i="3"/>
  <c r="T60" i="3"/>
  <c r="T59" i="3"/>
  <c r="T55" i="3"/>
  <c r="U46" i="3"/>
  <c r="U51" i="3"/>
  <c r="G51" i="3" s="1"/>
  <c r="I51" i="3" s="1"/>
  <c r="U48" i="3"/>
  <c r="U50" i="3"/>
  <c r="U45" i="3"/>
  <c r="U52" i="3"/>
  <c r="U43" i="3"/>
  <c r="U54" i="3"/>
  <c r="U53" i="3"/>
  <c r="U49" i="3"/>
  <c r="U47" i="3"/>
  <c r="U44" i="3"/>
  <c r="T45" i="3"/>
  <c r="G45" i="3" s="1"/>
  <c r="I45" i="3" s="1"/>
  <c r="T49" i="3"/>
  <c r="G49" i="3" s="1"/>
  <c r="I49" i="3" s="1"/>
  <c r="T53" i="3"/>
  <c r="T43" i="3"/>
  <c r="G43" i="3" s="1"/>
  <c r="I43" i="3" s="1"/>
  <c r="T52" i="3"/>
  <c r="T46" i="3"/>
  <c r="G46" i="3" s="1"/>
  <c r="I46" i="3" s="1"/>
  <c r="T50" i="3"/>
  <c r="T54" i="3"/>
  <c r="T44" i="3"/>
  <c r="T47" i="3"/>
  <c r="T51" i="3"/>
  <c r="T48" i="3"/>
  <c r="G48" i="3" s="1"/>
  <c r="I48" i="3" s="1"/>
  <c r="U7" i="3"/>
  <c r="U23" i="3"/>
  <c r="U39" i="3"/>
  <c r="U20" i="3"/>
  <c r="U36" i="3"/>
  <c r="U17" i="3"/>
  <c r="U33" i="3"/>
  <c r="U26" i="3"/>
  <c r="U30" i="3"/>
  <c r="U11" i="3"/>
  <c r="U27" i="3"/>
  <c r="U8" i="3"/>
  <c r="U24" i="3"/>
  <c r="U40" i="3"/>
  <c r="U21" i="3"/>
  <c r="U37" i="3"/>
  <c r="U42" i="3"/>
  <c r="U38" i="3"/>
  <c r="U19" i="3"/>
  <c r="U16" i="3"/>
  <c r="U13" i="3"/>
  <c r="U10" i="3"/>
  <c r="U34" i="3"/>
  <c r="U15" i="3"/>
  <c r="U31" i="3"/>
  <c r="U12" i="3"/>
  <c r="U28" i="3"/>
  <c r="U9" i="3"/>
  <c r="U25" i="3"/>
  <c r="D25" i="3" s="1"/>
  <c r="U41" i="3"/>
  <c r="U22" i="3"/>
  <c r="U18" i="3"/>
  <c r="U35" i="3"/>
  <c r="U32" i="3"/>
  <c r="U29" i="3"/>
  <c r="U14" i="3"/>
  <c r="T7" i="3"/>
  <c r="T11" i="3"/>
  <c r="T15" i="3"/>
  <c r="D15" i="3" s="1"/>
  <c r="T19" i="3"/>
  <c r="T23" i="3"/>
  <c r="T27" i="3"/>
  <c r="T31" i="3"/>
  <c r="T35" i="3"/>
  <c r="G35" i="3" s="1"/>
  <c r="I35" i="3" s="1"/>
  <c r="T39" i="3"/>
  <c r="T8" i="3"/>
  <c r="T12" i="3"/>
  <c r="T16" i="3"/>
  <c r="D16" i="3" s="1"/>
  <c r="T20" i="3"/>
  <c r="D20" i="3" s="1"/>
  <c r="T24" i="3"/>
  <c r="T28" i="3"/>
  <c r="T32" i="3"/>
  <c r="T36" i="3"/>
  <c r="G36" i="3" s="1"/>
  <c r="I36" i="3" s="1"/>
  <c r="T40" i="3"/>
  <c r="G40" i="3" s="1"/>
  <c r="I40" i="3" s="1"/>
  <c r="T9" i="3"/>
  <c r="T13" i="3"/>
  <c r="T17" i="3"/>
  <c r="D17" i="3" s="1"/>
  <c r="T21" i="3"/>
  <c r="T25" i="3"/>
  <c r="T29" i="3"/>
  <c r="T33" i="3"/>
  <c r="T37" i="3"/>
  <c r="T41" i="3"/>
  <c r="G41" i="3" s="1"/>
  <c r="I41" i="3" s="1"/>
  <c r="T10" i="3"/>
  <c r="T26" i="3"/>
  <c r="T42" i="3"/>
  <c r="G42" i="3" s="1"/>
  <c r="I42" i="3" s="1"/>
  <c r="T38" i="3"/>
  <c r="T14" i="3"/>
  <c r="D14" i="3" s="1"/>
  <c r="T30" i="3"/>
  <c r="T18" i="3"/>
  <c r="D18" i="3" s="1"/>
  <c r="T34" i="3"/>
  <c r="G34" i="3" s="1"/>
  <c r="I34" i="3" s="1"/>
  <c r="T22" i="3"/>
  <c r="D21" i="3" l="1"/>
  <c r="D22" i="3"/>
  <c r="D19" i="3"/>
  <c r="D23" i="3"/>
  <c r="D24" i="3"/>
  <c r="G47" i="3"/>
  <c r="I47" i="3" s="1"/>
  <c r="G39" i="3"/>
  <c r="I39" i="3" s="1"/>
  <c r="G50" i="3"/>
  <c r="I50" i="3" s="1"/>
  <c r="G44" i="3"/>
  <c r="I44" i="3" s="1"/>
  <c r="D4" i="3"/>
  <c r="E4" i="3"/>
  <c r="I4" i="3" s="1"/>
  <c r="A4" i="3"/>
  <c r="F4" i="3"/>
  <c r="N61" i="3" l="1"/>
  <c r="N58" i="3"/>
  <c r="N62" i="3"/>
  <c r="N55" i="3"/>
  <c r="N56" i="3"/>
  <c r="N59" i="3"/>
  <c r="N60" i="3"/>
  <c r="N57" i="3"/>
  <c r="S58" i="3"/>
  <c r="S57" i="3"/>
  <c r="S56" i="3"/>
  <c r="S61" i="3"/>
  <c r="S62" i="3"/>
  <c r="S60" i="3"/>
  <c r="S59" i="3"/>
  <c r="S55" i="3"/>
  <c r="Q58" i="3"/>
  <c r="B58" i="3" s="1"/>
  <c r="F58" i="3" s="1"/>
  <c r="H58" i="3" s="1"/>
  <c r="Q62" i="3"/>
  <c r="B62" i="3" s="1"/>
  <c r="Q55" i="3"/>
  <c r="Q56" i="3"/>
  <c r="Q59" i="3"/>
  <c r="B59" i="3" s="1"/>
  <c r="Q60" i="3"/>
  <c r="Q57" i="3"/>
  <c r="B57" i="3" s="1"/>
  <c r="F57" i="3" s="1"/>
  <c r="H57" i="3" s="1"/>
  <c r="Q61" i="3"/>
  <c r="F59" i="3"/>
  <c r="H59" i="3" s="1"/>
  <c r="F62" i="3"/>
  <c r="H62" i="3" s="1"/>
  <c r="P61" i="3"/>
  <c r="P56" i="3"/>
  <c r="P58" i="3"/>
  <c r="P62" i="3"/>
  <c r="P57" i="3"/>
  <c r="P60" i="3"/>
  <c r="P59" i="3"/>
  <c r="P55" i="3"/>
  <c r="N47" i="3"/>
  <c r="N51" i="3"/>
  <c r="S45" i="3"/>
  <c r="S49" i="3"/>
  <c r="S53" i="3"/>
  <c r="N43" i="3"/>
  <c r="N44" i="3"/>
  <c r="N48" i="3"/>
  <c r="N52" i="3"/>
  <c r="S46" i="3"/>
  <c r="S50" i="3"/>
  <c r="S54" i="3"/>
  <c r="S43" i="3"/>
  <c r="N50" i="3"/>
  <c r="S44" i="3"/>
  <c r="S48" i="3"/>
  <c r="N45" i="3"/>
  <c r="N49" i="3"/>
  <c r="N53" i="3"/>
  <c r="S47" i="3"/>
  <c r="S51" i="3"/>
  <c r="N46" i="3"/>
  <c r="N54" i="3"/>
  <c r="S52" i="3"/>
  <c r="Q45" i="3"/>
  <c r="B45" i="3" s="1"/>
  <c r="Q49" i="3"/>
  <c r="B49" i="3" s="1"/>
  <c r="Q53" i="3"/>
  <c r="Q43" i="3"/>
  <c r="B43" i="3" s="1"/>
  <c r="Q52" i="3"/>
  <c r="B52" i="3" s="1"/>
  <c r="Q46" i="3"/>
  <c r="B46" i="3" s="1"/>
  <c r="Q50" i="3"/>
  <c r="B50" i="3" s="1"/>
  <c r="Q54" i="3"/>
  <c r="Q48" i="3"/>
  <c r="B48" i="3" s="1"/>
  <c r="Q47" i="3"/>
  <c r="B47" i="3" s="1"/>
  <c r="Q51" i="3"/>
  <c r="B51" i="3" s="1"/>
  <c r="Q44" i="3"/>
  <c r="B44" i="3" s="1"/>
  <c r="F52" i="3"/>
  <c r="P45" i="3"/>
  <c r="P49" i="3"/>
  <c r="P53" i="3"/>
  <c r="P46" i="3"/>
  <c r="P50" i="3"/>
  <c r="P54" i="3"/>
  <c r="P44" i="3"/>
  <c r="P52" i="3"/>
  <c r="P47" i="3"/>
  <c r="P51" i="3"/>
  <c r="F51" i="3" s="1"/>
  <c r="P43" i="3"/>
  <c r="P48" i="3"/>
  <c r="P7" i="3"/>
  <c r="P11" i="3"/>
  <c r="P15" i="3"/>
  <c r="P19" i="3"/>
  <c r="P23" i="3"/>
  <c r="P27" i="3"/>
  <c r="P31" i="3"/>
  <c r="P35" i="3"/>
  <c r="P39" i="3"/>
  <c r="P8" i="3"/>
  <c r="P12" i="3"/>
  <c r="P16" i="3"/>
  <c r="P20" i="3"/>
  <c r="P24" i="3"/>
  <c r="P28" i="3"/>
  <c r="P32" i="3"/>
  <c r="P36" i="3"/>
  <c r="P40" i="3"/>
  <c r="P9" i="3"/>
  <c r="P13" i="3"/>
  <c r="P17" i="3"/>
  <c r="P21" i="3"/>
  <c r="P25" i="3"/>
  <c r="B25" i="3" s="1"/>
  <c r="P29" i="3"/>
  <c r="P33" i="3"/>
  <c r="P37" i="3"/>
  <c r="P41" i="3"/>
  <c r="P10" i="3"/>
  <c r="P26" i="3"/>
  <c r="P42" i="3"/>
  <c r="P22" i="3"/>
  <c r="P14" i="3"/>
  <c r="P30" i="3"/>
  <c r="P38" i="3"/>
  <c r="P18" i="3"/>
  <c r="P34" i="3"/>
  <c r="Q7" i="3"/>
  <c r="Q11" i="3"/>
  <c r="Q15" i="3"/>
  <c r="Q19" i="3"/>
  <c r="Q23" i="3"/>
  <c r="Q27" i="3"/>
  <c r="B27" i="3" s="1"/>
  <c r="Q31" i="3"/>
  <c r="B31" i="3" s="1"/>
  <c r="Q35" i="3"/>
  <c r="B35" i="3" s="1"/>
  <c r="Q39" i="3"/>
  <c r="B39" i="3" s="1"/>
  <c r="Q8" i="3"/>
  <c r="Q12" i="3"/>
  <c r="Q16" i="3"/>
  <c r="Q20" i="3"/>
  <c r="Q24" i="3"/>
  <c r="Q28" i="3"/>
  <c r="B28" i="3" s="1"/>
  <c r="Q32" i="3"/>
  <c r="B32" i="3" s="1"/>
  <c r="Q36" i="3"/>
  <c r="B36" i="3" s="1"/>
  <c r="Q40" i="3"/>
  <c r="B40" i="3" s="1"/>
  <c r="Q9" i="3"/>
  <c r="Q13" i="3"/>
  <c r="Q17" i="3"/>
  <c r="Q21" i="3"/>
  <c r="Q25" i="3"/>
  <c r="Q29" i="3"/>
  <c r="B29" i="3" s="1"/>
  <c r="Q33" i="3"/>
  <c r="B33" i="3" s="1"/>
  <c r="Q37" i="3"/>
  <c r="B37" i="3" s="1"/>
  <c r="Q41" i="3"/>
  <c r="B41" i="3" s="1"/>
  <c r="Q14" i="3"/>
  <c r="Q30" i="3"/>
  <c r="B30" i="3" s="1"/>
  <c r="Q10" i="3"/>
  <c r="Q18" i="3"/>
  <c r="Q34" i="3"/>
  <c r="B34" i="3" s="1"/>
  <c r="Q42" i="3"/>
  <c r="B42" i="3" s="1"/>
  <c r="Q22" i="3"/>
  <c r="Q38" i="3"/>
  <c r="B38" i="3" s="1"/>
  <c r="Q26" i="3"/>
  <c r="B26" i="3" s="1"/>
  <c r="S7" i="3"/>
  <c r="S11" i="3"/>
  <c r="D11" i="3" s="1"/>
  <c r="S15" i="3"/>
  <c r="G15" i="3" s="1"/>
  <c r="S19" i="3"/>
  <c r="G19" i="3" s="1"/>
  <c r="S23" i="3"/>
  <c r="G23" i="3" s="1"/>
  <c r="I23" i="3" s="1"/>
  <c r="S27" i="3"/>
  <c r="G27" i="3" s="1"/>
  <c r="I27" i="3" s="1"/>
  <c r="S31" i="3"/>
  <c r="G31" i="3" s="1"/>
  <c r="I31" i="3" s="1"/>
  <c r="S35" i="3"/>
  <c r="S39" i="3"/>
  <c r="N7" i="3"/>
  <c r="N11" i="3"/>
  <c r="B11" i="3" s="1"/>
  <c r="N15" i="3"/>
  <c r="N19" i="3"/>
  <c r="N23" i="3"/>
  <c r="N27" i="3"/>
  <c r="N31" i="3"/>
  <c r="N35" i="3"/>
  <c r="N39" i="3"/>
  <c r="S8" i="3"/>
  <c r="S12" i="3"/>
  <c r="D12" i="3" s="1"/>
  <c r="S16" i="3"/>
  <c r="G16" i="3" s="1"/>
  <c r="S20" i="3"/>
  <c r="G20" i="3" s="1"/>
  <c r="I20" i="3" s="1"/>
  <c r="S24" i="3"/>
  <c r="G24" i="3" s="1"/>
  <c r="I24" i="3" s="1"/>
  <c r="S28" i="3"/>
  <c r="G28" i="3" s="1"/>
  <c r="I28" i="3" s="1"/>
  <c r="S32" i="3"/>
  <c r="G32" i="3" s="1"/>
  <c r="I32" i="3" s="1"/>
  <c r="S36" i="3"/>
  <c r="S40" i="3"/>
  <c r="N8" i="3"/>
  <c r="N12" i="3"/>
  <c r="B12" i="3" s="1"/>
  <c r="N16" i="3"/>
  <c r="N20" i="3"/>
  <c r="N24" i="3"/>
  <c r="N28" i="3"/>
  <c r="N32" i="3"/>
  <c r="N36" i="3"/>
  <c r="N40" i="3"/>
  <c r="S9" i="3"/>
  <c r="D9" i="3" s="1"/>
  <c r="S13" i="3"/>
  <c r="G13" i="3" s="1"/>
  <c r="S17" i="3"/>
  <c r="G17" i="3" s="1"/>
  <c r="S21" i="3"/>
  <c r="G21" i="3" s="1"/>
  <c r="I21" i="3" s="1"/>
  <c r="S25" i="3"/>
  <c r="G25" i="3" s="1"/>
  <c r="I25" i="3" s="1"/>
  <c r="S29" i="3"/>
  <c r="G29" i="3" s="1"/>
  <c r="I29" i="3" s="1"/>
  <c r="S33" i="3"/>
  <c r="G33" i="3" s="1"/>
  <c r="I33" i="3" s="1"/>
  <c r="S37" i="3"/>
  <c r="S41" i="3"/>
  <c r="N9" i="3"/>
  <c r="B9" i="3" s="1"/>
  <c r="N13" i="3"/>
  <c r="N17" i="3"/>
  <c r="N21" i="3"/>
  <c r="N25" i="3"/>
  <c r="N29" i="3"/>
  <c r="N33" i="3"/>
  <c r="N37" i="3"/>
  <c r="N41" i="3"/>
  <c r="S22" i="3"/>
  <c r="G22" i="3" s="1"/>
  <c r="I22" i="3" s="1"/>
  <c r="S38" i="3"/>
  <c r="N18" i="3"/>
  <c r="N34" i="3"/>
  <c r="S10" i="3"/>
  <c r="D10" i="3" s="1"/>
  <c r="S26" i="3"/>
  <c r="G26" i="3" s="1"/>
  <c r="I26" i="3" s="1"/>
  <c r="S42" i="3"/>
  <c r="N22" i="3"/>
  <c r="N38" i="3"/>
  <c r="S18" i="3"/>
  <c r="G18" i="3" s="1"/>
  <c r="N14" i="3"/>
  <c r="S14" i="3"/>
  <c r="S30" i="3"/>
  <c r="G30" i="3" s="1"/>
  <c r="I30" i="3" s="1"/>
  <c r="N10" i="3"/>
  <c r="B10" i="3" s="1"/>
  <c r="N26" i="3"/>
  <c r="N42" i="3"/>
  <c r="S34" i="3"/>
  <c r="N30" i="3"/>
  <c r="B4" i="3"/>
  <c r="N4" i="3"/>
  <c r="G4" i="3" s="1"/>
  <c r="U4" i="3"/>
  <c r="T4" i="3"/>
  <c r="C4" i="3"/>
  <c r="B13" i="1"/>
  <c r="B14" i="1"/>
  <c r="B15" i="1"/>
  <c r="A22" i="1"/>
  <c r="B54" i="3" l="1"/>
  <c r="F54" i="3" s="1"/>
  <c r="H54" i="3" s="1"/>
  <c r="B56" i="3"/>
  <c r="F56" i="3" s="1"/>
  <c r="H56" i="3" s="1"/>
  <c r="B55" i="3"/>
  <c r="F55" i="3" s="1"/>
  <c r="H55" i="3" s="1"/>
  <c r="B60" i="3"/>
  <c r="F60" i="3" s="1"/>
  <c r="H60" i="3" s="1"/>
  <c r="B61" i="3"/>
  <c r="F61" i="3" s="1"/>
  <c r="H61" i="3" s="1"/>
  <c r="B53" i="3"/>
  <c r="F53" i="3" s="1"/>
  <c r="H53" i="3" s="1"/>
  <c r="M61" i="3"/>
  <c r="M55" i="3"/>
  <c r="M58" i="3"/>
  <c r="M62" i="3"/>
  <c r="M56" i="3"/>
  <c r="M60" i="3"/>
  <c r="M59" i="3"/>
  <c r="M57" i="3"/>
  <c r="R59" i="3"/>
  <c r="R57" i="3"/>
  <c r="R62" i="3"/>
  <c r="R60" i="3"/>
  <c r="R58" i="3"/>
  <c r="R61" i="3"/>
  <c r="R55" i="3"/>
  <c r="R56" i="3"/>
  <c r="O58" i="3"/>
  <c r="O62" i="3"/>
  <c r="O55" i="3"/>
  <c r="O61" i="3"/>
  <c r="O59" i="3"/>
  <c r="O56" i="3"/>
  <c r="O60" i="3"/>
  <c r="O57" i="3"/>
  <c r="R44" i="3"/>
  <c r="R48" i="3"/>
  <c r="R52" i="3"/>
  <c r="R43" i="3"/>
  <c r="R51" i="3"/>
  <c r="R45" i="3"/>
  <c r="R49" i="3"/>
  <c r="R53" i="3"/>
  <c r="R46" i="3"/>
  <c r="R50" i="3"/>
  <c r="R54" i="3"/>
  <c r="R47" i="3"/>
  <c r="M46" i="3"/>
  <c r="M50" i="3"/>
  <c r="M54" i="3"/>
  <c r="M47" i="3"/>
  <c r="M51" i="3"/>
  <c r="M44" i="3"/>
  <c r="M48" i="3"/>
  <c r="M52" i="3"/>
  <c r="M43" i="3"/>
  <c r="M45" i="3"/>
  <c r="M49" i="3"/>
  <c r="M53" i="3"/>
  <c r="H51" i="3"/>
  <c r="H52" i="3"/>
  <c r="O44" i="3"/>
  <c r="F44" i="3" s="1"/>
  <c r="O48" i="3"/>
  <c r="F48" i="3" s="1"/>
  <c r="O52" i="3"/>
  <c r="O51" i="3"/>
  <c r="O45" i="3"/>
  <c r="F45" i="3" s="1"/>
  <c r="O49" i="3"/>
  <c r="F49" i="3" s="1"/>
  <c r="O53" i="3"/>
  <c r="O43" i="3"/>
  <c r="F43" i="3" s="1"/>
  <c r="O46" i="3"/>
  <c r="F46" i="3" s="1"/>
  <c r="O50" i="3"/>
  <c r="F50" i="3" s="1"/>
  <c r="O54" i="3"/>
  <c r="O47" i="3"/>
  <c r="F47" i="3" s="1"/>
  <c r="M10" i="3"/>
  <c r="F10" i="3" s="1"/>
  <c r="M14" i="3"/>
  <c r="M18" i="3"/>
  <c r="M22" i="3"/>
  <c r="M26" i="3"/>
  <c r="M30" i="3"/>
  <c r="M34" i="3"/>
  <c r="M38" i="3"/>
  <c r="M42" i="3"/>
  <c r="M13" i="3"/>
  <c r="M25" i="3"/>
  <c r="M37" i="3"/>
  <c r="M7" i="3"/>
  <c r="B7" i="3" s="1"/>
  <c r="M11" i="3"/>
  <c r="F11" i="3" s="1"/>
  <c r="M15" i="3"/>
  <c r="M19" i="3"/>
  <c r="M23" i="3"/>
  <c r="M27" i="3"/>
  <c r="M31" i="3"/>
  <c r="M35" i="3"/>
  <c r="M39" i="3"/>
  <c r="M17" i="3"/>
  <c r="M29" i="3"/>
  <c r="M41" i="3"/>
  <c r="M8" i="3"/>
  <c r="B8" i="3" s="1"/>
  <c r="M12" i="3"/>
  <c r="M16" i="3"/>
  <c r="M20" i="3"/>
  <c r="M24" i="3"/>
  <c r="M28" i="3"/>
  <c r="M32" i="3"/>
  <c r="M36" i="3"/>
  <c r="M40" i="3"/>
  <c r="M9" i="3"/>
  <c r="M21" i="3"/>
  <c r="M33" i="3"/>
  <c r="R7" i="3"/>
  <c r="R11" i="3"/>
  <c r="G11" i="3" s="1"/>
  <c r="R15" i="3"/>
  <c r="R19" i="3"/>
  <c r="R23" i="3"/>
  <c r="R27" i="3"/>
  <c r="R31" i="3"/>
  <c r="R35" i="3"/>
  <c r="R39" i="3"/>
  <c r="R8" i="3"/>
  <c r="D8" i="3" s="1"/>
  <c r="R12" i="3"/>
  <c r="R16" i="3"/>
  <c r="R20" i="3"/>
  <c r="R24" i="3"/>
  <c r="R28" i="3"/>
  <c r="R32" i="3"/>
  <c r="R36" i="3"/>
  <c r="R40" i="3"/>
  <c r="R9" i="3"/>
  <c r="G9" i="3" s="1"/>
  <c r="R13" i="3"/>
  <c r="R17" i="3"/>
  <c r="R21" i="3"/>
  <c r="R25" i="3"/>
  <c r="R29" i="3"/>
  <c r="R33" i="3"/>
  <c r="R37" i="3"/>
  <c r="G37" i="3" s="1"/>
  <c r="I37" i="3" s="1"/>
  <c r="R41" i="3"/>
  <c r="R18" i="3"/>
  <c r="R34" i="3"/>
  <c r="R22" i="3"/>
  <c r="R38" i="3"/>
  <c r="G38" i="3" s="1"/>
  <c r="I38" i="3" s="1"/>
  <c r="R30" i="3"/>
  <c r="R10" i="3"/>
  <c r="R26" i="3"/>
  <c r="R42" i="3"/>
  <c r="R14" i="3"/>
  <c r="G14" i="3" s="1"/>
  <c r="I14" i="3" s="1"/>
  <c r="O7" i="3"/>
  <c r="O11" i="3"/>
  <c r="O15" i="3"/>
  <c r="O19" i="3"/>
  <c r="B19" i="3" s="1"/>
  <c r="O23" i="3"/>
  <c r="O27" i="3"/>
  <c r="F27" i="3" s="1"/>
  <c r="K27" i="3" s="1"/>
  <c r="O31" i="3"/>
  <c r="F31" i="3" s="1"/>
  <c r="K31" i="3" s="1"/>
  <c r="O35" i="3"/>
  <c r="F35" i="3" s="1"/>
  <c r="K35" i="3" s="1"/>
  <c r="O39" i="3"/>
  <c r="F39" i="3" s="1"/>
  <c r="O8" i="3"/>
  <c r="O12" i="3"/>
  <c r="O16" i="3"/>
  <c r="O20" i="3"/>
  <c r="B20" i="3" s="1"/>
  <c r="O24" i="3"/>
  <c r="O28" i="3"/>
  <c r="F28" i="3" s="1"/>
  <c r="K28" i="3" s="1"/>
  <c r="O32" i="3"/>
  <c r="F32" i="3" s="1"/>
  <c r="K32" i="3" s="1"/>
  <c r="O36" i="3"/>
  <c r="F36" i="3" s="1"/>
  <c r="K36" i="3" s="1"/>
  <c r="O40" i="3"/>
  <c r="F40" i="3" s="1"/>
  <c r="O9" i="3"/>
  <c r="O13" i="3"/>
  <c r="O17" i="3"/>
  <c r="O21" i="3"/>
  <c r="B21" i="3" s="1"/>
  <c r="O25" i="3"/>
  <c r="F25" i="3" s="1"/>
  <c r="K25" i="3" s="1"/>
  <c r="O29" i="3"/>
  <c r="F29" i="3" s="1"/>
  <c r="K29" i="3" s="1"/>
  <c r="O33" i="3"/>
  <c r="F33" i="3" s="1"/>
  <c r="K33" i="3" s="1"/>
  <c r="O37" i="3"/>
  <c r="F37" i="3" s="1"/>
  <c r="K37" i="3" s="1"/>
  <c r="O41" i="3"/>
  <c r="F41" i="3" s="1"/>
  <c r="O22" i="3"/>
  <c r="O38" i="3"/>
  <c r="F38" i="3" s="1"/>
  <c r="O34" i="3"/>
  <c r="F34" i="3" s="1"/>
  <c r="K34" i="3" s="1"/>
  <c r="O10" i="3"/>
  <c r="O26" i="3"/>
  <c r="F26" i="3" s="1"/>
  <c r="K26" i="3" s="1"/>
  <c r="O42" i="3"/>
  <c r="F42" i="3" s="1"/>
  <c r="O14" i="3"/>
  <c r="O30" i="3"/>
  <c r="F30" i="3" s="1"/>
  <c r="K30" i="3" s="1"/>
  <c r="O18" i="3"/>
  <c r="I18" i="3"/>
  <c r="I15" i="3"/>
  <c r="I13" i="3"/>
  <c r="I16" i="3"/>
  <c r="I19" i="3"/>
  <c r="I17" i="3"/>
  <c r="G12" i="3"/>
  <c r="F12" i="3"/>
  <c r="F13" i="3"/>
  <c r="K13" i="3" s="1"/>
  <c r="D22" i="1"/>
  <c r="B24" i="3" l="1"/>
  <c r="F24" i="3" s="1"/>
  <c r="B23" i="3"/>
  <c r="F23" i="3" s="1"/>
  <c r="B15" i="3"/>
  <c r="F15" i="3" s="1"/>
  <c r="B14" i="3"/>
  <c r="F14" i="3" s="1"/>
  <c r="B17" i="3"/>
  <c r="F17" i="3" s="1"/>
  <c r="B22" i="3"/>
  <c r="F22" i="3" s="1"/>
  <c r="B16" i="3"/>
  <c r="F16" i="3" s="1"/>
  <c r="D7" i="3"/>
  <c r="G7" i="3" s="1"/>
  <c r="I7" i="3" s="1"/>
  <c r="B18" i="3"/>
  <c r="F18" i="3" s="1"/>
  <c r="K12" i="3"/>
  <c r="K11" i="3"/>
  <c r="H50" i="3"/>
  <c r="H49" i="3"/>
  <c r="H48" i="3"/>
  <c r="H46" i="3"/>
  <c r="H45" i="3"/>
  <c r="H44" i="3"/>
  <c r="H47" i="3"/>
  <c r="H43" i="3"/>
  <c r="G10" i="3"/>
  <c r="K10" i="3" s="1"/>
  <c r="G8" i="3"/>
  <c r="I8" i="3" s="1"/>
  <c r="F19" i="3"/>
  <c r="K19" i="3" s="1"/>
  <c r="F21" i="3"/>
  <c r="K21" i="3" s="1"/>
  <c r="F20" i="3"/>
  <c r="K20" i="3" s="1"/>
  <c r="I12" i="3"/>
  <c r="I11" i="3"/>
  <c r="I9" i="3"/>
  <c r="H39" i="3"/>
  <c r="H34" i="3"/>
  <c r="H33" i="3"/>
  <c r="H26" i="3"/>
  <c r="H41" i="3"/>
  <c r="H11" i="3"/>
  <c r="H40" i="3"/>
  <c r="H25" i="3"/>
  <c r="H38" i="3"/>
  <c r="H13" i="3"/>
  <c r="H10" i="3"/>
  <c r="H12" i="3"/>
  <c r="H28" i="3"/>
  <c r="H36" i="3"/>
  <c r="H32" i="3"/>
  <c r="H42" i="3"/>
  <c r="H35" i="3"/>
  <c r="H37" i="3"/>
  <c r="H29" i="3"/>
  <c r="H31" i="3"/>
  <c r="H27" i="3"/>
  <c r="H30" i="3"/>
  <c r="F8" i="3"/>
  <c r="F9" i="3"/>
  <c r="K9" i="3" s="1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K24" i="3" l="1"/>
  <c r="H24" i="3"/>
  <c r="K23" i="3"/>
  <c r="H23" i="3"/>
  <c r="K14" i="3"/>
  <c r="H14" i="3"/>
  <c r="K15" i="3"/>
  <c r="H15" i="3"/>
  <c r="K22" i="3"/>
  <c r="H22" i="3"/>
  <c r="K16" i="3"/>
  <c r="H16" i="3"/>
  <c r="K18" i="3"/>
  <c r="H18" i="3"/>
  <c r="K17" i="3"/>
  <c r="H17" i="3"/>
  <c r="K8" i="3"/>
  <c r="L50" i="3"/>
  <c r="L52" i="3"/>
  <c r="L28" i="3"/>
  <c r="L29" i="3"/>
  <c r="L44" i="3"/>
  <c r="L40" i="3"/>
  <c r="L34" i="3"/>
  <c r="L47" i="3"/>
  <c r="L39" i="3"/>
  <c r="L33" i="3"/>
  <c r="L30" i="3"/>
  <c r="L35" i="3"/>
  <c r="L26" i="3"/>
  <c r="L51" i="3"/>
  <c r="L43" i="3"/>
  <c r="L32" i="3"/>
  <c r="L42" i="3"/>
  <c r="L41" i="3"/>
  <c r="L46" i="3"/>
  <c r="L49" i="3"/>
  <c r="L37" i="3"/>
  <c r="L31" i="3"/>
  <c r="L45" i="3"/>
  <c r="L36" i="3"/>
  <c r="L38" i="3"/>
  <c r="L48" i="3"/>
  <c r="L27" i="3"/>
  <c r="I10" i="3"/>
  <c r="H20" i="3"/>
  <c r="H21" i="3"/>
  <c r="H19" i="3"/>
  <c r="L14" i="3"/>
  <c r="L11" i="3"/>
  <c r="L20" i="3"/>
  <c r="L8" i="3"/>
  <c r="L18" i="3"/>
  <c r="L23" i="3"/>
  <c r="L13" i="3"/>
  <c r="L22" i="3"/>
  <c r="L25" i="3"/>
  <c r="L9" i="3"/>
  <c r="L24" i="3"/>
  <c r="L12" i="3"/>
  <c r="L21" i="3"/>
  <c r="L15" i="3"/>
  <c r="L10" i="3"/>
  <c r="L16" i="3"/>
  <c r="L19" i="3"/>
  <c r="L17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G15" i="1" l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I2" i="2"/>
  <c r="C17" i="2" s="1"/>
  <c r="D17" i="2" s="1"/>
  <c r="E17" i="2" s="1"/>
  <c r="C5" i="2"/>
  <c r="D5" i="2" s="1"/>
  <c r="E5" i="2" s="1"/>
  <c r="G2" i="1" l="1"/>
  <c r="C2" i="2"/>
  <c r="F2" i="2" s="1"/>
  <c r="G2" i="2" s="1"/>
  <c r="C6" i="2"/>
  <c r="F6" i="2" s="1"/>
  <c r="G6" i="2" s="1"/>
  <c r="C10" i="2"/>
  <c r="D10" i="2" s="1"/>
  <c r="E10" i="2" s="1"/>
  <c r="C14" i="2"/>
  <c r="F14" i="2" s="1"/>
  <c r="G14" i="2" s="1"/>
  <c r="C3" i="2"/>
  <c r="F3" i="2" s="1"/>
  <c r="G3" i="2" s="1"/>
  <c r="C7" i="2"/>
  <c r="F7" i="2" s="1"/>
  <c r="G7" i="2" s="1"/>
  <c r="C11" i="2"/>
  <c r="F11" i="2" s="1"/>
  <c r="G11" i="2" s="1"/>
  <c r="C15" i="2"/>
  <c r="F15" i="2" s="1"/>
  <c r="G15" i="2" s="1"/>
  <c r="C4" i="2"/>
  <c r="F4" i="2" s="1"/>
  <c r="G4" i="2" s="1"/>
  <c r="C8" i="2"/>
  <c r="F8" i="2" s="1"/>
  <c r="G8" i="2" s="1"/>
  <c r="C12" i="2"/>
  <c r="F12" i="2" s="1"/>
  <c r="G12" i="2" s="1"/>
  <c r="C16" i="2"/>
  <c r="F16" i="2" s="1"/>
  <c r="G16" i="2" s="1"/>
  <c r="C9" i="2"/>
  <c r="D9" i="2" s="1"/>
  <c r="E9" i="2" s="1"/>
  <c r="C13" i="2"/>
  <c r="D13" i="2" s="1"/>
  <c r="E13" i="2" s="1"/>
  <c r="F5" i="2"/>
  <c r="G5" i="2" s="1"/>
  <c r="D2" i="2"/>
  <c r="E2" i="2" s="1"/>
  <c r="D6" i="2"/>
  <c r="E6" i="2" s="1"/>
  <c r="F17" i="2"/>
  <c r="G17" i="2" s="1"/>
  <c r="D3" i="2"/>
  <c r="E3" i="2" s="1"/>
  <c r="D4" i="2"/>
  <c r="E4" i="2" s="1"/>
  <c r="D18" i="1"/>
  <c r="E18" i="1" s="1"/>
  <c r="D14" i="2" l="1"/>
  <c r="E14" i="2" s="1"/>
  <c r="F13" i="2"/>
  <c r="G13" i="2" s="1"/>
  <c r="D12" i="2"/>
  <c r="E12" i="2" s="1"/>
  <c r="D11" i="2"/>
  <c r="E11" i="2" s="1"/>
  <c r="F10" i="2"/>
  <c r="G10" i="2" s="1"/>
  <c r="F9" i="2"/>
  <c r="G9" i="2" s="1"/>
  <c r="D8" i="2"/>
  <c r="E8" i="2" s="1"/>
  <c r="D7" i="2"/>
  <c r="E7" i="2" s="1"/>
  <c r="D16" i="2"/>
  <c r="E16" i="2" s="1"/>
  <c r="D15" i="2"/>
  <c r="E15" i="2" s="1"/>
  <c r="F18" i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<sst xmlns="http://schemas.openxmlformats.org/spreadsheetml/2006/main" count="91" uniqueCount="75">
  <si>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</si>
  <si>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</si>
  <si>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</si>
  <si>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</si>
  <si>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</si>
  <si>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</si>
  <si>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</si>
  <si>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</si>
  <si>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</si>
  <si>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</si>
  <si>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</si>
  <si>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</si>
  <si>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</si>
  <si>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</si>
  <si>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</si>
  <si>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</si>
  <si>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</si>
  <si>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</si>
  <si>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</si>
  <si>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</si>
  <si>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</si>
  <si>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</si>
  <si>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</si>
  <si>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</si>
  <si>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</si>
  <si>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</si>
  <si>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</si>
  <si>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</si>
  <si>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</si>
  <si>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</si>
  <si>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</si>
  <si>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</si>
  <si>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</si>
  <si>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</si>
  <si>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</si>
  <si>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</si>
  <si>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</si>
  <si>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</si>
  <si>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</si>
  <si>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</si>
  <si>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</si>
  <si>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</si>
  <si>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</si>
  <si>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</si>
  <si>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</si>
  <si>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</si>
  <si>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</si>
  <si>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</si>
  <si>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</si>
  <si>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</si>
  <si>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</si>
  <si>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</si>
  <si>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</si>
  <si>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</si>
  <si>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</si>
  <si>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</si>
  <si>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</si>
  <si>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</si>
  <si>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</si>
  <si>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</si>
  <si>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</si>
  <si>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</si>
  <si>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</si>
  <si>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</si>
  <si>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</si>
  <si>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</si>
  <si>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</si>
  <si>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</si>
  <si>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</si>
  <si>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max kW</t>
  </si>
  <si>
    <t>rated kW</t>
  </si>
  <si>
    <t>max g/kWh</t>
  </si>
  <si>
    <t>t6</t>
  </si>
  <si>
    <t>t6E</t>
  </si>
  <si>
    <t>maxPSRpmRate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</si>
</sst>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2" fillId="0" borderId="0" xfId="0" applyNumberFormat="1" applyFont="1"/>
    <xf numFmtId="0" fontId="3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5" fillId="0" borderId="1" xfId="0" applyFont="1" applyBorder="1"/>
    <xf numFmtId="0" fontId="5" fillId="0" borderId="2" xfId="0" applyFont="1" applyBorder="1"/>
    <xf numFmtId="0" fontId="5" fillId="3" borderId="3" xfId="0" applyFont="1" applyFill="1" applyBorder="1"/>
    <xf numFmtId="0" fontId="5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9" fontId="4" fillId="2" borderId="9" xfId="1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164" fontId="0" fillId="0" borderId="0" xfId="0" applyNumberFormat="1"/>
    <xf numFmtId="0" fontId="0" fillId="0" borderId="12" xfId="0" applyBorder="1"/>
    <xf numFmtId="0" fontId="0" fillId="0" borderId="6" xfId="0" applyBorder="1"/>
    <xf numFmtId="9" fontId="0" fillId="0" borderId="7" xfId="1" applyFont="1" applyBorder="1"/>
    <xf numFmtId="0" fontId="0" fillId="0" borderId="8" xfId="0" applyBorder="1"/>
    <xf numFmtId="1" fontId="4" fillId="2" borderId="9" xfId="1" applyNumberFormat="1" applyFont="1" applyFill="1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7" fillId="0" borderId="0" xfId="0" applyNumberFormat="1" applyFont="1"/>
    <xf numFmtId="165" fontId="4" fillId="2" borderId="10" xfId="1" applyNumberFormat="1" applyFont="1" applyFill="1" applyBorder="1"/>
    <xf numFmtId="0" fontId="5" fillId="0" borderId="12" xfId="0" applyFont="1" applyBorder="1"/>
  </cellXfs>
  <cellStyles count="2">
    <cellStyle name="Normal" xfId="0" builtinId="0"/>
    <cellStyle name="Percent" xfId="1" builtinId="5"/>
  </cellStyles>
  <dxfs count="79">
    <dxf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Values'!$F$7:$F$62</c:f>
              <c:numCache>
                <c:formatCode>0</c:formatCode>
                <c:ptCount val="56"/>
                <c:pt idx="0">
                  <c:v>0</c:v>
                </c:pt>
                <c:pt idx="1">
                  <c:v>462.36458333333326</c:v>
                </c:pt>
                <c:pt idx="2">
                  <c:v>1734.45</c:v>
                </c:pt>
                <c:pt idx="3">
                  <c:v>2182.0499999999997</c:v>
                </c:pt>
                <c:pt idx="4">
                  <c:v>2238</c:v>
                </c:pt>
                <c:pt idx="5">
                  <c:v>2238</c:v>
                </c:pt>
                <c:pt idx="6">
                  <c:v>2238</c:v>
                </c:pt>
                <c:pt idx="7">
                  <c:v>2238</c:v>
                </c:pt>
                <c:pt idx="8">
                  <c:v>2238</c:v>
                </c:pt>
                <c:pt idx="9">
                  <c:v>2096.0845588235293</c:v>
                </c:pt>
                <c:pt idx="10">
                  <c:v>1967.0542279411766</c:v>
                </c:pt>
                <c:pt idx="11">
                  <c:v>1853.2039359861587</c:v>
                </c:pt>
                <c:pt idx="12">
                  <c:v>1752.0036764705883</c:v>
                </c:pt>
                <c:pt idx="13">
                  <c:v>1705.5062599364069</c:v>
                </c:pt>
                <c:pt idx="14">
                  <c:v>1661.4560758513928</c:v>
                </c:pt>
                <c:pt idx="15">
                  <c:v>1619.6648755656108</c:v>
                </c:pt>
                <c:pt idx="16">
                  <c:v>1579.9632352941176</c:v>
                </c:pt>
                <c:pt idx="17">
                  <c:v>1528.5823170731708</c:v>
                </c:pt>
                <c:pt idx="18">
                  <c:v>1454.5693277310925</c:v>
                </c:pt>
                <c:pt idx="19">
                  <c:v>1290.7738536836291</c:v>
                </c:pt>
                <c:pt idx="20">
                  <c:v>799.38743154123949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Values'!$G$7:$G$62</c:f>
              <c:numCache>
                <c:formatCode>0</c:formatCode>
                <c:ptCount val="56"/>
                <c:pt idx="0">
                  <c:v>0</c:v>
                </c:pt>
                <c:pt idx="1">
                  <c:v>462.36458333333326</c:v>
                </c:pt>
                <c:pt idx="2">
                  <c:v>1734.45</c:v>
                </c:pt>
                <c:pt idx="3">
                  <c:v>2182.0499999999997</c:v>
                </c:pt>
                <c:pt idx="4">
                  <c:v>2238</c:v>
                </c:pt>
                <c:pt idx="5">
                  <c:v>2238</c:v>
                </c:pt>
                <c:pt idx="6">
                  <c:v>2238</c:v>
                </c:pt>
                <c:pt idx="7">
                  <c:v>2238</c:v>
                </c:pt>
                <c:pt idx="8">
                  <c:v>2238</c:v>
                </c:pt>
                <c:pt idx="9">
                  <c:v>2096.0845588235293</c:v>
                </c:pt>
                <c:pt idx="10">
                  <c:v>1967.0542279411766</c:v>
                </c:pt>
                <c:pt idx="11">
                  <c:v>1853.2039359861587</c:v>
                </c:pt>
                <c:pt idx="12">
                  <c:v>1752.0036764705883</c:v>
                </c:pt>
                <c:pt idx="13">
                  <c:v>1705.5062599364069</c:v>
                </c:pt>
                <c:pt idx="14">
                  <c:v>1661.4560758513928</c:v>
                </c:pt>
                <c:pt idx="15">
                  <c:v>1619.6648755656108</c:v>
                </c:pt>
                <c:pt idx="16">
                  <c:v>1579.9632352941176</c:v>
                </c:pt>
                <c:pt idx="17">
                  <c:v>1528.5823170731708</c:v>
                </c:pt>
                <c:pt idx="18">
                  <c:v>1454.5693277310925</c:v>
                </c:pt>
                <c:pt idx="19">
                  <c:v>1290.7738536836291</c:v>
                </c:pt>
                <c:pt idx="20">
                  <c:v>799.38743154123949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45448"/>
        <c:axId val="481948584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Values'!$H$7:$H$62</c:f>
              <c:numCache>
                <c:formatCode>0.0</c:formatCode>
                <c:ptCount val="56"/>
                <c:pt idx="0">
                  <c:v>0</c:v>
                </c:pt>
                <c:pt idx="1">
                  <c:v>23.045606457242581</c:v>
                </c:pt>
                <c:pt idx="2">
                  <c:v>172.90014659685866</c:v>
                </c:pt>
                <c:pt idx="3">
                  <c:v>279.66797905759159</c:v>
                </c:pt>
                <c:pt idx="4">
                  <c:v>318.70994764397904</c:v>
                </c:pt>
                <c:pt idx="5">
                  <c:v>350.58094240837698</c:v>
                </c:pt>
                <c:pt idx="6">
                  <c:v>382.45193717277493</c:v>
                </c:pt>
                <c:pt idx="7">
                  <c:v>414.32293193717283</c:v>
                </c:pt>
                <c:pt idx="8">
                  <c:v>446.19392670157077</c:v>
                </c:pt>
                <c:pt idx="9">
                  <c:v>447.75</c:v>
                </c:pt>
                <c:pt idx="10">
                  <c:v>448.2</c:v>
                </c:pt>
                <c:pt idx="11">
                  <c:v>448.64999999999992</c:v>
                </c:pt>
                <c:pt idx="12">
                  <c:v>449.1</c:v>
                </c:pt>
                <c:pt idx="13">
                  <c:v>449.32499999999999</c:v>
                </c:pt>
                <c:pt idx="14">
                  <c:v>449.5499999999999</c:v>
                </c:pt>
                <c:pt idx="15">
                  <c:v>449.77499999999998</c:v>
                </c:pt>
                <c:pt idx="16">
                  <c:v>450</c:v>
                </c:pt>
                <c:pt idx="17">
                  <c:v>446.25</c:v>
                </c:pt>
                <c:pt idx="18">
                  <c:v>435</c:v>
                </c:pt>
                <c:pt idx="19">
                  <c:v>395.20657048910277</c:v>
                </c:pt>
                <c:pt idx="20" formatCode="0">
                  <c:v>250.44682671951716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Values'!$I$7:$I$62</c:f>
              <c:numCache>
                <c:formatCode>0.0</c:formatCode>
                <c:ptCount val="56"/>
                <c:pt idx="0">
                  <c:v>0</c:v>
                </c:pt>
                <c:pt idx="1">
                  <c:v>23.045606457242581</c:v>
                </c:pt>
                <c:pt idx="2">
                  <c:v>172.90014659685866</c:v>
                </c:pt>
                <c:pt idx="3">
                  <c:v>279.66797905759159</c:v>
                </c:pt>
                <c:pt idx="4">
                  <c:v>318.70994764397904</c:v>
                </c:pt>
                <c:pt idx="5">
                  <c:v>350.58094240837698</c:v>
                </c:pt>
                <c:pt idx="6">
                  <c:v>382.45193717277493</c:v>
                </c:pt>
                <c:pt idx="7">
                  <c:v>414.32293193717283</c:v>
                </c:pt>
                <c:pt idx="8">
                  <c:v>446.19392670157077</c:v>
                </c:pt>
                <c:pt idx="9">
                  <c:v>447.75</c:v>
                </c:pt>
                <c:pt idx="10">
                  <c:v>448.2</c:v>
                </c:pt>
                <c:pt idx="11">
                  <c:v>448.64999999999992</c:v>
                </c:pt>
                <c:pt idx="12">
                  <c:v>449.1</c:v>
                </c:pt>
                <c:pt idx="13">
                  <c:v>449.32499999999999</c:v>
                </c:pt>
                <c:pt idx="14">
                  <c:v>449.5499999999999</c:v>
                </c:pt>
                <c:pt idx="15">
                  <c:v>449.77499999999998</c:v>
                </c:pt>
                <c:pt idx="16">
                  <c:v>450</c:v>
                </c:pt>
                <c:pt idx="17">
                  <c:v>446.25</c:v>
                </c:pt>
                <c:pt idx="18">
                  <c:v>435</c:v>
                </c:pt>
                <c:pt idx="19">
                  <c:v>395.20657048910277</c:v>
                </c:pt>
                <c:pt idx="20" formatCode="0">
                  <c:v>250.44682671951716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45840"/>
        <c:axId val="481951720"/>
      </c:scatterChart>
      <c:valAx>
        <c:axId val="481945448"/>
        <c:scaling>
          <c:orientation val="minMax"/>
          <c:max val="9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48584"/>
        <c:crosses val="autoZero"/>
        <c:crossBetween val="midCat"/>
        <c:majorUnit val="250"/>
      </c:valAx>
      <c:valAx>
        <c:axId val="48194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45448"/>
        <c:crosses val="autoZero"/>
        <c:crossBetween val="midCat"/>
      </c:valAx>
      <c:valAx>
        <c:axId val="48195172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45840"/>
        <c:crosses val="max"/>
        <c:crossBetween val="midCat"/>
      </c:valAx>
      <c:valAx>
        <c:axId val="48194584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8195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Values'!$J$7:$J$62</c:f>
              <c:numCache>
                <c:formatCode>0.0</c:formatCode>
                <c:ptCount val="56"/>
                <c:pt idx="0">
                  <c:v>247.33333333333326</c:v>
                </c:pt>
                <c:pt idx="1">
                  <c:v>228.73148148148144</c:v>
                </c:pt>
                <c:pt idx="2">
                  <c:v>216.48148148148147</c:v>
                </c:pt>
                <c:pt idx="3">
                  <c:v>212.33333333333331</c:v>
                </c:pt>
                <c:pt idx="4">
                  <c:v>211.03703703703704</c:v>
                </c:pt>
                <c:pt idx="5">
                  <c:v>210.25925925925927</c:v>
                </c:pt>
                <c:pt idx="6">
                  <c:v>210</c:v>
                </c:pt>
                <c:pt idx="7">
                  <c:v>210.28806584362141</c:v>
                </c:pt>
                <c:pt idx="8">
                  <c:v>211.15226337448559</c:v>
                </c:pt>
                <c:pt idx="9">
                  <c:v>212.59259259259258</c:v>
                </c:pt>
                <c:pt idx="10">
                  <c:v>214.60905349794237</c:v>
                </c:pt>
                <c:pt idx="11">
                  <c:v>217.20164609053498</c:v>
                </c:pt>
                <c:pt idx="12">
                  <c:v>220.37037037037035</c:v>
                </c:pt>
                <c:pt idx="13">
                  <c:v>222.17078189300412</c:v>
                </c:pt>
                <c:pt idx="14">
                  <c:v>224.11522633744855</c:v>
                </c:pt>
                <c:pt idx="15">
                  <c:v>226.2037037037037</c:v>
                </c:pt>
                <c:pt idx="16">
                  <c:v>228.43621399176953</c:v>
                </c:pt>
                <c:pt idx="17">
                  <c:v>230.81275720164606</c:v>
                </c:pt>
                <c:pt idx="18">
                  <c:v>233.33333333333331</c:v>
                </c:pt>
                <c:pt idx="19">
                  <c:v>248.55408586904659</c:v>
                </c:pt>
                <c:pt idx="20">
                  <c:v>319.43491199545491</c:v>
                </c:pt>
                <c:pt idx="21">
                  <c:v>466.66666666666663</c:v>
                </c:pt>
                <c:pt idx="22">
                  <c:v>466.66666666666663</c:v>
                </c:pt>
                <c:pt idx="23">
                  <c:v>466.66666666666663</c:v>
                </c:pt>
                <c:pt idx="24">
                  <c:v>466.66666666666663</c:v>
                </c:pt>
                <c:pt idx="25">
                  <c:v>466.66666666666663</c:v>
                </c:pt>
                <c:pt idx="26">
                  <c:v>466.66666666666663</c:v>
                </c:pt>
                <c:pt idx="27">
                  <c:v>466.66666666666663</c:v>
                </c:pt>
                <c:pt idx="28">
                  <c:v>466.66666666666663</c:v>
                </c:pt>
                <c:pt idx="29">
                  <c:v>466.66666666666663</c:v>
                </c:pt>
                <c:pt idx="30">
                  <c:v>466.66666666666663</c:v>
                </c:pt>
                <c:pt idx="31">
                  <c:v>466.66666666666663</c:v>
                </c:pt>
                <c:pt idx="32">
                  <c:v>466.66666666666663</c:v>
                </c:pt>
                <c:pt idx="33">
                  <c:v>466.66666666666663</c:v>
                </c:pt>
                <c:pt idx="34">
                  <c:v>466.66666666666663</c:v>
                </c:pt>
                <c:pt idx="35">
                  <c:v>466.66666666666663</c:v>
                </c:pt>
                <c:pt idx="36">
                  <c:v>466.66666666666663</c:v>
                </c:pt>
                <c:pt idx="37">
                  <c:v>466.66666666666663</c:v>
                </c:pt>
                <c:pt idx="38">
                  <c:v>466.66666666666663</c:v>
                </c:pt>
                <c:pt idx="39">
                  <c:v>466.66666666666663</c:v>
                </c:pt>
                <c:pt idx="40">
                  <c:v>466.66666666666663</c:v>
                </c:pt>
                <c:pt idx="41">
                  <c:v>466.66666666666663</c:v>
                </c:pt>
                <c:pt idx="42">
                  <c:v>466.66666666666663</c:v>
                </c:pt>
                <c:pt idx="43">
                  <c:v>466.66666666666663</c:v>
                </c:pt>
                <c:pt idx="44">
                  <c:v>466.66666666666663</c:v>
                </c:pt>
                <c:pt idx="45">
                  <c:v>466.66666666666663</c:v>
                </c:pt>
                <c:pt idx="46">
                  <c:v>466.66666666666663</c:v>
                </c:pt>
                <c:pt idx="47">
                  <c:v>466.66666666666663</c:v>
                </c:pt>
                <c:pt idx="48">
                  <c:v>466.66666666666663</c:v>
                </c:pt>
                <c:pt idx="49">
                  <c:v>466.66666666666663</c:v>
                </c:pt>
                <c:pt idx="50">
                  <c:v>466.66666666666663</c:v>
                </c:pt>
                <c:pt idx="51">
                  <c:v>466.66666666666663</c:v>
                </c:pt>
                <c:pt idx="52">
                  <c:v>466.66666666666663</c:v>
                </c:pt>
                <c:pt idx="53">
                  <c:v>466.66666666666663</c:v>
                </c:pt>
                <c:pt idx="54">
                  <c:v>466.66666666666663</c:v>
                </c:pt>
                <c:pt idx="55">
                  <c:v>466.66666666666663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50936"/>
        <c:axId val="481950544"/>
      </c:scatterChart>
      <c:valAx>
        <c:axId val="481950936"/>
        <c:scaling>
          <c:orientation val="minMax"/>
          <c:max val="9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50544"/>
        <c:crosses val="autoZero"/>
        <c:crossBetween val="midCat"/>
        <c:majorUnit val="250"/>
      </c:valAx>
      <c:valAx>
        <c:axId val="481950544"/>
        <c:scaling>
          <c:orientation val="minMax"/>
          <c:max val="26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50936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47408"/>
        <c:axId val="481943488"/>
      </c:scatterChart>
      <c:valAx>
        <c:axId val="481947408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43488"/>
        <c:crosses val="autoZero"/>
        <c:crossBetween val="midCat"/>
      </c:valAx>
      <c:valAx>
        <c:axId val="4819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4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(2)'!$A$2:$A$17</c:f>
              <c:numCache>
                <c:formatCode>General</c:formatCode>
                <c:ptCount val="16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</c:numCache>
            </c:numRef>
          </c:xVal>
          <c:yVal>
            <c:numRef>
              <c:f>'Sheet1 (2)'!$C$2:$C$17</c:f>
              <c:numCache>
                <c:formatCode>General</c:formatCode>
                <c:ptCount val="16"/>
                <c:pt idx="0">
                  <c:v>0</c:v>
                </c:pt>
                <c:pt idx="1">
                  <c:v>2357.7674150500002</c:v>
                </c:pt>
                <c:pt idx="2">
                  <c:v>2357.7674150500002</c:v>
                </c:pt>
                <c:pt idx="3">
                  <c:v>2357.7674150500002</c:v>
                </c:pt>
                <c:pt idx="4">
                  <c:v>2357.7674150500002</c:v>
                </c:pt>
                <c:pt idx="5">
                  <c:v>2306.7886601300002</c:v>
                </c:pt>
                <c:pt idx="6">
                  <c:v>2153.8523953700001</c:v>
                </c:pt>
                <c:pt idx="7">
                  <c:v>2020.0331637050001</c:v>
                </c:pt>
                <c:pt idx="8">
                  <c:v>1901.507558516</c:v>
                </c:pt>
                <c:pt idx="9">
                  <c:v>1797.0011109300001</c:v>
                </c:pt>
                <c:pt idx="10">
                  <c:v>1682.29891236</c:v>
                </c:pt>
                <c:pt idx="11">
                  <c:v>1593.08609125</c:v>
                </c:pt>
                <c:pt idx="12">
                  <c:v>1503.8732701399999</c:v>
                </c:pt>
                <c:pt idx="13">
                  <c:v>637.23443650000002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52504"/>
        <c:axId val="481944664"/>
      </c:scatterChart>
      <c:valAx>
        <c:axId val="481952504"/>
        <c:scaling>
          <c:orientation val="minMax"/>
          <c:max val="24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44664"/>
        <c:crosses val="autoZero"/>
        <c:crossBetween val="midCat"/>
      </c:valAx>
      <c:valAx>
        <c:axId val="48194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5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4</xdr:row>
      <xdr:rowOff>28575</xdr:rowOff>
    </xdr:from>
    <xdr:to>
      <xdr:col>67</xdr:col>
      <xdr:colOff>171449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30</xdr:row>
      <xdr:rowOff>66676</xdr:rowOff>
    </xdr:from>
    <xdr:to>
      <xdr:col>65</xdr:col>
      <xdr:colOff>276226</xdr:colOff>
      <xdr:row>43</xdr:row>
      <xdr:rowOff>28576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X62" totalsRowShown="0" headerRowDxfId="78" dataDxfId="77">
  <tableColumns count="24">
    <tableColumn id="1" name="rpm" dataDxfId="76"/>
    <tableColumn id="7" name="rawData" dataDxfId="4">
      <calculatedColumnFormula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name="manualData" dataDxfId="75"/>
    <tableColumn id="12" name="rawDataEco" dataDxfId="3">
      <calculatedColumnFormula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name="manDataEco" dataDxfId="74"/>
    <tableColumn id="4" name="motor" dataDxfId="73">
      <calculatedColumnFormula>Table36[Factor]*IF(Table15[[#This Row],[manualData]]&gt;0,Table15[[#This Row],[manualData]],Table15[[#This Row],[rawData]])</calculatedColumnFormula>
    </tableColumn>
    <tableColumn id="14" name="motorEco" dataDxfId="72">
      <calculatedColumnFormula>Table36[Factor]*IF(Table15[[#This Row],[manDataEco]]&gt;0,Table15[[#This Row],[manDataEco]],Table15[[#This Row],[rawDataEco]])</calculatedColumnFormula>
    </tableColumn>
    <tableColumn id="3" name="ps" dataDxfId="71">
      <calculatedColumnFormula>1.36*Table15[[#This Row],[rpm]]*Table15[[#This Row],[motor]]/9550</calculatedColumnFormula>
    </tableColumn>
    <tableColumn id="13" name="psEco" dataDxfId="70">
      <calculatedColumnFormula>1.36*Table15[[#This Row],[rpm]]*Table15[[#This Row],[motorEco]]/9550</calculatedColumnFormula>
    </tableColumn>
    <tableColumn id="10" name="fuelUsageRatio" dataDxfId="69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calculatedColumnFormula>
    </tableColumn>
    <tableColumn id="5" name="xml" dataDxfId="68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67">
      <calculatedColumnFormula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calculatedColumnFormula>
    </tableColumn>
    <tableColumn id="15" name="t1" dataDxfId="66">
      <calculatedColumnFormula>(1-(1-Table15[[#This Row],[rpm]]/Table36[idleRpm])^2)*Table7[idleT]</calculatedColumnFormula>
    </tableColumn>
    <tableColumn id="18" name="t2" dataDxfId="65">
      <calculatedColumnFormula>MAX(0,(1-Table7[f1]*(Table36[maxTRpm1]-Table15[[#This Row],[rpm]])^2)*Table36[maxT])</calculatedColumnFormula>
    </tableColumn>
    <tableColumn id="19" name="t3" dataDxfId="64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63">
      <calculatedColumnFormula>MAX(0,(Table36[maxPS]-Table7[f4]*(Table15[[#This Row],[rpm]]-Table36[maxPRpm])^2)/1.36*9550/MAX(1,Table15[[#This Row],[rpm]]))</calculatedColumnFormula>
    </tableColumn>
    <tableColumn id="17" name="t5" dataDxfId="62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61">
      <calculatedColumnFormula>(1-(1-Table15[[#This Row],[rpm]]/Table36[idleRpm])^2)*Table7[idleTEco]</calculatedColumnFormula>
    </tableColumn>
    <tableColumn id="22" name="t2E" dataDxfId="60">
      <calculatedColumnFormula>MAX(0,(1-Table7[f1]*(Table36[maxTRpm1]-Table15[[#This Row],[rpm]])^2)*Table36[maxTEco])</calculatedColumnFormula>
    </tableColumn>
    <tableColumn id="23" name="t3E" dataDxfId="59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58">
      <calculatedColumnFormula>MAX(0,(Table36[maxPSEco]-Table7[f4Eco]*(Table15[[#This Row],[rpm]]-Table36[maxPRpm])^2)/1.36*9550/MAX(1,Table15[[#This Row],[rpm]]))</calculatedColumnFormula>
    </tableColumn>
    <tableColumn id="25" name="t5E" dataDxfId="57">
      <calculatedColumnFormula>MAX(0,Table7[Nm2Eco]*MIN(Table36[ratedRpm]/MAX(1,Table15[[#This Row],[rpm]]),1-(MAX(0,Table15[[#This Row],[rpm]]-Table36[ratedRpm])/Table36[fadeOut])^Table36[fadeOutExp]))</calculatedColumnFormula>
    </tableColumn>
    <tableColumn id="2" name="t6" dataDxfId="0">
      <calculatedColumnFormula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calculatedColumnFormula>
    </tableColumn>
    <tableColumn id="6" name="t6E" data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Z2" totalsRowShown="0" headerRowDxfId="56">
  <autoFilter ref="A1:Z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6">
    <tableColumn id="10" name="maxPRpm" dataDxfId="55"/>
    <tableColumn id="14" name="maxPS" dataDxfId="54"/>
    <tableColumn id="19" name="maxPSEco" dataDxfId="53">
      <calculatedColumnFormula>Table36[maxPS]*Table36[maxPsEcoRate]</calculatedColumnFormula>
    </tableColumn>
    <tableColumn id="2" name="ratedRpm"/>
    <tableColumn id="3" name="PS"/>
    <tableColumn id="20" name="PSEco" dataDxfId="52">
      <calculatedColumnFormula>Table36[PS]*Table36[PSEcoRate]</calculatedColumnFormula>
    </tableColumn>
    <tableColumn id="12" name="maxTRpm1" dataDxfId="51"/>
    <tableColumn id="4" name="maxTRpm" dataDxfId="50"/>
    <tableColumn id="5" name="maxT" dataDxfId="49"/>
    <tableColumn id="21" name="maxTEco" dataDxfId="48">
      <calculatedColumnFormula>Table36[maxT]*Table36[NmEcoRate]</calculatedColumnFormula>
    </tableColumn>
    <tableColumn id="6" name="idleRpm"/>
    <tableColumn id="7" name="idleRatio" dataCellStyle="Percent"/>
    <tableColumn id="11" name="fadeOut" dataDxfId="47"/>
    <tableColumn id="15" name="linearDown" dataDxfId="46"/>
    <tableColumn id="25" name="fadeOutExp" dataDxfId="45"/>
    <tableColumn id="22" name="Efficiency" dataDxfId="44"/>
    <tableColumn id="16" name="Factor" dataDxfId="43"/>
    <tableColumn id="13" name="fuelMinRate" dataDxfId="42"/>
    <tableColumn id="18" name="fuelRatedRate" dataDxfId="41">
      <calculatedColumnFormula>Table36[fuelMinRate]/0.9</calculatedColumnFormula>
    </tableColumn>
    <tableColumn id="9" name="fuelMinRpm" dataDxfId="40">
      <calculatedColumnFormula>ROUND(MIN(0.6*Table36[idleRpm]+0.4*Table36[ratedRpm],0.5*Table36[maxTRpm1]+0.5*Table36[maxTRpm]),-1)</calculatedColumnFormula>
    </tableColumn>
    <tableColumn id="17" name="fuelIdleRate" dataDxfId="39">
      <calculatedColumnFormula>0.94*Table36[fuelRatedRate]</calculatedColumnFormula>
    </tableColumn>
    <tableColumn id="1" name="normRpm" dataDxfId="38">
      <calculatedColumnFormula>ROUND(Table36[ratedRpm]+0.49*Table36[fadeOut],-2)</calculatedColumnFormula>
    </tableColumn>
    <tableColumn id="8" name="PSEcoRate" dataDxfId="37"/>
    <tableColumn id="23" name="NmEcoRate"/>
    <tableColumn id="24" name="maxPsEcoRate" dataDxfId="1">
      <calculatedColumnFormula>Table36[PSEcoRate]* (Table36[maxPRpm]-Table36[maxTRpm])/(Table36[ratedRpm]-Table36[maxTRpm]) + Table36[NmEcoRate]* (1- (Table36[maxPRpm]-Table36[maxTRpm])/(Table36[ratedRpm]-Table36[maxTRpm]))</calculatedColumnFormula>
    </tableColumn>
    <tableColumn id="26" name="maxPSRpmRate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V4" totalsRowShown="0" headerRowDxfId="36" dataDxfId="35">
  <tableColumns count="22">
    <tableColumn id="1" name="f1" dataDxfId="34">
      <calculatedColumnFormula>(1-Table36[idleRatio])/((Table36[maxTRpm1]-Table36[idleRpm])^2)</calculatedColumnFormula>
    </tableColumn>
    <tableColumn id="2" name="f2" dataDxfId="33">
      <calculatedColumnFormula>(Table36[maxT]-Table7[Nm])/Table36[maxT]/(Table36[maxPRpm]-Table36[maxTRpm])</calculatedColumnFormula>
    </tableColumn>
    <tableColumn id="5" name="f3" dataDxfId="32">
      <calculatedColumnFormula>(Table36[maxT]-Table7[Nm])/Table36[maxT]/(Table36[maxPRpm]-Table36[maxTRpm])^2</calculatedColumnFormula>
    </tableColumn>
    <tableColumn id="6" name="f4" dataDxfId="31">
      <calculatedColumnFormula>(Table36[maxPS]-Table36[PS])/MAX(1,Table36[ratedRpm]-Table36[maxPRpm])^2</calculatedColumnFormula>
    </tableColumn>
    <tableColumn id="3" name="Nm" dataDxfId="30">
      <calculatedColumnFormula>Table36[maxPS]/1.36*9550/Table36[maxPRpm]</calculatedColumnFormula>
    </tableColumn>
    <tableColumn id="4" name="Nm2" dataDxfId="29">
      <calculatedColumnFormula>Table36[PS]/1.36*9550/Table36[ratedRpm]</calculatedColumnFormula>
    </tableColumn>
    <tableColumn id="7" name="Anfahrmoment" dataDxfId="28" dataCellStyle="Percent">
      <calculatedColumnFormula>Table7[Nm1000]/Table7[Nm2Eco]</calculatedColumnFormula>
    </tableColumn>
    <tableColumn id="17" name="AnstiegE" dataDxfId="27" dataCellStyle="Percent">
      <calculatedColumnFormula>Table36[maxTEco]/Table7[NmEco]-1</calculatedColumnFormula>
    </tableColumn>
    <tableColumn id="14" name="Anstieg" dataDxfId="26" dataCellStyle="Percent">
      <calculatedColumnFormula>Table36[maxT]/Table7[Nm]-1</calculatedColumnFormula>
    </tableColumn>
    <tableColumn id="15" name="Abfall" dataDxfId="25" dataCellStyle="Percent">
      <calculatedColumnFormula>1-Table36[maxTRpm]/Table36[ratedRpm]</calculatedColumnFormula>
    </tableColumn>
    <tableColumn id="20" name="max kW" dataDxfId="24" dataCellStyle="Percent">
      <calculatedColumnFormula>Table36[maxPS]/1.36</calculatedColumnFormula>
    </tableColumn>
    <tableColumn id="18" name="rated kW" dataDxfId="23" dataCellStyle="Percent">
      <calculatedColumnFormula>Table36[PS]/1.36</calculatedColumnFormula>
    </tableColumn>
    <tableColumn id="23" name="max g/kWh" dataDxfId="22" dataCellStyle="Percent">
      <calculatedColumnFormula>Table36[fuelRatedRate]*1.1</calculatedColumnFormula>
    </tableColumn>
    <tableColumn id="16" name="Nm1000" dataDxfId="21" dataCellStyle="Percent">
      <calculatedColumnFormula>(1-Table7[f1]*(Table36[maxTRpm1]-1000)^2)*Table36[maxTEco]</calculatedColumnFormula>
    </tableColumn>
    <tableColumn id="8" name="NmEco" dataDxfId="20">
      <calculatedColumnFormula>Table36[maxPSEco]/1.36*9550/Table36[maxPRpm]</calculatedColumnFormula>
    </tableColumn>
    <tableColumn id="9" name="Nm2Eco" dataDxfId="19">
      <calculatedColumnFormula>Table36[PSEco]/1.36*9550/Table36[ratedRpm]</calculatedColumnFormula>
    </tableColumn>
    <tableColumn id="12" name="f2Eco" dataDxfId="18">
      <calculatedColumnFormula>(Table36[maxTEco]-Table7[NmEco])/Table36[maxTEco]/(Table36[maxPRpm]-Table36[maxTRpm])</calculatedColumnFormula>
    </tableColumn>
    <tableColumn id="10" name="f3Eco" dataDxfId="17">
      <calculatedColumnFormula>(Table36[maxTEco]-Table7[NmEco])/Table36[maxTEco]/(Table36[maxPRpm]-Table36[maxTRpm])^2</calculatedColumnFormula>
    </tableColumn>
    <tableColumn id="11" name="f4Eco" dataDxfId="16">
      <calculatedColumnFormula>(Table36[maxPSEco]-Table36[PSEco])/MAX(1,Table36[ratedRpm]-Table36[maxPRpm])^2</calculatedColumnFormula>
    </tableColumn>
    <tableColumn id="13" name="idleT" dataDxfId="15">
      <calculatedColumnFormula>(1-Table7[f1]*(Table36[maxTRpm1]-Table36[idleRpm])^2)*Table36[maxT]</calculatedColumnFormula>
    </tableColumn>
    <tableColumn id="19" name="idleTEco" dataDxfId="14">
      <calculatedColumnFormula>(1-Table7[f1]*(Table36[maxTRpm1]-Table36[idleRpm])^2)*Table36[maxTEco]</calculatedColumnFormula>
    </tableColumn>
    <tableColumn id="21" name="xmlComment" dataDxfId="13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12">
      <calculatedColumnFormula>A2*C2/9550</calculatedColumnFormula>
    </tableColumn>
    <tableColumn id="3" name="ps" dataDxfId="11">
      <calculatedColumnFormula>Table1[[#This Row],[kw_pto]]*1.36/0.94</calculatedColumnFormula>
    </tableColumn>
    <tableColumn id="4" name="motor"/>
    <tableColumn id="5" name="xml" dataDxfId="10">
      <calculatedColumnFormula>CONCATENATE("&lt;torque rpm=""",Table1[[#This Row],[rpm]],""" motorTorque=""",ROUND(Table1[[#This Row],[motor]],0),"""/&gt;")</calculatedColumnFormula>
    </tableColumn>
    <tableColumn id="8" name="xml2" dataDxfId="9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A1:G17" totalsRowShown="0">
  <autoFilter ref="A1:G17"/>
  <tableColumns count="7">
    <tableColumn id="1" name="rpm"/>
    <tableColumn id="7" name="rawData"/>
    <tableColumn id="2" name="pto">
      <calculatedColumnFormula>$I$2*Table13[[#This Row],[rawData]]</calculatedColumnFormula>
    </tableColumn>
    <tableColumn id="6" name="kw_pto" dataDxfId="8">
      <calculatedColumnFormula>A2*C2/9550</calculatedColumnFormula>
    </tableColumn>
    <tableColumn id="3" name="ps" dataDxfId="7">
      <calculatedColumnFormula>Table13[[#This Row],[kw_pto]]*1.36/0.94</calculatedColumnFormula>
    </tableColumn>
    <tableColumn id="4" name="motor">
      <calculatedColumnFormula>C2/0.94</calculatedColumnFormula>
    </tableColumn>
    <tableColumn id="5" name="xml" dataDxfId="6">
      <calculatedColumnFormula>CONCATENATE("&lt;torque rpm=""",Table13[[#This Row],[rpm]],""" motorTorque=""",ROUND(Table13[[#This Row],[motor]],0),"""/&gt;")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abSelected="1" workbookViewId="0">
      <selection activeCell="K7" sqref="K7:K28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3" width="11.140625" bestFit="1" customWidth="1"/>
    <col min="14" max="14" width="7.28515625" bestFit="1" customWidth="1"/>
  </cols>
  <sheetData>
    <row r="1" spans="1:26" s="4" customFormat="1" ht="45.75" customHeight="1" thickBot="1" x14ac:dyDescent="0.3">
      <c r="A1" s="4" t="s">
        <v>18</v>
      </c>
      <c r="B1" s="4" t="s">
        <v>23</v>
      </c>
      <c r="C1" s="4" t="s">
        <v>35</v>
      </c>
      <c r="D1" s="4" t="s">
        <v>8</v>
      </c>
      <c r="E1" s="4" t="s">
        <v>10</v>
      </c>
      <c r="F1" s="4" t="s">
        <v>36</v>
      </c>
      <c r="G1" s="4" t="s">
        <v>22</v>
      </c>
      <c r="H1" s="4" t="s">
        <v>12</v>
      </c>
      <c r="I1" s="5" t="s">
        <v>13</v>
      </c>
      <c r="J1" s="4" t="s">
        <v>47</v>
      </c>
      <c r="K1" s="4" t="s">
        <v>14</v>
      </c>
      <c r="L1" s="4" t="s">
        <v>15</v>
      </c>
      <c r="M1" s="4" t="s">
        <v>21</v>
      </c>
      <c r="N1" s="4" t="s">
        <v>25</v>
      </c>
      <c r="O1" s="4" t="s">
        <v>68</v>
      </c>
      <c r="P1" s="4" t="s">
        <v>49</v>
      </c>
      <c r="Q1" s="4" t="s">
        <v>7</v>
      </c>
      <c r="R1" s="4" t="s">
        <v>31</v>
      </c>
      <c r="S1" s="4" t="s">
        <v>33</v>
      </c>
      <c r="T1" s="4" t="s">
        <v>30</v>
      </c>
      <c r="U1" s="4" t="s">
        <v>32</v>
      </c>
      <c r="V1" s="4" t="s">
        <v>60</v>
      </c>
      <c r="W1" s="4" t="s">
        <v>63</v>
      </c>
      <c r="X1" s="4" t="s">
        <v>64</v>
      </c>
      <c r="Y1" s="4" t="s">
        <v>67</v>
      </c>
      <c r="Z1" s="4" t="s">
        <v>74</v>
      </c>
    </row>
    <row r="2" spans="1:26" ht="15.75" thickBot="1" x14ac:dyDescent="0.3">
      <c r="A2" s="12">
        <v>2000</v>
      </c>
      <c r="B2" s="13">
        <v>450</v>
      </c>
      <c r="C2" s="17">
        <f>Table36[maxPS]*Table36[maxPsEcoRate]</f>
        <v>450</v>
      </c>
      <c r="D2" s="7">
        <v>2100</v>
      </c>
      <c r="E2" s="8">
        <v>435</v>
      </c>
      <c r="F2" s="18">
        <f>Table36[PS]*Table36[PSEcoRate]</f>
        <v>435</v>
      </c>
      <c r="G2" s="12">
        <v>1000</v>
      </c>
      <c r="H2" s="13">
        <v>1400</v>
      </c>
      <c r="I2" s="13">
        <v>2238</v>
      </c>
      <c r="J2" s="17">
        <f>Table36[maxT]*Table36[NmEcoRate]</f>
        <v>2238</v>
      </c>
      <c r="K2" s="27">
        <v>600</v>
      </c>
      <c r="L2" s="28">
        <v>0.6</v>
      </c>
      <c r="M2" s="29">
        <v>149</v>
      </c>
      <c r="N2" s="12">
        <v>1</v>
      </c>
      <c r="O2" s="13">
        <v>2</v>
      </c>
      <c r="P2" s="13">
        <v>0.94</v>
      </c>
      <c r="Q2" s="14">
        <v>1</v>
      </c>
      <c r="R2" s="26">
        <v>210</v>
      </c>
      <c r="S2" s="15">
        <f>Table36[fuelMinRate]/0.9</f>
        <v>233.33333333333331</v>
      </c>
      <c r="T2" s="16">
        <f>ROUND(MIN(0.6*Table36[idleRpm]+0.4*Table36[ratedRpm],0.5*Table36[maxTRpm1]+0.5*Table36[maxTRpm]),-1)</f>
        <v>1200</v>
      </c>
      <c r="U2" s="18">
        <f>0.94*Table36[fuelRatedRate]</f>
        <v>219.33333333333331</v>
      </c>
      <c r="V2" s="15">
        <f>ROUND(Table36[ratedRpm]+0.49*Table36[fadeOut],-2)</f>
        <v>2200</v>
      </c>
      <c r="W2" s="7">
        <v>1</v>
      </c>
      <c r="X2" s="9">
        <v>1</v>
      </c>
      <c r="Y2" s="35">
        <f>Table36[PSEcoRate]* (Table36[maxPRpm]-Table36[maxTRpm])/(Table36[ratedRpm]-Table36[maxTRpm]) + Table36[NmEcoRate]* (1- (Table36[maxPRpm]-Table36[maxTRpm])/(Table36[ratedRpm]-Table36[maxTRpm]))</f>
        <v>1</v>
      </c>
      <c r="Z2" s="26">
        <v>0.02</v>
      </c>
    </row>
    <row r="3" spans="1:26" x14ac:dyDescent="0.25">
      <c r="A3" s="11" t="s">
        <v>16</v>
      </c>
      <c r="B3" s="11" t="s">
        <v>17</v>
      </c>
      <c r="C3" s="11" t="s">
        <v>24</v>
      </c>
      <c r="D3" s="11" t="s">
        <v>26</v>
      </c>
      <c r="E3" s="11" t="s">
        <v>19</v>
      </c>
      <c r="F3" s="11" t="s">
        <v>20</v>
      </c>
      <c r="G3" s="22" t="s">
        <v>27</v>
      </c>
      <c r="H3" s="23" t="s">
        <v>66</v>
      </c>
      <c r="I3" s="23" t="s">
        <v>61</v>
      </c>
      <c r="J3" s="23" t="s">
        <v>62</v>
      </c>
      <c r="K3" s="22" t="s">
        <v>69</v>
      </c>
      <c r="L3" s="23" t="s">
        <v>70</v>
      </c>
      <c r="M3" s="24" t="s">
        <v>71</v>
      </c>
      <c r="N3" s="11" t="s">
        <v>65</v>
      </c>
      <c r="O3" s="11" t="s">
        <v>37</v>
      </c>
      <c r="P3" s="11" t="s">
        <v>38</v>
      </c>
      <c r="Q3" s="11" t="s">
        <v>41</v>
      </c>
      <c r="R3" s="11" t="s">
        <v>39</v>
      </c>
      <c r="S3" s="11" t="s">
        <v>40</v>
      </c>
      <c r="T3" s="11" t="s">
        <v>42</v>
      </c>
      <c r="U3" s="11" t="s">
        <v>48</v>
      </c>
      <c r="V3" s="11" t="s">
        <v>28</v>
      </c>
    </row>
    <row r="4" spans="1:26" ht="15.75" thickBot="1" x14ac:dyDescent="0.3">
      <c r="A4" s="11">
        <f>(1-Table36[idleRatio])/((Table36[maxTRpm1]-Table36[idleRpm])^2)</f>
        <v>2.5000000000000002E-6</v>
      </c>
      <c r="B4" s="11">
        <f>(Table36[maxT]-Table7[Nm])/Table36[maxT]/(Table36[maxPRpm]-Table36[maxTRpm])</f>
        <v>4.9004823108868213E-4</v>
      </c>
      <c r="C4" s="11">
        <f>(Table36[maxT]-Table7[Nm])/Table36[maxT]/(Table36[maxPRpm]-Table36[maxTRpm])^2</f>
        <v>8.167470518144702E-7</v>
      </c>
      <c r="D4" s="11">
        <f>(Table36[maxPS]-Table36[PS])/MAX(1,Table36[ratedRpm]-Table36[maxPRpm])^2</f>
        <v>1.5E-3</v>
      </c>
      <c r="E4" s="11">
        <f>Table36[maxPS]/1.36*9550/Table36[maxPRpm]</f>
        <v>1579.9632352941176</v>
      </c>
      <c r="F4" s="11">
        <f>Table36[PS]/1.36*9550/Table36[ratedRpm]</f>
        <v>1454.5693277310925</v>
      </c>
      <c r="G4" s="21">
        <f>Table7[Nm1000]/Table7[Nm2Eco]</f>
        <v>1.5385997472467954</v>
      </c>
      <c r="H4" s="34">
        <f>Table36[maxTEco]/Table7[NmEco]-1</f>
        <v>0.4164886561954626</v>
      </c>
      <c r="I4" s="34">
        <f>Table36[maxT]/Table7[Nm]-1</f>
        <v>0.4164886561954626</v>
      </c>
      <c r="J4" s="34">
        <f>1-Table36[maxTRpm]/Table36[ratedRpm]</f>
        <v>0.33333333333333337</v>
      </c>
      <c r="K4" s="30">
        <f>Table36[maxPS]/1.36</f>
        <v>330.88235294117646</v>
      </c>
      <c r="L4" s="31">
        <f>Table36[PS]/1.36</f>
        <v>319.85294117647055</v>
      </c>
      <c r="M4" s="32">
        <f>Table36[fuelRatedRate]*1.1</f>
        <v>256.66666666666669</v>
      </c>
      <c r="N4" s="11">
        <f>(1-Table7[f1]*(Table36[maxTRpm1]-1000)^2)*Table36[maxTEco]</f>
        <v>2238</v>
      </c>
      <c r="O4" s="11">
        <f>Table36[maxPSEco]/1.36*9550/Table36[maxPRpm]</f>
        <v>1579.9632352941176</v>
      </c>
      <c r="P4" s="11">
        <f>Table36[PSEco]/1.36*9550/Table36[ratedRpm]</f>
        <v>1454.5693277310925</v>
      </c>
      <c r="Q4" s="11">
        <f>(Table36[maxTEco]-Table7[NmEco])/Table36[maxTEco]/(Table36[maxPRpm]-Table36[maxTRpm])</f>
        <v>4.9004823108868213E-4</v>
      </c>
      <c r="R4" s="11">
        <f>(Table36[maxTEco]-Table7[NmEco])/Table36[maxTEco]/(Table36[maxPRpm]-Table36[maxTRpm])^2</f>
        <v>8.167470518144702E-7</v>
      </c>
      <c r="S4" s="11">
        <f>(Table36[maxPSEco]-Table36[PSEco])/MAX(1,Table36[ratedRpm]-Table36[maxPRpm])^2</f>
        <v>1.5E-3</v>
      </c>
      <c r="T4" s="11">
        <f>(1-Table7[f1]*(Table36[maxTRpm1]-Table36[idleRpm])^2)*Table36[maxT]</f>
        <v>1342.8</v>
      </c>
      <c r="U4" s="11">
        <f>(1-Table7[f1]*(Table36[maxTRpm1]-Table36[idleRpm])^2)*Table36[maxTEco]</f>
        <v>1342.8</v>
      </c>
      <c r="V4" s="11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&lt;!-- 2000: 450(450) | 2100: 435(435) | 1000..1400: 2238(2238) | 60 | 1 | 149 | 2 | 2200 | 1200: 210 --&gt;</v>
      </c>
    </row>
    <row r="6" spans="1:26" s="4" customFormat="1" ht="63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  <c r="W6" s="4" t="s">
        <v>72</v>
      </c>
      <c r="X6" s="4" t="s">
        <v>73</v>
      </c>
    </row>
    <row r="7" spans="1:26" x14ac:dyDescent="0.25">
      <c r="A7" s="3">
        <v>0</v>
      </c>
      <c r="B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9"/>
      <c r="D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9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25">
        <f>1.36*Table15[[#This Row],[rpm]]*Table15[[#This Row],[motor]]/9550</f>
        <v>0</v>
      </c>
      <c r="I7" s="25">
        <f>1.36*Table15[[#This Row],[rpm]]*Table15[[#This Row],[motorEco]]/9550</f>
        <v>0</v>
      </c>
      <c r="J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247.33333333333326</v>
      </c>
      <c r="K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&lt;!-- 2000: 450(450) | 2100: 435(435) | 1000..1400: 2238(2238) | 60 | 1 | 149 | 2 | 2200 | 1200: 210 --&gt;</v>
      </c>
      <c r="L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&lt;!-- 2000: 450(450) | 2100: 435(435) | 1000..1400: 2238(2238) | 60 | 1 | 149 | 2 | 2200 | 1200: 210 --&gt;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0</v>
      </c>
      <c r="O7" s="3">
        <f>MAX(0,(Table36[linearDown]*(1-Table7[f2]*(Table15[[#This Row],[rpm]]-Table36[maxTRpm]))+(1-Table36[linearDown])*(1-Table7[f3]*(Table15[[#This Row],[rpm]]-Table36[maxTRpm])^2))*Table36[maxT])</f>
        <v>3773.419117647059</v>
      </c>
      <c r="P7" s="3">
        <f>MAX(0,(Table36[maxPS]-Table7[f4]*(Table15[[#This Row],[rpm]]-Table36[maxPRpm])^2)/1.36*9550/MAX(1,Table15[[#This Row],[rpm]]))</f>
        <v>0</v>
      </c>
      <c r="Q7" s="3">
        <f>MAX(0,Table7[Nm2]*MIN(Table36[ratedRpm]/MAX(1,Table15[[#This Row],[rpm]]),1-(MAX(0,Table15[[#This Row],[rpm]]-Table36[ratedRpm])/Table36[fadeOut])^Table36[fadeOutExp]))</f>
        <v>1454.5693277310925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0</v>
      </c>
      <c r="T7" s="3">
        <f>MAX(0,(Table36[linearDown]*(1-Table7[f2Eco]*(Table15[[#This Row],[rpm]]-Table36[maxTRpm]))+(1-Table36[linearDown])*(1-Table7[f3Eco]*(Table15[[#This Row],[rpm]]-Table36[maxTRpm])^2))*Table36[maxTEco])</f>
        <v>3773.419117647059</v>
      </c>
      <c r="U7" s="3">
        <f>MAX(0,(Table36[maxPSEco]-Table7[f4Eco]*(Table15[[#This Row],[rpm]]-Table36[maxPRpm])^2)/1.36*9550/MAX(1,Table15[[#This Row],[rpm]]))</f>
        <v>0</v>
      </c>
      <c r="V7" s="3">
        <f>MAX(0,Table7[Nm2Eco]*MIN(Table36[ratedRpm]/MAX(1,Table15[[#This Row],[rpm]]),1-(MAX(0,Table15[[#This Row],[rpm]]-Table36[ratedRpm])/Table36[fadeOut])^Table36[fadeOutExp]))</f>
        <v>1454.5693277310925</v>
      </c>
      <c r="W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0</v>
      </c>
      <c r="X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0</v>
      </c>
    </row>
    <row r="8" spans="1:26" x14ac:dyDescent="0.25">
      <c r="A8" s="3">
        <v>350</v>
      </c>
      <c r="B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462.36458333333326</v>
      </c>
      <c r="C8" s="20"/>
      <c r="D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462.36458333333326</v>
      </c>
      <c r="E8" s="20"/>
      <c r="F8" s="3">
        <f>Table36[Factor]*IF(Table15[[#This Row],[manualData]]&gt;0,Table15[[#This Row],[manualData]],Table15[[#This Row],[rawData]])</f>
        <v>462.36458333333326</v>
      </c>
      <c r="G8" s="3">
        <f>Table36[Factor]*IF(Table15[[#This Row],[manDataEco]]&gt;0,Table15[[#This Row],[manDataEco]],Table15[[#This Row],[rawDataEco]])</f>
        <v>462.36458333333326</v>
      </c>
      <c r="H8" s="25">
        <f>1.36*Table15[[#This Row],[rpm]]*Table15[[#This Row],[motor]]/9550</f>
        <v>23.045606457242581</v>
      </c>
      <c r="I8" s="25">
        <f>1.36*Table15[[#This Row],[rpm]]*Table15[[#This Row],[motorEco]]/9550</f>
        <v>23.045606457242581</v>
      </c>
      <c r="J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228.73148148148144</v>
      </c>
      <c r="K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motorTorque="462" fuelUsageRatio="228.7"/&gt;</v>
      </c>
      <c r="L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normRpm="0.159" torque="0.207"/&gt;</v>
      </c>
      <c r="M8" s="3">
        <f>(1-(1-Table15[[#This Row],[rpm]]/Table36[idleRpm])^2)*Table7[idleT]</f>
        <v>1109.675</v>
      </c>
      <c r="N8" s="3">
        <f>MAX(0,(1-Table7[f1]*(Table36[maxTRpm1]-Table15[[#This Row],[rpm]])^2)*Table36[maxT])</f>
        <v>0</v>
      </c>
      <c r="O8" s="3">
        <f>MAX(0,(Table36[linearDown]*(1-Table7[f2]*(Table15[[#This Row],[rpm]]-Table36[maxTRpm]))+(1-Table36[linearDown])*(1-Table7[f3]*(Table15[[#This Row],[rpm]]-Table36[maxTRpm])^2))*Table36[maxT])</f>
        <v>3389.5643382352941</v>
      </c>
      <c r="P8" s="3">
        <f>MAX(0,(Table36[maxPS]-Table7[f4]*(Table15[[#This Row],[rpm]]-Table36[maxPRpm])^2)/1.36*9550/MAX(1,Table15[[#This Row],[rpm]]))</f>
        <v>0</v>
      </c>
      <c r="Q8" s="3">
        <f>MAX(0,Table7[Nm2]*MIN(Table36[ratedRpm]/MAX(1,Table15[[#This Row],[rpm]]),1-(MAX(0,Table15[[#This Row],[rpm]]-Table36[ratedRpm])/Table36[fadeOut])^Table36[fadeOutExp]))</f>
        <v>1454.5693277310925</v>
      </c>
      <c r="R8" s="3">
        <f>(1-(1-Table15[[#This Row],[rpm]]/Table36[idleRpm])^2)*Table7[idleTEco]</f>
        <v>1109.675</v>
      </c>
      <c r="S8" s="3">
        <f>MAX(0,(1-Table7[f1]*(Table36[maxTRpm1]-Table15[[#This Row],[rpm]])^2)*Table36[maxTEco])</f>
        <v>0</v>
      </c>
      <c r="T8" s="3">
        <f>MAX(0,(Table36[linearDown]*(1-Table7[f2Eco]*(Table15[[#This Row],[rpm]]-Table36[maxTRpm]))+(1-Table36[linearDown])*(1-Table7[f3Eco]*(Table15[[#This Row],[rpm]]-Table36[maxTRpm])^2))*Table36[maxTEco])</f>
        <v>3389.5643382352941</v>
      </c>
      <c r="U8" s="3">
        <f>MAX(0,(Table36[maxPSEco]-Table7[f4Eco]*(Table15[[#This Row],[rpm]]-Table36[maxPRpm])^2)/1.36*9550/MAX(1,Table15[[#This Row],[rpm]]))</f>
        <v>0</v>
      </c>
      <c r="V8" s="3">
        <f>MAX(0,Table7[Nm2Eco]*MIN(Table36[ratedRpm]/MAX(1,Table15[[#This Row],[rpm]]),1-(MAX(0,Table15[[#This Row],[rpm]]-Table36[ratedRpm])/Table36[fadeOut])^Table36[fadeOutExp]))</f>
        <v>1454.5693277310925</v>
      </c>
      <c r="W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8879.3933823529405</v>
      </c>
      <c r="X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8879.3933823529405</v>
      </c>
    </row>
    <row r="9" spans="1:26" x14ac:dyDescent="0.25">
      <c r="A9" s="3">
        <v>700</v>
      </c>
      <c r="B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1734.45</v>
      </c>
      <c r="C9" s="20"/>
      <c r="D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1734.45</v>
      </c>
      <c r="E9" s="20"/>
      <c r="F9" s="3">
        <f>Table36[Factor]*IF(Table15[[#This Row],[manualData]]&gt;0,Table15[[#This Row],[manualData]],Table15[[#This Row],[rawData]])</f>
        <v>1734.45</v>
      </c>
      <c r="G9" s="3">
        <f>Table36[Factor]*IF(Table15[[#This Row],[manDataEco]]&gt;0,Table15[[#This Row],[manDataEco]],Table15[[#This Row],[rawDataEco]])</f>
        <v>1734.45</v>
      </c>
      <c r="H9" s="25">
        <f>1.36*Table15[[#This Row],[rpm]]*Table15[[#This Row],[motor]]/9550</f>
        <v>172.90014659685866</v>
      </c>
      <c r="I9" s="25">
        <f>1.36*Table15[[#This Row],[rpm]]*Table15[[#This Row],[motorEco]]/9550</f>
        <v>172.90014659685866</v>
      </c>
      <c r="J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216.48148148148147</v>
      </c>
      <c r="K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motorTorque="1734" fuelUsageRatio="216.5"/&gt;</v>
      </c>
      <c r="L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normRpm="0.318" torque="0.775"/&gt;</v>
      </c>
      <c r="M9" s="3">
        <f>(1-(1-Table15[[#This Row],[rpm]]/Table36[idleRpm])^2)*Table7[idleT]</f>
        <v>1305.5</v>
      </c>
      <c r="N9" s="3">
        <f>MAX(0,(1-Table7[f1]*(Table36[maxTRpm1]-Table15[[#This Row],[rpm]])^2)*Table36[maxT])</f>
        <v>1734.45</v>
      </c>
      <c r="O9" s="3">
        <f>MAX(0,(Table36[linearDown]*(1-Table7[f2]*(Table15[[#This Row],[rpm]]-Table36[maxTRpm]))+(1-Table36[linearDown])*(1-Table7[f3]*(Table15[[#This Row],[rpm]]-Table36[maxTRpm])^2))*Table36[maxT])</f>
        <v>3005.7095588235297</v>
      </c>
      <c r="P9" s="3">
        <f>MAX(0,(Table36[maxPS]-Table7[f4]*(Table15[[#This Row],[rpm]]-Table36[maxPRpm])^2)/1.36*9550/MAX(1,Table15[[#This Row],[rpm]]))</f>
        <v>0</v>
      </c>
      <c r="Q9" s="3">
        <f>MAX(0,Table7[Nm2]*MIN(Table36[ratedRpm]/MAX(1,Table15[[#This Row],[rpm]]),1-(MAX(0,Table15[[#This Row],[rpm]]-Table36[ratedRpm])/Table36[fadeOut])^Table36[fadeOutExp]))</f>
        <v>1454.5693277310925</v>
      </c>
      <c r="R9" s="3">
        <f>(1-(1-Table15[[#This Row],[rpm]]/Table36[idleRpm])^2)*Table7[idleTEco]</f>
        <v>1305.5</v>
      </c>
      <c r="S9" s="3">
        <f>MAX(0,(1-Table7[f1]*(Table36[maxTRpm1]-Table15[[#This Row],[rpm]])^2)*Table36[maxTEco])</f>
        <v>1734.45</v>
      </c>
      <c r="T9" s="3">
        <f>MAX(0,(Table36[linearDown]*(1-Table7[f2Eco]*(Table15[[#This Row],[rpm]]-Table36[maxTRpm]))+(1-Table36[linearDown])*(1-Table7[f3Eco]*(Table15[[#This Row],[rpm]]-Table36[maxTRpm])^2))*Table36[maxTEco])</f>
        <v>3005.7095588235297</v>
      </c>
      <c r="U9" s="3">
        <f>MAX(0,(Table36[maxPSEco]-Table7[f4Eco]*(Table15[[#This Row],[rpm]]-Table36[maxPRpm])^2)/1.36*9550/MAX(1,Table15[[#This Row],[rpm]]))</f>
        <v>0</v>
      </c>
      <c r="V9" s="3">
        <f>MAX(0,Table7[Nm2Eco]*MIN(Table36[ratedRpm]/MAX(1,Table15[[#This Row],[rpm]]),1-(MAX(0,Table15[[#This Row],[rpm]]-Table36[ratedRpm])/Table36[fadeOut])^Table36[fadeOutExp]))</f>
        <v>1454.5693277310925</v>
      </c>
      <c r="W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4455.4963235294108</v>
      </c>
      <c r="X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4455.4963235294108</v>
      </c>
    </row>
    <row r="10" spans="1:26" x14ac:dyDescent="0.25">
      <c r="A10" s="3">
        <v>900</v>
      </c>
      <c r="B1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2182.0499999999997</v>
      </c>
      <c r="C10" s="20"/>
      <c r="D1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2182.0499999999997</v>
      </c>
      <c r="E10" s="20"/>
      <c r="F10" s="3">
        <f>Table36[Factor]*IF(Table15[[#This Row],[manualData]]&gt;0,Table15[[#This Row],[manualData]],Table15[[#This Row],[rawData]])</f>
        <v>2182.0499999999997</v>
      </c>
      <c r="G10" s="3">
        <f>Table36[Factor]*IF(Table15[[#This Row],[manDataEco]]&gt;0,Table15[[#This Row],[manDataEco]],Table15[[#This Row],[rawDataEco]])</f>
        <v>2182.0499999999997</v>
      </c>
      <c r="H10" s="25">
        <f>1.36*Table15[[#This Row],[rpm]]*Table15[[#This Row],[motor]]/9550</f>
        <v>279.66797905759159</v>
      </c>
      <c r="I10" s="25">
        <f>1.36*Table15[[#This Row],[rpm]]*Table15[[#This Row],[motorEco]]/9550</f>
        <v>279.66797905759159</v>
      </c>
      <c r="J1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212.33333333333331</v>
      </c>
      <c r="K1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motorTorque="2182" fuelUsageRatio="212.3"/&gt;</v>
      </c>
      <c r="L1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normRpm="0.409" torque="0.975"/&gt;</v>
      </c>
      <c r="M10" s="3">
        <f>(1-(1-Table15[[#This Row],[rpm]]/Table36[idleRpm])^2)*Table7[idleT]</f>
        <v>1007.0999999999999</v>
      </c>
      <c r="N10" s="3">
        <f>MAX(0,(1-Table7[f1]*(Table36[maxTRpm1]-Table15[[#This Row],[rpm]])^2)*Table36[maxT])</f>
        <v>2182.0499999999997</v>
      </c>
      <c r="O10" s="3">
        <f>MAX(0,(Table36[linearDown]*(1-Table7[f2]*(Table15[[#This Row],[rpm]]-Table36[maxTRpm]))+(1-Table36[linearDown])*(1-Table7[f3]*(Table15[[#This Row],[rpm]]-Table36[maxTRpm])^2))*Table36[maxT])</f>
        <v>2786.3639705882356</v>
      </c>
      <c r="P10" s="3">
        <f>MAX(0,(Table36[maxPS]-Table7[f4]*(Table15[[#This Row],[rpm]]-Table36[maxPRpm])^2)/1.36*9550/MAX(1,Table15[[#This Row],[rpm]]))</f>
        <v>0</v>
      </c>
      <c r="Q10" s="3">
        <f>MAX(0,Table7[Nm2]*MIN(Table36[ratedRpm]/MAX(1,Table15[[#This Row],[rpm]]),1-(MAX(0,Table15[[#This Row],[rpm]]-Table36[ratedRpm])/Table36[fadeOut])^Table36[fadeOutExp]))</f>
        <v>1454.5693277310925</v>
      </c>
      <c r="R10" s="3">
        <f>(1-(1-Table15[[#This Row],[rpm]]/Table36[idleRpm])^2)*Table7[idleTEco]</f>
        <v>1007.0999999999999</v>
      </c>
      <c r="S10" s="3">
        <f>MAX(0,(1-Table7[f1]*(Table36[maxTRpm1]-Table15[[#This Row],[rpm]])^2)*Table36[maxTEco])</f>
        <v>2182.0499999999997</v>
      </c>
      <c r="T10" s="3">
        <f>MAX(0,(Table36[linearDown]*(1-Table7[f2Eco]*(Table15[[#This Row],[rpm]]-Table36[maxTRpm]))+(1-Table36[linearDown])*(1-Table7[f3Eco]*(Table15[[#This Row],[rpm]]-Table36[maxTRpm])^2))*Table36[maxTEco])</f>
        <v>2786.3639705882356</v>
      </c>
      <c r="U10" s="3">
        <f>MAX(0,(Table36[maxPSEco]-Table7[f4Eco]*(Table15[[#This Row],[rpm]]-Table36[maxPRpm])^2)/1.36*9550/MAX(1,Table15[[#This Row],[rpm]]))</f>
        <v>0</v>
      </c>
      <c r="V10" s="3">
        <f>MAX(0,Table7[Nm2Eco]*MIN(Table36[ratedRpm]/MAX(1,Table15[[#This Row],[rpm]]),1-(MAX(0,Table15[[#This Row],[rpm]]-Table36[ratedRpm])/Table36[fadeOut])^Table36[fadeOutExp]))</f>
        <v>1454.5693277310925</v>
      </c>
      <c r="W1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3472.4080882352937</v>
      </c>
      <c r="X1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3472.4080882352937</v>
      </c>
    </row>
    <row r="11" spans="1:26" x14ac:dyDescent="0.25">
      <c r="A11" s="3">
        <v>1000</v>
      </c>
      <c r="B1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2238</v>
      </c>
      <c r="C11" s="20"/>
      <c r="D1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2238</v>
      </c>
      <c r="E11" s="20"/>
      <c r="F11" s="3">
        <f>Table36[Factor]*IF(Table15[[#This Row],[manualData]]&gt;0,Table15[[#This Row],[manualData]],Table15[[#This Row],[rawData]])</f>
        <v>2238</v>
      </c>
      <c r="G11" s="3">
        <f>Table36[Factor]*IF(Table15[[#This Row],[manDataEco]]&gt;0,Table15[[#This Row],[manDataEco]],Table15[[#This Row],[rawDataEco]])</f>
        <v>2238</v>
      </c>
      <c r="H11" s="25">
        <f>1.36*Table15[[#This Row],[rpm]]*Table15[[#This Row],[motor]]/9550</f>
        <v>318.70994764397904</v>
      </c>
      <c r="I11" s="25">
        <f>1.36*Table15[[#This Row],[rpm]]*Table15[[#This Row],[motorEco]]/9550</f>
        <v>318.70994764397904</v>
      </c>
      <c r="J1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211.03703703703704</v>
      </c>
      <c r="K1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motorTorque="2238" fuelUsageRatio="211"/&gt;</v>
      </c>
      <c r="L1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normRpm="0.455" torque="1"/&gt;</v>
      </c>
      <c r="M11" s="3">
        <f>(1-(1-Table15[[#This Row],[rpm]]/Table36[idleRpm])^2)*Table7[idleT]</f>
        <v>745.99999999999989</v>
      </c>
      <c r="N11" s="3">
        <f>MAX(0,(1-Table7[f1]*(Table36[maxTRpm1]-Table15[[#This Row],[rpm]])^2)*Table36[maxT])</f>
        <v>2238</v>
      </c>
      <c r="O11" s="3">
        <f>MAX(0,(Table36[linearDown]*(1-Table7[f2]*(Table15[[#This Row],[rpm]]-Table36[maxTRpm]))+(1-Table36[linearDown])*(1-Table7[f3]*(Table15[[#This Row],[rpm]]-Table36[maxTRpm])^2))*Table36[maxT])</f>
        <v>2676.6911764705883</v>
      </c>
      <c r="P11" s="3">
        <f>MAX(0,(Table36[maxPS]-Table7[f4]*(Table15[[#This Row],[rpm]]-Table36[maxPRpm])^2)/1.36*9550/MAX(1,Table15[[#This Row],[rpm]]))</f>
        <v>0</v>
      </c>
      <c r="Q11" s="3">
        <f>MAX(0,Table7[Nm2]*MIN(Table36[ratedRpm]/MAX(1,Table15[[#This Row],[rpm]]),1-(MAX(0,Table15[[#This Row],[rpm]]-Table36[ratedRpm])/Table36[fadeOut])^Table36[fadeOutExp]))</f>
        <v>1454.5693277310925</v>
      </c>
      <c r="R11" s="3">
        <f>(1-(1-Table15[[#This Row],[rpm]]/Table36[idleRpm])^2)*Table7[idleTEco]</f>
        <v>745.99999999999989</v>
      </c>
      <c r="S11" s="3">
        <f>MAX(0,(1-Table7[f1]*(Table36[maxTRpm1]-Table15[[#This Row],[rpm]])^2)*Table36[maxTEco])</f>
        <v>2238</v>
      </c>
      <c r="T11" s="3">
        <f>MAX(0,(Table36[linearDown]*(1-Table7[f2Eco]*(Table15[[#This Row],[rpm]]-Table36[maxTRpm]))+(1-Table36[linearDown])*(1-Table7[f3Eco]*(Table15[[#This Row],[rpm]]-Table36[maxTRpm])^2))*Table36[maxTEco])</f>
        <v>2676.6911764705883</v>
      </c>
      <c r="U11" s="3">
        <f>MAX(0,(Table36[maxPSEco]-Table7[f4Eco]*(Table15[[#This Row],[rpm]]-Table36[maxPRpm])^2)/1.36*9550/MAX(1,Table15[[#This Row],[rpm]]))</f>
        <v>0</v>
      </c>
      <c r="V11" s="3">
        <f>MAX(0,Table7[Nm2Eco]*MIN(Table36[ratedRpm]/MAX(1,Table15[[#This Row],[rpm]]),1-(MAX(0,Table15[[#This Row],[rpm]]-Table36[ratedRpm])/Table36[fadeOut])^Table36[fadeOutExp]))</f>
        <v>1454.5693277310925</v>
      </c>
      <c r="W1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3128.3272058823527</v>
      </c>
      <c r="X1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3128.3272058823527</v>
      </c>
    </row>
    <row r="12" spans="1:26" x14ac:dyDescent="0.25">
      <c r="A12" s="3">
        <v>1100</v>
      </c>
      <c r="B1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2238</v>
      </c>
      <c r="C12" s="20"/>
      <c r="D1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2238</v>
      </c>
      <c r="E12" s="20"/>
      <c r="F12" s="3">
        <f>Table36[Factor]*IF(Table15[[#This Row],[manualData]]&gt;0,Table15[[#This Row],[manualData]],Table15[[#This Row],[rawData]])</f>
        <v>2238</v>
      </c>
      <c r="G12" s="3">
        <f>Table36[Factor]*IF(Table15[[#This Row],[manDataEco]]&gt;0,Table15[[#This Row],[manDataEco]],Table15[[#This Row],[rawDataEco]])</f>
        <v>2238</v>
      </c>
      <c r="H12" s="25">
        <f>1.36*Table15[[#This Row],[rpm]]*Table15[[#This Row],[motor]]/9550</f>
        <v>350.58094240837698</v>
      </c>
      <c r="I12" s="25">
        <f>1.36*Table15[[#This Row],[rpm]]*Table15[[#This Row],[motorEco]]/9550</f>
        <v>350.58094240837698</v>
      </c>
      <c r="J1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210.25925925925927</v>
      </c>
      <c r="K1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motorTorque="2238" fuelUsageRatio="210.3"/&gt;</v>
      </c>
      <c r="L1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normRpm="0.5" torque="1"/&gt;</v>
      </c>
      <c r="M12" s="3">
        <f>(1-(1-Table15[[#This Row],[rpm]]/Table36[idleRpm])^2)*Table7[idleT]</f>
        <v>410.30000000000018</v>
      </c>
      <c r="N12" s="3">
        <f>MAX(0,(1-Table7[f1]*(Table36[maxTRpm1]-Table15[[#This Row],[rpm]])^2)*Table36[maxT])</f>
        <v>2182.0499999999997</v>
      </c>
      <c r="O12" s="3">
        <f>MAX(0,(Table36[linearDown]*(1-Table7[f2]*(Table15[[#This Row],[rpm]]-Table36[maxTRpm]))+(1-Table36[linearDown])*(1-Table7[f3]*(Table15[[#This Row],[rpm]]-Table36[maxTRpm])^2))*Table36[maxT])</f>
        <v>2567.0183823529414</v>
      </c>
      <c r="P12" s="3">
        <f>MAX(0,(Table36[maxPS]-Table7[f4]*(Table15[[#This Row],[rpm]]-Table36[maxPRpm])^2)/1.36*9550/MAX(1,Table15[[#This Row],[rpm]]))</f>
        <v>0</v>
      </c>
      <c r="Q12" s="3">
        <f>MAX(0,Table7[Nm2]*MIN(Table36[ratedRpm]/MAX(1,Table15[[#This Row],[rpm]]),1-(MAX(0,Table15[[#This Row],[rpm]]-Table36[ratedRpm])/Table36[fadeOut])^Table36[fadeOutExp]))</f>
        <v>1454.5693277310925</v>
      </c>
      <c r="R12" s="3">
        <f>(1-(1-Table15[[#This Row],[rpm]]/Table36[idleRpm])^2)*Table7[idleTEco]</f>
        <v>410.30000000000018</v>
      </c>
      <c r="S12" s="3">
        <f>MAX(0,(1-Table7[f1]*(Table36[maxTRpm1]-Table15[[#This Row],[rpm]])^2)*Table36[maxTEco])</f>
        <v>2182.0499999999997</v>
      </c>
      <c r="T12" s="3">
        <f>MAX(0,(Table36[linearDown]*(1-Table7[f2Eco]*(Table15[[#This Row],[rpm]]-Table36[maxTRpm]))+(1-Table36[linearDown])*(1-Table7[f3Eco]*(Table15[[#This Row],[rpm]]-Table36[maxTRpm])^2))*Table36[maxTEco])</f>
        <v>2567.0183823529414</v>
      </c>
      <c r="U12" s="3">
        <f>MAX(0,(Table36[maxPSEco]-Table7[f4Eco]*(Table15[[#This Row],[rpm]]-Table36[maxPRpm])^2)/1.36*9550/MAX(1,Table15[[#This Row],[rpm]]))</f>
        <v>0</v>
      </c>
      <c r="V12" s="3">
        <f>MAX(0,Table7[Nm2Eco]*MIN(Table36[ratedRpm]/MAX(1,Table15[[#This Row],[rpm]]),1-(MAX(0,Table15[[#This Row],[rpm]]-Table36[ratedRpm])/Table36[fadeOut])^Table36[fadeOutExp]))</f>
        <v>1454.5693277310925</v>
      </c>
      <c r="W1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2846.8064839572189</v>
      </c>
      <c r="X1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2846.8064839572189</v>
      </c>
    </row>
    <row r="13" spans="1:26" x14ac:dyDescent="0.25">
      <c r="A13" s="3">
        <v>1200</v>
      </c>
      <c r="B1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2238</v>
      </c>
      <c r="C13" s="20"/>
      <c r="D1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2238</v>
      </c>
      <c r="E13" s="20"/>
      <c r="F13" s="3">
        <f>Table36[Factor]*IF(Table15[[#This Row],[manualData]]&gt;0,Table15[[#This Row],[manualData]],Table15[[#This Row],[rawData]])</f>
        <v>2238</v>
      </c>
      <c r="G13" s="3">
        <f>Table36[Factor]*IF(Table15[[#This Row],[manDataEco]]&gt;0,Table15[[#This Row],[manDataEco]],Table15[[#This Row],[rawDataEco]])</f>
        <v>2238</v>
      </c>
      <c r="H13" s="25">
        <f>1.36*Table15[[#This Row],[rpm]]*Table15[[#This Row],[motor]]/9550</f>
        <v>382.45193717277493</v>
      </c>
      <c r="I13" s="25">
        <f>1.36*Table15[[#This Row],[rpm]]*Table15[[#This Row],[motorEco]]/9550</f>
        <v>382.45193717277493</v>
      </c>
      <c r="J1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</v>
      </c>
      <c r="K1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motorTorque="2238" fuelUsageRatio="210"/&gt;</v>
      </c>
      <c r="L1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normRpm="0.545" torque="1"/&gt;</v>
      </c>
      <c r="M13" s="3">
        <f>(1-(1-Table15[[#This Row],[rpm]]/Table36[idleRpm])^2)*Table7[idleT]</f>
        <v>0</v>
      </c>
      <c r="N13" s="3">
        <f>MAX(0,(1-Table7[f1]*(Table36[maxTRpm1]-Table15[[#This Row],[rpm]])^2)*Table36[maxT])</f>
        <v>2014.2</v>
      </c>
      <c r="O13" s="3">
        <f>MAX(0,(Table36[linearDown]*(1-Table7[f2]*(Table15[[#This Row],[rpm]]-Table36[maxTRpm]))+(1-Table36[linearDown])*(1-Table7[f3]*(Table15[[#This Row],[rpm]]-Table36[maxTRpm])^2))*Table36[maxT])</f>
        <v>2457.3455882352941</v>
      </c>
      <c r="P13" s="3">
        <f>MAX(0,(Table36[maxPS]-Table7[f4]*(Table15[[#This Row],[rpm]]-Table36[maxPRpm])^2)/1.36*9550/MAX(1,Table15[[#This Row],[rpm]]))</f>
        <v>0</v>
      </c>
      <c r="Q13" s="3">
        <f>MAX(0,Table7[Nm2]*MIN(Table36[ratedRpm]/MAX(1,Table15[[#This Row],[rpm]]),1-(MAX(0,Table15[[#This Row],[rpm]]-Table36[ratedRpm])/Table36[fadeOut])^Table36[fadeOutExp]))</f>
        <v>1454.5693277310925</v>
      </c>
      <c r="R13" s="3">
        <f>(1-(1-Table15[[#This Row],[rpm]]/Table36[idleRpm])^2)*Table7[idleTEco]</f>
        <v>0</v>
      </c>
      <c r="S13" s="3">
        <f>MAX(0,(1-Table7[f1]*(Table36[maxTRpm1]-Table15[[#This Row],[rpm]])^2)*Table36[maxTEco])</f>
        <v>2014.2</v>
      </c>
      <c r="T13" s="3">
        <f>MAX(0,(Table36[linearDown]*(1-Table7[f2Eco]*(Table15[[#This Row],[rpm]]-Table36[maxTRpm]))+(1-Table36[linearDown])*(1-Table7[f3Eco]*(Table15[[#This Row],[rpm]]-Table36[maxTRpm])^2))*Table36[maxTEco])</f>
        <v>2457.3455882352941</v>
      </c>
      <c r="U13" s="3">
        <f>MAX(0,(Table36[maxPSEco]-Table7[f4Eco]*(Table15[[#This Row],[rpm]]-Table36[maxPRpm])^2)/1.36*9550/MAX(1,Table15[[#This Row],[rpm]]))</f>
        <v>0</v>
      </c>
      <c r="V13" s="3">
        <f>MAX(0,Table7[Nm2Eco]*MIN(Table36[ratedRpm]/MAX(1,Table15[[#This Row],[rpm]]),1-(MAX(0,Table15[[#This Row],[rpm]]-Table36[ratedRpm])/Table36[fadeOut])^Table36[fadeOutExp]))</f>
        <v>1454.5693277310925</v>
      </c>
      <c r="W1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2612.205882352941</v>
      </c>
      <c r="X1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2612.205882352941</v>
      </c>
    </row>
    <row r="14" spans="1:26" x14ac:dyDescent="0.25">
      <c r="A14" s="3">
        <v>1300</v>
      </c>
      <c r="B1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2238</v>
      </c>
      <c r="C14" s="20"/>
      <c r="D1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2238</v>
      </c>
      <c r="E14" s="20"/>
      <c r="F14" s="3">
        <f>Table36[Factor]*IF(Table15[[#This Row],[manualData]]&gt;0,Table15[[#This Row],[manualData]],Table15[[#This Row],[rawData]])</f>
        <v>2238</v>
      </c>
      <c r="G14" s="3">
        <f>Table36[Factor]*IF(Table15[[#This Row],[manDataEco]]&gt;0,Table15[[#This Row],[manDataEco]],Table15[[#This Row],[rawDataEco]])</f>
        <v>2238</v>
      </c>
      <c r="H14" s="25">
        <f>1.36*Table15[[#This Row],[rpm]]*Table15[[#This Row],[motor]]/9550</f>
        <v>414.32293193717283</v>
      </c>
      <c r="I14" s="25">
        <f>1.36*Table15[[#This Row],[rpm]]*Table15[[#This Row],[motorEco]]/9550</f>
        <v>414.32293193717283</v>
      </c>
      <c r="J1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210.28806584362141</v>
      </c>
      <c r="K1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motorTorque="2238" fuelUsageRatio="210.3"/&gt;</v>
      </c>
      <c r="L1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normRpm="0.591" torque="1"/&gt;</v>
      </c>
      <c r="M14" s="3">
        <f>(1-(1-Table15[[#This Row],[rpm]]/Table36[idleRpm])^2)*Table7[idleT]</f>
        <v>-484.89999999999947</v>
      </c>
      <c r="N14" s="3">
        <f>MAX(0,(1-Table7[f1]*(Table36[maxTRpm1]-Table15[[#This Row],[rpm]])^2)*Table36[maxT])</f>
        <v>1734.45</v>
      </c>
      <c r="O14" s="3">
        <f>MAX(0,(Table36[linearDown]*(1-Table7[f2]*(Table15[[#This Row],[rpm]]-Table36[maxTRpm]))+(1-Table36[linearDown])*(1-Table7[f3]*(Table15[[#This Row],[rpm]]-Table36[maxTRpm])^2))*Table36[maxT])</f>
        <v>2347.6727941176473</v>
      </c>
      <c r="P14" s="3">
        <f>MAX(0,(Table36[maxPS]-Table7[f4]*(Table15[[#This Row],[rpm]]-Table36[maxPRpm])^2)/1.36*9550/MAX(1,Table15[[#This Row],[rpm]]))</f>
        <v>0</v>
      </c>
      <c r="Q14" s="3">
        <f>MAX(0,Table7[Nm2]*MIN(Table36[ratedRpm]/MAX(1,Table15[[#This Row],[rpm]]),1-(MAX(0,Table15[[#This Row],[rpm]]-Table36[ratedRpm])/Table36[fadeOut])^Table36[fadeOutExp]))</f>
        <v>1454.5693277310925</v>
      </c>
      <c r="R14" s="3">
        <f>(1-(1-Table15[[#This Row],[rpm]]/Table36[idleRpm])^2)*Table7[idleTEco]</f>
        <v>-484.89999999999947</v>
      </c>
      <c r="S14" s="3">
        <f>MAX(0,(1-Table7[f1]*(Table36[maxTRpm1]-Table15[[#This Row],[rpm]])^2)*Table36[maxTEco])</f>
        <v>1734.45</v>
      </c>
      <c r="T14" s="3">
        <f>MAX(0,(Table36[linearDown]*(1-Table7[f2Eco]*(Table15[[#This Row],[rpm]]-Table36[maxTRpm]))+(1-Table36[linearDown])*(1-Table7[f3Eco]*(Table15[[#This Row],[rpm]]-Table36[maxTRpm])^2))*Table36[maxTEco])</f>
        <v>2347.6727941176473</v>
      </c>
      <c r="U14" s="3">
        <f>MAX(0,(Table36[maxPSEco]-Table7[f4Eco]*(Table15[[#This Row],[rpm]]-Table36[maxPRpm])^2)/1.36*9550/MAX(1,Table15[[#This Row],[rpm]]))</f>
        <v>0</v>
      </c>
      <c r="V14" s="3">
        <f>MAX(0,Table7[Nm2Eco]*MIN(Table36[ratedRpm]/MAX(1,Table15[[#This Row],[rpm]]),1-(MAX(0,Table15[[#This Row],[rpm]]-Table36[ratedRpm])/Table36[fadeOut])^Table36[fadeOutExp]))</f>
        <v>1454.5693277310925</v>
      </c>
      <c r="W1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2413.6976809954749</v>
      </c>
      <c r="X1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2413.6976809954749</v>
      </c>
    </row>
    <row r="15" spans="1:26" x14ac:dyDescent="0.25">
      <c r="A15" s="3">
        <v>1400</v>
      </c>
      <c r="B1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2238</v>
      </c>
      <c r="C15" s="20"/>
      <c r="D1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2238</v>
      </c>
      <c r="E15" s="20"/>
      <c r="F15" s="3">
        <f>Table36[Factor]*IF(Table15[[#This Row],[manualData]]&gt;0,Table15[[#This Row],[manualData]],Table15[[#This Row],[rawData]])</f>
        <v>2238</v>
      </c>
      <c r="G15" s="3">
        <f>Table36[Factor]*IF(Table15[[#This Row],[manDataEco]]&gt;0,Table15[[#This Row],[manDataEco]],Table15[[#This Row],[rawDataEco]])</f>
        <v>2238</v>
      </c>
      <c r="H15" s="25">
        <f>1.36*Table15[[#This Row],[rpm]]*Table15[[#This Row],[motor]]/9550</f>
        <v>446.19392670157077</v>
      </c>
      <c r="I15" s="25">
        <f>1.36*Table15[[#This Row],[rpm]]*Table15[[#This Row],[motorEco]]/9550</f>
        <v>446.19392670157077</v>
      </c>
      <c r="J1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211.15226337448559</v>
      </c>
      <c r="K1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motorTorque="2238" fuelUsageRatio="211.2"/&gt;</v>
      </c>
      <c r="L1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normRpm="0.636" torque="1"/&gt;</v>
      </c>
      <c r="M15" s="3">
        <f>(1-(1-Table15[[#This Row],[rpm]]/Table36[idleRpm])^2)*Table7[idleT]</f>
        <v>-1044.4000000000003</v>
      </c>
      <c r="N15" s="3">
        <f>MAX(0,(1-Table7[f1]*(Table36[maxTRpm1]-Table15[[#This Row],[rpm]])^2)*Table36[maxT])</f>
        <v>1342.8</v>
      </c>
      <c r="O15" s="3">
        <f>MAX(0,(Table36[linearDown]*(1-Table7[f2]*(Table15[[#This Row],[rpm]]-Table36[maxTRpm]))+(1-Table36[linearDown])*(1-Table7[f3]*(Table15[[#This Row],[rpm]]-Table36[maxTRpm])^2))*Table36[maxT])</f>
        <v>2238</v>
      </c>
      <c r="P15" s="3">
        <f>MAX(0,(Table36[maxPS]-Table7[f4]*(Table15[[#This Row],[rpm]]-Table36[maxPRpm])^2)/1.36*9550/MAX(1,Table15[[#This Row],[rpm]]))</f>
        <v>0</v>
      </c>
      <c r="Q15" s="3">
        <f>MAX(0,Table7[Nm2]*MIN(Table36[ratedRpm]/MAX(1,Table15[[#This Row],[rpm]]),1-(MAX(0,Table15[[#This Row],[rpm]]-Table36[ratedRpm])/Table36[fadeOut])^Table36[fadeOutExp]))</f>
        <v>1454.5693277310925</v>
      </c>
      <c r="R15" s="3">
        <f>(1-(1-Table15[[#This Row],[rpm]]/Table36[idleRpm])^2)*Table7[idleTEco]</f>
        <v>-1044.4000000000003</v>
      </c>
      <c r="S15" s="3">
        <f>MAX(0,(1-Table7[f1]*(Table36[maxTRpm1]-Table15[[#This Row],[rpm]])^2)*Table36[maxTEco])</f>
        <v>1342.8</v>
      </c>
      <c r="T15" s="3">
        <f>MAX(0,(Table36[linearDown]*(1-Table7[f2Eco]*(Table15[[#This Row],[rpm]]-Table36[maxTRpm]))+(1-Table36[linearDown])*(1-Table7[f3Eco]*(Table15[[#This Row],[rpm]]-Table36[maxTRpm])^2))*Table36[maxTEco])</f>
        <v>2238</v>
      </c>
      <c r="U15" s="3">
        <f>MAX(0,(Table36[maxPSEco]-Table7[f4Eco]*(Table15[[#This Row],[rpm]]-Table36[maxPRpm])^2)/1.36*9550/MAX(1,Table15[[#This Row],[rpm]]))</f>
        <v>0</v>
      </c>
      <c r="V15" s="3">
        <f>MAX(0,Table7[Nm2Eco]*MIN(Table36[ratedRpm]/MAX(1,Table15[[#This Row],[rpm]]),1-(MAX(0,Table15[[#This Row],[rpm]]-Table36[ratedRpm])/Table36[fadeOut])^Table36[fadeOutExp]))</f>
        <v>1454.5693277310925</v>
      </c>
      <c r="W1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2243.5477941176468</v>
      </c>
      <c r="X1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2243.5477941176468</v>
      </c>
    </row>
    <row r="16" spans="1:26" x14ac:dyDescent="0.25">
      <c r="A16" s="3">
        <v>1500</v>
      </c>
      <c r="B1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2096.0845588235293</v>
      </c>
      <c r="C16" s="20"/>
      <c r="D1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2096.0845588235293</v>
      </c>
      <c r="E16" s="20"/>
      <c r="F16" s="3">
        <f>Table36[Factor]*IF(Table15[[#This Row],[manualData]]&gt;0,Table15[[#This Row],[manualData]],Table15[[#This Row],[rawData]])</f>
        <v>2096.0845588235293</v>
      </c>
      <c r="G16" s="3">
        <f>Table36[Factor]*IF(Table15[[#This Row],[manDataEco]]&gt;0,Table15[[#This Row],[manDataEco]],Table15[[#This Row],[rawDataEco]])</f>
        <v>2096.0845588235293</v>
      </c>
      <c r="H16" s="25">
        <f>1.36*Table15[[#This Row],[rpm]]*Table15[[#This Row],[motor]]/9550</f>
        <v>447.75</v>
      </c>
      <c r="I16" s="25">
        <f>1.36*Table15[[#This Row],[rpm]]*Table15[[#This Row],[motorEco]]/9550</f>
        <v>447.75</v>
      </c>
      <c r="J1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212.59259259259258</v>
      </c>
      <c r="K1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motorTorque="2096" fuelUsageRatio="212.6"/&gt;</v>
      </c>
      <c r="L1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normRpm="0.682" torque="0.937"/&gt;</v>
      </c>
      <c r="M16" s="3">
        <f>(1-(1-Table15[[#This Row],[rpm]]/Table36[idleRpm])^2)*Table7[idleT]</f>
        <v>-1678.5</v>
      </c>
      <c r="N16" s="3">
        <f>MAX(0,(1-Table7[f1]*(Table36[maxTRpm1]-Table15[[#This Row],[rpm]])^2)*Table36[maxT])</f>
        <v>839.25</v>
      </c>
      <c r="O16" s="3">
        <f>MAX(0,(Table36[linearDown]*(1-Table7[f2]*(Table15[[#This Row],[rpm]]-Table36[maxTRpm]))+(1-Table36[linearDown])*(1-Table7[f3]*(Table15[[#This Row],[rpm]]-Table36[maxTRpm])^2))*Table36[maxT])</f>
        <v>2128.3272058823527</v>
      </c>
      <c r="P16" s="3">
        <f>MAX(0,(Table36[maxPS]-Table7[f4]*(Table15[[#This Row],[rpm]]-Table36[maxPRpm])^2)/1.36*9550/MAX(1,Table15[[#This Row],[rpm]]))</f>
        <v>351.10294117647055</v>
      </c>
      <c r="Q16" s="3">
        <f>MAX(0,Table7[Nm2]*MIN(Table36[ratedRpm]/MAX(1,Table15[[#This Row],[rpm]]),1-(MAX(0,Table15[[#This Row],[rpm]]-Table36[ratedRpm])/Table36[fadeOut])^Table36[fadeOutExp]))</f>
        <v>1454.5693277310925</v>
      </c>
      <c r="R16" s="3">
        <f>(1-(1-Table15[[#This Row],[rpm]]/Table36[idleRpm])^2)*Table7[idleTEco]</f>
        <v>-1678.5</v>
      </c>
      <c r="S16" s="3">
        <f>MAX(0,(1-Table7[f1]*(Table36[maxTRpm1]-Table15[[#This Row],[rpm]])^2)*Table36[maxTEco])</f>
        <v>839.25</v>
      </c>
      <c r="T16" s="3">
        <f>MAX(0,(Table36[linearDown]*(1-Table7[f2Eco]*(Table15[[#This Row],[rpm]]-Table36[maxTRpm]))+(1-Table36[linearDown])*(1-Table7[f3Eco]*(Table15[[#This Row],[rpm]]-Table36[maxTRpm])^2))*Table36[maxTEco])</f>
        <v>2128.3272058823527</v>
      </c>
      <c r="U16" s="3">
        <f>MAX(0,(Table36[maxPSEco]-Table7[f4Eco]*(Table15[[#This Row],[rpm]]-Table36[maxPRpm])^2)/1.36*9550/MAX(1,Table15[[#This Row],[rpm]]))</f>
        <v>351.10294117647055</v>
      </c>
      <c r="V16" s="3">
        <f>MAX(0,Table7[Nm2Eco]*MIN(Table36[ratedRpm]/MAX(1,Table15[[#This Row],[rpm]]),1-(MAX(0,Table15[[#This Row],[rpm]]-Table36[ratedRpm])/Table36[fadeOut])^Table36[fadeOutExp]))</f>
        <v>1454.5693277310925</v>
      </c>
      <c r="W1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2096.0845588235293</v>
      </c>
      <c r="X1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2096.0845588235293</v>
      </c>
    </row>
    <row r="17" spans="1:24" x14ac:dyDescent="0.25">
      <c r="A17" s="3">
        <v>1600</v>
      </c>
      <c r="B1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1967.0542279411766</v>
      </c>
      <c r="C17" s="20"/>
      <c r="D1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1967.0542279411766</v>
      </c>
      <c r="E17" s="20"/>
      <c r="F17" s="3">
        <f>Table36[Factor]*IF(Table15[[#This Row],[manualData]]&gt;0,Table15[[#This Row],[manualData]],Table15[[#This Row],[rawData]])</f>
        <v>1967.0542279411766</v>
      </c>
      <c r="G17" s="3">
        <f>Table36[Factor]*IF(Table15[[#This Row],[manDataEco]]&gt;0,Table15[[#This Row],[manDataEco]],Table15[[#This Row],[rawDataEco]])</f>
        <v>1967.0542279411766</v>
      </c>
      <c r="H17" s="25">
        <f>1.36*Table15[[#This Row],[rpm]]*Table15[[#This Row],[motor]]/9550</f>
        <v>448.2</v>
      </c>
      <c r="I17" s="25">
        <f>1.36*Table15[[#This Row],[rpm]]*Table15[[#This Row],[motorEco]]/9550</f>
        <v>448.2</v>
      </c>
      <c r="J1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214.60905349794237</v>
      </c>
      <c r="K1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motorTorque="1967" fuelUsageRatio="214.6"/&gt;</v>
      </c>
      <c r="L1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normRpm="0.727" torque="0.879"/&gt;</v>
      </c>
      <c r="M17" s="3">
        <f>(1-(1-Table15[[#This Row],[rpm]]/Table36[idleRpm])^2)*Table7[idleT]</f>
        <v>-2387.1999999999994</v>
      </c>
      <c r="N17" s="3">
        <f>MAX(0,(1-Table7[f1]*(Table36[maxTRpm1]-Table15[[#This Row],[rpm]])^2)*Table36[maxT])</f>
        <v>223.79999999999995</v>
      </c>
      <c r="O17" s="3">
        <f>MAX(0,(Table36[linearDown]*(1-Table7[f2]*(Table15[[#This Row],[rpm]]-Table36[maxTRpm]))+(1-Table36[linearDown])*(1-Table7[f3]*(Table15[[#This Row],[rpm]]-Table36[maxTRpm])^2))*Table36[maxT])</f>
        <v>2018.6544117647059</v>
      </c>
      <c r="P17" s="3">
        <f>MAX(0,(Table36[maxPS]-Table7[f4]*(Table15[[#This Row],[rpm]]-Table36[maxPRpm])^2)/1.36*9550/MAX(1,Table15[[#This Row],[rpm]]))</f>
        <v>921.64522058823525</v>
      </c>
      <c r="Q17" s="3">
        <f>MAX(0,Table7[Nm2]*MIN(Table36[ratedRpm]/MAX(1,Table15[[#This Row],[rpm]]),1-(MAX(0,Table15[[#This Row],[rpm]]-Table36[ratedRpm])/Table36[fadeOut])^Table36[fadeOutExp]))</f>
        <v>1454.5693277310925</v>
      </c>
      <c r="R17" s="3">
        <f>(1-(1-Table15[[#This Row],[rpm]]/Table36[idleRpm])^2)*Table7[idleTEco]</f>
        <v>-2387.1999999999994</v>
      </c>
      <c r="S17" s="3">
        <f>MAX(0,(1-Table7[f1]*(Table36[maxTRpm1]-Table15[[#This Row],[rpm]])^2)*Table36[maxTEco])</f>
        <v>223.79999999999995</v>
      </c>
      <c r="T17" s="3">
        <f>MAX(0,(Table36[linearDown]*(1-Table7[f2Eco]*(Table15[[#This Row],[rpm]]-Table36[maxTRpm]))+(1-Table36[linearDown])*(1-Table7[f3Eco]*(Table15[[#This Row],[rpm]]-Table36[maxTRpm])^2))*Table36[maxTEco])</f>
        <v>2018.6544117647059</v>
      </c>
      <c r="U17" s="3">
        <f>MAX(0,(Table36[maxPSEco]-Table7[f4Eco]*(Table15[[#This Row],[rpm]]-Table36[maxPRpm])^2)/1.36*9550/MAX(1,Table15[[#This Row],[rpm]]))</f>
        <v>921.64522058823525</v>
      </c>
      <c r="V17" s="3">
        <f>MAX(0,Table7[Nm2Eco]*MIN(Table36[ratedRpm]/MAX(1,Table15[[#This Row],[rpm]]),1-(MAX(0,Table15[[#This Row],[rpm]]-Table36[ratedRpm])/Table36[fadeOut])^Table36[fadeOutExp]))</f>
        <v>1454.5693277310925</v>
      </c>
      <c r="W1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1967.0542279411766</v>
      </c>
      <c r="X1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1967.0542279411766</v>
      </c>
    </row>
    <row r="18" spans="1:24" x14ac:dyDescent="0.25">
      <c r="A18" s="3">
        <v>1700</v>
      </c>
      <c r="B1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1853.2039359861587</v>
      </c>
      <c r="C18" s="20"/>
      <c r="D1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1853.2039359861587</v>
      </c>
      <c r="E18" s="20"/>
      <c r="F18" s="3">
        <f>Table36[Factor]*IF(Table15[[#This Row],[manualData]]&gt;0,Table15[[#This Row],[manualData]],Table15[[#This Row],[rawData]])</f>
        <v>1853.2039359861587</v>
      </c>
      <c r="G18" s="3">
        <f>Table36[Factor]*IF(Table15[[#This Row],[manDataEco]]&gt;0,Table15[[#This Row],[manDataEco]],Table15[[#This Row],[rawDataEco]])</f>
        <v>1853.2039359861587</v>
      </c>
      <c r="H18" s="25">
        <f>1.36*Table15[[#This Row],[rpm]]*Table15[[#This Row],[motor]]/9550</f>
        <v>448.64999999999992</v>
      </c>
      <c r="I18" s="25">
        <f>1.36*Table15[[#This Row],[rpm]]*Table15[[#This Row],[motorEco]]/9550</f>
        <v>448.64999999999992</v>
      </c>
      <c r="J1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217.20164609053498</v>
      </c>
      <c r="K1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motorTorque="1853" fuelUsageRatio="217.2"/&gt;</v>
      </c>
      <c r="L1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normRpm="0.773" torque="0.828"/&gt;</v>
      </c>
      <c r="M18" s="3">
        <f>(1-(1-Table15[[#This Row],[rpm]]/Table36[idleRpm])^2)*Table7[idleT]</f>
        <v>-3170.5000000000005</v>
      </c>
      <c r="N18" s="3">
        <f>MAX(0,(1-Table7[f1]*(Table36[maxTRpm1]-Table15[[#This Row],[rpm]])^2)*Table36[maxT])</f>
        <v>0</v>
      </c>
      <c r="O18" s="3">
        <f>MAX(0,(Table36[linearDown]*(1-Table7[f2]*(Table15[[#This Row],[rpm]]-Table36[maxTRpm]))+(1-Table36[linearDown])*(1-Table7[f3]*(Table15[[#This Row],[rpm]]-Table36[maxTRpm])^2))*Table36[maxT])</f>
        <v>1908.9816176470588</v>
      </c>
      <c r="P18" s="3">
        <f>MAX(0,(Table36[maxPS]-Table7[f4]*(Table15[[#This Row],[rpm]]-Table36[maxPRpm])^2)/1.36*9550/MAX(1,Table15[[#This Row],[rpm]]))</f>
        <v>1301.146193771626</v>
      </c>
      <c r="Q18" s="3">
        <f>MAX(0,Table7[Nm2]*MIN(Table36[ratedRpm]/MAX(1,Table15[[#This Row],[rpm]]),1-(MAX(0,Table15[[#This Row],[rpm]]-Table36[ratedRpm])/Table36[fadeOut])^Table36[fadeOutExp]))</f>
        <v>1454.5693277310925</v>
      </c>
      <c r="R18" s="3">
        <f>(1-(1-Table15[[#This Row],[rpm]]/Table36[idleRpm])^2)*Table7[idleTEco]</f>
        <v>-3170.5000000000005</v>
      </c>
      <c r="S18" s="3">
        <f>MAX(0,(1-Table7[f1]*(Table36[maxTRpm1]-Table15[[#This Row],[rpm]])^2)*Table36[maxTEco])</f>
        <v>0</v>
      </c>
      <c r="T18" s="3">
        <f>MAX(0,(Table36[linearDown]*(1-Table7[f2Eco]*(Table15[[#This Row],[rpm]]-Table36[maxTRpm]))+(1-Table36[linearDown])*(1-Table7[f3Eco]*(Table15[[#This Row],[rpm]]-Table36[maxTRpm])^2))*Table36[maxTEco])</f>
        <v>1908.9816176470588</v>
      </c>
      <c r="U18" s="3">
        <f>MAX(0,(Table36[maxPSEco]-Table7[f4Eco]*(Table15[[#This Row],[rpm]]-Table36[maxPRpm])^2)/1.36*9550/MAX(1,Table15[[#This Row],[rpm]]))</f>
        <v>1301.146193771626</v>
      </c>
      <c r="V18" s="3">
        <f>MAX(0,Table7[Nm2Eco]*MIN(Table36[ratedRpm]/MAX(1,Table15[[#This Row],[rpm]]),1-(MAX(0,Table15[[#This Row],[rpm]]-Table36[ratedRpm])/Table36[fadeOut])^Table36[fadeOutExp]))</f>
        <v>1454.5693277310925</v>
      </c>
      <c r="W1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1853.2039359861587</v>
      </c>
      <c r="X1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1853.2039359861587</v>
      </c>
    </row>
    <row r="19" spans="1:24" x14ac:dyDescent="0.25">
      <c r="A19" s="3">
        <v>1800</v>
      </c>
      <c r="B1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1752.0036764705883</v>
      </c>
      <c r="C19" s="20"/>
      <c r="D1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1752.0036764705883</v>
      </c>
      <c r="E19" s="20"/>
      <c r="F19" s="3">
        <f>Table36[Factor]*IF(Table15[[#This Row],[manualData]]&gt;0,Table15[[#This Row],[manualData]],Table15[[#This Row],[rawData]])</f>
        <v>1752.0036764705883</v>
      </c>
      <c r="G19" s="3">
        <f>Table36[Factor]*IF(Table15[[#This Row],[manDataEco]]&gt;0,Table15[[#This Row],[manDataEco]],Table15[[#This Row],[rawDataEco]])</f>
        <v>1752.0036764705883</v>
      </c>
      <c r="H19" s="25">
        <f>1.36*Table15[[#This Row],[rpm]]*Table15[[#This Row],[motor]]/9550</f>
        <v>449.1</v>
      </c>
      <c r="I19" s="25">
        <f>1.36*Table15[[#This Row],[rpm]]*Table15[[#This Row],[motorEco]]/9550</f>
        <v>449.1</v>
      </c>
      <c r="J1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220.37037037037035</v>
      </c>
      <c r="K1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motorTorque="1752" fuelUsageRatio="220.4"/&gt;</v>
      </c>
      <c r="L1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normRpm="0.818" torque="0.783"/&gt;</v>
      </c>
      <c r="M19" s="3">
        <f>(1-(1-Table15[[#This Row],[rpm]]/Table36[idleRpm])^2)*Table7[idleT]</f>
        <v>-4028.3999999999996</v>
      </c>
      <c r="N19" s="3">
        <f>MAX(0,(1-Table7[f1]*(Table36[maxTRpm1]-Table15[[#This Row],[rpm]])^2)*Table36[maxT])</f>
        <v>0</v>
      </c>
      <c r="O19" s="3">
        <f>MAX(0,(Table36[linearDown]*(1-Table7[f2]*(Table15[[#This Row],[rpm]]-Table36[maxTRpm]))+(1-Table36[linearDown])*(1-Table7[f3]*(Table15[[#This Row],[rpm]]-Table36[maxTRpm])^2))*Table36[maxT])</f>
        <v>1799.3088235294117</v>
      </c>
      <c r="P19" s="3">
        <f>MAX(0,(Table36[maxPS]-Table7[f4]*(Table15[[#This Row],[rpm]]-Table36[maxPRpm])^2)/1.36*9550/MAX(1,Table15[[#This Row],[rpm]]))</f>
        <v>1521.4460784313724</v>
      </c>
      <c r="Q19" s="3">
        <f>MAX(0,Table7[Nm2]*MIN(Table36[ratedRpm]/MAX(1,Table15[[#This Row],[rpm]]),1-(MAX(0,Table15[[#This Row],[rpm]]-Table36[ratedRpm])/Table36[fadeOut])^Table36[fadeOutExp]))</f>
        <v>1454.5693277310925</v>
      </c>
      <c r="R19" s="3">
        <f>(1-(1-Table15[[#This Row],[rpm]]/Table36[idleRpm])^2)*Table7[idleTEco]</f>
        <v>-4028.3999999999996</v>
      </c>
      <c r="S19" s="3">
        <f>MAX(0,(1-Table7[f1]*(Table36[maxTRpm1]-Table15[[#This Row],[rpm]])^2)*Table36[maxTEco])</f>
        <v>0</v>
      </c>
      <c r="T19" s="3">
        <f>MAX(0,(Table36[linearDown]*(1-Table7[f2Eco]*(Table15[[#This Row],[rpm]]-Table36[maxTRpm]))+(1-Table36[linearDown])*(1-Table7[f3Eco]*(Table15[[#This Row],[rpm]]-Table36[maxTRpm])^2))*Table36[maxTEco])</f>
        <v>1799.3088235294117</v>
      </c>
      <c r="U19" s="3">
        <f>MAX(0,(Table36[maxPSEco]-Table7[f4Eco]*(Table15[[#This Row],[rpm]]-Table36[maxPRpm])^2)/1.36*9550/MAX(1,Table15[[#This Row],[rpm]]))</f>
        <v>1521.4460784313724</v>
      </c>
      <c r="V19" s="3">
        <f>MAX(0,Table7[Nm2Eco]*MIN(Table36[ratedRpm]/MAX(1,Table15[[#This Row],[rpm]]),1-(MAX(0,Table15[[#This Row],[rpm]]-Table36[ratedRpm])/Table36[fadeOut])^Table36[fadeOutExp]))</f>
        <v>1454.5693277310925</v>
      </c>
      <c r="W1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1752.0036764705883</v>
      </c>
      <c r="X1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1752.0036764705883</v>
      </c>
    </row>
    <row r="20" spans="1:24" x14ac:dyDescent="0.25">
      <c r="A20" s="3">
        <v>1850</v>
      </c>
      <c r="B2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1705.5062599364069</v>
      </c>
      <c r="C20" s="20"/>
      <c r="D2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1705.5062599364069</v>
      </c>
      <c r="E20" s="20"/>
      <c r="F20" s="3">
        <f>Table36[Factor]*IF(Table15[[#This Row],[manualData]]&gt;0,Table15[[#This Row],[manualData]],Table15[[#This Row],[rawData]])</f>
        <v>1705.5062599364069</v>
      </c>
      <c r="G20" s="3">
        <f>Table36[Factor]*IF(Table15[[#This Row],[manDataEco]]&gt;0,Table15[[#This Row],[manDataEco]],Table15[[#This Row],[rawDataEco]])</f>
        <v>1705.5062599364069</v>
      </c>
      <c r="H20" s="25">
        <f>1.36*Table15[[#This Row],[rpm]]*Table15[[#This Row],[motor]]/9550</f>
        <v>449.32499999999999</v>
      </c>
      <c r="I20" s="25">
        <f>1.36*Table15[[#This Row],[rpm]]*Table15[[#This Row],[motorEco]]/9550</f>
        <v>449.32499999999999</v>
      </c>
      <c r="J2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222.17078189300412</v>
      </c>
      <c r="K2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motorTorque="1706" fuelUsageRatio="222.2"/&gt;</v>
      </c>
      <c r="L2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normRpm="0.841" torque="0.762"/&gt;</v>
      </c>
      <c r="M20" s="3">
        <f>(1-(1-Table15[[#This Row],[rpm]]/Table36[idleRpm])^2)*Table7[idleT]</f>
        <v>-4485.3250000000007</v>
      </c>
      <c r="N20" s="3">
        <f>MAX(0,(1-Table7[f1]*(Table36[maxTRpm1]-Table15[[#This Row],[rpm]])^2)*Table36[maxT])</f>
        <v>0</v>
      </c>
      <c r="O20" s="3">
        <f>MAX(0,(Table36[linearDown]*(1-Table7[f2]*(Table15[[#This Row],[rpm]]-Table36[maxTRpm]))+(1-Table36[linearDown])*(1-Table7[f3]*(Table15[[#This Row],[rpm]]-Table36[maxTRpm])^2))*Table36[maxT])</f>
        <v>1744.4724264705881</v>
      </c>
      <c r="P20" s="3">
        <f>MAX(0,(Table36[maxPS]-Table7[f4]*(Table15[[#This Row],[rpm]]-Table36[maxPRpm])^2)/1.36*9550/MAX(1,Table15[[#This Row],[rpm]]))</f>
        <v>1579.9632352941176</v>
      </c>
      <c r="Q20" s="3">
        <f>MAX(0,Table7[Nm2]*MIN(Table36[ratedRpm]/MAX(1,Table15[[#This Row],[rpm]]),1-(MAX(0,Table15[[#This Row],[rpm]]-Table36[ratedRpm])/Table36[fadeOut])^Table36[fadeOutExp]))</f>
        <v>1454.5693277310925</v>
      </c>
      <c r="R20" s="3">
        <f>(1-(1-Table15[[#This Row],[rpm]]/Table36[idleRpm])^2)*Table7[idleTEco]</f>
        <v>-4485.3250000000007</v>
      </c>
      <c r="S20" s="3">
        <f>MAX(0,(1-Table7[f1]*(Table36[maxTRpm1]-Table15[[#This Row],[rpm]])^2)*Table36[maxTEco])</f>
        <v>0</v>
      </c>
      <c r="T20" s="3">
        <f>MAX(0,(Table36[linearDown]*(1-Table7[f2Eco]*(Table15[[#This Row],[rpm]]-Table36[maxTRpm]))+(1-Table36[linearDown])*(1-Table7[f3Eco]*(Table15[[#This Row],[rpm]]-Table36[maxTRpm])^2))*Table36[maxTEco])</f>
        <v>1744.4724264705881</v>
      </c>
      <c r="U20" s="3">
        <f>MAX(0,(Table36[maxPSEco]-Table7[f4Eco]*(Table15[[#This Row],[rpm]]-Table36[maxPRpm])^2)/1.36*9550/MAX(1,Table15[[#This Row],[rpm]]))</f>
        <v>1579.9632352941176</v>
      </c>
      <c r="V20" s="3">
        <f>MAX(0,Table7[Nm2Eco]*MIN(Table36[ratedRpm]/MAX(1,Table15[[#This Row],[rpm]]),1-(MAX(0,Table15[[#This Row],[rpm]]-Table36[ratedRpm])/Table36[fadeOut])^Table36[fadeOutExp]))</f>
        <v>1454.5693277310925</v>
      </c>
      <c r="W2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1705.5062599364069</v>
      </c>
      <c r="X2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1705.5062599364069</v>
      </c>
    </row>
    <row r="21" spans="1:24" x14ac:dyDescent="0.25">
      <c r="A21" s="3">
        <v>1900</v>
      </c>
      <c r="B2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1661.4560758513928</v>
      </c>
      <c r="C21" s="20"/>
      <c r="D2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1661.4560758513928</v>
      </c>
      <c r="E21" s="20"/>
      <c r="F21" s="3">
        <f>Table36[Factor]*IF(Table15[[#This Row],[manualData]]&gt;0,Table15[[#This Row],[manualData]],Table15[[#This Row],[rawData]])</f>
        <v>1661.4560758513928</v>
      </c>
      <c r="G21" s="3">
        <f>Table36[Factor]*IF(Table15[[#This Row],[manDataEco]]&gt;0,Table15[[#This Row],[manDataEco]],Table15[[#This Row],[rawDataEco]])</f>
        <v>1661.4560758513928</v>
      </c>
      <c r="H21" s="25">
        <f>1.36*Table15[[#This Row],[rpm]]*Table15[[#This Row],[motor]]/9550</f>
        <v>449.5499999999999</v>
      </c>
      <c r="I21" s="25">
        <f>1.36*Table15[[#This Row],[rpm]]*Table15[[#This Row],[motorEco]]/9550</f>
        <v>449.5499999999999</v>
      </c>
      <c r="J2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224.11522633744855</v>
      </c>
      <c r="K2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motorTorque="1661" fuelUsageRatio="224.1"/&gt;</v>
      </c>
      <c r="L2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normRpm="0.864" torque="0.742"/&gt;</v>
      </c>
      <c r="M21" s="3">
        <f>(1-(1-Table15[[#This Row],[rpm]]/Table36[idleRpm])^2)*Table7[idleT]</f>
        <v>-4960.8999999999987</v>
      </c>
      <c r="N21" s="3">
        <f>MAX(0,(1-Table7[f1]*(Table36[maxTRpm1]-Table15[[#This Row],[rpm]])^2)*Table36[maxT])</f>
        <v>0</v>
      </c>
      <c r="O21" s="3">
        <f>MAX(0,(Table36[linearDown]*(1-Table7[f2]*(Table15[[#This Row],[rpm]]-Table36[maxTRpm]))+(1-Table36[linearDown])*(1-Table7[f3]*(Table15[[#This Row],[rpm]]-Table36[maxTRpm])^2))*Table36[maxT])</f>
        <v>1689.6360294117646</v>
      </c>
      <c r="P21" s="3">
        <f>MAX(0,(Table36[maxPS]-Table7[f4]*(Table15[[#This Row],[rpm]]-Table36[maxPRpm])^2)/1.36*9550/MAX(1,Table15[[#This Row],[rpm]]))</f>
        <v>1607.6818885448915</v>
      </c>
      <c r="Q21" s="3">
        <f>MAX(0,Table7[Nm2]*MIN(Table36[ratedRpm]/MAX(1,Table15[[#This Row],[rpm]]),1-(MAX(0,Table15[[#This Row],[rpm]]-Table36[ratedRpm])/Table36[fadeOut])^Table36[fadeOutExp]))</f>
        <v>1454.5693277310925</v>
      </c>
      <c r="R21" s="3">
        <f>(1-(1-Table15[[#This Row],[rpm]]/Table36[idleRpm])^2)*Table7[idleTEco]</f>
        <v>-4960.8999999999987</v>
      </c>
      <c r="S21" s="3">
        <f>MAX(0,(1-Table7[f1]*(Table36[maxTRpm1]-Table15[[#This Row],[rpm]])^2)*Table36[maxTEco])</f>
        <v>0</v>
      </c>
      <c r="T21" s="3">
        <f>MAX(0,(Table36[linearDown]*(1-Table7[f2Eco]*(Table15[[#This Row],[rpm]]-Table36[maxTRpm]))+(1-Table36[linearDown])*(1-Table7[f3Eco]*(Table15[[#This Row],[rpm]]-Table36[maxTRpm])^2))*Table36[maxTEco])</f>
        <v>1689.6360294117646</v>
      </c>
      <c r="U21" s="3">
        <f>MAX(0,(Table36[maxPSEco]-Table7[f4Eco]*(Table15[[#This Row],[rpm]]-Table36[maxPRpm])^2)/1.36*9550/MAX(1,Table15[[#This Row],[rpm]]))</f>
        <v>1607.6818885448915</v>
      </c>
      <c r="V21" s="3">
        <f>MAX(0,Table7[Nm2Eco]*MIN(Table36[ratedRpm]/MAX(1,Table15[[#This Row],[rpm]]),1-(MAX(0,Table15[[#This Row],[rpm]]-Table36[ratedRpm])/Table36[fadeOut])^Table36[fadeOutExp]))</f>
        <v>1454.5693277310925</v>
      </c>
      <c r="W2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1661.4560758513928</v>
      </c>
      <c r="X2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1661.4560758513928</v>
      </c>
    </row>
    <row r="22" spans="1:24" x14ac:dyDescent="0.25">
      <c r="A22" s="3">
        <v>1950</v>
      </c>
      <c r="B2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1619.6648755656108</v>
      </c>
      <c r="C22" s="20"/>
      <c r="D2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1619.6648755656108</v>
      </c>
      <c r="E22" s="20"/>
      <c r="F22" s="3">
        <f>Table36[Factor]*IF(Table15[[#This Row],[manualData]]&gt;0,Table15[[#This Row],[manualData]],Table15[[#This Row],[rawData]])</f>
        <v>1619.6648755656108</v>
      </c>
      <c r="G22" s="3">
        <f>Table36[Factor]*IF(Table15[[#This Row],[manDataEco]]&gt;0,Table15[[#This Row],[manDataEco]],Table15[[#This Row],[rawDataEco]])</f>
        <v>1619.6648755656108</v>
      </c>
      <c r="H22" s="25">
        <f>1.36*Table15[[#This Row],[rpm]]*Table15[[#This Row],[motor]]/9550</f>
        <v>449.77499999999998</v>
      </c>
      <c r="I22" s="25">
        <f>1.36*Table15[[#This Row],[rpm]]*Table15[[#This Row],[motorEco]]/9550</f>
        <v>449.77499999999998</v>
      </c>
      <c r="J2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226.2037037037037</v>
      </c>
      <c r="K2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motorTorque="1620" fuelUsageRatio="226.2"/&gt;</v>
      </c>
      <c r="L2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normRpm="0.886" torque="0.724"/&gt;</v>
      </c>
      <c r="M22" s="3">
        <f>(1-(1-Table15[[#This Row],[rpm]]/Table36[idleRpm])^2)*Table7[idleT]</f>
        <v>-5455.125</v>
      </c>
      <c r="N22" s="3">
        <f>MAX(0,(1-Table7[f1]*(Table36[maxTRpm1]-Table15[[#This Row],[rpm]])^2)*Table36[maxT])</f>
        <v>0</v>
      </c>
      <c r="O22" s="3">
        <f>MAX(0,(Table36[linearDown]*(1-Table7[f2]*(Table15[[#This Row],[rpm]]-Table36[maxTRpm]))+(1-Table36[linearDown])*(1-Table7[f3]*(Table15[[#This Row],[rpm]]-Table36[maxTRpm])^2))*Table36[maxT])</f>
        <v>1634.799632352941</v>
      </c>
      <c r="P22" s="3">
        <f>MAX(0,(Table36[maxPS]-Table7[f4]*(Table15[[#This Row],[rpm]]-Table36[maxPRpm])^2)/1.36*9550/MAX(1,Table15[[#This Row],[rpm]]))</f>
        <v>1606.9711538461538</v>
      </c>
      <c r="Q22" s="3">
        <f>MAX(0,Table7[Nm2]*MIN(Table36[ratedRpm]/MAX(1,Table15[[#This Row],[rpm]]),1-(MAX(0,Table15[[#This Row],[rpm]]-Table36[ratedRpm])/Table36[fadeOut])^Table36[fadeOutExp]))</f>
        <v>1454.5693277310925</v>
      </c>
      <c r="R22" s="3">
        <f>(1-(1-Table15[[#This Row],[rpm]]/Table36[idleRpm])^2)*Table7[idleTEco]</f>
        <v>-5455.125</v>
      </c>
      <c r="S22" s="3">
        <f>MAX(0,(1-Table7[f1]*(Table36[maxTRpm1]-Table15[[#This Row],[rpm]])^2)*Table36[maxTEco])</f>
        <v>0</v>
      </c>
      <c r="T22" s="3">
        <f>MAX(0,(Table36[linearDown]*(1-Table7[f2Eco]*(Table15[[#This Row],[rpm]]-Table36[maxTRpm]))+(1-Table36[linearDown])*(1-Table7[f3Eco]*(Table15[[#This Row],[rpm]]-Table36[maxTRpm])^2))*Table36[maxTEco])</f>
        <v>1634.799632352941</v>
      </c>
      <c r="U22" s="3">
        <f>MAX(0,(Table36[maxPSEco]-Table7[f4Eco]*(Table15[[#This Row],[rpm]]-Table36[maxPRpm])^2)/1.36*9550/MAX(1,Table15[[#This Row],[rpm]]))</f>
        <v>1606.9711538461538</v>
      </c>
      <c r="V22" s="3">
        <f>MAX(0,Table7[Nm2Eco]*MIN(Table36[ratedRpm]/MAX(1,Table15[[#This Row],[rpm]]),1-(MAX(0,Table15[[#This Row],[rpm]]-Table36[ratedRpm])/Table36[fadeOut])^Table36[fadeOutExp]))</f>
        <v>1454.5693277310925</v>
      </c>
      <c r="W2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1619.6648755656108</v>
      </c>
      <c r="X2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1619.6648755656108</v>
      </c>
    </row>
    <row r="23" spans="1:24" x14ac:dyDescent="0.25">
      <c r="A23" s="3">
        <v>2000</v>
      </c>
      <c r="B2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1579.9632352941176</v>
      </c>
      <c r="C23" s="20"/>
      <c r="D2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1579.9632352941176</v>
      </c>
      <c r="E23" s="20"/>
      <c r="F23" s="3">
        <f>Table36[Factor]*IF(Table15[[#This Row],[manualData]]&gt;0,Table15[[#This Row],[manualData]],Table15[[#This Row],[rawData]])</f>
        <v>1579.9632352941176</v>
      </c>
      <c r="G23" s="3">
        <f>Table36[Factor]*IF(Table15[[#This Row],[manDataEco]]&gt;0,Table15[[#This Row],[manDataEco]],Table15[[#This Row],[rawDataEco]])</f>
        <v>1579.9632352941176</v>
      </c>
      <c r="H23" s="25">
        <f>1.36*Table15[[#This Row],[rpm]]*Table15[[#This Row],[motor]]/9550</f>
        <v>450</v>
      </c>
      <c r="I23" s="25">
        <f>1.36*Table15[[#This Row],[rpm]]*Table15[[#This Row],[motorEco]]/9550</f>
        <v>450</v>
      </c>
      <c r="J2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228.43621399176953</v>
      </c>
      <c r="K2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motorTorque="1580" fuelUsageRatio="228.4"/&gt;</v>
      </c>
      <c r="L2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normRpm="0.909" torque="0.706"/&gt;</v>
      </c>
      <c r="M23" s="3">
        <f>(1-(1-Table15[[#This Row],[rpm]]/Table36[idleRpm])^2)*Table7[idleT]</f>
        <v>-5968.0000000000009</v>
      </c>
      <c r="N23" s="3">
        <f>MAX(0,(1-Table7[f1]*(Table36[maxTRpm1]-Table15[[#This Row],[rpm]])^2)*Table36[maxT])</f>
        <v>0</v>
      </c>
      <c r="O23" s="3">
        <f>MAX(0,(Table36[linearDown]*(1-Table7[f2]*(Table15[[#This Row],[rpm]]-Table36[maxTRpm]))+(1-Table36[linearDown])*(1-Table7[f3]*(Table15[[#This Row],[rpm]]-Table36[maxTRpm])^2))*Table36[maxT])</f>
        <v>1579.9632352941176</v>
      </c>
      <c r="P23" s="3">
        <f>MAX(0,(Table36[maxPS]-Table7[f4]*(Table15[[#This Row],[rpm]]-Table36[maxPRpm])^2)/1.36*9550/MAX(1,Table15[[#This Row],[rpm]]))</f>
        <v>1579.9632352941176</v>
      </c>
      <c r="Q23" s="3">
        <f>MAX(0,Table7[Nm2]*MIN(Table36[ratedRpm]/MAX(1,Table15[[#This Row],[rpm]]),1-(MAX(0,Table15[[#This Row],[rpm]]-Table36[ratedRpm])/Table36[fadeOut])^Table36[fadeOutExp]))</f>
        <v>1454.5693277310925</v>
      </c>
      <c r="R23" s="3">
        <f>(1-(1-Table15[[#This Row],[rpm]]/Table36[idleRpm])^2)*Table7[idleTEco]</f>
        <v>-5968.0000000000009</v>
      </c>
      <c r="S23" s="3">
        <f>MAX(0,(1-Table7[f1]*(Table36[maxTRpm1]-Table15[[#This Row],[rpm]])^2)*Table36[maxTEco])</f>
        <v>0</v>
      </c>
      <c r="T23" s="3">
        <f>MAX(0,(Table36[linearDown]*(1-Table7[f2Eco]*(Table15[[#This Row],[rpm]]-Table36[maxTRpm]))+(1-Table36[linearDown])*(1-Table7[f3Eco]*(Table15[[#This Row],[rpm]]-Table36[maxTRpm])^2))*Table36[maxTEco])</f>
        <v>1579.9632352941176</v>
      </c>
      <c r="U23" s="3">
        <f>MAX(0,(Table36[maxPSEco]-Table7[f4Eco]*(Table15[[#This Row],[rpm]]-Table36[maxPRpm])^2)/1.36*9550/MAX(1,Table15[[#This Row],[rpm]]))</f>
        <v>1579.9632352941176</v>
      </c>
      <c r="V23" s="3">
        <f>MAX(0,Table7[Nm2Eco]*MIN(Table36[ratedRpm]/MAX(1,Table15[[#This Row],[rpm]]),1-(MAX(0,Table15[[#This Row],[rpm]]-Table36[ratedRpm])/Table36[fadeOut])^Table36[fadeOutExp]))</f>
        <v>1454.5693277310925</v>
      </c>
      <c r="W2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1579.9632352941176</v>
      </c>
      <c r="X2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1579.9632352941176</v>
      </c>
    </row>
    <row r="24" spans="1:24" x14ac:dyDescent="0.25">
      <c r="A24" s="3">
        <v>2050</v>
      </c>
      <c r="B2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1528.5823170731708</v>
      </c>
      <c r="C24" s="20"/>
      <c r="D2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1528.5823170731708</v>
      </c>
      <c r="E24" s="20"/>
      <c r="F24" s="3">
        <f>Table36[Factor]*IF(Table15[[#This Row],[manualData]]&gt;0,Table15[[#This Row],[manualData]],Table15[[#This Row],[rawData]])</f>
        <v>1528.5823170731708</v>
      </c>
      <c r="G24" s="3">
        <f>Table36[Factor]*IF(Table15[[#This Row],[manDataEco]]&gt;0,Table15[[#This Row],[manDataEco]],Table15[[#This Row],[rawDataEco]])</f>
        <v>1528.5823170731708</v>
      </c>
      <c r="H24" s="25">
        <f>1.36*Table15[[#This Row],[rpm]]*Table15[[#This Row],[motor]]/9550</f>
        <v>446.25</v>
      </c>
      <c r="I24" s="25">
        <f>1.36*Table15[[#This Row],[rpm]]*Table15[[#This Row],[motorEco]]/9550</f>
        <v>446.25</v>
      </c>
      <c r="J2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230.81275720164606</v>
      </c>
      <c r="K2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motorTorque="1529" fuelUsageRatio="230.8"/&gt;</v>
      </c>
      <c r="L2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normRpm="0.932" torque="0.683"/&gt;</v>
      </c>
      <c r="M24" s="3">
        <f>(1-(1-Table15[[#This Row],[rpm]]/Table36[idleRpm])^2)*Table7[idleT]</f>
        <v>-6499.5249999999987</v>
      </c>
      <c r="N24" s="3">
        <f>MAX(0,(1-Table7[f1]*(Table36[maxTRpm1]-Table15[[#This Row],[rpm]])^2)*Table36[maxT])</f>
        <v>0</v>
      </c>
      <c r="O24" s="3">
        <f>MAX(0,(Table36[linearDown]*(1-Table7[f2]*(Table15[[#This Row],[rpm]]-Table36[maxTRpm]))+(1-Table36[linearDown])*(1-Table7[f3]*(Table15[[#This Row],[rpm]]-Table36[maxTRpm])^2))*Table36[maxT])</f>
        <v>1525.1268382352939</v>
      </c>
      <c r="P24" s="3">
        <f>MAX(0,(Table36[maxPS]-Table7[f4]*(Table15[[#This Row],[rpm]]-Table36[maxPRpm])^2)/1.36*9550/MAX(1,Table15[[#This Row],[rpm]]))</f>
        <v>1528.5823170731708</v>
      </c>
      <c r="Q24" s="3">
        <f>MAX(0,Table7[Nm2]*MIN(Table36[ratedRpm]/MAX(1,Table15[[#This Row],[rpm]]),1-(MAX(0,Table15[[#This Row],[rpm]]-Table36[ratedRpm])/Table36[fadeOut])^Table36[fadeOutExp]))</f>
        <v>1454.5693277310925</v>
      </c>
      <c r="R24" s="3">
        <f>(1-(1-Table15[[#This Row],[rpm]]/Table36[idleRpm])^2)*Table7[idleTEco]</f>
        <v>-6499.5249999999987</v>
      </c>
      <c r="S24" s="3">
        <f>MAX(0,(1-Table7[f1]*(Table36[maxTRpm1]-Table15[[#This Row],[rpm]])^2)*Table36[maxTEco])</f>
        <v>0</v>
      </c>
      <c r="T24" s="3">
        <f>MAX(0,(Table36[linearDown]*(1-Table7[f2Eco]*(Table15[[#This Row],[rpm]]-Table36[maxTRpm]))+(1-Table36[linearDown])*(1-Table7[f3Eco]*(Table15[[#This Row],[rpm]]-Table36[maxTRpm])^2))*Table36[maxTEco])</f>
        <v>1525.1268382352939</v>
      </c>
      <c r="U24" s="3">
        <f>MAX(0,(Table36[maxPSEco]-Table7[f4Eco]*(Table15[[#This Row],[rpm]]-Table36[maxPRpm])^2)/1.36*9550/MAX(1,Table15[[#This Row],[rpm]]))</f>
        <v>1528.5823170731708</v>
      </c>
      <c r="V24" s="3">
        <f>MAX(0,Table7[Nm2Eco]*MIN(Table36[ratedRpm]/MAX(1,Table15[[#This Row],[rpm]]),1-(MAX(0,Table15[[#This Row],[rpm]]-Table36[ratedRpm])/Table36[fadeOut])^Table36[fadeOutExp]))</f>
        <v>1454.5693277310925</v>
      </c>
      <c r="W2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1541.4275466284073</v>
      </c>
      <c r="X2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1541.4275466284073</v>
      </c>
    </row>
    <row r="25" spans="1:24" x14ac:dyDescent="0.25">
      <c r="A25" s="3">
        <v>2100</v>
      </c>
      <c r="B2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1454.5693277310925</v>
      </c>
      <c r="C25" s="20"/>
      <c r="D2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1454.5693277310925</v>
      </c>
      <c r="E25" s="20"/>
      <c r="F25" s="3">
        <f>Table36[Factor]*IF(Table15[[#This Row],[manualData]]&gt;0,Table15[[#This Row],[manualData]],Table15[[#This Row],[rawData]])</f>
        <v>1454.5693277310925</v>
      </c>
      <c r="G25" s="3">
        <f>Table36[Factor]*IF(Table15[[#This Row],[manDataEco]]&gt;0,Table15[[#This Row],[manDataEco]],Table15[[#This Row],[rawDataEco]])</f>
        <v>1454.5693277310925</v>
      </c>
      <c r="H25" s="25">
        <f>1.36*Table15[[#This Row],[rpm]]*Table15[[#This Row],[motor]]/9550</f>
        <v>435</v>
      </c>
      <c r="I25" s="25">
        <f>1.36*Table15[[#This Row],[rpm]]*Table15[[#This Row],[motorEco]]/9550</f>
        <v>435</v>
      </c>
      <c r="J2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233.33333333333331</v>
      </c>
      <c r="K2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motorTorque="1455" fuelUsageRatio="233.3"/&gt;</v>
      </c>
      <c r="L2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normRpm="0.955" torque="0.65"/&gt;</v>
      </c>
      <c r="M25" s="3">
        <f>(1-(1-Table15[[#This Row],[rpm]]/Table36[idleRpm])^2)*Table7[idleT]</f>
        <v>-7049.7</v>
      </c>
      <c r="N25" s="3">
        <f>MAX(0,(1-Table7[f1]*(Table36[maxTRpm1]-Table15[[#This Row],[rpm]])^2)*Table36[maxT])</f>
        <v>0</v>
      </c>
      <c r="O25" s="3">
        <f>MAX(0,(Table36[linearDown]*(1-Table7[f2]*(Table15[[#This Row],[rpm]]-Table36[maxTRpm]))+(1-Table36[linearDown])*(1-Table7[f3]*(Table15[[#This Row],[rpm]]-Table36[maxTRpm])^2))*Table36[maxT])</f>
        <v>1470.2904411764705</v>
      </c>
      <c r="P25" s="3">
        <f>MAX(0,(Table36[maxPS]-Table7[f4]*(Table15[[#This Row],[rpm]]-Table36[maxPRpm])^2)/1.36*9550/MAX(1,Table15[[#This Row],[rpm]]))</f>
        <v>1454.5693277310925</v>
      </c>
      <c r="Q25" s="3">
        <f>MAX(0,Table7[Nm2]*MIN(Table36[ratedRpm]/MAX(1,Table15[[#This Row],[rpm]]),1-(MAX(0,Table15[[#This Row],[rpm]]-Table36[ratedRpm])/Table36[fadeOut])^Table36[fadeOutExp]))</f>
        <v>1454.5693277310925</v>
      </c>
      <c r="R25" s="3">
        <f>(1-(1-Table15[[#This Row],[rpm]]/Table36[idleRpm])^2)*Table7[idleTEco]</f>
        <v>-7049.7</v>
      </c>
      <c r="S25" s="3">
        <f>MAX(0,(1-Table7[f1]*(Table36[maxTRpm1]-Table15[[#This Row],[rpm]])^2)*Table36[maxTEco])</f>
        <v>0</v>
      </c>
      <c r="T25" s="3">
        <f>MAX(0,(Table36[linearDown]*(1-Table7[f2Eco]*(Table15[[#This Row],[rpm]]-Table36[maxTRpm]))+(1-Table36[linearDown])*(1-Table7[f3Eco]*(Table15[[#This Row],[rpm]]-Table36[maxTRpm])^2))*Table36[maxTEco])</f>
        <v>1470.2904411764705</v>
      </c>
      <c r="U25" s="3">
        <f>MAX(0,(Table36[maxPSEco]-Table7[f4Eco]*(Table15[[#This Row],[rpm]]-Table36[maxPRpm])^2)/1.36*9550/MAX(1,Table15[[#This Row],[rpm]]))</f>
        <v>1454.5693277310925</v>
      </c>
      <c r="V25" s="3">
        <f>MAX(0,Table7[Nm2Eco]*MIN(Table36[ratedRpm]/MAX(1,Table15[[#This Row],[rpm]]),1-(MAX(0,Table15[[#This Row],[rpm]]-Table36[ratedRpm])/Table36[fadeOut])^Table36[fadeOutExp]))</f>
        <v>1454.5693277310925</v>
      </c>
      <c r="W2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1504.7268907563025</v>
      </c>
      <c r="X2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1504.7268907563025</v>
      </c>
    </row>
    <row r="26" spans="1:24" x14ac:dyDescent="0.25">
      <c r="A26" s="3">
        <v>2150</v>
      </c>
      <c r="B2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1290.7738536836291</v>
      </c>
      <c r="C26" s="20"/>
      <c r="D2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1290.7738536836291</v>
      </c>
      <c r="E26" s="20"/>
      <c r="F26" s="3">
        <f>Table36[Factor]*IF(Table15[[#This Row],[manualData]]&gt;0,Table15[[#This Row],[manualData]],Table15[[#This Row],[rawData]])</f>
        <v>1290.7738536836291</v>
      </c>
      <c r="G26" s="3">
        <f>Table36[Factor]*IF(Table15[[#This Row],[manDataEco]]&gt;0,Table15[[#This Row],[manDataEco]],Table15[[#This Row],[rawDataEco]])</f>
        <v>1290.7738536836291</v>
      </c>
      <c r="H26" s="25">
        <f>1.36*Table15[[#This Row],[rpm]]*Table15[[#This Row],[motor]]/9550</f>
        <v>395.20657048910277</v>
      </c>
      <c r="I26" s="25">
        <f>1.36*Table15[[#This Row],[rpm]]*Table15[[#This Row],[motorEco]]/9550</f>
        <v>395.20657048910277</v>
      </c>
      <c r="J2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248.55408586904659</v>
      </c>
      <c r="K2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motorTorque="1291" fuelUsageRatio="248.6"/&gt;</v>
      </c>
      <c r="L2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normRpm="0.977" torque="0.577"/&gt;</v>
      </c>
      <c r="M26" s="3">
        <f>(1-(1-Table15[[#This Row],[rpm]]/Table36[idleRpm])^2)*Table7[idleT]</f>
        <v>-7618.5250000000005</v>
      </c>
      <c r="N26" s="3">
        <f>MAX(0,(1-Table7[f1]*(Table36[maxTRpm1]-Table15[[#This Row],[rpm]])^2)*Table36[maxT])</f>
        <v>0</v>
      </c>
      <c r="O26" s="3">
        <f>MAX(0,(Table36[linearDown]*(1-Table7[f2]*(Table15[[#This Row],[rpm]]-Table36[maxTRpm]))+(1-Table36[linearDown])*(1-Table7[f3]*(Table15[[#This Row],[rpm]]-Table36[maxTRpm])^2))*Table36[maxT])</f>
        <v>1415.4540441176468</v>
      </c>
      <c r="P26" s="3">
        <f>MAX(0,(Table36[maxPS]-Table7[f4]*(Table15[[#This Row],[rpm]]-Table36[maxPRpm])^2)/1.36*9550/MAX(1,Table15[[#This Row],[rpm]]))</f>
        <v>1359.5032489740081</v>
      </c>
      <c r="Q26" s="3">
        <f>MAX(0,Table7[Nm2]*MIN(Table36[ratedRpm]/MAX(1,Table15[[#This Row],[rpm]]),1-(MAX(0,Table15[[#This Row],[rpm]]-Table36[ratedRpm])/Table36[fadeOut])^Table36[fadeOutExp]))</f>
        <v>1290.7738536836291</v>
      </c>
      <c r="R26" s="3">
        <f>(1-(1-Table15[[#This Row],[rpm]]/Table36[idleRpm])^2)*Table7[idleTEco]</f>
        <v>-7618.5250000000005</v>
      </c>
      <c r="S26" s="3">
        <f>MAX(0,(1-Table7[f1]*(Table36[maxTRpm1]-Table15[[#This Row],[rpm]])^2)*Table36[maxTEco])</f>
        <v>0</v>
      </c>
      <c r="T26" s="3">
        <f>MAX(0,(Table36[linearDown]*(1-Table7[f2Eco]*(Table15[[#This Row],[rpm]]-Table36[maxTRpm]))+(1-Table36[linearDown])*(1-Table7[f3Eco]*(Table15[[#This Row],[rpm]]-Table36[maxTRpm])^2))*Table36[maxTEco])</f>
        <v>1415.4540441176468</v>
      </c>
      <c r="U26" s="3">
        <f>MAX(0,(Table36[maxPSEco]-Table7[f4Eco]*(Table15[[#This Row],[rpm]]-Table36[maxPRpm])^2)/1.36*9550/MAX(1,Table15[[#This Row],[rpm]]))</f>
        <v>1359.5032489740081</v>
      </c>
      <c r="V26" s="3">
        <f>MAX(0,Table7[Nm2Eco]*MIN(Table36[ratedRpm]/MAX(1,Table15[[#This Row],[rpm]]),1-(MAX(0,Table15[[#This Row],[rpm]]-Table36[ratedRpm])/Table36[fadeOut])^Table36[fadeOutExp]))</f>
        <v>1290.7738536836291</v>
      </c>
      <c r="W2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1469.7332421340629</v>
      </c>
      <c r="X2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1469.7332421340629</v>
      </c>
    </row>
    <row r="27" spans="1:24" x14ac:dyDescent="0.25">
      <c r="A27" s="3">
        <v>2200</v>
      </c>
      <c r="B2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799.38743154123949</v>
      </c>
      <c r="C27" s="20"/>
      <c r="D2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799.38743154123949</v>
      </c>
      <c r="E27" s="20"/>
      <c r="F27" s="3">
        <f>Table36[Factor]*IF(Table15[[#This Row],[manualData]]&gt;0,Table15[[#This Row],[manualData]],Table15[[#This Row],[rawData]])</f>
        <v>799.38743154123949</v>
      </c>
      <c r="G27" s="3">
        <f>Table36[Factor]*IF(Table15[[#This Row],[manDataEco]]&gt;0,Table15[[#This Row],[manDataEco]],Table15[[#This Row],[rawDataEco]])</f>
        <v>799.38743154123949</v>
      </c>
      <c r="H27" s="3">
        <f>1.36*Table15[[#This Row],[rpm]]*Table15[[#This Row],[motor]]/9550</f>
        <v>250.44682671951716</v>
      </c>
      <c r="I27" s="3">
        <f>1.36*Table15[[#This Row],[rpm]]*Table15[[#This Row],[motorEco]]/9550</f>
        <v>250.44682671951716</v>
      </c>
      <c r="J2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319.43491199545491</v>
      </c>
      <c r="K2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motorTorque="799" fuelUsageRatio="319.4"/&gt;</v>
      </c>
      <c r="L2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normRpm="1" torque="0.357"/&gt;</v>
      </c>
      <c r="M27" s="3">
        <f>(1-(1-Table15[[#This Row],[rpm]]/Table36[idleRpm])^2)*Table7[idleT]</f>
        <v>-8206</v>
      </c>
      <c r="N27" s="3">
        <f>MAX(0,(1-Table7[f1]*(Table36[maxTRpm1]-Table15[[#This Row],[rpm]])^2)*Table36[maxT])</f>
        <v>0</v>
      </c>
      <c r="O27" s="3">
        <f>MAX(0,(Table36[linearDown]*(1-Table7[f2]*(Table15[[#This Row],[rpm]]-Table36[maxTRpm]))+(1-Table36[linearDown])*(1-Table7[f3]*(Table15[[#This Row],[rpm]]-Table36[maxTRpm])^2))*Table36[maxT])</f>
        <v>1360.6176470588234</v>
      </c>
      <c r="P27" s="3">
        <f>MAX(0,(Table36[maxPS]-Table7[f4]*(Table15[[#This Row],[rpm]]-Table36[maxPRpm])^2)/1.36*9550/MAX(1,Table15[[#This Row],[rpm]]))</f>
        <v>1244.8195187165775</v>
      </c>
      <c r="Q27" s="3">
        <f>MAX(0,Table7[Nm2]*MIN(Table36[ratedRpm]/MAX(1,Table15[[#This Row],[rpm]]),1-(MAX(0,Table15[[#This Row],[rpm]]-Table36[ratedRpm])/Table36[fadeOut])^Table36[fadeOutExp]))</f>
        <v>799.38743154123949</v>
      </c>
      <c r="R27" s="3">
        <f>(1-(1-Table15[[#This Row],[rpm]]/Table36[idleRpm])^2)*Table7[idleTEco]</f>
        <v>-8206</v>
      </c>
      <c r="S27" s="3">
        <f>MAX(0,(1-Table7[f1]*(Table36[maxTRpm1]-Table15[[#This Row],[rpm]])^2)*Table36[maxTEco])</f>
        <v>0</v>
      </c>
      <c r="T27" s="3">
        <f>MAX(0,(Table36[linearDown]*(1-Table7[f2Eco]*(Table15[[#This Row],[rpm]]-Table36[maxTRpm]))+(1-Table36[linearDown])*(1-Table7[f3Eco]*(Table15[[#This Row],[rpm]]-Table36[maxTRpm])^2))*Table36[maxTEco])</f>
        <v>1360.6176470588234</v>
      </c>
      <c r="U27" s="3">
        <f>MAX(0,(Table36[maxPSEco]-Table7[f4Eco]*(Table15[[#This Row],[rpm]]-Table36[maxPRpm])^2)/1.36*9550/MAX(1,Table15[[#This Row],[rpm]]))</f>
        <v>1244.8195187165775</v>
      </c>
      <c r="V27" s="3">
        <f>MAX(0,Table7[Nm2Eco]*MIN(Table36[ratedRpm]/MAX(1,Table15[[#This Row],[rpm]]),1-(MAX(0,Table15[[#This Row],[rpm]]-Table36[ratedRpm])/Table36[fadeOut])^Table36[fadeOutExp]))</f>
        <v>799.38743154123949</v>
      </c>
      <c r="W2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1436.3302139037432</v>
      </c>
      <c r="X2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1436.3302139037432</v>
      </c>
    </row>
    <row r="28" spans="1:24" x14ac:dyDescent="0.25">
      <c r="A28" s="3">
        <v>2250</v>
      </c>
      <c r="B2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8" s="20"/>
      <c r="D2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8" s="20"/>
      <c r="F28" s="3">
        <f>Table36[Factor]*IF(Table15[[#This Row],[manualData]]&gt;0,Table15[[#This Row],[manualData]],Table15[[#This Row],[rawData]])</f>
        <v>0</v>
      </c>
      <c r="G28" s="3">
        <f>Table36[Factor]*IF(Table15[[#This Row],[manDataEco]]&gt;0,Table15[[#This Row],[manDataEco]],Table15[[#This Row],[rawDataEco]])</f>
        <v>0</v>
      </c>
      <c r="H28" s="3">
        <f>1.36*Table15[[#This Row],[rpm]]*Table15[[#This Row],[motor]]/9550</f>
        <v>0</v>
      </c>
      <c r="I28" s="3">
        <f>1.36*Table15[[#This Row],[rpm]]*Table15[[#This Row],[motorEco]]/9550</f>
        <v>0</v>
      </c>
      <c r="J2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2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rpm="2250" motorTorque="0" motorTorqueEco="0" fuelUsageRatio="466.7"/&gt;</v>
      </c>
      <c r="L2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8" s="3">
        <f>(1-(1-Table15[[#This Row],[rpm]]/Table36[idleRpm])^2)*Table7[idleT]</f>
        <v>-8812.125</v>
      </c>
      <c r="N28" s="3">
        <f>MAX(0,(1-Table7[f1]*(Table36[maxTRpm1]-Table15[[#This Row],[rpm]])^2)*Table36[maxT])</f>
        <v>0</v>
      </c>
      <c r="O28" s="3">
        <f>MAX(0,(Table36[linearDown]*(1-Table7[f2]*(Table15[[#This Row],[rpm]]-Table36[maxTRpm]))+(1-Table36[linearDown])*(1-Table7[f3]*(Table15[[#This Row],[rpm]]-Table36[maxTRpm])^2))*Table36[maxT])</f>
        <v>1305.7812499999998</v>
      </c>
      <c r="P28" s="3">
        <f>MAX(0,(Table36[maxPS]-Table7[f4]*(Table15[[#This Row],[rpm]]-Table36[maxPRpm])^2)/1.36*9550/MAX(1,Table15[[#This Row],[rpm]]))</f>
        <v>1111.8259803921567</v>
      </c>
      <c r="Q28" s="3">
        <f>MAX(0,Table7[Nm2]*MIN(Table36[ratedRpm]/MAX(1,Table15[[#This Row],[rpm]]),1-(MAX(0,Table15[[#This Row],[rpm]]-Table36[ratedRpm])/Table36[fadeOut])^Table36[fadeOutExp]))</f>
        <v>0</v>
      </c>
      <c r="R28" s="3">
        <f>(1-(1-Table15[[#This Row],[rpm]]/Table36[idleRpm])^2)*Table7[idleTEco]</f>
        <v>-8812.125</v>
      </c>
      <c r="S28" s="3">
        <f>MAX(0,(1-Table7[f1]*(Table36[maxTRpm1]-Table15[[#This Row],[rpm]])^2)*Table36[maxTEco])</f>
        <v>0</v>
      </c>
      <c r="T28" s="3">
        <f>MAX(0,(Table36[linearDown]*(1-Table7[f2Eco]*(Table15[[#This Row],[rpm]]-Table36[maxTRpm]))+(1-Table36[linearDown])*(1-Table7[f3Eco]*(Table15[[#This Row],[rpm]]-Table36[maxTRpm])^2))*Table36[maxTEco])</f>
        <v>1305.7812499999998</v>
      </c>
      <c r="U28" s="3">
        <f>MAX(0,(Table36[maxPSEco]-Table7[f4Eco]*(Table15[[#This Row],[rpm]]-Table36[maxPRpm])^2)/1.36*9550/MAX(1,Table15[[#This Row],[rpm]]))</f>
        <v>1111.8259803921567</v>
      </c>
      <c r="V28" s="3">
        <f>MAX(0,Table7[Nm2Eco]*MIN(Table36[ratedRpm]/MAX(1,Table15[[#This Row],[rpm]]),1-(MAX(0,Table15[[#This Row],[rpm]]-Table36[ratedRpm])/Table36[fadeOut])^Table36[fadeOutExp]))</f>
        <v>0</v>
      </c>
      <c r="W2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1404.4117647058822</v>
      </c>
      <c r="X2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1404.4117647058822</v>
      </c>
    </row>
    <row r="29" spans="1:24" x14ac:dyDescent="0.25">
      <c r="A29" s="3">
        <v>2300</v>
      </c>
      <c r="B2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9" s="20"/>
      <c r="D2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9" s="20"/>
      <c r="F29" s="3">
        <f>Table36[Factor]*IF(Table15[[#This Row],[manualData]]&gt;0,Table15[[#This Row],[manualData]],Table15[[#This Row],[rawData]])</f>
        <v>0</v>
      </c>
      <c r="G29" s="3">
        <f>Table36[Factor]*IF(Table15[[#This Row],[manDataEco]]&gt;0,Table15[[#This Row],[manDataEco]],Table15[[#This Row],[rawDataEco]])</f>
        <v>0</v>
      </c>
      <c r="H29" s="3">
        <f>1.36*Table15[[#This Row],[rpm]]*Table15[[#This Row],[motor]]/9550</f>
        <v>0</v>
      </c>
      <c r="I29" s="3">
        <f>1.36*Table15[[#This Row],[rpm]]*Table15[[#This Row],[motorEco]]/9550</f>
        <v>0</v>
      </c>
      <c r="J2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2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rpm="2300" motorTorque="0" motorTorqueEco="0" fuelUsageRatio="466.7"/&gt;</v>
      </c>
      <c r="L2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9" s="3">
        <f>(1-(1-Table15[[#This Row],[rpm]]/Table36[idleRpm])^2)*Table7[idleT]</f>
        <v>-9436.9000000000015</v>
      </c>
      <c r="N29" s="3">
        <f>MAX(0,(1-Table7[f1]*(Table36[maxTRpm1]-Table15[[#This Row],[rpm]])^2)*Table36[maxT])</f>
        <v>0</v>
      </c>
      <c r="O29" s="3">
        <f>MAX(0,(Table36[linearDown]*(1-Table7[f2]*(Table15[[#This Row],[rpm]]-Table36[maxTRpm]))+(1-Table36[linearDown])*(1-Table7[f3]*(Table15[[#This Row],[rpm]]-Table36[maxTRpm])^2))*Table36[maxT])</f>
        <v>1250.9448529411766</v>
      </c>
      <c r="P29" s="3">
        <f>MAX(0,(Table36[maxPS]-Table7[f4]*(Table15[[#This Row],[rpm]]-Table36[maxPRpm])^2)/1.36*9550/MAX(1,Table15[[#This Row],[rpm]]))</f>
        <v>961.71675191815837</v>
      </c>
      <c r="Q29" s="3">
        <f>MAX(0,Table7[Nm2]*MIN(Table36[ratedRpm]/MAX(1,Table15[[#This Row],[rpm]]),1-(MAX(0,Table15[[#This Row],[rpm]]-Table36[ratedRpm])/Table36[fadeOut])^Table36[fadeOutExp]))</f>
        <v>0</v>
      </c>
      <c r="R29" s="3">
        <f>(1-(1-Table15[[#This Row],[rpm]]/Table36[idleRpm])^2)*Table7[idleTEco]</f>
        <v>-9436.9000000000015</v>
      </c>
      <c r="S29" s="3">
        <f>MAX(0,(1-Table7[f1]*(Table36[maxTRpm1]-Table15[[#This Row],[rpm]])^2)*Table36[maxTEco])</f>
        <v>0</v>
      </c>
      <c r="T29" s="3">
        <f>MAX(0,(Table36[linearDown]*(1-Table7[f2Eco]*(Table15[[#This Row],[rpm]]-Table36[maxTRpm]))+(1-Table36[linearDown])*(1-Table7[f3Eco]*(Table15[[#This Row],[rpm]]-Table36[maxTRpm])^2))*Table36[maxTEco])</f>
        <v>1250.9448529411766</v>
      </c>
      <c r="U29" s="3">
        <f>MAX(0,(Table36[maxPSEco]-Table7[f4Eco]*(Table15[[#This Row],[rpm]]-Table36[maxPRpm])^2)/1.36*9550/MAX(1,Table15[[#This Row],[rpm]]))</f>
        <v>961.71675191815837</v>
      </c>
      <c r="V29" s="3">
        <f>MAX(0,Table7[Nm2Eco]*MIN(Table36[ratedRpm]/MAX(1,Table15[[#This Row],[rpm]]),1-(MAX(0,Table15[[#This Row],[rpm]]-Table36[ratedRpm])/Table36[fadeOut])^Table36[fadeOutExp]))</f>
        <v>0</v>
      </c>
      <c r="W2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1373.8810741687978</v>
      </c>
      <c r="X2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1373.8810741687978</v>
      </c>
    </row>
    <row r="30" spans="1:24" x14ac:dyDescent="0.25">
      <c r="A30" s="3">
        <v>2350</v>
      </c>
      <c r="B3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0" s="20"/>
      <c r="D3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0" s="20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0" s="3">
        <f>(1-(1-Table15[[#This Row],[rpm]]/Table36[idleRpm])^2)*Table7[idleT]</f>
        <v>-10080.324999999997</v>
      </c>
      <c r="N30" s="3">
        <f>MAX(0,(1-Table7[f1]*(Table36[maxTRpm1]-Table15[[#This Row],[rpm]])^2)*Table36[maxT])</f>
        <v>0</v>
      </c>
      <c r="O30" s="3">
        <f>MAX(0,(Table36[linearDown]*(1-Table7[f2]*(Table15[[#This Row],[rpm]]-Table36[maxTRpm]))+(1-Table36[linearDown])*(1-Table7[f3]*(Table15[[#This Row],[rpm]]-Table36[maxTRpm])^2))*Table36[maxT])</f>
        <v>1196.1084558823529</v>
      </c>
      <c r="P30" s="3">
        <f>MAX(0,(Table36[maxPS]-Table7[f4]*(Table15[[#This Row],[rpm]]-Table36[maxPRpm])^2)/1.36*9550/MAX(1,Table15[[#This Row],[rpm]]))</f>
        <v>795.58432415519394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-10080.324999999997</v>
      </c>
      <c r="S30" s="3">
        <f>MAX(0,(1-Table7[f1]*(Table36[maxTRpm1]-Table15[[#This Row],[rpm]])^2)*Table36[maxTEco])</f>
        <v>0</v>
      </c>
      <c r="T30" s="3">
        <f>MAX(0,(Table36[linearDown]*(1-Table7[f2Eco]*(Table15[[#This Row],[rpm]]-Table36[maxTRpm]))+(1-Table36[linearDown])*(1-Table7[f3Eco]*(Table15[[#This Row],[rpm]]-Table36[maxTRpm])^2))*Table36[maxTEco])</f>
        <v>1196.1084558823529</v>
      </c>
      <c r="U30" s="3">
        <f>MAX(0,(Table36[maxPSEco]-Table7[f4Eco]*(Table15[[#This Row],[rpm]]-Table36[maxPRpm])^2)/1.36*9550/MAX(1,Table15[[#This Row],[rpm]]))</f>
        <v>795.58432415519394</v>
      </c>
      <c r="V30" s="3">
        <f>MAX(0,Table7[Nm2Eco]*MIN(Table36[ratedRpm]/MAX(1,Table15[[#This Row],[rpm]]),1-(MAX(0,Table15[[#This Row],[rpm]]-Table36[ratedRpm])/Table36[fadeOut])^Table36[fadeOutExp]))</f>
        <v>0</v>
      </c>
      <c r="W3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1344.6495619524405</v>
      </c>
      <c r="X3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1344.6495619524405</v>
      </c>
    </row>
    <row r="31" spans="1:24" x14ac:dyDescent="0.25">
      <c r="A31" s="3">
        <v>2400</v>
      </c>
      <c r="B3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1" s="20"/>
      <c r="D3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1" s="20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1" s="3">
        <f>(1-(1-Table15[[#This Row],[rpm]]/Table36[idleRpm])^2)*Table7[idleT]</f>
        <v>-10742.4</v>
      </c>
      <c r="N31" s="3">
        <f>MAX(0,(1-Table7[f1]*(Table36[maxTRpm1]-Table15[[#This Row],[rpm]])^2)*Table36[maxT])</f>
        <v>0</v>
      </c>
      <c r="O31" s="3">
        <f>MAX(0,(Table36[linearDown]*(1-Table7[f2]*(Table15[[#This Row],[rpm]]-Table36[maxTRpm]))+(1-Table36[linearDown])*(1-Table7[f3]*(Table15[[#This Row],[rpm]]-Table36[maxTRpm])^2))*Table36[maxT])</f>
        <v>1141.2720588235295</v>
      </c>
      <c r="P31" s="3">
        <f>MAX(0,(Table36[maxPS]-Table7[f4]*(Table15[[#This Row],[rpm]]-Table36[maxPRpm])^2)/1.36*9550/MAX(1,Table15[[#This Row],[rpm]]))</f>
        <v>614.43014705882354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-10742.4</v>
      </c>
      <c r="S31" s="3">
        <f>MAX(0,(1-Table7[f1]*(Table36[maxTRpm1]-Table15[[#This Row],[rpm]])^2)*Table36[maxTEco])</f>
        <v>0</v>
      </c>
      <c r="T31" s="3">
        <f>MAX(0,(Table36[linearDown]*(1-Table7[f2Eco]*(Table15[[#This Row],[rpm]]-Table36[maxTRpm]))+(1-Table36[linearDown])*(1-Table7[f3Eco]*(Table15[[#This Row],[rpm]]-Table36[maxTRpm])^2))*Table36[maxTEco])</f>
        <v>1141.2720588235295</v>
      </c>
      <c r="U31" s="3">
        <f>MAX(0,(Table36[maxPSEco]-Table7[f4Eco]*(Table15[[#This Row],[rpm]]-Table36[maxPRpm])^2)/1.36*9550/MAX(1,Table15[[#This Row],[rpm]]))</f>
        <v>614.43014705882354</v>
      </c>
      <c r="V31" s="3">
        <f>MAX(0,Table7[Nm2Eco]*MIN(Table36[ratedRpm]/MAX(1,Table15[[#This Row],[rpm]]),1-(MAX(0,Table15[[#This Row],[rpm]]-Table36[ratedRpm])/Table36[fadeOut])^Table36[fadeOutExp]))</f>
        <v>0</v>
      </c>
      <c r="W3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1316.6360294117646</v>
      </c>
      <c r="X3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1316.6360294117646</v>
      </c>
    </row>
    <row r="32" spans="1:24" x14ac:dyDescent="0.25">
      <c r="A32" s="3">
        <v>2450</v>
      </c>
      <c r="B3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2" s="20"/>
      <c r="D3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2" s="20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2" s="3">
        <f>(1-(1-Table15[[#This Row],[rpm]]/Table36[idleRpm])^2)*Table7[idleT]</f>
        <v>-11423.124999999998</v>
      </c>
      <c r="N32" s="3">
        <f>MAX(0,(1-Table7[f1]*(Table36[maxTRpm1]-Table15[[#This Row],[rpm]])^2)*Table36[maxT])</f>
        <v>0</v>
      </c>
      <c r="O32" s="3">
        <f>MAX(0,(Table36[linearDown]*(1-Table7[f2]*(Table15[[#This Row],[rpm]]-Table36[maxTRpm]))+(1-Table36[linearDown])*(1-Table7[f3]*(Table15[[#This Row],[rpm]]-Table36[maxTRpm])^2))*Table36[maxT])</f>
        <v>1086.4356617647059</v>
      </c>
      <c r="P32" s="3">
        <f>MAX(0,(Table36[maxPS]-Table7[f4]*(Table15[[#This Row],[rpm]]-Table36[maxPRpm])^2)/1.36*9550/MAX(1,Table15[[#This Row],[rpm]]))</f>
        <v>419.17391956782711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-11423.124999999998</v>
      </c>
      <c r="S32" s="3">
        <f>MAX(0,(1-Table7[f1]*(Table36[maxTRpm1]-Table15[[#This Row],[rpm]])^2)*Table36[maxTEco])</f>
        <v>0</v>
      </c>
      <c r="T32" s="3">
        <f>MAX(0,(Table36[linearDown]*(1-Table7[f2Eco]*(Table15[[#This Row],[rpm]]-Table36[maxTRpm]))+(1-Table36[linearDown])*(1-Table7[f3Eco]*(Table15[[#This Row],[rpm]]-Table36[maxTRpm])^2))*Table36[maxTEco])</f>
        <v>1086.4356617647059</v>
      </c>
      <c r="U32" s="3">
        <f>MAX(0,(Table36[maxPSEco]-Table7[f4Eco]*(Table15[[#This Row],[rpm]]-Table36[maxPRpm])^2)/1.36*9550/MAX(1,Table15[[#This Row],[rpm]]))</f>
        <v>419.17391956782711</v>
      </c>
      <c r="V32" s="3">
        <f>MAX(0,Table7[Nm2Eco]*MIN(Table36[ratedRpm]/MAX(1,Table15[[#This Row],[rpm]]),1-(MAX(0,Table15[[#This Row],[rpm]]-Table36[ratedRpm])/Table36[fadeOut])^Table36[fadeOutExp]))</f>
        <v>0</v>
      </c>
      <c r="W3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1289.7659063625449</v>
      </c>
      <c r="X3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1289.7659063625449</v>
      </c>
    </row>
    <row r="33" spans="1:24" x14ac:dyDescent="0.25">
      <c r="A33" s="3">
        <v>2500</v>
      </c>
      <c r="B3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3" s="20"/>
      <c r="D3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3" s="20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3" s="3">
        <f>(1-(1-Table15[[#This Row],[rpm]]/Table36[idleRpm])^2)*Table7[idleT]</f>
        <v>-12122.500000000004</v>
      </c>
      <c r="N33" s="3">
        <f>MAX(0,(1-Table7[f1]*(Table36[maxTRpm1]-Table15[[#This Row],[rpm]])^2)*Table36[maxT])</f>
        <v>0</v>
      </c>
      <c r="O33" s="3">
        <f>MAX(0,(Table36[linearDown]*(1-Table7[f2]*(Table15[[#This Row],[rpm]]-Table36[maxTRpm]))+(1-Table36[linearDown])*(1-Table7[f3]*(Table15[[#This Row],[rpm]]-Table36[maxTRpm])^2))*Table36[maxT])</f>
        <v>1031.5992647058824</v>
      </c>
      <c r="P33" s="3">
        <f>MAX(0,(Table36[maxPS]-Table7[f4]*(Table15[[#This Row],[rpm]]-Table36[maxPRpm])^2)/1.36*9550/MAX(1,Table15[[#This Row],[rpm]]))</f>
        <v>210.66176470588232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-12122.500000000004</v>
      </c>
      <c r="S33" s="3">
        <f>MAX(0,(1-Table7[f1]*(Table36[maxTRpm1]-Table15[[#This Row],[rpm]])^2)*Table36[maxTEco])</f>
        <v>0</v>
      </c>
      <c r="T33" s="3">
        <f>MAX(0,(Table36[linearDown]*(1-Table7[f2Eco]*(Table15[[#This Row],[rpm]]-Table36[maxTRpm]))+(1-Table36[linearDown])*(1-Table7[f3Eco]*(Table15[[#This Row],[rpm]]-Table36[maxTRpm])^2))*Table36[maxTEco])</f>
        <v>1031.5992647058824</v>
      </c>
      <c r="U33" s="3">
        <f>MAX(0,(Table36[maxPSEco]-Table7[f4Eco]*(Table15[[#This Row],[rpm]]-Table36[maxPRpm])^2)/1.36*9550/MAX(1,Table15[[#This Row],[rpm]]))</f>
        <v>210.66176470588232</v>
      </c>
      <c r="V33" s="3">
        <f>MAX(0,Table7[Nm2Eco]*MIN(Table36[ratedRpm]/MAX(1,Table15[[#This Row],[rpm]]),1-(MAX(0,Table15[[#This Row],[rpm]]-Table36[ratedRpm])/Table36[fadeOut])^Table36[fadeOutExp]))</f>
        <v>0</v>
      </c>
      <c r="W3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1263.9705882352941</v>
      </c>
      <c r="X3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1263.9705882352941</v>
      </c>
    </row>
    <row r="34" spans="1:24" x14ac:dyDescent="0.25">
      <c r="A34" s="3">
        <v>2550</v>
      </c>
      <c r="B3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4" s="20"/>
      <c r="D3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4" s="20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4" s="3">
        <f>(1-(1-Table15[[#This Row],[rpm]]/Table36[idleRpm])^2)*Table7[idleT]</f>
        <v>-12840.525</v>
      </c>
      <c r="N34" s="3">
        <f>MAX(0,(1-Table7[f1]*(Table36[maxTRpm1]-Table15[[#This Row],[rpm]])^2)*Table36[maxT])</f>
        <v>0</v>
      </c>
      <c r="O34" s="3">
        <f>MAX(0,(Table36[linearDown]*(1-Table7[f2]*(Table15[[#This Row],[rpm]]-Table36[maxTRpm]))+(1-Table36[linearDown])*(1-Table7[f3]*(Table15[[#This Row],[rpm]]-Table36[maxTRpm])^2))*Table36[maxT])</f>
        <v>976.76286764705878</v>
      </c>
      <c r="P34" s="3">
        <f>MAX(0,(Table36[maxPS]-Table7[f4]*(Table15[[#This Row],[rpm]]-Table36[maxPRpm])^2)/1.36*9550/MAX(1,Table15[[#This Row],[rpm]]))</f>
        <v>0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-12840.525</v>
      </c>
      <c r="S34" s="3">
        <f>MAX(0,(1-Table7[f1]*(Table36[maxTRpm1]-Table15[[#This Row],[rpm]])^2)*Table36[maxTEco])</f>
        <v>0</v>
      </c>
      <c r="T34" s="3">
        <f>MAX(0,(Table36[linearDown]*(1-Table7[f2Eco]*(Table15[[#This Row],[rpm]]-Table36[maxTRpm]))+(1-Table36[linearDown])*(1-Table7[f3Eco]*(Table15[[#This Row],[rpm]]-Table36[maxTRpm])^2))*Table36[maxTEco])</f>
        <v>976.76286764705878</v>
      </c>
      <c r="U34" s="3">
        <f>MAX(0,(Table36[maxPSEco]-Table7[f4Eco]*(Table15[[#This Row],[rpm]]-Table36[maxPRpm])^2)/1.36*9550/MAX(1,Table15[[#This Row],[rpm]]))</f>
        <v>0</v>
      </c>
      <c r="V34" s="3">
        <f>MAX(0,Table7[Nm2Eco]*MIN(Table36[ratedRpm]/MAX(1,Table15[[#This Row],[rpm]]),1-(MAX(0,Table15[[#This Row],[rpm]]-Table36[ratedRpm])/Table36[fadeOut])^Table36[fadeOutExp]))</f>
        <v>0</v>
      </c>
      <c r="W3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1239.1868512110725</v>
      </c>
      <c r="X3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1239.1868512110725</v>
      </c>
    </row>
    <row r="35" spans="1:24" x14ac:dyDescent="0.25">
      <c r="A35" s="3">
        <v>2600</v>
      </c>
      <c r="B3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20"/>
      <c r="D3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20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5" s="3">
        <f>(1-(1-Table15[[#This Row],[rpm]]/Table36[idleRpm])^2)*Table7[idleT]</f>
        <v>-13577.199999999997</v>
      </c>
      <c r="N35" s="3">
        <f>MAX(0,(1-Table7[f1]*(Table36[maxTRpm1]-Table15[[#This Row],[rpm]])^2)*Table36[maxT])</f>
        <v>0</v>
      </c>
      <c r="O35" s="3">
        <f>MAX(0,(Table36[linearDown]*(1-Table7[f2]*(Table15[[#This Row],[rpm]]-Table36[maxTRpm]))+(1-Table36[linearDown])*(1-Table7[f3]*(Table15[[#This Row],[rpm]]-Table36[maxTRpm])^2))*Table36[maxT])</f>
        <v>921.92647058823525</v>
      </c>
      <c r="P35" s="3">
        <f>MAX(0,(Table36[maxPS]-Table7[f4]*(Table15[[#This Row],[rpm]]-Table36[maxPRpm])^2)/1.36*9550/MAX(1,Table15[[#This Row],[rpm]]))</f>
        <v>0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-13577.199999999997</v>
      </c>
      <c r="S35" s="3">
        <f>MAX(0,(1-Table7[f1]*(Table36[maxTRpm1]-Table15[[#This Row],[rpm]])^2)*Table36[maxTEco])</f>
        <v>0</v>
      </c>
      <c r="T35" s="3">
        <f>MAX(0,(Table36[linearDown]*(1-Table7[f2Eco]*(Table15[[#This Row],[rpm]]-Table36[maxTRpm]))+(1-Table36[linearDown])*(1-Table7[f3Eco]*(Table15[[#This Row],[rpm]]-Table36[maxTRpm])^2))*Table36[maxTEco])</f>
        <v>921.92647058823525</v>
      </c>
      <c r="U35" s="3">
        <f>MAX(0,(Table36[maxPSEco]-Table7[f4Eco]*(Table15[[#This Row],[rpm]]-Table36[maxPRpm])^2)/1.36*9550/MAX(1,Table15[[#This Row],[rpm]]))</f>
        <v>0</v>
      </c>
      <c r="V35" s="3">
        <f>MAX(0,Table7[Nm2Eco]*MIN(Table36[ratedRpm]/MAX(1,Table15[[#This Row],[rpm]]),1-(MAX(0,Table15[[#This Row],[rpm]]-Table36[ratedRpm])/Table36[fadeOut])^Table36[fadeOutExp]))</f>
        <v>0</v>
      </c>
      <c r="W3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1215.356334841629</v>
      </c>
      <c r="X3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1215.356334841629</v>
      </c>
    </row>
    <row r="36" spans="1:24" x14ac:dyDescent="0.25">
      <c r="A36" s="3">
        <v>2650</v>
      </c>
      <c r="B3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20"/>
      <c r="D3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20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6" s="3">
        <f>(1-(1-Table15[[#This Row],[rpm]]/Table36[idleRpm])^2)*Table7[idleT]</f>
        <v>-14332.525000000001</v>
      </c>
      <c r="N36" s="3">
        <f>MAX(0,(1-Table7[f1]*(Table36[maxTRpm1]-Table15[[#This Row],[rpm]])^2)*Table36[maxT])</f>
        <v>0</v>
      </c>
      <c r="O36" s="3">
        <f>MAX(0,(Table36[linearDown]*(1-Table7[f2]*(Table15[[#This Row],[rpm]]-Table36[maxTRpm]))+(1-Table36[linearDown])*(1-Table7[f3]*(Table15[[#This Row],[rpm]]-Table36[maxTRpm])^2))*Table36[maxT])</f>
        <v>867.09007352941171</v>
      </c>
      <c r="P36" s="3">
        <f>MAX(0,(Table36[maxPS]-Table7[f4]*(Table15[[#This Row],[rpm]]-Table36[maxPRpm])^2)/1.36*9550/MAX(1,Table15[[#This Row],[rpm]]))</f>
        <v>0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-14332.525000000001</v>
      </c>
      <c r="S36" s="3">
        <f>MAX(0,(1-Table7[f1]*(Table36[maxTRpm1]-Table15[[#This Row],[rpm]])^2)*Table36[maxTEco])</f>
        <v>0</v>
      </c>
      <c r="T36" s="3">
        <f>MAX(0,(Table36[linearDown]*(1-Table7[f2Eco]*(Table15[[#This Row],[rpm]]-Table36[maxTRpm]))+(1-Table36[linearDown])*(1-Table7[f3Eco]*(Table15[[#This Row],[rpm]]-Table36[maxTRpm])^2))*Table36[maxTEco])</f>
        <v>867.09007352941171</v>
      </c>
      <c r="U36" s="3">
        <f>MAX(0,(Table36[maxPSEco]-Table7[f4Eco]*(Table15[[#This Row],[rpm]]-Table36[maxPRpm])^2)/1.36*9550/MAX(1,Table15[[#This Row],[rpm]]))</f>
        <v>0</v>
      </c>
      <c r="V36" s="3">
        <f>MAX(0,Table7[Nm2Eco]*MIN(Table36[ratedRpm]/MAX(1,Table15[[#This Row],[rpm]]),1-(MAX(0,Table15[[#This Row],[rpm]]-Table36[ratedRpm])/Table36[fadeOut])^Table36[fadeOutExp]))</f>
        <v>0</v>
      </c>
      <c r="W3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1192.4250832408434</v>
      </c>
      <c r="X3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1192.4250832408434</v>
      </c>
    </row>
    <row r="37" spans="1:24" x14ac:dyDescent="0.25">
      <c r="A37" s="3">
        <v>2750</v>
      </c>
      <c r="B3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20"/>
      <c r="D3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20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7" s="3">
        <f>(1-(1-Table15[[#This Row],[rpm]]/Table36[idleRpm])^2)*Table7[idleT]</f>
        <v>-15899.124999999996</v>
      </c>
      <c r="N37" s="3">
        <f>MAX(0,(1-Table7[f1]*(Table36[maxTRpm1]-Table15[[#This Row],[rpm]])^2)*Table36[maxT])</f>
        <v>0</v>
      </c>
      <c r="O37" s="3">
        <f>MAX(0,(Table36[linearDown]*(1-Table7[f2]*(Table15[[#This Row],[rpm]]-Table36[maxTRpm]))+(1-Table36[linearDown])*(1-Table7[f3]*(Table15[[#This Row],[rpm]]-Table36[maxTRpm])^2))*Table36[maxT])</f>
        <v>757.41727941176464</v>
      </c>
      <c r="P37" s="3">
        <f>MAX(0,(Table36[maxPS]-Table7[f4]*(Table15[[#This Row],[rpm]]-Table36[maxPRpm])^2)/1.36*9550/MAX(1,Table15[[#This Row],[rpm]]))</f>
        <v>0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-15899.124999999996</v>
      </c>
      <c r="S37" s="3">
        <f>MAX(0,(1-Table7[f1]*(Table36[maxTRpm1]-Table15[[#This Row],[rpm]])^2)*Table36[maxTEco])</f>
        <v>0</v>
      </c>
      <c r="T37" s="3">
        <f>MAX(0,(Table36[linearDown]*(1-Table7[f2Eco]*(Table15[[#This Row],[rpm]]-Table36[maxTRpm]))+(1-Table36[linearDown])*(1-Table7[f3Eco]*(Table15[[#This Row],[rpm]]-Table36[maxTRpm])^2))*Table36[maxTEco])</f>
        <v>757.41727941176464</v>
      </c>
      <c r="U37" s="3">
        <f>MAX(0,(Table36[maxPSEco]-Table7[f4Eco]*(Table15[[#This Row],[rpm]]-Table36[maxPRpm])^2)/1.36*9550/MAX(1,Table15[[#This Row],[rpm]]))</f>
        <v>0</v>
      </c>
      <c r="V37" s="3">
        <f>MAX(0,Table7[Nm2Eco]*MIN(Table36[ratedRpm]/MAX(1,Table15[[#This Row],[rpm]]),1-(MAX(0,Table15[[#This Row],[rpm]]-Table36[ratedRpm])/Table36[fadeOut])^Table36[fadeOutExp]))</f>
        <v>0</v>
      </c>
      <c r="W3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1149.0641711229946</v>
      </c>
      <c r="X3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1149.0641711229946</v>
      </c>
    </row>
    <row r="38" spans="1:24" x14ac:dyDescent="0.25">
      <c r="A38" s="3">
        <v>3000</v>
      </c>
      <c r="B3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20"/>
      <c r="D3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20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8" s="3">
        <f>(1-(1-Table15[[#This Row],[rpm]]/Table36[idleRpm])^2)*Table7[idleT]</f>
        <v>-20142</v>
      </c>
      <c r="N38" s="3">
        <f>MAX(0,(1-Table7[f1]*(Table36[maxTRpm1]-Table15[[#This Row],[rpm]])^2)*Table36[maxT])</f>
        <v>0</v>
      </c>
      <c r="O38" s="3">
        <f>MAX(0,(Table36[linearDown]*(1-Table7[f2]*(Table15[[#This Row],[rpm]]-Table36[maxTRpm]))+(1-Table36[linearDown])*(1-Table7[f3]*(Table15[[#This Row],[rpm]]-Table36[maxTRpm])^2))*Table36[maxT])</f>
        <v>483.2352941176469</v>
      </c>
      <c r="P38" s="3">
        <f>MAX(0,(Table36[maxPS]-Table7[f4]*(Table15[[#This Row],[rpm]]-Table36[maxPRpm])^2)/1.36*9550/MAX(1,Table15[[#This Row],[rpm]]))</f>
        <v>0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-20142</v>
      </c>
      <c r="S38" s="3">
        <f>MAX(0,(1-Table7[f1]*(Table36[maxTRpm1]-Table15[[#This Row],[rpm]])^2)*Table36[maxTEco])</f>
        <v>0</v>
      </c>
      <c r="T38" s="3">
        <f>MAX(0,(Table36[linearDown]*(1-Table7[f2Eco]*(Table15[[#This Row],[rpm]]-Table36[maxTRpm]))+(1-Table36[linearDown])*(1-Table7[f3Eco]*(Table15[[#This Row],[rpm]]-Table36[maxTRpm])^2))*Table36[maxTEco])</f>
        <v>483.2352941176469</v>
      </c>
      <c r="U38" s="3">
        <f>MAX(0,(Table36[maxPSEco]-Table7[f4Eco]*(Table15[[#This Row],[rpm]]-Table36[maxPRpm])^2)/1.36*9550/MAX(1,Table15[[#This Row],[rpm]]))</f>
        <v>0</v>
      </c>
      <c r="V38" s="3">
        <f>MAX(0,Table7[Nm2Eco]*MIN(Table36[ratedRpm]/MAX(1,Table15[[#This Row],[rpm]]),1-(MAX(0,Table15[[#This Row],[rpm]]-Table36[ratedRpm])/Table36[fadeOut])^Table36[fadeOutExp]))</f>
        <v>0</v>
      </c>
      <c r="W3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1053.3088235294117</v>
      </c>
      <c r="X3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1053.3088235294117</v>
      </c>
    </row>
    <row r="39" spans="1:24" x14ac:dyDescent="0.25">
      <c r="A39" s="3">
        <v>3250</v>
      </c>
      <c r="B3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20"/>
      <c r="D3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20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9" s="3">
        <f>(1-(1-Table15[[#This Row],[rpm]]/Table36[idleRpm])^2)*Table7[idleT]</f>
        <v>-24851.125</v>
      </c>
      <c r="N39" s="3">
        <f>MAX(0,(1-Table7[f1]*(Table36[maxTRpm1]-Table15[[#This Row],[rpm]])^2)*Table36[maxT])</f>
        <v>0</v>
      </c>
      <c r="O39" s="3">
        <f>MAX(0,(Table36[linearDown]*(1-Table7[f2]*(Table15[[#This Row],[rpm]]-Table36[maxTRpm]))+(1-Table36[linearDown])*(1-Table7[f3]*(Table15[[#This Row],[rpm]]-Table36[maxTRpm])^2))*Table36[maxT])</f>
        <v>209.05330882352948</v>
      </c>
      <c r="P39" s="3">
        <f>MAX(0,(Table36[maxPS]-Table7[f4]*(Table15[[#This Row],[rpm]]-Table36[maxPRpm])^2)/1.36*9550/MAX(1,Table15[[#This Row],[rpm]]))</f>
        <v>0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-24851.125</v>
      </c>
      <c r="S39" s="3">
        <f>MAX(0,(1-Table7[f1]*(Table36[maxTRpm1]-Table15[[#This Row],[rpm]])^2)*Table36[maxTEco])</f>
        <v>0</v>
      </c>
      <c r="T39" s="3">
        <f>MAX(0,(Table36[linearDown]*(1-Table7[f2Eco]*(Table15[[#This Row],[rpm]]-Table36[maxTRpm]))+(1-Table36[linearDown])*(1-Table7[f3Eco]*(Table15[[#This Row],[rpm]]-Table36[maxTRpm])^2))*Table36[maxTEco])</f>
        <v>209.05330882352948</v>
      </c>
      <c r="U39" s="3">
        <f>MAX(0,(Table36[maxPSEco]-Table7[f4Eco]*(Table15[[#This Row],[rpm]]-Table36[maxPRpm])^2)/1.36*9550/MAX(1,Table15[[#This Row],[rpm]]))</f>
        <v>0</v>
      </c>
      <c r="V39" s="3">
        <f>MAX(0,Table7[Nm2Eco]*MIN(Table36[ratedRpm]/MAX(1,Table15[[#This Row],[rpm]]),1-(MAX(0,Table15[[#This Row],[rpm]]-Table36[ratedRpm])/Table36[fadeOut])^Table36[fadeOutExp]))</f>
        <v>0</v>
      </c>
      <c r="W3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972.28506787330309</v>
      </c>
      <c r="X3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972.28506787330309</v>
      </c>
    </row>
    <row r="40" spans="1:24" x14ac:dyDescent="0.25">
      <c r="A40" s="3">
        <v>3500</v>
      </c>
      <c r="B4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20"/>
      <c r="D4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20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0" s="3">
        <f>(1-(1-Table15[[#This Row],[rpm]]/Table36[idleRpm])^2)*Table7[idleT]</f>
        <v>-30026.499999999993</v>
      </c>
      <c r="N40" s="3">
        <f>MAX(0,(1-Table7[f1]*(Table36[maxTRpm1]-Table15[[#This Row],[rpm]])^2)*Table36[maxT])</f>
        <v>0</v>
      </c>
      <c r="O40" s="3">
        <f>MAX(0,(Table36[linearDown]*(1-Table7[f2]*(Table15[[#This Row],[rpm]]-Table36[maxTRpm]))+(1-Table36[linearDown])*(1-Table7[f3]*(Table15[[#This Row],[rpm]]-Table36[maxTRpm])^2))*Table36[maxT])</f>
        <v>0</v>
      </c>
      <c r="P40" s="3">
        <f>MAX(0,(Table36[maxPS]-Table7[f4]*(Table15[[#This Row],[rpm]]-Table36[maxPRpm])^2)/1.36*9550/MAX(1,Table15[[#This Row],[rpm]]))</f>
        <v>0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-30026.499999999993</v>
      </c>
      <c r="S40" s="3">
        <f>MAX(0,(1-Table7[f1]*(Table36[maxTRpm1]-Table15[[#This Row],[rpm]])^2)*Table36[maxTEco])</f>
        <v>0</v>
      </c>
      <c r="T40" s="3">
        <f>MAX(0,(Table36[linearDown]*(1-Table7[f2Eco]*(Table15[[#This Row],[rpm]]-Table36[maxTRpm]))+(1-Table36[linearDown])*(1-Table7[f3Eco]*(Table15[[#This Row],[rpm]]-Table36[maxTRpm])^2))*Table36[maxTEco])</f>
        <v>0</v>
      </c>
      <c r="U40" s="3">
        <f>MAX(0,(Table36[maxPSEco]-Table7[f4Eco]*(Table15[[#This Row],[rpm]]-Table36[maxPRpm])^2)/1.36*9550/MAX(1,Table15[[#This Row],[rpm]]))</f>
        <v>0</v>
      </c>
      <c r="V40" s="3">
        <f>MAX(0,Table7[Nm2Eco]*MIN(Table36[ratedRpm]/MAX(1,Table15[[#This Row],[rpm]]),1-(MAX(0,Table15[[#This Row],[rpm]]-Table36[ratedRpm])/Table36[fadeOut])^Table36[fadeOutExp]))</f>
        <v>0</v>
      </c>
      <c r="W4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902.83613445378148</v>
      </c>
      <c r="X4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902.83613445378148</v>
      </c>
    </row>
    <row r="41" spans="1:24" x14ac:dyDescent="0.25">
      <c r="A41" s="3">
        <v>3750</v>
      </c>
      <c r="B4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20"/>
      <c r="D4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20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1" s="3">
        <f>(1-(1-Table15[[#This Row],[rpm]]/Table36[idleRpm])^2)*Table7[idleT]</f>
        <v>-35668.125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0</v>
      </c>
      <c r="P41" s="3">
        <f>MAX(0,(Table36[maxPS]-Table7[f4]*(Table15[[#This Row],[rpm]]-Table36[maxPRpm])^2)/1.36*9550/MAX(1,Table15[[#This Row],[rpm]]))</f>
        <v>0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-35668.125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0</v>
      </c>
      <c r="U41" s="3">
        <f>MAX(0,(Table36[maxPSEco]-Table7[f4Eco]*(Table15[[#This Row],[rpm]]-Table36[maxPRpm])^2)/1.36*9550/MAX(1,Table15[[#This Row],[rpm]]))</f>
        <v>0</v>
      </c>
      <c r="V41" s="3">
        <f>MAX(0,Table7[Nm2Eco]*MIN(Table36[ratedRpm]/MAX(1,Table15[[#This Row],[rpm]]),1-(MAX(0,Table15[[#This Row],[rpm]]-Table36[ratedRpm])/Table36[fadeOut])^Table36[fadeOutExp]))</f>
        <v>0</v>
      </c>
      <c r="W4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842.64705882352939</v>
      </c>
      <c r="X4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842.64705882352939</v>
      </c>
    </row>
    <row r="42" spans="1:24" x14ac:dyDescent="0.25">
      <c r="A42" s="3">
        <v>4000</v>
      </c>
      <c r="B4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20"/>
      <c r="D4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20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2" s="3">
        <f>(1-(1-Table15[[#This Row],[rpm]]/Table36[idleRpm])^2)*Table7[idleT]</f>
        <v>-41776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0</v>
      </c>
      <c r="P42" s="3">
        <f>MAX(0,(Table36[maxPS]-Table7[f4]*(Table15[[#This Row],[rpm]]-Table36[maxPRpm])^2)/1.36*9550/MAX(1,Table15[[#This Row],[rpm]]))</f>
        <v>0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-41776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0</v>
      </c>
      <c r="U42" s="3">
        <f>MAX(0,(Table36[maxPSEco]-Table7[f4Eco]*(Table15[[#This Row],[rpm]]-Table36[maxPRpm])^2)/1.36*9550/MAX(1,Table15[[#This Row],[rpm]]))</f>
        <v>0</v>
      </c>
      <c r="V42" s="3">
        <f>MAX(0,Table7[Nm2Eco]*MIN(Table36[ratedRpm]/MAX(1,Table15[[#This Row],[rpm]]),1-(MAX(0,Table15[[#This Row],[rpm]]-Table36[ratedRpm])/Table36[fadeOut])^Table36[fadeOutExp]))</f>
        <v>0</v>
      </c>
      <c r="W4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789.98161764705878</v>
      </c>
      <c r="X4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789.98161764705878</v>
      </c>
    </row>
    <row r="43" spans="1:24" x14ac:dyDescent="0.25">
      <c r="A43" s="3">
        <v>4250</v>
      </c>
      <c r="B4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20"/>
      <c r="D4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20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3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3" s="3">
        <f>(1-(1-Table15[[#This Row],[rpm]]/Table36[idleRpm])^2)*Table7[idleT]</f>
        <v>-48350.124999999993</v>
      </c>
      <c r="N43" s="3">
        <f>MAX(0,(1-Table7[f1]*(Table36[maxTRpm1]-Table15[[#This Row],[rpm]])^2)*Table36[maxT])</f>
        <v>0</v>
      </c>
      <c r="O43" s="3">
        <f>MAX(0,(Table36[linearDown]*(1-Table7[f2]*(Table15[[#This Row],[rpm]]-Table36[maxTRpm]))+(1-Table36[linearDown])*(1-Table7[f3]*(Table15[[#This Row],[rpm]]-Table36[maxTRpm])^2))*Table36[maxT])</f>
        <v>0</v>
      </c>
      <c r="P43" s="3">
        <f>MAX(0,(Table36[maxPS]-Table7[f4]*(Table15[[#This Row],[rpm]]-Table36[maxPRpm])^2)/1.36*9550/MAX(1,Table15[[#This Row],[rpm]]))</f>
        <v>0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-48350.124999999993</v>
      </c>
      <c r="S43" s="3">
        <f>MAX(0,(1-Table7[f1]*(Table36[maxTRpm1]-Table15[[#This Row],[rpm]])^2)*Table36[maxTEco])</f>
        <v>0</v>
      </c>
      <c r="T43" s="3">
        <f>MAX(0,(Table36[linearDown]*(1-Table7[f2Eco]*(Table15[[#This Row],[rpm]]-Table36[maxTRpm]))+(1-Table36[linearDown])*(1-Table7[f3Eco]*(Table15[[#This Row],[rpm]]-Table36[maxTRpm])^2))*Table36[maxTEco])</f>
        <v>0</v>
      </c>
      <c r="U43" s="3">
        <f>MAX(0,(Table36[maxPSEco]-Table7[f4Eco]*(Table15[[#This Row],[rpm]]-Table36[maxPRpm])^2)/1.36*9550/MAX(1,Table15[[#This Row],[rpm]]))</f>
        <v>0</v>
      </c>
      <c r="V43" s="3">
        <f>MAX(0,Table7[Nm2Eco]*MIN(Table36[ratedRpm]/MAX(1,Table15[[#This Row],[rpm]]),1-(MAX(0,Table15[[#This Row],[rpm]]-Table36[ratedRpm])/Table36[fadeOut])^Table36[fadeOutExp]))</f>
        <v>0</v>
      </c>
      <c r="W4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743.51211072664353</v>
      </c>
      <c r="X4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743.51211072664353</v>
      </c>
    </row>
    <row r="44" spans="1:24" x14ac:dyDescent="0.25">
      <c r="A44" s="3">
        <v>4500</v>
      </c>
      <c r="B4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20"/>
      <c r="D4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20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4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4" s="3">
        <f>(1-(1-Table15[[#This Row],[rpm]]/Table36[idleRpm])^2)*Table7[idleT]</f>
        <v>-55390.5</v>
      </c>
      <c r="N44" s="3">
        <f>MAX(0,(1-Table7[f1]*(Table36[maxTRpm1]-Table15[[#This Row],[rpm]])^2)*Table36[maxT])</f>
        <v>0</v>
      </c>
      <c r="O44" s="3">
        <f>MAX(0,(Table36[linearDown]*(1-Table7[f2]*(Table15[[#This Row],[rpm]]-Table36[maxTRpm]))+(1-Table36[linearDown])*(1-Table7[f3]*(Table15[[#This Row],[rpm]]-Table36[maxTRpm])^2))*Table36[maxT])</f>
        <v>0</v>
      </c>
      <c r="P44" s="3">
        <f>MAX(0,(Table36[maxPS]-Table7[f4]*(Table15[[#This Row],[rpm]]-Table36[maxPRpm])^2)/1.36*9550/MAX(1,Table15[[#This Row],[rpm]]))</f>
        <v>0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-55390.5</v>
      </c>
      <c r="S44" s="3">
        <f>MAX(0,(1-Table7[f1]*(Table36[maxTRpm1]-Table15[[#This Row],[rpm]])^2)*Table36[maxTEco])</f>
        <v>0</v>
      </c>
      <c r="T44" s="3">
        <f>MAX(0,(Table36[linearDown]*(1-Table7[f2Eco]*(Table15[[#This Row],[rpm]]-Table36[maxTRpm]))+(1-Table36[linearDown])*(1-Table7[f3Eco]*(Table15[[#This Row],[rpm]]-Table36[maxTRpm])^2))*Table36[maxTEco])</f>
        <v>0</v>
      </c>
      <c r="U44" s="3">
        <f>MAX(0,(Table36[maxPSEco]-Table7[f4Eco]*(Table15[[#This Row],[rpm]]-Table36[maxPRpm])^2)/1.36*9550/MAX(1,Table15[[#This Row],[rpm]]))</f>
        <v>0</v>
      </c>
      <c r="V44" s="3">
        <f>MAX(0,Table7[Nm2Eco]*MIN(Table36[ratedRpm]/MAX(1,Table15[[#This Row],[rpm]]),1-(MAX(0,Table15[[#This Row],[rpm]]-Table36[ratedRpm])/Table36[fadeOut])^Table36[fadeOutExp]))</f>
        <v>0</v>
      </c>
      <c r="W4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702.2058823529411</v>
      </c>
      <c r="X4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702.2058823529411</v>
      </c>
    </row>
    <row r="45" spans="1:24" x14ac:dyDescent="0.25">
      <c r="A45" s="3">
        <v>4750</v>
      </c>
      <c r="B4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20"/>
      <c r="D4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20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5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5" s="3">
        <f>(1-(1-Table15[[#This Row],[rpm]]/Table36[idleRpm])^2)*Table7[idleT]</f>
        <v>-62897.125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0</v>
      </c>
      <c r="P45" s="3">
        <f>MAX(0,(Table36[maxPS]-Table7[f4]*(Table15[[#This Row],[rpm]]-Table36[maxPRpm])^2)/1.36*9550/MAX(1,Table15[[#This Row],[rpm]]))</f>
        <v>0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-62897.125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0</v>
      </c>
      <c r="U45" s="3">
        <f>MAX(0,(Table36[maxPSEco]-Table7[f4Eco]*(Table15[[#This Row],[rpm]]-Table36[maxPRpm])^2)/1.36*9550/MAX(1,Table15[[#This Row],[rpm]]))</f>
        <v>0</v>
      </c>
      <c r="V45" s="3">
        <f>MAX(0,Table7[Nm2Eco]*MIN(Table36[ratedRpm]/MAX(1,Table15[[#This Row],[rpm]]),1-(MAX(0,Table15[[#This Row],[rpm]]-Table36[ratedRpm])/Table36[fadeOut])^Table36[fadeOutExp]))</f>
        <v>0</v>
      </c>
      <c r="W4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665.24767801857581</v>
      </c>
      <c r="X4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665.24767801857581</v>
      </c>
    </row>
    <row r="46" spans="1:24" x14ac:dyDescent="0.25">
      <c r="A46" s="3">
        <v>5000</v>
      </c>
      <c r="B4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20"/>
      <c r="D4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20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6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6" s="3">
        <f>(1-(1-Table15[[#This Row],[rpm]]/Table36[idleRpm])^2)*Table7[idleT]</f>
        <v>-70870.000000000015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0</v>
      </c>
      <c r="P46" s="3">
        <f>MAX(0,(Table36[maxPS]-Table7[f4]*(Table15[[#This Row],[rpm]]-Table36[maxPRpm])^2)/1.36*9550/MAX(1,Table15[[#This Row],[rpm]]))</f>
        <v>0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-70870.000000000015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0</v>
      </c>
      <c r="U46" s="3">
        <f>MAX(0,(Table36[maxPSEco]-Table7[f4Eco]*(Table15[[#This Row],[rpm]]-Table36[maxPRpm])^2)/1.36*9550/MAX(1,Table15[[#This Row],[rpm]]))</f>
        <v>0</v>
      </c>
      <c r="V46" s="3">
        <f>MAX(0,Table7[Nm2Eco]*MIN(Table36[ratedRpm]/MAX(1,Table15[[#This Row],[rpm]]),1-(MAX(0,Table15[[#This Row],[rpm]]-Table36[ratedRpm])/Table36[fadeOut])^Table36[fadeOutExp]))</f>
        <v>0</v>
      </c>
      <c r="W4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631.98529411764707</v>
      </c>
      <c r="X4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631.98529411764707</v>
      </c>
    </row>
    <row r="47" spans="1:24" x14ac:dyDescent="0.25">
      <c r="A47" s="3">
        <v>5250</v>
      </c>
      <c r="B4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20"/>
      <c r="D4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20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7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7" s="3">
        <f>(1-(1-Table15[[#This Row],[rpm]]/Table36[idleRpm])^2)*Table7[idleT]</f>
        <v>-79309.125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0</v>
      </c>
      <c r="P47" s="3">
        <f>MAX(0,(Table36[maxPS]-Table7[f4]*(Table15[[#This Row],[rpm]]-Table36[maxPRpm])^2)/1.36*9550/MAX(1,Table15[[#This Row],[rpm]]))</f>
        <v>0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-79309.125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0</v>
      </c>
      <c r="U47" s="3">
        <f>MAX(0,(Table36[maxPSEco]-Table7[f4Eco]*(Table15[[#This Row],[rpm]]-Table36[maxPRpm])^2)/1.36*9550/MAX(1,Table15[[#This Row],[rpm]]))</f>
        <v>0</v>
      </c>
      <c r="V47" s="3">
        <f>MAX(0,Table7[Nm2Eco]*MIN(Table36[ratedRpm]/MAX(1,Table15[[#This Row],[rpm]]),1-(MAX(0,Table15[[#This Row],[rpm]]-Table36[ratedRpm])/Table36[fadeOut])^Table36[fadeOutExp]))</f>
        <v>0</v>
      </c>
      <c r="W4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601.89075630252103</v>
      </c>
      <c r="X4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601.89075630252103</v>
      </c>
    </row>
    <row r="48" spans="1:24" x14ac:dyDescent="0.25">
      <c r="A48" s="3">
        <v>5500</v>
      </c>
      <c r="B4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20"/>
      <c r="D4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20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8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8" s="3">
        <f>(1-(1-Table15[[#This Row],[rpm]]/Table36[idleRpm])^2)*Table7[idleT]</f>
        <v>-88214.499999999971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0</v>
      </c>
      <c r="P48" s="3">
        <f>MAX(0,(Table36[maxPS]-Table7[f4]*(Table15[[#This Row],[rpm]]-Table36[maxPRpm])^2)/1.36*9550/MAX(1,Table15[[#This Row],[rpm]]))</f>
        <v>0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-88214.499999999971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0</v>
      </c>
      <c r="U48" s="3">
        <f>MAX(0,(Table36[maxPSEco]-Table7[f4Eco]*(Table15[[#This Row],[rpm]]-Table36[maxPRpm])^2)/1.36*9550/MAX(1,Table15[[#This Row],[rpm]]))</f>
        <v>0</v>
      </c>
      <c r="V48" s="3">
        <f>MAX(0,Table7[Nm2Eco]*MIN(Table36[ratedRpm]/MAX(1,Table15[[#This Row],[rpm]]),1-(MAX(0,Table15[[#This Row],[rpm]]-Table36[ratedRpm])/Table36[fadeOut])^Table36[fadeOutExp]))</f>
        <v>0</v>
      </c>
      <c r="W4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574.5320855614973</v>
      </c>
      <c r="X4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574.5320855614973</v>
      </c>
    </row>
    <row r="49" spans="1:24" x14ac:dyDescent="0.25">
      <c r="A49" s="3">
        <v>5750</v>
      </c>
      <c r="B4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20"/>
      <c r="D4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20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9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9" s="3">
        <f>(1-(1-Table15[[#This Row],[rpm]]/Table36[idleRpm])^2)*Table7[idleT]</f>
        <v>-97586.125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0</v>
      </c>
      <c r="P49" s="3">
        <f>MAX(0,(Table36[maxPS]-Table7[f4]*(Table15[[#This Row],[rpm]]-Table36[maxPRpm])^2)/1.36*9550/MAX(1,Table15[[#This Row],[rpm]]))</f>
        <v>0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-97586.125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0</v>
      </c>
      <c r="U49" s="3">
        <f>MAX(0,(Table36[maxPSEco]-Table7[f4Eco]*(Table15[[#This Row],[rpm]]-Table36[maxPRpm])^2)/1.36*9550/MAX(1,Table15[[#This Row],[rpm]]))</f>
        <v>0</v>
      </c>
      <c r="V49" s="3">
        <f>MAX(0,Table7[Nm2Eco]*MIN(Table36[ratedRpm]/MAX(1,Table15[[#This Row],[rpm]]),1-(MAX(0,Table15[[#This Row],[rpm]]-Table36[ratedRpm])/Table36[fadeOut])^Table36[fadeOutExp]))</f>
        <v>0</v>
      </c>
      <c r="W4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549.55242966751916</v>
      </c>
      <c r="X4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549.55242966751916</v>
      </c>
    </row>
    <row r="50" spans="1:24" x14ac:dyDescent="0.25">
      <c r="A50" s="3">
        <v>6000</v>
      </c>
      <c r="B5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20"/>
      <c r="D5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20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0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0" s="3">
        <f>(1-(1-Table15[[#This Row],[rpm]]/Table36[idleRpm])^2)*Table7[idleT]</f>
        <v>-107424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0</v>
      </c>
      <c r="P50" s="3">
        <f>MAX(0,(Table36[maxPS]-Table7[f4]*(Table15[[#This Row],[rpm]]-Table36[maxPRpm])^2)/1.36*9550/MAX(1,Table15[[#This Row],[rpm]]))</f>
        <v>0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-107424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0</v>
      </c>
      <c r="U50" s="3">
        <f>MAX(0,(Table36[maxPSEco]-Table7[f4Eco]*(Table15[[#This Row],[rpm]]-Table36[maxPRpm])^2)/1.36*9550/MAX(1,Table15[[#This Row],[rpm]]))</f>
        <v>0</v>
      </c>
      <c r="V50" s="3">
        <f>MAX(0,Table7[Nm2Eco]*MIN(Table36[ratedRpm]/MAX(1,Table15[[#This Row],[rpm]]),1-(MAX(0,Table15[[#This Row],[rpm]]-Table36[ratedRpm])/Table36[fadeOut])^Table36[fadeOutExp]))</f>
        <v>0</v>
      </c>
      <c r="W5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526.65441176470586</v>
      </c>
      <c r="X5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526.65441176470586</v>
      </c>
    </row>
    <row r="51" spans="1:24" x14ac:dyDescent="0.25">
      <c r="A51" s="3">
        <v>6250</v>
      </c>
      <c r="B5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20"/>
      <c r="D5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20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1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1" s="3">
        <f>(1-(1-Table15[[#This Row],[rpm]]/Table36[idleRpm])^2)*Table7[idleT]</f>
        <v>-117728.12499999999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0</v>
      </c>
      <c r="P51" s="3">
        <f>MAX(0,(Table36[maxPS]-Table7[f4]*(Table15[[#This Row],[rpm]]-Table36[maxPRpm])^2)/1.36*9550/MAX(1,Table15[[#This Row],[rpm]]))</f>
        <v>0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-117728.12499999999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0</v>
      </c>
      <c r="U51" s="3">
        <f>MAX(0,(Table36[maxPSEco]-Table7[f4Eco]*(Table15[[#This Row],[rpm]]-Table36[maxPRpm])^2)/1.36*9550/MAX(1,Table15[[#This Row],[rpm]]))</f>
        <v>0</v>
      </c>
      <c r="V51" s="3">
        <f>MAX(0,Table7[Nm2Eco]*MIN(Table36[ratedRpm]/MAX(1,Table15[[#This Row],[rpm]]),1-(MAX(0,Table15[[#This Row],[rpm]]-Table36[ratedRpm])/Table36[fadeOut])^Table36[fadeOutExp]))</f>
        <v>0</v>
      </c>
      <c r="W5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505.58823529411762</v>
      </c>
      <c r="X5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505.58823529411762</v>
      </c>
    </row>
    <row r="52" spans="1:24" x14ac:dyDescent="0.25">
      <c r="A52" s="3">
        <v>6500</v>
      </c>
      <c r="B5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20"/>
      <c r="D5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20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2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2" s="3">
        <f>(1-(1-Table15[[#This Row],[rpm]]/Table36[idleRpm])^2)*Table7[idleT]</f>
        <v>-128498.50000000001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0</v>
      </c>
      <c r="P52" s="3">
        <f>MAX(0,(Table36[maxPS]-Table7[f4]*(Table15[[#This Row],[rpm]]-Table36[maxPRpm])^2)/1.36*9550/MAX(1,Table15[[#This Row],[rpm]]))</f>
        <v>0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-128498.50000000001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0</v>
      </c>
      <c r="U52" s="3">
        <f>MAX(0,(Table36[maxPSEco]-Table7[f4Eco]*(Table15[[#This Row],[rpm]]-Table36[maxPRpm])^2)/1.36*9550/MAX(1,Table15[[#This Row],[rpm]]))</f>
        <v>0</v>
      </c>
      <c r="V52" s="3">
        <f>MAX(0,Table7[Nm2Eco]*MIN(Table36[ratedRpm]/MAX(1,Table15[[#This Row],[rpm]]),1-(MAX(0,Table15[[#This Row],[rpm]]-Table36[ratedRpm])/Table36[fadeOut])^Table36[fadeOutExp]))</f>
        <v>0</v>
      </c>
      <c r="W5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486.14253393665155</v>
      </c>
      <c r="X5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486.14253393665155</v>
      </c>
    </row>
    <row r="53" spans="1:24" x14ac:dyDescent="0.25">
      <c r="A53" s="3">
        <v>6750</v>
      </c>
      <c r="B5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20"/>
      <c r="D5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20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3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3" s="3">
        <f>(1-(1-Table15[[#This Row],[rpm]]/Table36[idleRpm])^2)*Table7[idleT]</f>
        <v>-139735.125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0</v>
      </c>
      <c r="P53" s="3">
        <f>MAX(0,(Table36[maxPS]-Table7[f4]*(Table15[[#This Row],[rpm]]-Table36[maxPRpm])^2)/1.36*9550/MAX(1,Table15[[#This Row],[rpm]]))</f>
        <v>0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-139735.125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0</v>
      </c>
      <c r="U53" s="3">
        <f>MAX(0,(Table36[maxPSEco]-Table7[f4Eco]*(Table15[[#This Row],[rpm]]-Table36[maxPRpm])^2)/1.36*9550/MAX(1,Table15[[#This Row],[rpm]]))</f>
        <v>0</v>
      </c>
      <c r="V53" s="3">
        <f>MAX(0,Table7[Nm2Eco]*MIN(Table36[ratedRpm]/MAX(1,Table15[[#This Row],[rpm]]),1-(MAX(0,Table15[[#This Row],[rpm]]-Table36[ratedRpm])/Table36[fadeOut])^Table36[fadeOutExp]))</f>
        <v>0</v>
      </c>
      <c r="W5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468.13725490196077</v>
      </c>
      <c r="X5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468.13725490196077</v>
      </c>
    </row>
    <row r="54" spans="1:24" x14ac:dyDescent="0.25">
      <c r="A54" s="3">
        <v>7000</v>
      </c>
      <c r="B5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20"/>
      <c r="D5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20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4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4" s="3">
        <f>(1-(1-Table15[[#This Row],[rpm]]/Table36[idleRpm])^2)*Table7[idleT]</f>
        <v>-151438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0</v>
      </c>
      <c r="P54" s="3">
        <f>MAX(0,(Table36[maxPS]-Table7[f4]*(Table15[[#This Row],[rpm]]-Table36[maxPRpm])^2)/1.36*9550/MAX(1,Table15[[#This Row],[rpm]]))</f>
        <v>0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-151438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0</v>
      </c>
      <c r="U54" s="3">
        <f>MAX(0,(Table36[maxPSEco]-Table7[f4Eco]*(Table15[[#This Row],[rpm]]-Table36[maxPRpm])^2)/1.36*9550/MAX(1,Table15[[#This Row],[rpm]]))</f>
        <v>0</v>
      </c>
      <c r="V54" s="3">
        <f>MAX(0,Table7[Nm2Eco]*MIN(Table36[ratedRpm]/MAX(1,Table15[[#This Row],[rpm]]),1-(MAX(0,Table15[[#This Row],[rpm]]-Table36[ratedRpm])/Table36[fadeOut])^Table36[fadeOutExp]))</f>
        <v>0</v>
      </c>
      <c r="W5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451.41806722689074</v>
      </c>
      <c r="X5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451.41806722689074</v>
      </c>
    </row>
    <row r="55" spans="1:24" x14ac:dyDescent="0.25">
      <c r="A55" s="3">
        <v>7250</v>
      </c>
      <c r="B5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20"/>
      <c r="D5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20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5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5" s="3">
        <f>(1-(1-Table15[[#This Row],[rpm]]/Table36[idleRpm])^2)*Table7[idleT]</f>
        <v>-163607.125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0</v>
      </c>
      <c r="P55" s="3">
        <f>MAX(0,(Table36[maxPS]-Table7[f4]*(Table15[[#This Row],[rpm]]-Table36[maxPRpm])^2)/1.36*9550/MAX(1,Table15[[#This Row],[rpm]]))</f>
        <v>0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-163607.125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0</v>
      </c>
      <c r="U55" s="3">
        <f>MAX(0,(Table36[maxPSEco]-Table7[f4Eco]*(Table15[[#This Row],[rpm]]-Table36[maxPRpm])^2)/1.36*9550/MAX(1,Table15[[#This Row],[rpm]]))</f>
        <v>0</v>
      </c>
      <c r="V55" s="3">
        <f>MAX(0,Table7[Nm2Eco]*MIN(Table36[ratedRpm]/MAX(1,Table15[[#This Row],[rpm]]),1-(MAX(0,Table15[[#This Row],[rpm]]-Table36[ratedRpm])/Table36[fadeOut])^Table36[fadeOutExp]))</f>
        <v>0</v>
      </c>
      <c r="W5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435.85192697768764</v>
      </c>
      <c r="X5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435.85192697768764</v>
      </c>
    </row>
    <row r="56" spans="1:24" x14ac:dyDescent="0.25">
      <c r="A56" s="3">
        <v>7500</v>
      </c>
      <c r="B5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20"/>
      <c r="D5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20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6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6" s="3">
        <f>(1-(1-Table15[[#This Row],[rpm]]/Table36[idleRpm])^2)*Table7[idleT]</f>
        <v>-176242.5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0</v>
      </c>
      <c r="P56" s="3">
        <f>MAX(0,(Table36[maxPS]-Table7[f4]*(Table15[[#This Row],[rpm]]-Table36[maxPRpm])^2)/1.36*9550/MAX(1,Table15[[#This Row],[rpm]]))</f>
        <v>0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-176242.5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0</v>
      </c>
      <c r="U56" s="3">
        <f>MAX(0,(Table36[maxPSEco]-Table7[f4Eco]*(Table15[[#This Row],[rpm]]-Table36[maxPRpm])^2)/1.36*9550/MAX(1,Table15[[#This Row],[rpm]]))</f>
        <v>0</v>
      </c>
      <c r="V56" s="3">
        <f>MAX(0,Table7[Nm2Eco]*MIN(Table36[ratedRpm]/MAX(1,Table15[[#This Row],[rpm]]),1-(MAX(0,Table15[[#This Row],[rpm]]-Table36[ratedRpm])/Table36[fadeOut])^Table36[fadeOutExp]))</f>
        <v>0</v>
      </c>
      <c r="W5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421.3235294117647</v>
      </c>
      <c r="X5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421.3235294117647</v>
      </c>
    </row>
    <row r="57" spans="1:24" x14ac:dyDescent="0.25">
      <c r="A57" s="3">
        <v>7750</v>
      </c>
      <c r="B5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20"/>
      <c r="D5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20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7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7" s="3">
        <f>(1-(1-Table15[[#This Row],[rpm]]/Table36[idleRpm])^2)*Table7[idleT]</f>
        <v>-189344.12499999997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0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-189344.12499999997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0</v>
      </c>
      <c r="V57" s="3">
        <f>MAX(0,Table7[Nm2Eco]*MIN(Table36[ratedRpm]/MAX(1,Table15[[#This Row],[rpm]]),1-(MAX(0,Table15[[#This Row],[rpm]]-Table36[ratedRpm])/Table36[fadeOut])^Table36[fadeOutExp]))</f>
        <v>0</v>
      </c>
      <c r="W5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407.73244781783677</v>
      </c>
      <c r="X5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407.73244781783677</v>
      </c>
    </row>
    <row r="58" spans="1:24" x14ac:dyDescent="0.25">
      <c r="A58" s="3">
        <v>8000</v>
      </c>
      <c r="B5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20"/>
      <c r="D5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20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8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8" s="3">
        <f>(1-(1-Table15[[#This Row],[rpm]]/Table36[idleRpm])^2)*Table7[idleT]</f>
        <v>-202912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0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-202912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0</v>
      </c>
      <c r="V58" s="3">
        <f>MAX(0,Table7[Nm2Eco]*MIN(Table36[ratedRpm]/MAX(1,Table15[[#This Row],[rpm]]),1-(MAX(0,Table15[[#This Row],[rpm]]-Table36[ratedRpm])/Table36[fadeOut])^Table36[fadeOutExp]))</f>
        <v>0</v>
      </c>
      <c r="W5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394.99080882352939</v>
      </c>
      <c r="X5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394.99080882352939</v>
      </c>
    </row>
    <row r="59" spans="1:24" x14ac:dyDescent="0.25">
      <c r="A59" s="3">
        <v>8250</v>
      </c>
      <c r="B5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20"/>
      <c r="D5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20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9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9" s="3">
        <f>(1-(1-Table15[[#This Row],[rpm]]/Table36[idleRpm])^2)*Table7[idleT]</f>
        <v>-216946.125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0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-216946.125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0</v>
      </c>
      <c r="V59" s="3">
        <f>MAX(0,Table7[Nm2Eco]*MIN(Table36[ratedRpm]/MAX(1,Table15[[#This Row],[rpm]]),1-(MAX(0,Table15[[#This Row],[rpm]]-Table36[ratedRpm])/Table36[fadeOut])^Table36[fadeOutExp]))</f>
        <v>0</v>
      </c>
      <c r="W5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383.02139037433153</v>
      </c>
      <c r="X5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383.02139037433153</v>
      </c>
    </row>
    <row r="60" spans="1:24" x14ac:dyDescent="0.25">
      <c r="A60" s="3">
        <v>8500</v>
      </c>
      <c r="B6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20"/>
      <c r="D6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20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60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0" s="3">
        <f>(1-(1-Table15[[#This Row],[rpm]]/Table36[idleRpm])^2)*Table7[idleT]</f>
        <v>-231446.49999999997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0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-231446.49999999997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0</v>
      </c>
      <c r="V60" s="3">
        <f>MAX(0,Table7[Nm2Eco]*MIN(Table36[ratedRpm]/MAX(1,Table15[[#This Row],[rpm]]),1-(MAX(0,Table15[[#This Row],[rpm]]-Table36[ratedRpm])/Table36[fadeOut])^Table36[fadeOutExp]))</f>
        <v>0</v>
      </c>
      <c r="W6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371.75605536332176</v>
      </c>
      <c r="X6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371.75605536332176</v>
      </c>
    </row>
    <row r="61" spans="1:24" x14ac:dyDescent="0.25">
      <c r="A61" s="3">
        <v>8750</v>
      </c>
      <c r="B6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20"/>
      <c r="D6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20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61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1" s="3">
        <f>(1-(1-Table15[[#This Row],[rpm]]/Table36[idleRpm])^2)*Table7[idleT]</f>
        <v>-246413.125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0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-246413.125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0</v>
      </c>
      <c r="V61" s="3">
        <f>MAX(0,Table7[Nm2Eco]*MIN(Table36[ratedRpm]/MAX(1,Table15[[#This Row],[rpm]]),1-(MAX(0,Table15[[#This Row],[rpm]]-Table36[ratedRpm])/Table36[fadeOut])^Table36[fadeOutExp]))</f>
        <v>0</v>
      </c>
      <c r="W6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361.1344537815126</v>
      </c>
      <c r="X6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361.1344537815126</v>
      </c>
    </row>
    <row r="62" spans="1:24" x14ac:dyDescent="0.25">
      <c r="A62" s="3">
        <v>9000</v>
      </c>
      <c r="B6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20"/>
      <c r="D6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20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62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2" s="3">
        <f>(1-(1-Table15[[#This Row],[rpm]]/Table36[idleRpm])^2)*Table7[idleT]</f>
        <v>-261846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0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-261846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0</v>
      </c>
      <c r="V62" s="3">
        <f>MAX(0,Table7[Nm2Eco]*MIN(Table36[ratedRpm]/MAX(1,Table15[[#This Row],[rpm]]),1-(MAX(0,Table15[[#This Row],[rpm]]-Table36[ratedRpm])/Table36[fadeOut])^Table36[fadeOutExp]))</f>
        <v>0</v>
      </c>
      <c r="W6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351.10294117647055</v>
      </c>
      <c r="X6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351.10294117647055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J7:J62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35" sqref="I35"/>
    </sheetView>
  </sheetViews>
  <sheetFormatPr defaultRowHeight="15" x14ac:dyDescent="0.25"/>
  <cols>
    <col min="7" max="7" width="39.42578125" bestFit="1" customWidth="1"/>
  </cols>
  <sheetData>
    <row r="1" spans="1:9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</row>
    <row r="2" spans="1:9" x14ac:dyDescent="0.25">
      <c r="A2">
        <v>900</v>
      </c>
      <c r="B2">
        <v>0</v>
      </c>
      <c r="C2">
        <f>$I$2*Table13[[#This Row],[rawData]]</f>
        <v>0</v>
      </c>
      <c r="D2">
        <f t="shared" ref="D2:D17" si="0">A2*C2/9550</f>
        <v>0</v>
      </c>
      <c r="E2">
        <f>Table13[[#This Row],[kw_pto]]*1.36/0.94</f>
        <v>0</v>
      </c>
      <c r="F2">
        <f t="shared" ref="F2:F17" si="1">C2/0.94</f>
        <v>0</v>
      </c>
      <c r="G2" t="str">
        <f>CONCATENATE("&lt;torque rpm=""",Table13[[#This Row],[rpm]],""" motorTorque=""",ROUND(Table13[[#This Row],[motor]],0),"""/&gt;")</f>
        <v>&lt;torque rpm="900" motorTorque="0"/&gt;</v>
      </c>
      <c r="I2">
        <f>1.35581795*0.94</f>
        <v>1.274468873</v>
      </c>
    </row>
    <row r="3" spans="1:9" x14ac:dyDescent="0.25">
      <c r="A3">
        <v>1000</v>
      </c>
      <c r="B3">
        <v>1850</v>
      </c>
      <c r="C3">
        <f>$I$2*Table13[[#This Row],[rawData]]</f>
        <v>2357.7674150500002</v>
      </c>
      <c r="D3">
        <f t="shared" si="0"/>
        <v>246.88664031937174</v>
      </c>
      <c r="E3">
        <f>Table13[[#This Row],[kw_pto]]*1.36/0.94</f>
        <v>357.1976923769634</v>
      </c>
      <c r="F3">
        <f t="shared" si="1"/>
        <v>2508.2632075000001</v>
      </c>
      <c r="G3" t="str">
        <f>CONCATENATE("&lt;torque rpm=""",Table13[[#This Row],[rpm]],""" motorTorque=""",ROUND(Table13[[#This Row],[motor]],0),"""/&gt;")</f>
        <v>&lt;torque rpm="1000" motorTorque="2508"/&gt;</v>
      </c>
    </row>
    <row r="4" spans="1:9" x14ac:dyDescent="0.25">
      <c r="A4">
        <v>1100</v>
      </c>
      <c r="B4">
        <v>1850</v>
      </c>
      <c r="C4">
        <f>$I$2*Table13[[#This Row],[rawData]]</f>
        <v>2357.7674150500002</v>
      </c>
      <c r="D4">
        <f t="shared" si="0"/>
        <v>271.57530435130894</v>
      </c>
      <c r="E4">
        <f>Table13[[#This Row],[kw_pto]]*1.36/0.94</f>
        <v>392.91746161465977</v>
      </c>
      <c r="F4">
        <f t="shared" si="1"/>
        <v>2508.2632075000001</v>
      </c>
      <c r="G4" t="str">
        <f>CONCATENATE("&lt;torque rpm=""",Table13[[#This Row],[rpm]],""" motorTorque=""",ROUND(Table13[[#This Row],[motor]],0),"""/&gt;")</f>
        <v>&lt;torque rpm="1100" motorTorque="2508"/&gt;</v>
      </c>
    </row>
    <row r="5" spans="1:9" x14ac:dyDescent="0.25">
      <c r="A5">
        <v>1200</v>
      </c>
      <c r="B5">
        <v>1850</v>
      </c>
      <c r="C5">
        <f>$I$2*Table13[[#This Row],[rawData]]</f>
        <v>2357.7674150500002</v>
      </c>
      <c r="D5">
        <f t="shared" si="0"/>
        <v>296.26396838324609</v>
      </c>
      <c r="E5">
        <f>Table13[[#This Row],[kw_pto]]*1.36/0.94</f>
        <v>428.63723085235614</v>
      </c>
      <c r="F5">
        <f t="shared" si="1"/>
        <v>2508.2632075000001</v>
      </c>
      <c r="G5" t="str">
        <f>CONCATENATE("&lt;torque rpm=""",Table13[[#This Row],[rpm]],""" motorTorque=""",ROUND(Table13[[#This Row],[motor]],0),"""/&gt;")</f>
        <v>&lt;torque rpm="1200" motorTorque="2508"/&gt;</v>
      </c>
    </row>
    <row r="6" spans="1:9" x14ac:dyDescent="0.25">
      <c r="A6">
        <v>1300</v>
      </c>
      <c r="B6">
        <v>1850</v>
      </c>
      <c r="C6">
        <f>$I$2*Table13[[#This Row],[rawData]]</f>
        <v>2357.7674150500002</v>
      </c>
      <c r="D6">
        <f t="shared" si="0"/>
        <v>320.9526324151833</v>
      </c>
      <c r="E6">
        <f>Table13[[#This Row],[kw_pto]]*1.36/0.94</f>
        <v>464.35700009005245</v>
      </c>
      <c r="F6">
        <f t="shared" si="1"/>
        <v>2508.2632075000001</v>
      </c>
      <c r="G6" t="str">
        <f>CONCATENATE("&lt;torque rpm=""",Table13[[#This Row],[rpm]],""" motorTorque=""",ROUND(Table13[[#This Row],[motor]],0),"""/&gt;")</f>
        <v>&lt;torque rpm="1300" motorTorque="2508"/&gt;</v>
      </c>
    </row>
    <row r="7" spans="1:9" x14ac:dyDescent="0.25">
      <c r="A7">
        <v>1400</v>
      </c>
      <c r="B7">
        <v>1810</v>
      </c>
      <c r="C7">
        <f>$I$2*Table13[[#This Row],[rawData]]</f>
        <v>2306.7886601300002</v>
      </c>
      <c r="D7">
        <f t="shared" si="0"/>
        <v>338.16797111853407</v>
      </c>
      <c r="E7">
        <f>Table13[[#This Row],[kw_pto]]*1.36/0.94</f>
        <v>489.26429863958128</v>
      </c>
      <c r="F7">
        <f t="shared" si="1"/>
        <v>2454.0304895000004</v>
      </c>
      <c r="G7" t="str">
        <f>CONCATENATE("&lt;torque rpm=""",Table13[[#This Row],[rpm]],""" motorTorque=""",ROUND(Table13[[#This Row],[motor]],0),"""/&gt;")</f>
        <v>&lt;torque rpm="1400" motorTorque="2454"/&gt;</v>
      </c>
    </row>
    <row r="8" spans="1:9" x14ac:dyDescent="0.25">
      <c r="A8">
        <v>1500</v>
      </c>
      <c r="B8">
        <v>1690</v>
      </c>
      <c r="C8">
        <f>$I$2*Table13[[#This Row],[rawData]]</f>
        <v>2153.8523953700001</v>
      </c>
      <c r="D8">
        <f t="shared" si="0"/>
        <v>338.30142335654449</v>
      </c>
      <c r="E8">
        <f>Table13[[#This Row],[kw_pto]]*1.36/0.94</f>
        <v>489.45737847329849</v>
      </c>
      <c r="F8">
        <f t="shared" si="1"/>
        <v>2291.3323355000002</v>
      </c>
      <c r="G8" t="str">
        <f>CONCATENATE("&lt;torque rpm=""",Table13[[#This Row],[rpm]],""" motorTorque=""",ROUND(Table13[[#This Row],[motor]],0),"""/&gt;")</f>
        <v>&lt;torque rpm="1500" motorTorque="2291"/&gt;</v>
      </c>
    </row>
    <row r="9" spans="1:9" x14ac:dyDescent="0.25">
      <c r="A9">
        <v>1600</v>
      </c>
      <c r="B9">
        <v>1585</v>
      </c>
      <c r="C9">
        <f>$I$2*Table13[[#This Row],[rawData]]</f>
        <v>2020.0331637050001</v>
      </c>
      <c r="D9">
        <f t="shared" si="0"/>
        <v>338.43487559455502</v>
      </c>
      <c r="E9">
        <f>Table13[[#This Row],[kw_pto]]*1.36/0.94</f>
        <v>489.65045830701581</v>
      </c>
      <c r="F9">
        <f t="shared" si="1"/>
        <v>2148.9714507500003</v>
      </c>
      <c r="G9" t="str">
        <f>CONCATENATE("&lt;torque rpm=""",Table13[[#This Row],[rpm]],""" motorTorque=""",ROUND(Table13[[#This Row],[motor]],0),"""/&gt;")</f>
        <v>&lt;torque rpm="1600" motorTorque="2149"/&gt;</v>
      </c>
    </row>
    <row r="10" spans="1:9" x14ac:dyDescent="0.25">
      <c r="A10">
        <v>1700</v>
      </c>
      <c r="B10">
        <v>1492</v>
      </c>
      <c r="C10">
        <f>$I$2*Table13[[#This Row],[rawData]]</f>
        <v>1901.507558516</v>
      </c>
      <c r="D10">
        <f t="shared" si="0"/>
        <v>338.48825648975912</v>
      </c>
      <c r="E10">
        <f>Table13[[#This Row],[kw_pto]]*1.36/0.94</f>
        <v>489.72769024050262</v>
      </c>
      <c r="F10">
        <f t="shared" si="1"/>
        <v>2022.8803814</v>
      </c>
      <c r="G10" t="str">
        <f>CONCATENATE("&lt;torque rpm=""",Table13[[#This Row],[rpm]],""" motorTorque=""",ROUND(Table13[[#This Row],[motor]],0),"""/&gt;")</f>
        <v>&lt;torque rpm="1700" motorTorque="2023"/&gt;</v>
      </c>
    </row>
    <row r="11" spans="1:9" x14ac:dyDescent="0.25">
      <c r="A11">
        <v>1800</v>
      </c>
      <c r="B11">
        <v>1410</v>
      </c>
      <c r="C11">
        <f>$I$2*Table13[[#This Row],[rawData]]</f>
        <v>1797.0011109300001</v>
      </c>
      <c r="D11">
        <f t="shared" si="0"/>
        <v>338.70178007057592</v>
      </c>
      <c r="E11">
        <f>Table13[[#This Row],[kw_pto]]*1.36/0.94</f>
        <v>490.03661797445034</v>
      </c>
      <c r="F11">
        <f t="shared" si="1"/>
        <v>1911.7033095000002</v>
      </c>
      <c r="G11" t="str">
        <f>CONCATENATE("&lt;torque rpm=""",Table13[[#This Row],[rpm]],""" motorTorque=""",ROUND(Table13[[#This Row],[motor]],0),"""/&gt;")</f>
        <v>&lt;torque rpm="1800" motorTorque="1912"/&gt;</v>
      </c>
    </row>
    <row r="12" spans="1:9" x14ac:dyDescent="0.25">
      <c r="A12">
        <v>1900</v>
      </c>
      <c r="B12">
        <v>1320</v>
      </c>
      <c r="C12">
        <f>$I$2*Table13[[#This Row],[rawData]]</f>
        <v>1682.29891236</v>
      </c>
      <c r="D12">
        <f t="shared" si="0"/>
        <v>334.69821293026177</v>
      </c>
      <c r="E12">
        <f>Table13[[#This Row],[kw_pto]]*1.36/0.94</f>
        <v>484.24422296293199</v>
      </c>
      <c r="F12">
        <f t="shared" si="1"/>
        <v>1789.6796940000002</v>
      </c>
      <c r="G12" t="str">
        <f>CONCATENATE("&lt;torque rpm=""",Table13[[#This Row],[rpm]],""" motorTorque=""",ROUND(Table13[[#This Row],[motor]],0),"""/&gt;")</f>
        <v>&lt;torque rpm="1900" motorTorque="1790"/&gt;</v>
      </c>
    </row>
    <row r="13" spans="1:9" x14ac:dyDescent="0.25">
      <c r="A13">
        <v>2000</v>
      </c>
      <c r="B13">
        <v>1250</v>
      </c>
      <c r="C13">
        <f>$I$2*Table13[[#This Row],[rawData]]</f>
        <v>1593.08609125</v>
      </c>
      <c r="D13">
        <f t="shared" si="0"/>
        <v>333.63059502617801</v>
      </c>
      <c r="E13">
        <f>Table13[[#This Row],[kw_pto]]*1.36/0.94</f>
        <v>482.69958429319377</v>
      </c>
      <c r="F13">
        <f t="shared" si="1"/>
        <v>1694.7724375</v>
      </c>
      <c r="G13" t="str">
        <f>CONCATENATE("&lt;torque rpm=""",Table13[[#This Row],[rpm]],""" motorTorque=""",ROUND(Table13[[#This Row],[motor]],0),"""/&gt;")</f>
        <v>&lt;torque rpm="2000" motorTorque="1695"/&gt;</v>
      </c>
    </row>
    <row r="14" spans="1:9" x14ac:dyDescent="0.25">
      <c r="A14">
        <v>2100</v>
      </c>
      <c r="B14">
        <v>1180</v>
      </c>
      <c r="C14">
        <f>$I$2*Table13[[#This Row],[rawData]]</f>
        <v>1503.8732701399999</v>
      </c>
      <c r="D14">
        <f t="shared" si="0"/>
        <v>330.69464578994763</v>
      </c>
      <c r="E14">
        <f>Table13[[#This Row],[kw_pto]]*1.36/0.94</f>
        <v>478.45182795141369</v>
      </c>
      <c r="F14">
        <f t="shared" si="1"/>
        <v>1599.8651810000001</v>
      </c>
      <c r="G14" t="str">
        <f>CONCATENATE("&lt;torque rpm=""",Table13[[#This Row],[rpm]],""" motorTorque=""",ROUND(Table13[[#This Row],[motor]],0),"""/&gt;")</f>
        <v>&lt;torque rpm="2100" motorTorque="1600"/&gt;</v>
      </c>
    </row>
    <row r="15" spans="1:9" x14ac:dyDescent="0.25">
      <c r="A15">
        <v>2200</v>
      </c>
      <c r="B15">
        <v>500</v>
      </c>
      <c r="C15">
        <f>$I$2*Table13[[#This Row],[rawData]]</f>
        <v>637.23443650000002</v>
      </c>
      <c r="D15">
        <f t="shared" si="0"/>
        <v>146.79746181151833</v>
      </c>
      <c r="E15">
        <f>Table13[[#This Row],[kw_pto]]*1.36/0.94</f>
        <v>212.3878170890053</v>
      </c>
      <c r="F15">
        <f t="shared" si="1"/>
        <v>677.90897500000005</v>
      </c>
      <c r="G15" t="str">
        <f>CONCATENATE("&lt;torque rpm=""",Table13[[#This Row],[rpm]],""" motorTorque=""",ROUND(Table13[[#This Row],[motor]],0),"""/&gt;")</f>
        <v>&lt;torque rpm="2200" motorTorque="678"/&gt;</v>
      </c>
    </row>
    <row r="16" spans="1:9" x14ac:dyDescent="0.25">
      <c r="A16">
        <v>2300</v>
      </c>
      <c r="B16">
        <v>0</v>
      </c>
      <c r="C16">
        <f>$I$2*Table13[[#This Row],[rawData]]</f>
        <v>0</v>
      </c>
      <c r="D16">
        <f t="shared" si="0"/>
        <v>0</v>
      </c>
      <c r="E16">
        <f>Table13[[#This Row],[kw_pto]]*1.36/0.94</f>
        <v>0</v>
      </c>
      <c r="F16">
        <f t="shared" si="1"/>
        <v>0</v>
      </c>
      <c r="G16" t="str">
        <f>CONCATENATE("&lt;torque rpm=""",Table13[[#This Row],[rpm]],""" motorTorque=""",ROUND(Table13[[#This Row],[motor]],0),"""/&gt;")</f>
        <v>&lt;torque rpm="2300" motorTorque="0"/&gt;</v>
      </c>
    </row>
    <row r="17" spans="1:7" x14ac:dyDescent="0.25">
      <c r="A17">
        <v>2300</v>
      </c>
      <c r="B17">
        <v>0</v>
      </c>
      <c r="C17">
        <f>$I$2*Table13[[#This Row],[rawData]]</f>
        <v>0</v>
      </c>
      <c r="D17">
        <f t="shared" si="0"/>
        <v>0</v>
      </c>
      <c r="E17">
        <f>Table13[[#This Row],[kw_pto]]*1.36/0.94</f>
        <v>0</v>
      </c>
      <c r="F17">
        <f t="shared" si="1"/>
        <v>0</v>
      </c>
      <c r="G17" t="str">
        <f>CONCATENATE("&lt;torque rpm=""",Table13[[#This Row],[rpm]],""" motorTorque=""",ROUND(Table13[[#This Row],[motor]],0),"""/&gt;")</f>
        <v>&lt;torque rpm="2300" motorTorque="0"/&gt;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Sheet1 (2)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2016-06-28T12:28:30Z</dcterms:modified>
</cp:coreProperties>
</file>