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27555" yWindow="0" windowWidth="13200" windowHeight="11520" activeTab="3"/>
  </bookViews>
  <sheets>
    <sheet name="ZF" sheetId="1" r:id="rId1"/>
    <sheet name="Fendt" sheetId="2" r:id="rId2"/>
    <sheet name="Small" sheetId="4" r:id="rId3"/>
    <sheet name="Combin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A14" i="1"/>
  <c r="A15" i="1"/>
  <c r="A12" i="1"/>
  <c r="A11" i="1"/>
  <c r="B40" i="1"/>
  <c r="B46" i="1"/>
  <c r="B47" i="1"/>
  <c r="B35" i="1"/>
  <c r="B41" i="1"/>
  <c r="B34" i="1"/>
  <c r="B33" i="1"/>
  <c r="B29" i="1"/>
  <c r="H5" i="1" l="1"/>
  <c r="A16" i="1" s="1"/>
  <c r="I5" i="1" l="1"/>
  <c r="A10" i="1"/>
  <c r="D5" i="1"/>
  <c r="F15" i="1" l="1"/>
  <c r="H15" i="1" s="1"/>
  <c r="F11" i="1"/>
  <c r="N5" i="1"/>
  <c r="F22" i="1"/>
  <c r="C5" i="1"/>
  <c r="L5" i="1"/>
  <c r="M5" i="1"/>
  <c r="J15" i="1" l="1"/>
  <c r="E15" i="1"/>
  <c r="H11" i="1"/>
  <c r="A47" i="1"/>
  <c r="J11" i="1"/>
  <c r="B5" i="1"/>
  <c r="E11" i="1"/>
  <c r="A41" i="1" s="1"/>
  <c r="E13" i="1"/>
  <c r="A43" i="1" s="1"/>
  <c r="F21" i="1"/>
  <c r="B13" i="1"/>
  <c r="F13" i="1"/>
  <c r="A49" i="1" s="1"/>
  <c r="D15" i="1" l="1"/>
  <c r="A5" i="1"/>
  <c r="E5" i="1" s="1"/>
  <c r="F20" i="1"/>
  <c r="H20" i="1" s="1"/>
  <c r="D13" i="1"/>
  <c r="A37" i="1" s="1"/>
  <c r="D11" i="1"/>
  <c r="A35" i="1" s="1"/>
  <c r="B28" i="1"/>
  <c r="B49" i="1"/>
  <c r="B37" i="1"/>
  <c r="B31" i="1"/>
  <c r="B43" i="1"/>
  <c r="B45" i="1"/>
  <c r="B51" i="1"/>
  <c r="B39" i="1"/>
  <c r="B30" i="1"/>
  <c r="B42" i="1"/>
  <c r="B48" i="1"/>
  <c r="B36" i="1"/>
  <c r="B27" i="1"/>
  <c r="B50" i="1"/>
  <c r="B38" i="1"/>
  <c r="B32" i="1"/>
  <c r="B44" i="1"/>
  <c r="F19" i="1"/>
  <c r="H19" i="1" s="1"/>
  <c r="H21" i="1"/>
  <c r="H22" i="1"/>
  <c r="H13" i="1"/>
  <c r="J13" i="1"/>
  <c r="J22" i="1"/>
  <c r="J21" i="1"/>
  <c r="I22" i="1"/>
  <c r="I21" i="1"/>
  <c r="I20" i="1"/>
  <c r="D10" i="1"/>
  <c r="A34" i="1" s="1"/>
  <c r="E10" i="1"/>
  <c r="A40" i="1" s="1"/>
  <c r="D16" i="1"/>
  <c r="A39" i="1" s="1"/>
  <c r="E16" i="1"/>
  <c r="A45" i="1" s="1"/>
  <c r="D14" i="1"/>
  <c r="A38" i="1" s="1"/>
  <c r="E14" i="1"/>
  <c r="A44" i="1" s="1"/>
  <c r="E12" i="1"/>
  <c r="A42" i="1" s="1"/>
  <c r="D12" i="1"/>
  <c r="A36" i="1" s="1"/>
  <c r="C10" i="1"/>
  <c r="A28" i="1" s="1"/>
  <c r="F10" i="1"/>
  <c r="A46" i="1" s="1"/>
  <c r="C13" i="1" l="1"/>
  <c r="A31" i="1" s="1"/>
  <c r="A8" i="1"/>
  <c r="A9" i="1"/>
  <c r="C9" i="1" s="1"/>
  <c r="C11" i="1"/>
  <c r="A29" i="1" s="1"/>
  <c r="J20" i="1"/>
  <c r="K20" i="1" s="1"/>
  <c r="G20" i="1"/>
  <c r="C15" i="1"/>
  <c r="G13" i="1"/>
  <c r="K13" i="1" s="1"/>
  <c r="L13" i="1" s="1"/>
  <c r="D8" i="1"/>
  <c r="I13" i="1"/>
  <c r="G21" i="1"/>
  <c r="K21" i="1" s="1"/>
  <c r="E8" i="1"/>
  <c r="G19" i="1"/>
  <c r="I19" i="1"/>
  <c r="G22" i="1"/>
  <c r="K22" i="1" s="1"/>
  <c r="J19" i="1"/>
  <c r="G10" i="1"/>
  <c r="K10" i="1" s="1"/>
  <c r="L10" i="1" s="1"/>
  <c r="I10" i="1"/>
  <c r="H10" i="1"/>
  <c r="J10" i="1"/>
  <c r="C12" i="1"/>
  <c r="F12" i="1"/>
  <c r="A48" i="1" s="1"/>
  <c r="F8" i="1"/>
  <c r="F14" i="1"/>
  <c r="A50" i="1" s="1"/>
  <c r="F16" i="1"/>
  <c r="A51" i="1" s="1"/>
  <c r="C8" i="1"/>
  <c r="C14" i="1"/>
  <c r="C16" i="1"/>
  <c r="G11" i="1" l="1"/>
  <c r="K11" i="1" s="1"/>
  <c r="L11" i="1" s="1"/>
  <c r="I11" i="1"/>
  <c r="L21" i="1"/>
  <c r="L22" i="1"/>
  <c r="F9" i="1"/>
  <c r="E9" i="1"/>
  <c r="D9" i="1"/>
  <c r="G9" i="1"/>
  <c r="I9" i="1"/>
  <c r="A33" i="1"/>
  <c r="G15" i="1"/>
  <c r="K15" i="1" s="1"/>
  <c r="L15" i="1" s="1"/>
  <c r="I15" i="1"/>
  <c r="L20" i="1"/>
  <c r="I14" i="1"/>
  <c r="A32" i="1"/>
  <c r="I8" i="1"/>
  <c r="A27" i="1"/>
  <c r="I12" i="1"/>
  <c r="A30" i="1"/>
  <c r="K19" i="1"/>
  <c r="I16" i="1"/>
  <c r="H12" i="1"/>
  <c r="J12" i="1"/>
  <c r="H16" i="1"/>
  <c r="J16" i="1"/>
  <c r="H14" i="1"/>
  <c r="J14" i="1"/>
  <c r="H8" i="1"/>
  <c r="J8" i="1"/>
  <c r="G16" i="1"/>
  <c r="G14" i="1"/>
  <c r="K14" i="1" s="1"/>
  <c r="L14" i="1" s="1"/>
  <c r="G8" i="1"/>
  <c r="K8" i="1" s="1"/>
  <c r="L8" i="1" s="1"/>
  <c r="G12" i="1"/>
  <c r="K12" i="1" s="1"/>
  <c r="L12" i="1" s="1"/>
  <c r="K16" i="1"/>
  <c r="L16" i="1" s="1"/>
  <c r="K9" i="1" l="1"/>
  <c r="L9" i="1" s="1"/>
  <c r="J9" i="1"/>
  <c r="H9" i="1"/>
  <c r="L19" i="1"/>
</calcChain>
</file>

<file path=xl/sharedStrings.xml><?xml version="1.0" encoding="utf-8"?>
<sst xmlns="http://schemas.openxmlformats.org/spreadsheetml/2006/main" count="53" uniqueCount="46">
  <si>
    <t>ratio</t>
  </si>
  <si>
    <t>factor</t>
  </si>
  <si>
    <t>speed1</t>
  </si>
  <si>
    <t>speed2</t>
  </si>
  <si>
    <t>xml</t>
  </si>
  <si>
    <t>idle</t>
  </si>
  <si>
    <t>rated</t>
  </si>
  <si>
    <t>ratio1</t>
  </si>
  <si>
    <t>ratio2</t>
  </si>
  <si>
    <t>idleSpeed1</t>
  </si>
  <si>
    <t>minSpeed</t>
  </si>
  <si>
    <t>minRatio</t>
  </si>
  <si>
    <t>range</t>
  </si>
  <si>
    <t>minEff</t>
  </si>
  <si>
    <t>maxEff</t>
  </si>
  <si>
    <t>zeroEff</t>
  </si>
  <si>
    <t>constF1</t>
  </si>
  <si>
    <t>constF2</t>
  </si>
  <si>
    <t>s1</t>
  </si>
  <si>
    <t>s2</t>
  </si>
  <si>
    <t>s3</t>
  </si>
  <si>
    <t>s4</t>
  </si>
  <si>
    <t>rpm40</t>
  </si>
  <si>
    <t>rpm50</t>
  </si>
  <si>
    <t>rpm60</t>
  </si>
  <si>
    <t>speed4</t>
  </si>
  <si>
    <t>speed3</t>
  </si>
  <si>
    <t>gear</t>
  </si>
  <si>
    <t>speed</t>
  </si>
  <si>
    <t>fromSpeed</t>
  </si>
  <si>
    <t>toSpeed</t>
  </si>
  <si>
    <t xml:space="preserve">      &lt;hydrostatic&gt;</t>
  </si>
  <si>
    <t xml:space="preserve">      &lt;/hydrostatic&gt;</t>
  </si>
  <si>
    <t xml:space="preserve">      &lt;/gears&gt;</t>
  </si>
  <si>
    <t>idleSpeed4</t>
  </si>
  <si>
    <t>idleSpeed</t>
  </si>
  <si>
    <t>maxSpeed</t>
  </si>
  <si>
    <t>rpm</t>
  </si>
  <si>
    <t>gear2gear</t>
  </si>
  <si>
    <t>gears</t>
  </si>
  <si>
    <t>km/h</t>
  </si>
  <si>
    <t>Efficiency</t>
  </si>
  <si>
    <t xml:space="preserve">      &lt;gears automatic="true"&gt;</t>
  </si>
  <si>
    <t xml:space="preserve">      &lt;reverse ratio="1"/&gt;</t>
  </si>
  <si>
    <t>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</si>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</sst>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167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2" fontId="0" fillId="0" borderId="1" xfId="0" applyNumberFormat="1" applyFont="1" applyBorder="1"/>
    <xf numFmtId="164" fontId="2" fillId="0" borderId="0" xfId="0" applyNumberFormat="1" applyFont="1"/>
    <xf numFmtId="167" fontId="2" fillId="0" borderId="0" xfId="0" applyNumberFormat="1" applyFont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7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numFmt numFmtId="2" formatCode="0.00"/>
    </dxf>
    <dxf>
      <numFmt numFmtId="0" formatCode="General"/>
    </dxf>
    <dxf>
      <numFmt numFmtId="165" formatCode="0.0"/>
    </dxf>
    <dxf>
      <numFmt numFmtId="165" formatCode="0.0"/>
    </dxf>
    <dxf>
      <numFmt numFmtId="165" formatCode="0.0"/>
    </dxf>
    <dxf>
      <numFmt numFmtId="2" formatCode="0.00"/>
    </dxf>
    <dxf>
      <numFmt numFmtId="2" formatCode="0.0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7" formatCode="0.00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numFmt numFmtId="0" formatCode="General"/>
    </dxf>
    <dxf>
      <numFmt numFmtId="1" formatCode="0"/>
    </dxf>
    <dxf>
      <numFmt numFmtId="1" formatCode="0"/>
    </dxf>
    <dxf>
      <numFmt numFmtId="167" formatCode="0.00000"/>
    </dxf>
    <dxf>
      <numFmt numFmtId="166" formatCode="0.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ZF!$C$7</c:f>
              <c:strCache>
                <c:ptCount val="1"/>
                <c:pt idx="0">
                  <c:v>speed1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ZF!$A$8:$A$16</c:f>
              <c:numCache>
                <c:formatCode>0.00000</c:formatCode>
                <c:ptCount val="9"/>
                <c:pt idx="0">
                  <c:v>2.1000000000000001E-2</c:v>
                </c:pt>
                <c:pt idx="1">
                  <c:v>0.21522222222222223</c:v>
                </c:pt>
                <c:pt idx="2" formatCode="General">
                  <c:v>0.66666666666666674</c:v>
                </c:pt>
                <c:pt idx="3" formatCode="General">
                  <c:v>0.77777777777777779</c:v>
                </c:pt>
                <c:pt idx="4" formatCode="General">
                  <c:v>0.88888888888888884</c:v>
                </c:pt>
                <c:pt idx="5" formatCode="General">
                  <c:v>1</c:v>
                </c:pt>
                <c:pt idx="6" formatCode="General">
                  <c:v>1.1111111111111112</c:v>
                </c:pt>
                <c:pt idx="7" formatCode="General">
                  <c:v>1.2222222222222223</c:v>
                </c:pt>
                <c:pt idx="8" formatCode="General">
                  <c:v>1.3333333333333333</c:v>
                </c:pt>
              </c:numCache>
            </c:numRef>
          </c:xVal>
          <c:yVal>
            <c:numRef>
              <c:f>ZF!$C$8:$C$16</c:f>
              <c:numCache>
                <c:formatCode>0.00</c:formatCode>
                <c:ptCount val="9"/>
                <c:pt idx="0">
                  <c:v>0.13125000000000003</c:v>
                </c:pt>
                <c:pt idx="1">
                  <c:v>1.3451388888888891</c:v>
                </c:pt>
                <c:pt idx="2">
                  <c:v>4.1666666666666679</c:v>
                </c:pt>
                <c:pt idx="3">
                  <c:v>4.8611111111111116</c:v>
                </c:pt>
                <c:pt idx="4">
                  <c:v>5.5555555555555562</c:v>
                </c:pt>
                <c:pt idx="5">
                  <c:v>6.2500000000000009</c:v>
                </c:pt>
                <c:pt idx="6">
                  <c:v>6.9444444444444455</c:v>
                </c:pt>
                <c:pt idx="7">
                  <c:v>7.6388888888888902</c:v>
                </c:pt>
                <c:pt idx="8">
                  <c:v>8.3333333333333339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ZF!$F$7</c:f>
              <c:strCache>
                <c:ptCount val="1"/>
                <c:pt idx="0">
                  <c:v>speed4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ZF!$A$8:$A$16</c:f>
              <c:numCache>
                <c:formatCode>0.00000</c:formatCode>
                <c:ptCount val="9"/>
                <c:pt idx="0">
                  <c:v>2.1000000000000001E-2</c:v>
                </c:pt>
                <c:pt idx="1">
                  <c:v>0.21522222222222223</c:v>
                </c:pt>
                <c:pt idx="2" formatCode="General">
                  <c:v>0.66666666666666674</c:v>
                </c:pt>
                <c:pt idx="3" formatCode="General">
                  <c:v>0.77777777777777779</c:v>
                </c:pt>
                <c:pt idx="4" formatCode="General">
                  <c:v>0.88888888888888884</c:v>
                </c:pt>
                <c:pt idx="5" formatCode="General">
                  <c:v>1</c:v>
                </c:pt>
                <c:pt idx="6" formatCode="General">
                  <c:v>1.1111111111111112</c:v>
                </c:pt>
                <c:pt idx="7" formatCode="General">
                  <c:v>1.2222222222222223</c:v>
                </c:pt>
                <c:pt idx="8" formatCode="General">
                  <c:v>1.3333333333333333</c:v>
                </c:pt>
              </c:numCache>
            </c:numRef>
          </c:xVal>
          <c:yVal>
            <c:numRef>
              <c:f>ZF!$F$8:$F$16</c:f>
              <c:numCache>
                <c:formatCode>0.00</c:formatCode>
                <c:ptCount val="9"/>
                <c:pt idx="0">
                  <c:v>1.0500000000000003</c:v>
                </c:pt>
                <c:pt idx="1">
                  <c:v>10.761111111111113</c:v>
                </c:pt>
                <c:pt idx="2">
                  <c:v>33.333333333333343</c:v>
                </c:pt>
                <c:pt idx="3">
                  <c:v>38.888888888888893</c:v>
                </c:pt>
                <c:pt idx="4">
                  <c:v>44.44444444444445</c:v>
                </c:pt>
                <c:pt idx="5">
                  <c:v>50.000000000000007</c:v>
                </c:pt>
                <c:pt idx="6">
                  <c:v>55.555555555555564</c:v>
                </c:pt>
                <c:pt idx="7">
                  <c:v>61.111111111111121</c:v>
                </c:pt>
                <c:pt idx="8">
                  <c:v>66.666666666666671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ZF!$G$7</c:f>
              <c:strCache>
                <c:ptCount val="1"/>
                <c:pt idx="0">
                  <c:v>idleSpeed1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ZF!$A$8:$A$16</c:f>
              <c:numCache>
                <c:formatCode>0.00000</c:formatCode>
                <c:ptCount val="9"/>
                <c:pt idx="0">
                  <c:v>2.1000000000000001E-2</c:v>
                </c:pt>
                <c:pt idx="1">
                  <c:v>0.21522222222222223</c:v>
                </c:pt>
                <c:pt idx="2" formatCode="General">
                  <c:v>0.66666666666666674</c:v>
                </c:pt>
                <c:pt idx="3" formatCode="General">
                  <c:v>0.77777777777777779</c:v>
                </c:pt>
                <c:pt idx="4" formatCode="General">
                  <c:v>0.88888888888888884</c:v>
                </c:pt>
                <c:pt idx="5" formatCode="General">
                  <c:v>1</c:v>
                </c:pt>
                <c:pt idx="6" formatCode="General">
                  <c:v>1.1111111111111112</c:v>
                </c:pt>
                <c:pt idx="7" formatCode="General">
                  <c:v>1.2222222222222223</c:v>
                </c:pt>
                <c:pt idx="8" formatCode="General">
                  <c:v>1.3333333333333333</c:v>
                </c:pt>
              </c:numCache>
            </c:numRef>
          </c:xVal>
          <c:yVal>
            <c:numRef>
              <c:f>ZF!$G$8:$G$16</c:f>
              <c:numCache>
                <c:formatCode>0.0000</c:formatCode>
                <c:ptCount val="9"/>
                <c:pt idx="0">
                  <c:v>5.0000000000000017E-2</c:v>
                </c:pt>
                <c:pt idx="1">
                  <c:v>0.51243386243386257</c:v>
                </c:pt>
                <c:pt idx="2" formatCode="0.0">
                  <c:v>1.5873015873015879</c:v>
                </c:pt>
                <c:pt idx="3">
                  <c:v>1.8518518518518521</c:v>
                </c:pt>
                <c:pt idx="4" formatCode="0.0">
                  <c:v>2.1164021164021167</c:v>
                </c:pt>
                <c:pt idx="5" formatCode="0.0">
                  <c:v>2.3809523809523814</c:v>
                </c:pt>
                <c:pt idx="6" formatCode="0.0">
                  <c:v>2.645502645502646</c:v>
                </c:pt>
                <c:pt idx="7">
                  <c:v>2.9100529100529107</c:v>
                </c:pt>
                <c:pt idx="8" formatCode="0.0">
                  <c:v>3.1746031746031749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ZF!$H$7</c:f>
              <c:strCache>
                <c:ptCount val="1"/>
                <c:pt idx="0">
                  <c:v>idleSpeed4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ZF!$A$8:$A$16</c:f>
              <c:numCache>
                <c:formatCode>0.00000</c:formatCode>
                <c:ptCount val="9"/>
                <c:pt idx="0">
                  <c:v>2.1000000000000001E-2</c:v>
                </c:pt>
                <c:pt idx="1">
                  <c:v>0.21522222222222223</c:v>
                </c:pt>
                <c:pt idx="2" formatCode="General">
                  <c:v>0.66666666666666674</c:v>
                </c:pt>
                <c:pt idx="3" formatCode="General">
                  <c:v>0.77777777777777779</c:v>
                </c:pt>
                <c:pt idx="4" formatCode="General">
                  <c:v>0.88888888888888884</c:v>
                </c:pt>
                <c:pt idx="5" formatCode="General">
                  <c:v>1</c:v>
                </c:pt>
                <c:pt idx="6" formatCode="General">
                  <c:v>1.1111111111111112</c:v>
                </c:pt>
                <c:pt idx="7" formatCode="General">
                  <c:v>1.2222222222222223</c:v>
                </c:pt>
                <c:pt idx="8" formatCode="General">
                  <c:v>1.3333333333333333</c:v>
                </c:pt>
              </c:numCache>
            </c:numRef>
          </c:xVal>
          <c:yVal>
            <c:numRef>
              <c:f>ZF!$H$8:$H$16</c:f>
              <c:numCache>
                <c:formatCode>0.00000</c:formatCode>
                <c:ptCount val="9"/>
                <c:pt idx="0">
                  <c:v>0.40000000000000013</c:v>
                </c:pt>
                <c:pt idx="1">
                  <c:v>4.0994708994709006</c:v>
                </c:pt>
                <c:pt idx="2" formatCode="0.0">
                  <c:v>12.698412698412703</c:v>
                </c:pt>
                <c:pt idx="3">
                  <c:v>14.814814814814817</c:v>
                </c:pt>
                <c:pt idx="4" formatCode="0.0">
                  <c:v>16.931216931216934</c:v>
                </c:pt>
                <c:pt idx="5" formatCode="0.0">
                  <c:v>19.047619047619051</c:v>
                </c:pt>
                <c:pt idx="6" formatCode="0.0">
                  <c:v>21.164021164021168</c:v>
                </c:pt>
                <c:pt idx="7">
                  <c:v>23.280423280423285</c:v>
                </c:pt>
                <c:pt idx="8" formatCode="0.0">
                  <c:v>25.396825396825399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54264"/>
        <c:axId val="374055048"/>
      </c:scatterChart>
      <c:scatterChart>
        <c:scatterStyle val="lineMarker"/>
        <c:varyColors val="0"/>
        <c:ser>
          <c:idx val="0"/>
          <c:order val="0"/>
          <c:tx>
            <c:strRef>
              <c:f>ZF!$B$7</c:f>
              <c:strCache>
                <c:ptCount val="1"/>
                <c:pt idx="0">
                  <c:v>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ZF!$A$8:$A$16</c:f>
              <c:numCache>
                <c:formatCode>0.00000</c:formatCode>
                <c:ptCount val="9"/>
                <c:pt idx="0">
                  <c:v>2.1000000000000001E-2</c:v>
                </c:pt>
                <c:pt idx="1">
                  <c:v>0.21522222222222223</c:v>
                </c:pt>
                <c:pt idx="2" formatCode="General">
                  <c:v>0.66666666666666674</c:v>
                </c:pt>
                <c:pt idx="3" formatCode="General">
                  <c:v>0.77777777777777779</c:v>
                </c:pt>
                <c:pt idx="4" formatCode="General">
                  <c:v>0.88888888888888884</c:v>
                </c:pt>
                <c:pt idx="5" formatCode="General">
                  <c:v>1</c:v>
                </c:pt>
                <c:pt idx="6" formatCode="General">
                  <c:v>1.1111111111111112</c:v>
                </c:pt>
                <c:pt idx="7" formatCode="General">
                  <c:v>1.2222222222222223</c:v>
                </c:pt>
                <c:pt idx="8" formatCode="General">
                  <c:v>1.3333333333333333</c:v>
                </c:pt>
              </c:numCache>
            </c:numRef>
          </c:xVal>
          <c:yVal>
            <c:numRef>
              <c:f>ZF!$B$8:$B$16</c:f>
              <c:numCache>
                <c:formatCode>General</c:formatCode>
                <c:ptCount val="9"/>
                <c:pt idx="0">
                  <c:v>0.3</c:v>
                </c:pt>
                <c:pt idx="1">
                  <c:v>0.5</c:v>
                </c:pt>
                <c:pt idx="2">
                  <c:v>0.87</c:v>
                </c:pt>
                <c:pt idx="3">
                  <c:v>0.93</c:v>
                </c:pt>
                <c:pt idx="4">
                  <c:v>0.97</c:v>
                </c:pt>
                <c:pt idx="5">
                  <c:v>0.98</c:v>
                </c:pt>
                <c:pt idx="6">
                  <c:v>0.94</c:v>
                </c:pt>
                <c:pt idx="7">
                  <c:v>0.91</c:v>
                </c:pt>
                <c:pt idx="8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57400"/>
        <c:axId val="374056616"/>
      </c:scatterChart>
      <c:valAx>
        <c:axId val="37405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55048"/>
        <c:crosses val="autoZero"/>
        <c:crossBetween val="midCat"/>
      </c:valAx>
      <c:valAx>
        <c:axId val="37405504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54264"/>
        <c:crosses val="autoZero"/>
        <c:crossBetween val="midCat"/>
      </c:valAx>
      <c:valAx>
        <c:axId val="374056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57400"/>
        <c:crosses val="max"/>
        <c:crossBetween val="midCat"/>
      </c:valAx>
      <c:valAx>
        <c:axId val="374057400"/>
        <c:scaling>
          <c:orientation val="minMax"/>
        </c:scaling>
        <c:delete val="1"/>
        <c:axPos val="b"/>
        <c:numFmt formatCode="0.00000" sourceLinked="1"/>
        <c:majorTickMark val="out"/>
        <c:minorTickMark val="none"/>
        <c:tickLblPos val="nextTo"/>
        <c:crossAx val="374056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ZF!$B$26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ZF!$A$27:$A$51</c:f>
              <c:numCache>
                <c:formatCode>0.00</c:formatCode>
                <c:ptCount val="25"/>
                <c:pt idx="0">
                  <c:v>0.13125000000000003</c:v>
                </c:pt>
                <c:pt idx="1">
                  <c:v>4.1666666666666679</c:v>
                </c:pt>
                <c:pt idx="2">
                  <c:v>4.8611111111111116</c:v>
                </c:pt>
                <c:pt idx="3">
                  <c:v>5.5555555555555562</c:v>
                </c:pt>
                <c:pt idx="4">
                  <c:v>6.2500000000000009</c:v>
                </c:pt>
                <c:pt idx="5">
                  <c:v>6.9444444444444455</c:v>
                </c:pt>
                <c:pt idx="6">
                  <c:v>7.6388888888888902</c:v>
                </c:pt>
                <c:pt idx="7">
                  <c:v>8.3333333333333357</c:v>
                </c:pt>
                <c:pt idx="8">
                  <c:v>9.7222222222222232</c:v>
                </c:pt>
                <c:pt idx="9">
                  <c:v>11.111111111111112</c:v>
                </c:pt>
                <c:pt idx="10">
                  <c:v>12.500000000000002</c:v>
                </c:pt>
                <c:pt idx="11">
                  <c:v>13.888888888888891</c:v>
                </c:pt>
                <c:pt idx="12">
                  <c:v>16.666666666666668</c:v>
                </c:pt>
                <c:pt idx="13">
                  <c:v>16.666666666666671</c:v>
                </c:pt>
                <c:pt idx="14">
                  <c:v>19.444444444444446</c:v>
                </c:pt>
                <c:pt idx="15">
                  <c:v>22.222222222222225</c:v>
                </c:pt>
                <c:pt idx="16">
                  <c:v>25.000000000000004</c:v>
                </c:pt>
                <c:pt idx="17">
                  <c:v>27.777777777777782</c:v>
                </c:pt>
                <c:pt idx="18">
                  <c:v>33.333333333333336</c:v>
                </c:pt>
                <c:pt idx="19">
                  <c:v>33.333333333333343</c:v>
                </c:pt>
                <c:pt idx="20">
                  <c:v>38.888888888888893</c:v>
                </c:pt>
                <c:pt idx="21">
                  <c:v>44.44444444444445</c:v>
                </c:pt>
                <c:pt idx="22">
                  <c:v>50.000000000000007</c:v>
                </c:pt>
                <c:pt idx="23">
                  <c:v>55.555555555555564</c:v>
                </c:pt>
                <c:pt idx="24">
                  <c:v>66.666666666666671</c:v>
                </c:pt>
              </c:numCache>
            </c:numRef>
          </c:xVal>
          <c:yVal>
            <c:numRef>
              <c:f>ZF!$B$27:$B$51</c:f>
              <c:numCache>
                <c:formatCode>General</c:formatCode>
                <c:ptCount val="25"/>
                <c:pt idx="0">
                  <c:v>0.3</c:v>
                </c:pt>
                <c:pt idx="1">
                  <c:v>0.87</c:v>
                </c:pt>
                <c:pt idx="2">
                  <c:v>0.93</c:v>
                </c:pt>
                <c:pt idx="3">
                  <c:v>0.97</c:v>
                </c:pt>
                <c:pt idx="4">
                  <c:v>0.98</c:v>
                </c:pt>
                <c:pt idx="5">
                  <c:v>0.94</c:v>
                </c:pt>
                <c:pt idx="6">
                  <c:v>0.91</c:v>
                </c:pt>
                <c:pt idx="7">
                  <c:v>0.9</c:v>
                </c:pt>
                <c:pt idx="8">
                  <c:v>0.93</c:v>
                </c:pt>
                <c:pt idx="9">
                  <c:v>0.97</c:v>
                </c:pt>
                <c:pt idx="10">
                  <c:v>0.98</c:v>
                </c:pt>
                <c:pt idx="11">
                  <c:v>0.94</c:v>
                </c:pt>
                <c:pt idx="12">
                  <c:v>0.9</c:v>
                </c:pt>
                <c:pt idx="13">
                  <c:v>0.9</c:v>
                </c:pt>
                <c:pt idx="14">
                  <c:v>0.93</c:v>
                </c:pt>
                <c:pt idx="15">
                  <c:v>0.97</c:v>
                </c:pt>
                <c:pt idx="16">
                  <c:v>0.98</c:v>
                </c:pt>
                <c:pt idx="17">
                  <c:v>0.94</c:v>
                </c:pt>
                <c:pt idx="18">
                  <c:v>0.9</c:v>
                </c:pt>
                <c:pt idx="19" formatCode="0.00">
                  <c:v>0.9</c:v>
                </c:pt>
                <c:pt idx="20">
                  <c:v>0.93</c:v>
                </c:pt>
                <c:pt idx="21">
                  <c:v>0.97</c:v>
                </c:pt>
                <c:pt idx="22">
                  <c:v>0.98</c:v>
                </c:pt>
                <c:pt idx="23">
                  <c:v>0.94</c:v>
                </c:pt>
                <c:pt idx="24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58576"/>
        <c:axId val="409636744"/>
      </c:scatterChart>
      <c:valAx>
        <c:axId val="37405857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36744"/>
        <c:crosses val="autoZero"/>
        <c:crossBetween val="midCat"/>
      </c:valAx>
      <c:valAx>
        <c:axId val="40963674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5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Fendt!$B$1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Fendt!$A$2:$A$7</c:f>
              <c:numCache>
                <c:formatCode>General</c:formatCode>
                <c:ptCount val="6"/>
                <c:pt idx="0">
                  <c:v>-1</c:v>
                </c:pt>
                <c:pt idx="1">
                  <c:v>-0.01</c:v>
                </c:pt>
                <c:pt idx="2">
                  <c:v>0</c:v>
                </c:pt>
                <c:pt idx="3">
                  <c:v>0.01</c:v>
                </c:pt>
                <c:pt idx="4">
                  <c:v>1</c:v>
                </c:pt>
                <c:pt idx="5">
                  <c:v>1.3333333000000001</c:v>
                </c:pt>
              </c:numCache>
            </c:numRef>
          </c:xVal>
          <c:yVal>
            <c:numRef>
              <c:f>Fendt!$B$2:$B$7</c:f>
              <c:numCache>
                <c:formatCode>General</c:formatCode>
                <c:ptCount val="6"/>
                <c:pt idx="0">
                  <c:v>0.65</c:v>
                </c:pt>
                <c:pt idx="1">
                  <c:v>0.82</c:v>
                </c:pt>
                <c:pt idx="2">
                  <c:v>0.6</c:v>
                </c:pt>
                <c:pt idx="3">
                  <c:v>0.82499999999999996</c:v>
                </c:pt>
                <c:pt idx="4">
                  <c:v>0.98</c:v>
                </c:pt>
                <c:pt idx="5">
                  <c:v>0.92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093544"/>
        <c:axId val="417091976"/>
      </c:scatterChart>
      <c:valAx>
        <c:axId val="41709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91976"/>
        <c:crosses val="autoZero"/>
        <c:crossBetween val="midCat"/>
      </c:valAx>
      <c:valAx>
        <c:axId val="41709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9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Small!$B$1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Small!$A$2:$A$7</c:f>
              <c:numCache>
                <c:formatCode>General</c:formatCode>
                <c:ptCount val="6"/>
                <c:pt idx="0">
                  <c:v>-1</c:v>
                </c:pt>
                <c:pt idx="1">
                  <c:v>-0.01</c:v>
                </c:pt>
                <c:pt idx="2">
                  <c:v>0</c:v>
                </c:pt>
                <c:pt idx="3">
                  <c:v>0.01</c:v>
                </c:pt>
                <c:pt idx="4">
                  <c:v>1</c:v>
                </c:pt>
                <c:pt idx="5">
                  <c:v>1.4</c:v>
                </c:pt>
              </c:numCache>
            </c:numRef>
          </c:xVal>
          <c:yVal>
            <c:numRef>
              <c:f>Small!$B$2:$B$7</c:f>
              <c:numCache>
                <c:formatCode>General</c:formatCode>
                <c:ptCount val="6"/>
                <c:pt idx="0">
                  <c:v>0.65</c:v>
                </c:pt>
                <c:pt idx="1">
                  <c:v>0.82</c:v>
                </c:pt>
                <c:pt idx="2">
                  <c:v>0.6</c:v>
                </c:pt>
                <c:pt idx="3">
                  <c:v>0.82499999999999996</c:v>
                </c:pt>
                <c:pt idx="4">
                  <c:v>0.98</c:v>
                </c:pt>
                <c:pt idx="5">
                  <c:v>0.92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22488"/>
        <c:axId val="374211904"/>
      </c:scatterChart>
      <c:valAx>
        <c:axId val="37422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11904"/>
        <c:crosses val="autoZero"/>
        <c:crossBetween val="midCat"/>
      </c:valAx>
      <c:valAx>
        <c:axId val="3742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2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Combine!$B$1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Combine!$A$2:$A$7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</c:numCache>
            </c:numRef>
          </c:xVal>
          <c:yVal>
            <c:numRef>
              <c:f>Combine!$B$2:$B$7</c:f>
              <c:numCache>
                <c:formatCode>General</c:formatCode>
                <c:ptCount val="6"/>
                <c:pt idx="0">
                  <c:v>0.6</c:v>
                </c:pt>
                <c:pt idx="1">
                  <c:v>0.75</c:v>
                </c:pt>
                <c:pt idx="2">
                  <c:v>0.93</c:v>
                </c:pt>
                <c:pt idx="3">
                  <c:v>0.98</c:v>
                </c:pt>
                <c:pt idx="4">
                  <c:v>0.95</c:v>
                </c:pt>
                <c:pt idx="5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19536"/>
        <c:axId val="417115616"/>
      </c:scatterChart>
      <c:valAx>
        <c:axId val="41711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15616"/>
        <c:crosses val="autoZero"/>
        <c:crossBetween val="midCat"/>
      </c:valAx>
      <c:valAx>
        <c:axId val="4171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1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23</xdr:row>
      <xdr:rowOff>152400</xdr:rowOff>
    </xdr:from>
    <xdr:to>
      <xdr:col>18</xdr:col>
      <xdr:colOff>152400</xdr:colOff>
      <xdr:row>49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142874</xdr:rowOff>
    </xdr:from>
    <xdr:to>
      <xdr:col>7</xdr:col>
      <xdr:colOff>633412</xdr:colOff>
      <xdr:row>50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0</xdr:row>
      <xdr:rowOff>133349</xdr:rowOff>
    </xdr:from>
    <xdr:to>
      <xdr:col>17</xdr:col>
      <xdr:colOff>600075</xdr:colOff>
      <xdr:row>36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0</xdr:row>
      <xdr:rowOff>133349</xdr:rowOff>
    </xdr:from>
    <xdr:to>
      <xdr:col>17</xdr:col>
      <xdr:colOff>600075</xdr:colOff>
      <xdr:row>36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0</xdr:row>
      <xdr:rowOff>133349</xdr:rowOff>
    </xdr:from>
    <xdr:to>
      <xdr:col>17</xdr:col>
      <xdr:colOff>600075</xdr:colOff>
      <xdr:row>38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7:K16" totalsRowShown="0">
  <tableColumns count="11">
    <tableColumn id="1" name="ratio"/>
    <tableColumn id="2" name="factor"/>
    <tableColumn id="3" name="speed1" dataDxfId="45">
      <calculatedColumnFormula>Table1[[#This Row],[ratio]]*Table2[s1]</calculatedColumnFormula>
    </tableColumn>
    <tableColumn id="11" name="speed2" dataDxfId="44">
      <calculatedColumnFormula>Table1[[#This Row],[ratio]]*Table2[s2]</calculatedColumnFormula>
    </tableColumn>
    <tableColumn id="10" name="speed3" dataDxfId="43">
      <calculatedColumnFormula>Table1[[#This Row],[ratio]]*Table2[s3]</calculatedColumnFormula>
    </tableColumn>
    <tableColumn id="4" name="speed4" dataDxfId="42">
      <calculatedColumnFormula>Table1[[#This Row],[ratio]]*Table2[s4]</calculatedColumnFormula>
    </tableColumn>
    <tableColumn id="7" name="idleSpeed1" dataDxfId="41">
      <calculatedColumnFormula>Table1[[#This Row],[speed1]]*Table4[idle]/Table4[rated]</calculatedColumnFormula>
    </tableColumn>
    <tableColumn id="6" name="idleSpeed4" dataDxfId="40">
      <calculatedColumnFormula>Table1[[#This Row],[speed4]]*Table4[idle]/Table4[rated]</calculatedColumnFormula>
    </tableColumn>
    <tableColumn id="9" name="ratio1" dataDxfId="39">
      <calculatedColumnFormula>Table4[rated]/(Table1[[#This Row],[speed1]]/3.6 * 60 / (1*2*PI()))</calculatedColumnFormula>
    </tableColumn>
    <tableColumn id="8" name="ratio2" dataDxfId="38">
      <calculatedColumnFormula>Table4[rated]/(Table1[[#This Row],[speed4]]/3.6 * 60 / (1*2*PI()))</calculatedColumnFormula>
    </tableColumn>
    <tableColumn id="5" name="xml" dataDxfId="37">
      <calculatedColumnFormula>CONCATENATE("        &lt;efficiency ratio=""",ROUND(Table1[[#This Row],[ratio]],6),""" factor=""",ROUND(Table1[[#This Row],[factor]],3),"""/&gt; &lt;!-- ",ROUND(Table1[[#This Row],[idleSpeed1]],2)," .. ",ROUND(Table1[[#This Row],[speed4]],1)," --&gt;")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N6" totalsRowCount="1" dataDxfId="36">
  <tableColumns count="14">
    <tableColumn id="1" name="s1" dataDxfId="35" totalsRowDxfId="13">
      <calculatedColumnFormula>IF(Table4[gears]&gt;3,Table2[s2]/Table4[gear2gear],Table2[s2])</calculatedColumnFormula>
    </tableColumn>
    <tableColumn id="11" name="s2" dataDxfId="34" totalsRowDxfId="12">
      <calculatedColumnFormula>IF(Table4[gears]&gt;2,Table2[s3]/Table4[gear2gear],Table2[s3])</calculatedColumnFormula>
    </tableColumn>
    <tableColumn id="14" name="s3" dataDxfId="33" totalsRowDxfId="11">
      <calculatedColumnFormula>IF(Table4[gears]&gt;1,Table2[s4]/Table4[gear2gear],Table2[s4])</calculatedColumnFormula>
    </tableColumn>
    <tableColumn id="2" name="s4" dataDxfId="32" totalsRowDxfId="10">
      <calculatedColumnFormula>Table4[maxSpeed]*Table4[rated]/Table4[rpm]/(1+Table2[range])</calculatedColumnFormula>
    </tableColumn>
    <tableColumn id="6" name="minRatio" dataDxfId="31" totalsRowDxfId="9">
      <calculatedColumnFormula>Table4[minSpeed]/Table2[s1]/Table4[idle]*Table4[rated]</calculatedColumnFormula>
    </tableColumn>
    <tableColumn id="8" name="minEff" dataDxfId="30" totalsRowDxfId="8"/>
    <tableColumn id="9" name="maxEff" dataDxfId="29" totalsRowDxfId="7"/>
    <tableColumn id="3" name="range" dataDxfId="28" totalsRowDxfId="6">
      <calculatedColumnFormula>(Table4[gear2gear]-1)/(Table4[gear2gear]+1)</calculatedColumnFormula>
    </tableColumn>
    <tableColumn id="10" name="zeroEff" dataDxfId="27" totalsRowDxfId="5">
      <calculatedColumnFormula>IF(ISBLANK(Table4[zeroEff]),Table2[maxEff]-(Table2[maxEff]-Table2[minEff])/Table2[range],Table4[zeroEff])</calculatedColumnFormula>
    </tableColumn>
    <tableColumn id="12" name="constF1" dataDxfId="26" totalsRowDxfId="4"/>
    <tableColumn id="13" name="constF2" dataDxfId="25" totalsRowDxfId="3"/>
    <tableColumn id="15" name="rpm40" totalsRowFunction="custom" dataDxfId="24" totalsRowDxfId="2">
      <calculatedColumnFormula>40/(Table2[s4]*(1+Table2[range]))*Table4[rated]</calculatedColumnFormula>
      <totalsRowFormula>CONCATENATE("      &lt;!-- ",Table4[minSpeed],"..",Table4[maxSpeed]," @",Table4[rpm]," / ",Table4[idle],"..",Table4[rated]," / ",Table4[gear2gear]," --&gt;")</totalsRowFormula>
    </tableColumn>
    <tableColumn id="16" name="rpm50" dataDxfId="23" totalsRowDxfId="1">
      <calculatedColumnFormula>50/(Table2[s4]*(1+Table2[range]))*Table4[rated]</calculatedColumnFormula>
    </tableColumn>
    <tableColumn id="17" name="rpm60" dataDxfId="22" totalsRowDxfId="0">
      <calculatedColumnFormula>60/(Table2[s4]*(1+Table2[range]))*Table4[rated]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E18:K22" totalsRowShown="0">
  <tableColumns count="7">
    <tableColumn id="1" name="gear" dataDxfId="21"/>
    <tableColumn id="2" name="speed" dataDxfId="20">
      <calculatedColumnFormula>INDEX(Table2[],1,Table3[[#This Row],[gear]])</calculatedColumnFormula>
    </tableColumn>
    <tableColumn id="9" name="minSpeed" dataDxfId="19">
      <calculatedColumnFormula>$A$8*Table3[[#This Row],[speed]]*Table4[idle]/Table4[rated]</calculatedColumnFormula>
    </tableColumn>
    <tableColumn id="6" name="idleSpeed" dataDxfId="18">
      <calculatedColumnFormula>$A$10*Table3[[#This Row],[speed]]*Table4[idle]/Table4[rated]</calculatedColumnFormula>
    </tableColumn>
    <tableColumn id="5" name="fromSpeed" dataDxfId="17">
      <calculatedColumnFormula>$A$10*Table3[[#This Row],[speed]]</calculatedColumnFormula>
    </tableColumn>
    <tableColumn id="4" name="toSpeed" dataDxfId="16">
      <calculatedColumnFormula>$A$16*Table3[[#This Row],[speed]]</calculatedColumnFormula>
    </tableColumn>
    <tableColumn id="3" name="xml" dataDxfId="15">
      <calculatedColumnFormula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H2" totalsRowShown="0">
  <tableColumns count="8">
    <tableColumn id="8" name="minSpeed"/>
    <tableColumn id="1" name="maxSpeed"/>
    <tableColumn id="2" name="rpm"/>
    <tableColumn id="3" name="idle"/>
    <tableColumn id="4" name="rated"/>
    <tableColumn id="6" name="gear2gear"/>
    <tableColumn id="7" name="gears"/>
    <tableColumn id="5" name="zeroEff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26:B51" totalsRowShown="0">
  <autoFilter ref="A26:B51"/>
  <tableColumns count="2">
    <tableColumn id="1" name="km/h" dataDxfId="14"/>
    <tableColumn id="2" name="Efficiency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5" name="Table16" displayName="Table16" ref="A1:B7" totalsRowShown="0">
  <autoFilter ref="A1:B7"/>
  <tableColumns count="2">
    <tableColumn id="1" name="r"/>
    <tableColumn id="2" name="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8" name="Table169" displayName="Table169" ref="A1:B7" totalsRowShown="0">
  <autoFilter ref="A1:B7"/>
  <tableColumns count="2">
    <tableColumn id="1" name="r"/>
    <tableColumn id="2" name="e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7" name="Table168" displayName="Table168" ref="A1:B7" totalsRowShown="0">
  <autoFilter ref="A1:B7"/>
  <tableColumns count="2">
    <tableColumn id="1" name="r"/>
    <tableColumn id="2" name="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A8" sqref="A8:B16"/>
    </sheetView>
  </sheetViews>
  <sheetFormatPr defaultRowHeight="15" x14ac:dyDescent="0.25"/>
  <cols>
    <col min="1" max="1" width="10.5703125" customWidth="1"/>
    <col min="2" max="2" width="11.7109375" customWidth="1"/>
    <col min="3" max="29" width="10.5703125" customWidth="1"/>
  </cols>
  <sheetData>
    <row r="1" spans="1:14" x14ac:dyDescent="0.25">
      <c r="A1" t="s">
        <v>10</v>
      </c>
      <c r="B1" t="s">
        <v>36</v>
      </c>
      <c r="C1" t="s">
        <v>37</v>
      </c>
      <c r="D1" t="s">
        <v>5</v>
      </c>
      <c r="E1" t="s">
        <v>6</v>
      </c>
      <c r="F1" t="s">
        <v>38</v>
      </c>
      <c r="G1" t="s">
        <v>39</v>
      </c>
      <c r="H1" t="s">
        <v>15</v>
      </c>
    </row>
    <row r="2" spans="1:14" x14ac:dyDescent="0.25">
      <c r="A2">
        <v>0.05</v>
      </c>
      <c r="B2">
        <v>60</v>
      </c>
      <c r="C2">
        <v>1890</v>
      </c>
      <c r="D2">
        <v>800</v>
      </c>
      <c r="E2">
        <v>2100</v>
      </c>
      <c r="F2">
        <v>2</v>
      </c>
      <c r="G2">
        <v>4</v>
      </c>
    </row>
    <row r="4" spans="1:14" x14ac:dyDescent="0.25">
      <c r="A4" t="s">
        <v>18</v>
      </c>
      <c r="B4" t="s">
        <v>19</v>
      </c>
      <c r="C4" t="s">
        <v>20</v>
      </c>
      <c r="D4" t="s">
        <v>21</v>
      </c>
      <c r="E4" t="s">
        <v>11</v>
      </c>
      <c r="F4" t="s">
        <v>13</v>
      </c>
      <c r="G4" t="s">
        <v>14</v>
      </c>
      <c r="H4" t="s">
        <v>12</v>
      </c>
      <c r="I4" t="s">
        <v>15</v>
      </c>
      <c r="J4" t="s">
        <v>16</v>
      </c>
      <c r="K4" t="s">
        <v>17</v>
      </c>
      <c r="L4" t="s">
        <v>22</v>
      </c>
      <c r="M4" t="s">
        <v>23</v>
      </c>
      <c r="N4" t="s">
        <v>24</v>
      </c>
    </row>
    <row r="5" spans="1:14" x14ac:dyDescent="0.25">
      <c r="A5" s="7">
        <f>IF(Table4[gears]&gt;3,Table2[s2]/Table4[gear2gear],Table2[s2])</f>
        <v>6.2500000000000009</v>
      </c>
      <c r="B5" s="7">
        <f>IF(Table4[gears]&gt;2,Table2[s3]/Table4[gear2gear],Table2[s3])</f>
        <v>12.500000000000002</v>
      </c>
      <c r="C5" s="7">
        <f>IF(Table4[gears]&gt;1,Table2[s4]/Table4[gear2gear],Table2[s4])</f>
        <v>25.000000000000004</v>
      </c>
      <c r="D5" s="7">
        <f>Table4[maxSpeed]*Table4[rated]/Table4[rpm]/(1+Table2[range])</f>
        <v>50.000000000000007</v>
      </c>
      <c r="E5" s="8">
        <f>Table4[minSpeed]/Table2[s1]/Table4[idle]*Table4[rated]</f>
        <v>2.1000000000000001E-2</v>
      </c>
      <c r="F5" s="9">
        <v>0.88</v>
      </c>
      <c r="G5" s="9">
        <v>0.98</v>
      </c>
      <c r="H5" s="9">
        <f>(Table4[gear2gear]-1)/(Table4[gear2gear]+1)</f>
        <v>0.33333333333333331</v>
      </c>
      <c r="I5" s="9">
        <f>IF(ISBLANK(Table4[zeroEff]),Table2[maxEff]-(Table2[maxEff]-Table2[minEff])/Table2[range],Table4[zeroEff])</f>
        <v>0.68</v>
      </c>
      <c r="J5" s="9">
        <v>0.5</v>
      </c>
      <c r="K5" s="9">
        <v>0.5</v>
      </c>
      <c r="L5" s="10">
        <f>40/(Table2[s4]*(1+Table2[range]))*Table4[rated]</f>
        <v>1260</v>
      </c>
      <c r="M5" s="10">
        <f>50/(Table2[s4]*(1+Table2[range]))*Table4[rated]</f>
        <v>1575</v>
      </c>
      <c r="N5" s="10">
        <f>60/(Table2[s4]*(1+Table2[range]))*Table4[rated]</f>
        <v>1889.9999999999998</v>
      </c>
    </row>
    <row r="6" spans="1:14" x14ac:dyDescent="0.25">
      <c r="A6" s="12"/>
      <c r="B6" s="12"/>
      <c r="C6" s="12"/>
      <c r="D6" s="12"/>
      <c r="E6" s="13"/>
      <c r="F6" s="14"/>
      <c r="G6" s="14"/>
      <c r="H6" s="14"/>
      <c r="I6" s="14"/>
      <c r="J6" s="14"/>
      <c r="K6" s="14"/>
      <c r="L6" s="15" t="str">
        <f>CONCATENATE("      &lt;!-- ",Table4[minSpeed],"..",Table4[maxSpeed]," @",Table4[rpm]," / ",Table4[idle],"..",Table4[rated]," / ",Table4[gear2gear]," --&gt;")</f>
        <v xml:space="preserve">      &lt;!-- 0.05..60 @1890 / 800..2100 / 2 --&gt;</v>
      </c>
      <c r="M6" s="15"/>
      <c r="N6" s="15"/>
    </row>
    <row r="7" spans="1:14" x14ac:dyDescent="0.25">
      <c r="A7" t="s">
        <v>0</v>
      </c>
      <c r="B7" t="s">
        <v>1</v>
      </c>
      <c r="C7" t="s">
        <v>2</v>
      </c>
      <c r="D7" t="s">
        <v>3</v>
      </c>
      <c r="E7" t="s">
        <v>26</v>
      </c>
      <c r="F7" t="s">
        <v>25</v>
      </c>
      <c r="G7" t="s">
        <v>9</v>
      </c>
      <c r="H7" t="s">
        <v>34</v>
      </c>
      <c r="I7" t="s">
        <v>7</v>
      </c>
      <c r="J7" t="s">
        <v>8</v>
      </c>
      <c r="K7" t="s">
        <v>4</v>
      </c>
      <c r="L7" t="s">
        <v>31</v>
      </c>
    </row>
    <row r="8" spans="1:14" x14ac:dyDescent="0.25">
      <c r="A8" s="3">
        <f>Table2[minRatio]</f>
        <v>2.1000000000000001E-2</v>
      </c>
      <c r="B8">
        <v>0.3</v>
      </c>
      <c r="C8" s="6">
        <f>Table1[[#This Row],[ratio]]*Table2[s1]</f>
        <v>0.13125000000000003</v>
      </c>
      <c r="D8" s="6">
        <f>Table1[[#This Row],[ratio]]*Table2[s2]</f>
        <v>0.26250000000000007</v>
      </c>
      <c r="E8" s="6">
        <f>Table1[[#This Row],[ratio]]*Table2[s3]</f>
        <v>0.52500000000000013</v>
      </c>
      <c r="F8" s="6">
        <f>Table1[[#This Row],[ratio]]*Table2[s4]</f>
        <v>1.0500000000000003</v>
      </c>
      <c r="G8" s="2">
        <f>Table1[[#This Row],[speed1]]*Table4[idle]/Table4[rated]</f>
        <v>5.0000000000000017E-2</v>
      </c>
      <c r="H8" s="3">
        <f>Table1[[#This Row],[speed4]]*Table4[idle]/Table4[rated]</f>
        <v>0.40000000000000013</v>
      </c>
      <c r="I8" s="5">
        <f>Table4[rated]/(Table1[[#This Row],[speed1]]/3.6 * 60 / (1*2*PI()))</f>
        <v>6031.8578948924023</v>
      </c>
      <c r="J8" s="5">
        <f>Table4[rated]/(Table1[[#This Row],[speed4]]/3.6 * 60 / (1*2*PI()))</f>
        <v>753.98223686155029</v>
      </c>
      <c r="K8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ratio="0.021" factor="0.3"/&gt; &lt;!-- 0.05 .. 1.1 --&gt;</v>
      </c>
      <c r="L8" t="str">
        <f>Table1[[#This Row],[xml]]</f>
        <v xml:space="preserve">        &lt;efficiency ratio="0.021" factor="0.3"/&gt; &lt;!-- 0.05 .. 1.1 --&gt;</v>
      </c>
    </row>
    <row r="9" spans="1:14" x14ac:dyDescent="0.25">
      <c r="A9" s="3">
        <f>(1-Table2[range]-Table2[minRatio])/3</f>
        <v>0.21522222222222223</v>
      </c>
      <c r="B9">
        <v>0.5</v>
      </c>
      <c r="C9" s="6">
        <f>Table1[[#This Row],[ratio]]*Table2[s1]</f>
        <v>1.3451388888888891</v>
      </c>
      <c r="D9" s="6">
        <f>Table1[[#This Row],[ratio]]*Table2[s2]</f>
        <v>2.6902777777777782</v>
      </c>
      <c r="E9" s="6">
        <f>Table1[[#This Row],[ratio]]*Table2[s3]</f>
        <v>5.3805555555555564</v>
      </c>
      <c r="F9" s="6">
        <f>Table1[[#This Row],[ratio]]*Table2[s4]</f>
        <v>10.761111111111113</v>
      </c>
      <c r="G9" s="2">
        <f>Table1[[#This Row],[speed1]]*Table4[idle]/Table4[rated]</f>
        <v>0.51243386243386257</v>
      </c>
      <c r="H9" s="3">
        <f>Table1[[#This Row],[speed4]]*Table4[idle]/Table4[rated]</f>
        <v>4.0994708994709006</v>
      </c>
      <c r="I9" s="5">
        <f>Table4[rated]/(Table1[[#This Row],[speed1]]/3.6 * 60 / (1*2*PI()))</f>
        <v>588.54989268697159</v>
      </c>
      <c r="J9" s="5">
        <f>Table4[rated]/(Table1[[#This Row],[speed4]]/3.6 * 60 / (1*2*PI()))</f>
        <v>73.568736585871449</v>
      </c>
      <c r="K9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ratio="0.215222" factor="0.5"/&gt; &lt;!-- 0.51 .. 10.8 --&gt;</v>
      </c>
      <c r="L9" t="str">
        <f>Table1[[#This Row],[xml]]</f>
        <v xml:space="preserve">        &lt;efficiency ratio="0.215222" factor="0.5"/&gt; &lt;!-- 0.51 .. 10.8 --&gt;</v>
      </c>
    </row>
    <row r="10" spans="1:14" x14ac:dyDescent="0.25">
      <c r="A10">
        <f>1-Table2[range]</f>
        <v>0.66666666666666674</v>
      </c>
      <c r="B10">
        <v>0.87</v>
      </c>
      <c r="C10" s="6">
        <f>Table1[[#This Row],[ratio]]*Table2[s1]</f>
        <v>4.1666666666666679</v>
      </c>
      <c r="D10" s="6">
        <f>Table1[[#This Row],[ratio]]*Table2[s2]</f>
        <v>8.3333333333333357</v>
      </c>
      <c r="E10" s="6">
        <f>Table1[[#This Row],[ratio]]*Table2[s3]</f>
        <v>16.666666666666671</v>
      </c>
      <c r="F10" s="6">
        <f>Table1[[#This Row],[ratio]]*Table2[s4]</f>
        <v>33.333333333333343</v>
      </c>
      <c r="G10" s="1">
        <f>Table1[[#This Row],[speed1]]*Table4[idle]/Table4[rated]</f>
        <v>1.5873015873015879</v>
      </c>
      <c r="H10" s="1">
        <f>Table1[[#This Row],[speed4]]*Table4[idle]/Table4[rated]</f>
        <v>12.698412698412703</v>
      </c>
      <c r="I10" s="5">
        <f>Table4[rated]/(Table1[[#This Row],[speed1]]/3.6 * 60 / (1*2*PI()))</f>
        <v>190.00352368911066</v>
      </c>
      <c r="J10" s="5">
        <f>Table4[rated]/(Table1[[#This Row],[speed4]]/3.6 * 60 / (1*2*PI()))</f>
        <v>23.750440461138833</v>
      </c>
      <c r="K10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ratio="0.666667" factor="0.87"/&gt; &lt;!-- 1.59 .. 33.3 --&gt;</v>
      </c>
      <c r="L10" t="str">
        <f>Table1[[#This Row],[xml]]</f>
        <v xml:space="preserve">        &lt;efficiency ratio="0.666667" factor="0.87"/&gt; &lt;!-- 1.59 .. 33.3 --&gt;</v>
      </c>
    </row>
    <row r="11" spans="1:14" x14ac:dyDescent="0.25">
      <c r="A11">
        <f>1-2/3*Table2[range]</f>
        <v>0.77777777777777779</v>
      </c>
      <c r="B11">
        <v>0.93</v>
      </c>
      <c r="C11" s="6">
        <f>Table1[[#This Row],[ratio]]*Table2[s1]</f>
        <v>4.8611111111111116</v>
      </c>
      <c r="D11" s="6">
        <f>Table1[[#This Row],[ratio]]*Table2[s2]</f>
        <v>9.7222222222222232</v>
      </c>
      <c r="E11" s="6">
        <f>Table1[[#This Row],[ratio]]*Table2[s3]</f>
        <v>19.444444444444446</v>
      </c>
      <c r="F11" s="6">
        <f>Table1[[#This Row],[ratio]]*Table2[s4]</f>
        <v>38.888888888888893</v>
      </c>
      <c r="G11" s="2">
        <f>Table1[[#This Row],[speed1]]*Table4[idle]/Table4[rated]</f>
        <v>1.8518518518518521</v>
      </c>
      <c r="H11" s="3">
        <f>Table1[[#This Row],[speed4]]*Table4[idle]/Table4[rated]</f>
        <v>14.814814814814817</v>
      </c>
      <c r="I11" s="5">
        <f>Table4[rated]/(Table1[[#This Row],[speed1]]/3.6 * 60 / (1*2*PI()))</f>
        <v>162.86016316209486</v>
      </c>
      <c r="J11" s="5">
        <f>Table4[rated]/(Table1[[#This Row],[speed4]]/3.6 * 60 / (1*2*PI()))</f>
        <v>20.357520395261858</v>
      </c>
      <c r="K11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ratio="0.777778" factor="0.93"/&gt; &lt;!-- 1.85 .. 38.9 --&gt;</v>
      </c>
      <c r="L11" t="str">
        <f>Table1[[#This Row],[xml]]</f>
        <v xml:space="preserve">        &lt;efficiency ratio="0.777778" factor="0.93"/&gt; &lt;!-- 1.85 .. 38.9 --&gt;</v>
      </c>
    </row>
    <row r="12" spans="1:14" x14ac:dyDescent="0.25">
      <c r="A12">
        <f>1-Table2[range]/3</f>
        <v>0.88888888888888884</v>
      </c>
      <c r="B12">
        <v>0.97</v>
      </c>
      <c r="C12" s="6">
        <f>Table1[[#This Row],[ratio]]*Table2[s1]</f>
        <v>5.5555555555555562</v>
      </c>
      <c r="D12" s="6">
        <f>Table1[[#This Row],[ratio]]*Table2[s2]</f>
        <v>11.111111111111112</v>
      </c>
      <c r="E12" s="6">
        <f>Table1[[#This Row],[ratio]]*Table2[s3]</f>
        <v>22.222222222222225</v>
      </c>
      <c r="F12" s="6">
        <f>Table1[[#This Row],[ratio]]*Table2[s4]</f>
        <v>44.44444444444445</v>
      </c>
      <c r="G12" s="1">
        <f>Table1[[#This Row],[speed1]]*Table4[idle]/Table4[rated]</f>
        <v>2.1164021164021167</v>
      </c>
      <c r="H12" s="1">
        <f>Table1[[#This Row],[speed4]]*Table4[idle]/Table4[rated]</f>
        <v>16.931216931216934</v>
      </c>
      <c r="I12" s="5">
        <f>Table4[rated]/(Table1[[#This Row],[speed1]]/3.6 * 60 / (1*2*PI()))</f>
        <v>142.50264276683299</v>
      </c>
      <c r="J12" s="5">
        <f>Table4[rated]/(Table1[[#This Row],[speed4]]/3.6 * 60 / (1*2*PI()))</f>
        <v>17.812830345854124</v>
      </c>
      <c r="K12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ratio="0.888889" factor="0.97"/&gt; &lt;!-- 2.12 .. 44.4 --&gt;</v>
      </c>
      <c r="L12" t="str">
        <f>Table1[[#This Row],[xml]]</f>
        <v xml:space="preserve">        &lt;efficiency ratio="0.888889" factor="0.97"/&gt; &lt;!-- 2.12 .. 44.4 --&gt;</v>
      </c>
    </row>
    <row r="13" spans="1:14" x14ac:dyDescent="0.25">
      <c r="A13">
        <v>1</v>
      </c>
      <c r="B13">
        <f>Table2[maxEff]</f>
        <v>0.98</v>
      </c>
      <c r="C13" s="6">
        <f>Table1[[#This Row],[ratio]]*Table2[s1]</f>
        <v>6.2500000000000009</v>
      </c>
      <c r="D13" s="6">
        <f>Table1[[#This Row],[ratio]]*Table2[s2]</f>
        <v>12.500000000000002</v>
      </c>
      <c r="E13" s="6">
        <f>Table1[[#This Row],[ratio]]*Table2[s3]</f>
        <v>25.000000000000004</v>
      </c>
      <c r="F13" s="6">
        <f>Table1[[#This Row],[ratio]]*Table2[s4]</f>
        <v>50.000000000000007</v>
      </c>
      <c r="G13" s="1">
        <f>Table1[[#This Row],[speed1]]*Table4[idle]/Table4[rated]</f>
        <v>2.3809523809523814</v>
      </c>
      <c r="H13" s="1">
        <f>Table1[[#This Row],[speed4]]*Table4[idle]/Table4[rated]</f>
        <v>19.047619047619051</v>
      </c>
      <c r="I13" s="5">
        <f>Table4[rated]/(Table1[[#This Row],[speed1]]/3.6 * 60 / (1*2*PI()))</f>
        <v>126.66901579274042</v>
      </c>
      <c r="J13" s="5">
        <f>Table4[rated]/(Table1[[#This Row],[speed4]]/3.6 * 60 / (1*2*PI()))</f>
        <v>15.833626974092553</v>
      </c>
      <c r="K13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ratio="1" factor="0.98"/&gt; &lt;!-- 2.38 .. 50 --&gt;</v>
      </c>
      <c r="L13" t="str">
        <f>Table1[[#This Row],[xml]]</f>
        <v xml:space="preserve">        &lt;efficiency ratio="1" factor="0.98"/&gt; &lt;!-- 2.38 .. 50 --&gt;</v>
      </c>
    </row>
    <row r="14" spans="1:14" x14ac:dyDescent="0.25">
      <c r="A14">
        <f>1+Table2[range]/3</f>
        <v>1.1111111111111112</v>
      </c>
      <c r="B14">
        <v>0.94</v>
      </c>
      <c r="C14" s="6">
        <f>Table1[[#This Row],[ratio]]*Table2[s1]</f>
        <v>6.9444444444444455</v>
      </c>
      <c r="D14" s="6">
        <f>Table1[[#This Row],[ratio]]*Table2[s2]</f>
        <v>13.888888888888891</v>
      </c>
      <c r="E14" s="6">
        <f>Table1[[#This Row],[ratio]]*Table2[s3]</f>
        <v>27.777777777777782</v>
      </c>
      <c r="F14" s="6">
        <f>Table1[[#This Row],[ratio]]*Table2[s4]</f>
        <v>55.555555555555564</v>
      </c>
      <c r="G14" s="1">
        <f>Table1[[#This Row],[speed1]]*Table4[idle]/Table4[rated]</f>
        <v>2.645502645502646</v>
      </c>
      <c r="H14" s="1">
        <f>Table1[[#This Row],[speed4]]*Table4[idle]/Table4[rated]</f>
        <v>21.164021164021168</v>
      </c>
      <c r="I14" s="5">
        <f>Table4[rated]/(Table1[[#This Row],[speed1]]/3.6 * 60 / (1*2*PI()))</f>
        <v>114.00211421346638</v>
      </c>
      <c r="J14" s="5">
        <f>Table4[rated]/(Table1[[#This Row],[speed4]]/3.6 * 60 / (1*2*PI()))</f>
        <v>14.250264276683298</v>
      </c>
      <c r="K1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ratio="1.111111" factor="0.94"/&gt; &lt;!-- 2.65 .. 55.6 --&gt;</v>
      </c>
      <c r="L14" t="str">
        <f>Table1[[#This Row],[xml]]</f>
        <v xml:space="preserve">        &lt;efficiency ratio="1.111111" factor="0.94"/&gt; &lt;!-- 2.65 .. 55.6 --&gt;</v>
      </c>
    </row>
    <row r="15" spans="1:14" x14ac:dyDescent="0.25">
      <c r="A15">
        <f>1+2/3*Table2[range]</f>
        <v>1.2222222222222223</v>
      </c>
      <c r="B15">
        <v>0.91</v>
      </c>
      <c r="C15" s="6">
        <f>Table1[[#This Row],[ratio]]*Table2[s1]</f>
        <v>7.6388888888888902</v>
      </c>
      <c r="D15" s="6">
        <f>Table1[[#This Row],[ratio]]*Table2[s2]</f>
        <v>15.27777777777778</v>
      </c>
      <c r="E15" s="6">
        <f>Table1[[#This Row],[ratio]]*Table2[s3]</f>
        <v>30.555555555555561</v>
      </c>
      <c r="F15" s="6">
        <f>Table1[[#This Row],[ratio]]*Table2[s4]</f>
        <v>61.111111111111121</v>
      </c>
      <c r="G15" s="2">
        <f>Table1[[#This Row],[speed1]]*Table4[idle]/Table4[rated]</f>
        <v>2.9100529100529107</v>
      </c>
      <c r="H15" s="3">
        <f>Table1[[#This Row],[speed4]]*Table4[idle]/Table4[rated]</f>
        <v>23.280423280423285</v>
      </c>
      <c r="I15" s="5">
        <f>Table4[rated]/(Table1[[#This Row],[speed1]]/3.6 * 60 / (1*2*PI()))</f>
        <v>103.63828564860582</v>
      </c>
      <c r="J15" s="5">
        <f>Table4[rated]/(Table1[[#This Row],[speed4]]/3.6 * 60 / (1*2*PI()))</f>
        <v>12.954785706075727</v>
      </c>
      <c r="K15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ratio="1.222222" factor="0.91"/&gt; &lt;!-- 2.91 .. 61.1 --&gt;</v>
      </c>
      <c r="L15" t="str">
        <f>Table1[[#This Row],[xml]]</f>
        <v xml:space="preserve">        &lt;efficiency ratio="1.222222" factor="0.91"/&gt; &lt;!-- 2.91 .. 61.1 --&gt;</v>
      </c>
    </row>
    <row r="16" spans="1:14" x14ac:dyDescent="0.25">
      <c r="A16">
        <f>1+Table2[range]</f>
        <v>1.3333333333333333</v>
      </c>
      <c r="B16">
        <v>0.9</v>
      </c>
      <c r="C16" s="6">
        <f>Table1[[#This Row],[ratio]]*Table2[s1]</f>
        <v>8.3333333333333339</v>
      </c>
      <c r="D16" s="6">
        <f>Table1[[#This Row],[ratio]]*Table2[s2]</f>
        <v>16.666666666666668</v>
      </c>
      <c r="E16" s="6">
        <f>Table1[[#This Row],[ratio]]*Table2[s3]</f>
        <v>33.333333333333336</v>
      </c>
      <c r="F16" s="6">
        <f>Table1[[#This Row],[ratio]]*Table2[s4]</f>
        <v>66.666666666666671</v>
      </c>
      <c r="G16" s="1">
        <f>Table1[[#This Row],[speed1]]*Table4[idle]/Table4[rated]</f>
        <v>3.1746031746031749</v>
      </c>
      <c r="H16" s="1">
        <f>Table1[[#This Row],[speed4]]*Table4[idle]/Table4[rated]</f>
        <v>25.396825396825399</v>
      </c>
      <c r="I16" s="5">
        <f>Table4[rated]/(Table1[[#This Row],[speed1]]/3.6 * 60 / (1*2*PI()))</f>
        <v>95.001761844555347</v>
      </c>
      <c r="J16" s="5">
        <f>Table4[rated]/(Table1[[#This Row],[speed4]]/3.6 * 60 / (1*2*PI()))</f>
        <v>11.875220230569418</v>
      </c>
      <c r="K16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ratio="1.333333" factor="0.9"/&gt; &lt;!-- 3.17 .. 66.7 --&gt;</v>
      </c>
      <c r="L16" t="str">
        <f>Table1[[#This Row],[xml]]</f>
        <v xml:space="preserve">        &lt;efficiency ratio="1.333333" factor="0.9"/&gt; &lt;!-- 3.17 .. 66.7 --&gt;</v>
      </c>
    </row>
    <row r="17" spans="1:12" x14ac:dyDescent="0.25">
      <c r="L17" t="s">
        <v>32</v>
      </c>
    </row>
    <row r="18" spans="1:12" x14ac:dyDescent="0.25">
      <c r="E18" t="s">
        <v>27</v>
      </c>
      <c r="F18" t="s">
        <v>28</v>
      </c>
      <c r="G18" t="s">
        <v>10</v>
      </c>
      <c r="H18" t="s">
        <v>35</v>
      </c>
      <c r="I18" t="s">
        <v>29</v>
      </c>
      <c r="J18" t="s">
        <v>30</v>
      </c>
      <c r="K18" t="s">
        <v>4</v>
      </c>
      <c r="L18" t="s">
        <v>42</v>
      </c>
    </row>
    <row r="19" spans="1:12" x14ac:dyDescent="0.25">
      <c r="E19" s="5">
        <v>1</v>
      </c>
      <c r="F19" s="6">
        <f>INDEX(Table2[],1,Table3[[#This Row],[gear]])</f>
        <v>6.2500000000000009</v>
      </c>
      <c r="G19" s="6">
        <f>$A$8*Table3[[#This Row],[speed]]*Table4[idle]/Table4[rated]</f>
        <v>5.0000000000000017E-2</v>
      </c>
      <c r="H19" s="1">
        <f>$A$10*Table3[[#This Row],[speed]]*Table4[idle]/Table4[rated]</f>
        <v>1.5873015873015879</v>
      </c>
      <c r="I19" s="1">
        <f>$A$10*Table3[[#This Row],[speed]]</f>
        <v>4.1666666666666679</v>
      </c>
      <c r="J19" s="1">
        <f>$A$16*Table3[[#This Row],[speed]]</f>
        <v>8.3333333333333339</v>
      </c>
      <c r="K19" t="str">
        <f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f>
        <v xml:space="preserve">        &lt;gear speed="6.25" name=""/&gt; &lt;!-- 0.05 1.59 4 8--&gt;</v>
      </c>
      <c r="L19" s="4" t="str">
        <f>Table3[[#This Row],[xml]]</f>
        <v xml:space="preserve">        &lt;gear speed="6.25" name=""/&gt; &lt;!-- 0.05 1.59 4 8--&gt;</v>
      </c>
    </row>
    <row r="20" spans="1:12" x14ac:dyDescent="0.25">
      <c r="E20" s="5">
        <v>2</v>
      </c>
      <c r="F20" s="6">
        <f>INDEX(Table2[],1,Table3[[#This Row],[gear]])</f>
        <v>12.500000000000002</v>
      </c>
      <c r="G20" s="6">
        <f>$A$8*Table3[[#This Row],[speed]]*Table4[idle]/Table4[rated]</f>
        <v>0.10000000000000003</v>
      </c>
      <c r="H20" s="1">
        <f>$A$10*Table3[[#This Row],[speed]]*Table4[idle]/Table4[rated]</f>
        <v>3.1746031746031758</v>
      </c>
      <c r="I20" s="1">
        <f>$A$10*Table3[[#This Row],[speed]]</f>
        <v>8.3333333333333357</v>
      </c>
      <c r="J20" s="1">
        <f>$A$16*Table3[[#This Row],[speed]]</f>
        <v>16.666666666666668</v>
      </c>
      <c r="K20" t="str">
        <f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f>
        <v xml:space="preserve">        &lt;gear speed="12.5" name=""/&gt; &lt;!-- 0.1 3.17 8 17--&gt;</v>
      </c>
      <c r="L20" s="4" t="str">
        <f>Table3[[#This Row],[xml]]</f>
        <v xml:space="preserve">        &lt;gear speed="12.5" name=""/&gt; &lt;!-- 0.1 3.17 8 17--&gt;</v>
      </c>
    </row>
    <row r="21" spans="1:12" x14ac:dyDescent="0.25">
      <c r="E21" s="5">
        <v>3</v>
      </c>
      <c r="F21" s="6">
        <f>INDEX(Table2[],1,Table3[[#This Row],[gear]])</f>
        <v>25.000000000000004</v>
      </c>
      <c r="G21" s="6">
        <f>$A$8*Table3[[#This Row],[speed]]*Table4[idle]/Table4[rated]</f>
        <v>0.20000000000000007</v>
      </c>
      <c r="H21" s="1">
        <f>$A$10*Table3[[#This Row],[speed]]*Table4[idle]/Table4[rated]</f>
        <v>6.3492063492063515</v>
      </c>
      <c r="I21" s="1">
        <f>$A$10*Table3[[#This Row],[speed]]</f>
        <v>16.666666666666671</v>
      </c>
      <c r="J21" s="1">
        <f>$A$16*Table3[[#This Row],[speed]]</f>
        <v>33.333333333333336</v>
      </c>
      <c r="K21" t="str">
        <f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f>
        <v xml:space="preserve">        &lt;gear speed="25" name=""/&gt; &lt;!-- 0.2 6.35 17 33--&gt;</v>
      </c>
      <c r="L21" s="4" t="str">
        <f>Table3[[#This Row],[xml]]</f>
        <v xml:space="preserve">        &lt;gear speed="25" name=""/&gt; &lt;!-- 0.2 6.35 17 33--&gt;</v>
      </c>
    </row>
    <row r="22" spans="1:12" x14ac:dyDescent="0.25">
      <c r="E22" s="5">
        <v>4</v>
      </c>
      <c r="F22" s="6">
        <f>INDEX(Table2[],1,Table3[[#This Row],[gear]])</f>
        <v>50.000000000000007</v>
      </c>
      <c r="G22" s="6">
        <f>$A$8*Table3[[#This Row],[speed]]*Table4[idle]/Table4[rated]</f>
        <v>0.40000000000000013</v>
      </c>
      <c r="H22" s="1">
        <f>$A$10*Table3[[#This Row],[speed]]*Table4[idle]/Table4[rated]</f>
        <v>12.698412698412703</v>
      </c>
      <c r="I22" s="1">
        <f>$A$10*Table3[[#This Row],[speed]]</f>
        <v>33.333333333333343</v>
      </c>
      <c r="J22" s="1">
        <f>$A$16*Table3[[#This Row],[speed]]</f>
        <v>66.666666666666671</v>
      </c>
      <c r="K22" t="str">
        <f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f>
        <v xml:space="preserve">        &lt;gear speed="50" name=""/&gt; &lt;!-- 0.4 12.7 33 67--&gt;</v>
      </c>
      <c r="L22" s="4" t="str">
        <f>Table3[[#This Row],[xml]]</f>
        <v xml:space="preserve">        &lt;gear speed="50" name=""/&gt; &lt;!-- 0.4 12.7 33 67--&gt;</v>
      </c>
    </row>
    <row r="23" spans="1:12" x14ac:dyDescent="0.25">
      <c r="L23" t="s">
        <v>33</v>
      </c>
    </row>
    <row r="24" spans="1:12" x14ac:dyDescent="0.25">
      <c r="L24" t="s">
        <v>43</v>
      </c>
    </row>
    <row r="26" spans="1:12" x14ac:dyDescent="0.25">
      <c r="A26" t="s">
        <v>40</v>
      </c>
      <c r="B26" t="s">
        <v>41</v>
      </c>
    </row>
    <row r="27" spans="1:12" x14ac:dyDescent="0.25">
      <c r="A27" s="11">
        <f>C8</f>
        <v>0.13125000000000003</v>
      </c>
      <c r="B27">
        <f>B8</f>
        <v>0.3</v>
      </c>
    </row>
    <row r="28" spans="1:12" x14ac:dyDescent="0.25">
      <c r="A28" s="11">
        <f>C10</f>
        <v>4.1666666666666679</v>
      </c>
      <c r="B28">
        <f>B10</f>
        <v>0.87</v>
      </c>
    </row>
    <row r="29" spans="1:12" x14ac:dyDescent="0.25">
      <c r="A29" s="11">
        <f>C11</f>
        <v>4.8611111111111116</v>
      </c>
      <c r="B29">
        <f>B11</f>
        <v>0.93</v>
      </c>
    </row>
    <row r="30" spans="1:12" x14ac:dyDescent="0.25">
      <c r="A30" s="11">
        <f>C12</f>
        <v>5.5555555555555562</v>
      </c>
      <c r="B30">
        <f>B12</f>
        <v>0.97</v>
      </c>
    </row>
    <row r="31" spans="1:12" x14ac:dyDescent="0.25">
      <c r="A31" s="11">
        <f>C13</f>
        <v>6.2500000000000009</v>
      </c>
      <c r="B31">
        <f>B13</f>
        <v>0.98</v>
      </c>
    </row>
    <row r="32" spans="1:12" x14ac:dyDescent="0.25">
      <c r="A32" s="11">
        <f>C14</f>
        <v>6.9444444444444455</v>
      </c>
      <c r="B32">
        <f>B14</f>
        <v>0.94</v>
      </c>
    </row>
    <row r="33" spans="1:2" x14ac:dyDescent="0.25">
      <c r="A33" s="11">
        <f>C15</f>
        <v>7.6388888888888902</v>
      </c>
      <c r="B33">
        <f>B15</f>
        <v>0.91</v>
      </c>
    </row>
    <row r="34" spans="1:2" x14ac:dyDescent="0.25">
      <c r="A34" s="6">
        <f>D10</f>
        <v>8.3333333333333357</v>
      </c>
      <c r="B34">
        <f>MAX(B10,B16)</f>
        <v>0.9</v>
      </c>
    </row>
    <row r="35" spans="1:2" x14ac:dyDescent="0.25">
      <c r="A35" s="6">
        <f>D11</f>
        <v>9.7222222222222232</v>
      </c>
      <c r="B35">
        <f>MAX(B11,B17)</f>
        <v>0.93</v>
      </c>
    </row>
    <row r="36" spans="1:2" x14ac:dyDescent="0.25">
      <c r="A36" s="6">
        <f>D12</f>
        <v>11.111111111111112</v>
      </c>
      <c r="B36">
        <f>B12</f>
        <v>0.97</v>
      </c>
    </row>
    <row r="37" spans="1:2" x14ac:dyDescent="0.25">
      <c r="A37" s="6">
        <f>D13</f>
        <v>12.500000000000002</v>
      </c>
      <c r="B37">
        <f>B13</f>
        <v>0.98</v>
      </c>
    </row>
    <row r="38" spans="1:2" x14ac:dyDescent="0.25">
      <c r="A38" s="6">
        <f>D14</f>
        <v>13.888888888888891</v>
      </c>
      <c r="B38">
        <f>B14</f>
        <v>0.94</v>
      </c>
    </row>
    <row r="39" spans="1:2" x14ac:dyDescent="0.25">
      <c r="A39" s="6">
        <f t="shared" ref="A39" si="0">D16</f>
        <v>16.666666666666668</v>
      </c>
      <c r="B39">
        <f t="shared" ref="B39" si="1">B16</f>
        <v>0.9</v>
      </c>
    </row>
    <row r="40" spans="1:2" x14ac:dyDescent="0.25">
      <c r="A40" s="6">
        <f>E10</f>
        <v>16.666666666666671</v>
      </c>
      <c r="B40">
        <f>MAX(B10,B16)</f>
        <v>0.9</v>
      </c>
    </row>
    <row r="41" spans="1:2" x14ac:dyDescent="0.25">
      <c r="A41" s="6">
        <f>E11</f>
        <v>19.444444444444446</v>
      </c>
      <c r="B41">
        <f>B11</f>
        <v>0.93</v>
      </c>
    </row>
    <row r="42" spans="1:2" x14ac:dyDescent="0.25">
      <c r="A42" s="6">
        <f>E12</f>
        <v>22.222222222222225</v>
      </c>
      <c r="B42">
        <f>B12</f>
        <v>0.97</v>
      </c>
    </row>
    <row r="43" spans="1:2" x14ac:dyDescent="0.25">
      <c r="A43" s="6">
        <f>E13</f>
        <v>25.000000000000004</v>
      </c>
      <c r="B43">
        <f>B13</f>
        <v>0.98</v>
      </c>
    </row>
    <row r="44" spans="1:2" x14ac:dyDescent="0.25">
      <c r="A44" s="6">
        <f>E14</f>
        <v>27.777777777777782</v>
      </c>
      <c r="B44">
        <f>B14</f>
        <v>0.94</v>
      </c>
    </row>
    <row r="45" spans="1:2" x14ac:dyDescent="0.25">
      <c r="A45" s="6">
        <f t="shared" ref="A45" si="2">E16</f>
        <v>33.333333333333336</v>
      </c>
      <c r="B45">
        <f t="shared" ref="B45" si="3">B16</f>
        <v>0.9</v>
      </c>
    </row>
    <row r="46" spans="1:2" x14ac:dyDescent="0.25">
      <c r="A46" s="6">
        <f>F10</f>
        <v>33.333333333333343</v>
      </c>
      <c r="B46" s="6">
        <f>MAX(B10,B16)</f>
        <v>0.9</v>
      </c>
    </row>
    <row r="47" spans="1:2" x14ac:dyDescent="0.25">
      <c r="A47" s="6">
        <f>F11</f>
        <v>38.888888888888893</v>
      </c>
      <c r="B47">
        <f>B11</f>
        <v>0.93</v>
      </c>
    </row>
    <row r="48" spans="1:2" x14ac:dyDescent="0.25">
      <c r="A48" s="6">
        <f>F12</f>
        <v>44.44444444444445</v>
      </c>
      <c r="B48">
        <f>B12</f>
        <v>0.97</v>
      </c>
    </row>
    <row r="49" spans="1:2" x14ac:dyDescent="0.25">
      <c r="A49" s="6">
        <f>F13</f>
        <v>50.000000000000007</v>
      </c>
      <c r="B49">
        <f>B13</f>
        <v>0.98</v>
      </c>
    </row>
    <row r="50" spans="1:2" x14ac:dyDescent="0.25">
      <c r="A50" s="6">
        <f>F14</f>
        <v>55.555555555555564</v>
      </c>
      <c r="B50">
        <f>B14</f>
        <v>0.94</v>
      </c>
    </row>
    <row r="51" spans="1:2" x14ac:dyDescent="0.25">
      <c r="A51" s="6">
        <f>F16</f>
        <v>66.666666666666671</v>
      </c>
      <c r="B51">
        <f t="shared" ref="B51" si="4">B16</f>
        <v>0.9</v>
      </c>
    </row>
    <row r="52" spans="1:2" x14ac:dyDescent="0.25">
      <c r="A52" s="6"/>
    </row>
    <row r="53" spans="1:2" x14ac:dyDescent="0.25">
      <c r="A53" s="6"/>
    </row>
  </sheetData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:B7"/>
    </sheetView>
  </sheetViews>
  <sheetFormatPr defaultRowHeight="15" x14ac:dyDescent="0.25"/>
  <sheetData>
    <row r="1" spans="1:2" x14ac:dyDescent="0.25">
      <c r="A1" t="s">
        <v>45</v>
      </c>
      <c r="B1" t="s">
        <v>44</v>
      </c>
    </row>
    <row r="2" spans="1:2" x14ac:dyDescent="0.25">
      <c r="A2">
        <v>-1</v>
      </c>
      <c r="B2">
        <v>0.65</v>
      </c>
    </row>
    <row r="3" spans="1:2" x14ac:dyDescent="0.25">
      <c r="A3">
        <v>-0.01</v>
      </c>
      <c r="B3">
        <v>0.82</v>
      </c>
    </row>
    <row r="4" spans="1:2" x14ac:dyDescent="0.25">
      <c r="A4">
        <v>0</v>
      </c>
      <c r="B4">
        <v>0.6</v>
      </c>
    </row>
    <row r="5" spans="1:2" x14ac:dyDescent="0.25">
      <c r="A5">
        <v>0.01</v>
      </c>
      <c r="B5">
        <v>0.82499999999999996</v>
      </c>
    </row>
    <row r="6" spans="1:2" x14ac:dyDescent="0.25">
      <c r="A6">
        <v>1</v>
      </c>
      <c r="B6">
        <v>0.98</v>
      </c>
    </row>
    <row r="7" spans="1:2" x14ac:dyDescent="0.25">
      <c r="A7">
        <v>1.3333333000000001</v>
      </c>
      <c r="B7">
        <v>0.92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45</v>
      </c>
      <c r="B1" t="s">
        <v>44</v>
      </c>
    </row>
    <row r="2" spans="1:2" x14ac:dyDescent="0.25">
      <c r="A2">
        <v>-1</v>
      </c>
      <c r="B2">
        <v>0.65</v>
      </c>
    </row>
    <row r="3" spans="1:2" x14ac:dyDescent="0.25">
      <c r="A3">
        <v>-0.01</v>
      </c>
      <c r="B3">
        <v>0.82</v>
      </c>
    </row>
    <row r="4" spans="1:2" x14ac:dyDescent="0.25">
      <c r="A4">
        <v>0</v>
      </c>
      <c r="B4">
        <v>0.6</v>
      </c>
    </row>
    <row r="5" spans="1:2" x14ac:dyDescent="0.25">
      <c r="A5">
        <v>0.01</v>
      </c>
      <c r="B5">
        <v>0.82499999999999996</v>
      </c>
    </row>
    <row r="6" spans="1:2" x14ac:dyDescent="0.25">
      <c r="A6">
        <v>1</v>
      </c>
      <c r="B6">
        <v>0.98</v>
      </c>
    </row>
    <row r="7" spans="1:2" x14ac:dyDescent="0.25">
      <c r="A7">
        <v>1.4</v>
      </c>
      <c r="B7">
        <v>0.92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2" sqref="A2:B7"/>
    </sheetView>
  </sheetViews>
  <sheetFormatPr defaultRowHeight="15" x14ac:dyDescent="0.25"/>
  <sheetData>
    <row r="1" spans="1:2" x14ac:dyDescent="0.25">
      <c r="A1" t="s">
        <v>45</v>
      </c>
      <c r="B1" t="s">
        <v>44</v>
      </c>
    </row>
    <row r="2" spans="1:2" x14ac:dyDescent="0.25">
      <c r="A2">
        <v>0</v>
      </c>
      <c r="B2">
        <v>0.6</v>
      </c>
    </row>
    <row r="3" spans="1:2" x14ac:dyDescent="0.25">
      <c r="A3">
        <v>0.2</v>
      </c>
      <c r="B3">
        <v>0.75</v>
      </c>
    </row>
    <row r="4" spans="1:2" x14ac:dyDescent="0.25">
      <c r="A4">
        <v>0.7</v>
      </c>
      <c r="B4">
        <v>0.93</v>
      </c>
    </row>
    <row r="5" spans="1:2" x14ac:dyDescent="0.25">
      <c r="A5">
        <v>1</v>
      </c>
      <c r="B5">
        <v>0.98</v>
      </c>
    </row>
    <row r="6" spans="1:2" x14ac:dyDescent="0.25">
      <c r="A6">
        <v>1.2</v>
      </c>
      <c r="B6">
        <v>0.95</v>
      </c>
    </row>
    <row r="7" spans="1:2" x14ac:dyDescent="0.25">
      <c r="A7">
        <v>1.4</v>
      </c>
      <c r="B7">
        <v>0.9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ZF</vt:lpstr>
      <vt:lpstr>Fendt</vt:lpstr>
      <vt:lpstr>Small</vt:lpstr>
      <vt:lpstr>Combine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2015-03-13T15:51:50Z</dcterms:created>
  <dcterms:modified xsi:type="dcterms:W3CDTF">2016-02-26T08:50:01Z</dcterms:modified>
</cp:coreProperties>
</file>