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C:\Users\Adnan Khan\OneDrive\Desktop\OFFICE\PROJECTS\EXCEL\"/>
    </mc:Choice>
  </mc:AlternateContent>
  <xr:revisionPtr revIDLastSave="0" documentId="13_ncr:1_{4CB29F72-7589-477F-B1F7-3EA57FC7515A}" xr6:coauthVersionLast="47" xr6:coauthVersionMax="47" xr10:uidLastSave="{00000000-0000-0000-0000-000000000000}"/>
  <bookViews>
    <workbookView xWindow="-110" yWindow="-110" windowWidth="19420" windowHeight="10300" xr2:uid="{29D573E3-31B9-421C-81FD-0B35E70F4A81}"/>
  </bookViews>
  <sheets>
    <sheet name="VISSUALAZIATION" sheetId="8" r:id="rId1"/>
    <sheet name="STAFF VS NZ" sheetId="10" r:id="rId2"/>
    <sheet name="SALARY VS RATING" sheetId="9" r:id="rId3"/>
    <sheet name="NZ_STAFF" sheetId="1" r:id="rId4"/>
    <sheet name="EMP_STOP" sheetId="2" r:id="rId5"/>
    <sheet name="STAFF" sheetId="3" r:id="rId6"/>
    <sheet name="INFORMATION FINDER" sheetId="7" r:id="rId7"/>
  </sheets>
  <definedNames>
    <definedName name="_xlchart.v1.0" hidden="1">STAFF!$F$2:$F$184</definedName>
    <definedName name="_xlchart.v1.1" hidden="1">STAFF!$F$2:$F$184</definedName>
    <definedName name="_xlchart.v1.2" hidden="1">STAFF!$F$2:$F$184</definedName>
    <definedName name="_xlcn.WorksheetConnection_DATAANALYSIS010.xlsxStaff1" hidden="1">Staff[]</definedName>
    <definedName name="ExternalData_1" localSheetId="5" hidden="1">STAFF!$A$1:$H$184</definedName>
    <definedName name="Slicer_COUNTRY">#N/A</definedName>
    <definedName name="Slicer_COUNTRY1">#N/A</definedName>
    <definedName name="Slicer_Department1">#N/A</definedName>
    <definedName name="Slicer_Department2">#N/A</definedName>
    <definedName name="Slicer_Gender">#N/A</definedName>
    <definedName name="Slicer_Gender1">#N/A</definedName>
    <definedName name="Slicer_Gender2">#N/A</definedName>
    <definedName name="Slicer_Rating">#N/A</definedName>
  </definedNames>
  <calcPr calcId="191029"/>
  <pivotCaches>
    <pivotCache cacheId="0" r:id="rId8"/>
    <pivotCache cacheId="327" r:id="rId9"/>
    <pivotCache cacheId="330" r:id="rId10"/>
    <pivotCache cacheId="333" r:id="rId11"/>
    <pivotCache cacheId="336" r:id="rId12"/>
  </pivotCaches>
  <extLst>
    <ext xmlns:x14="http://schemas.microsoft.com/office/spreadsheetml/2009/9/main" uri="{876F7934-8845-4945-9796-88D515C7AA90}">
      <x14:pivotCaches>
        <pivotCache cacheId="291"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010.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9" l="1"/>
  <c r="M6" i="9" s="1"/>
  <c r="C4" i="8"/>
  <c r="E4" i="8" s="1"/>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Q4" i="8"/>
  <c r="G4" i="8"/>
  <c r="M4" i="8"/>
  <c r="O4" i="8" s="1"/>
  <c r="P18" i="3"/>
  <c r="P15" i="3"/>
  <c r="Q16" i="3"/>
  <c r="P16" i="3"/>
  <c r="J5" i="9" a="1"/>
  <c r="J5" i="9" s="1"/>
  <c r="K5" i="9" s="1" a="1"/>
  <c r="K5"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P19" i="3" l="1"/>
  <c r="M7" i="9"/>
  <c r="M16" i="9" l="1"/>
  <c r="M17" i="9"/>
  <c r="M20" i="9"/>
  <c r="M31" i="9"/>
  <c r="M29" i="9"/>
  <c r="M12" i="9"/>
  <c r="M34" i="9"/>
  <c r="M38" i="9"/>
  <c r="M21" i="9"/>
  <c r="M23" i="9"/>
  <c r="M37" i="9"/>
  <c r="M30" i="9"/>
  <c r="M18" i="9"/>
  <c r="M22" i="9"/>
  <c r="M15" i="9"/>
  <c r="M35" i="9"/>
  <c r="M26" i="9"/>
  <c r="M9" i="9"/>
  <c r="M40" i="9"/>
  <c r="M14" i="9"/>
  <c r="M27" i="9"/>
  <c r="M8" i="9"/>
  <c r="M32" i="9"/>
  <c r="M33" i="9"/>
  <c r="M36" i="9"/>
  <c r="M19" i="9"/>
  <c r="M13" i="9"/>
  <c r="M10" i="9"/>
  <c r="M39" i="9"/>
  <c r="M24" i="9"/>
  <c r="M25" i="9"/>
  <c r="M5" i="9"/>
  <c r="M28" i="9"/>
  <c r="M11" i="9"/>
  <c r="I165" i="3"/>
  <c r="J165" i="3" s="1"/>
  <c r="I86" i="3"/>
  <c r="J86" i="3" s="1"/>
  <c r="I35" i="3"/>
  <c r="J35" i="3" s="1"/>
  <c r="I175" i="3"/>
  <c r="J175" i="3" s="1"/>
  <c r="I37" i="3"/>
  <c r="J37" i="3" s="1"/>
  <c r="I160" i="3"/>
  <c r="J160" i="3" s="1"/>
  <c r="I25" i="3"/>
  <c r="J25" i="3" s="1"/>
  <c r="I61" i="3"/>
  <c r="J61" i="3" s="1"/>
  <c r="I41" i="3"/>
  <c r="J41" i="3" s="1"/>
  <c r="I183" i="3"/>
  <c r="J183" i="3" s="1"/>
  <c r="I158" i="3"/>
  <c r="J158" i="3" s="1"/>
  <c r="I68" i="3"/>
  <c r="J68" i="3" s="1"/>
  <c r="I78" i="3"/>
  <c r="J78" i="3" s="1"/>
  <c r="I152" i="3"/>
  <c r="J152" i="3" s="1"/>
  <c r="I18" i="3"/>
  <c r="J18" i="3" s="1"/>
  <c r="I136" i="3"/>
  <c r="J136" i="3" s="1"/>
  <c r="I8" i="3"/>
  <c r="J8" i="3" s="1"/>
  <c r="I47" i="3"/>
  <c r="J47" i="3" s="1"/>
  <c r="I14" i="3"/>
  <c r="J14" i="3" s="1"/>
  <c r="I98" i="3"/>
  <c r="J98" i="3" s="1"/>
  <c r="I51" i="3"/>
  <c r="J51" i="3" s="1"/>
  <c r="I72" i="3"/>
  <c r="J72" i="3" s="1"/>
  <c r="I49" i="3"/>
  <c r="J49" i="3" s="1"/>
  <c r="I29" i="3"/>
  <c r="J29" i="3" s="1"/>
  <c r="I63" i="3"/>
  <c r="J63" i="3" s="1"/>
  <c r="I92" i="3"/>
  <c r="J92" i="3" s="1"/>
  <c r="I118" i="3"/>
  <c r="J118" i="3" s="1"/>
  <c r="I4" i="3"/>
  <c r="J4" i="3" s="1"/>
  <c r="I100" i="3"/>
  <c r="J100" i="3" s="1"/>
  <c r="I57" i="3"/>
  <c r="J57" i="3" s="1"/>
  <c r="I96" i="3"/>
  <c r="J96" i="3" s="1"/>
  <c r="I177" i="3"/>
  <c r="J177" i="3" s="1"/>
  <c r="I106" i="3"/>
  <c r="J106" i="3" s="1"/>
  <c r="I156" i="3"/>
  <c r="J156" i="3" s="1"/>
  <c r="I31" i="3"/>
  <c r="J31" i="3" s="1"/>
  <c r="I138" i="3"/>
  <c r="J138" i="3" s="1"/>
  <c r="I132" i="3"/>
  <c r="J132" i="3" s="1"/>
  <c r="I142" i="3"/>
  <c r="J142" i="3" s="1"/>
  <c r="I27" i="3"/>
  <c r="J27" i="3" s="1"/>
  <c r="I33" i="3"/>
  <c r="J33" i="3" s="1"/>
  <c r="I104" i="3"/>
  <c r="J104" i="3" s="1"/>
  <c r="I116" i="3"/>
  <c r="J116" i="3" s="1"/>
  <c r="I112" i="3"/>
  <c r="J112" i="3" s="1"/>
  <c r="I128" i="3"/>
  <c r="J128" i="3" s="1"/>
  <c r="I162" i="3"/>
  <c r="J162" i="3" s="1"/>
  <c r="I108" i="3"/>
  <c r="J108" i="3" s="1"/>
  <c r="I76" i="3"/>
  <c r="J76" i="3" s="1"/>
  <c r="I110" i="3"/>
  <c r="J110" i="3" s="1"/>
  <c r="I53" i="3"/>
  <c r="J53" i="3" s="1"/>
  <c r="I181" i="3"/>
  <c r="J181" i="3" s="1"/>
  <c r="I23" i="3"/>
  <c r="J23" i="3" s="1"/>
  <c r="I19" i="3"/>
  <c r="J19" i="3" s="1"/>
  <c r="I173" i="3"/>
  <c r="J173" i="3" s="1"/>
  <c r="I82" i="3"/>
  <c r="J82" i="3" s="1"/>
  <c r="I88" i="3"/>
  <c r="J88" i="3" s="1"/>
  <c r="I154" i="3"/>
  <c r="J154" i="3" s="1"/>
  <c r="I167" i="3"/>
  <c r="J167" i="3" s="1"/>
  <c r="I80" i="3"/>
  <c r="J80" i="3" s="1"/>
  <c r="I179" i="3"/>
  <c r="J179" i="3" s="1"/>
  <c r="I102" i="3"/>
  <c r="J102" i="3" s="1"/>
  <c r="I171" i="3"/>
  <c r="J171" i="3" s="1"/>
  <c r="I124" i="3"/>
  <c r="J124" i="3" s="1"/>
  <c r="I148" i="3"/>
  <c r="J148" i="3" s="1"/>
  <c r="I43" i="3"/>
  <c r="J43" i="3" s="1"/>
  <c r="I122" i="3"/>
  <c r="J122" i="3" s="1"/>
  <c r="I45" i="3"/>
  <c r="J45" i="3" s="1"/>
  <c r="I130" i="3"/>
  <c r="J130" i="3" s="1"/>
  <c r="I70" i="3"/>
  <c r="J70" i="3" s="1"/>
  <c r="I21" i="3"/>
  <c r="J21" i="3" s="1"/>
  <c r="I59" i="3"/>
  <c r="J59" i="3" s="1"/>
  <c r="I144" i="3"/>
  <c r="J144" i="3" s="1"/>
  <c r="I120" i="3"/>
  <c r="J120" i="3" s="1"/>
  <c r="I140" i="3"/>
  <c r="J140" i="3" s="1"/>
  <c r="I169" i="3"/>
  <c r="J169" i="3" s="1"/>
  <c r="I2" i="3"/>
  <c r="I150" i="3"/>
  <c r="J150" i="3" s="1"/>
  <c r="I10" i="3"/>
  <c r="J10" i="3" s="1"/>
  <c r="I126" i="3"/>
  <c r="J126" i="3" s="1"/>
  <c r="I6" i="3"/>
  <c r="J6" i="3" s="1"/>
  <c r="I146" i="3"/>
  <c r="J146" i="3" s="1"/>
  <c r="I134" i="3"/>
  <c r="J134" i="3" s="1"/>
  <c r="I114" i="3"/>
  <c r="J114" i="3" s="1"/>
  <c r="I16" i="3"/>
  <c r="J16" i="3" s="1"/>
  <c r="I55" i="3"/>
  <c r="J55" i="3" s="1"/>
  <c r="I66" i="3"/>
  <c r="J66" i="3" s="1"/>
  <c r="I12" i="3"/>
  <c r="J12" i="3" s="1"/>
  <c r="I94" i="3"/>
  <c r="J94" i="3" s="1"/>
  <c r="I90" i="3"/>
  <c r="J90" i="3" s="1"/>
  <c r="I74" i="3"/>
  <c r="J74" i="3" s="1"/>
  <c r="I84" i="3"/>
  <c r="J84" i="3" s="1"/>
  <c r="I38" i="3"/>
  <c r="J38" i="3" s="1"/>
  <c r="I163" i="3"/>
  <c r="J163" i="3" s="1"/>
  <c r="I65" i="3"/>
  <c r="J65" i="3" s="1"/>
  <c r="I143" i="3"/>
  <c r="J143" i="3" s="1"/>
  <c r="I20" i="3"/>
  <c r="J20" i="3" s="1"/>
  <c r="I176" i="3"/>
  <c r="J176" i="3" s="1"/>
  <c r="I46" i="3"/>
  <c r="J46" i="3" s="1"/>
  <c r="I131" i="3"/>
  <c r="J131" i="3" s="1"/>
  <c r="I125" i="3"/>
  <c r="J125" i="3" s="1"/>
  <c r="I91" i="3"/>
  <c r="J91" i="3" s="1"/>
  <c r="I157" i="3"/>
  <c r="J157" i="3" s="1"/>
  <c r="I147" i="3"/>
  <c r="J147" i="3" s="1"/>
  <c r="I135" i="3"/>
  <c r="J135" i="3" s="1"/>
  <c r="I24" i="3"/>
  <c r="J24" i="3" s="1"/>
  <c r="I9" i="3"/>
  <c r="J9" i="3" s="1"/>
  <c r="I164" i="3"/>
  <c r="J164" i="3" s="1"/>
  <c r="I32" i="3"/>
  <c r="J32" i="3" s="1"/>
  <c r="I182" i="3"/>
  <c r="J182" i="3" s="1"/>
  <c r="I83" i="3"/>
  <c r="J83" i="3" s="1"/>
  <c r="I109" i="3"/>
  <c r="J109" i="3" s="1"/>
  <c r="I103" i="3"/>
  <c r="J103" i="3" s="1"/>
  <c r="I44" i="3"/>
  <c r="J44" i="3" s="1"/>
  <c r="I121" i="3"/>
  <c r="J121" i="3" s="1"/>
  <c r="I7" i="3"/>
  <c r="J7" i="3" s="1"/>
  <c r="I93" i="3"/>
  <c r="J93" i="3" s="1"/>
  <c r="I11" i="3"/>
  <c r="J11" i="3" s="1"/>
  <c r="I141" i="3"/>
  <c r="J141" i="3" s="1"/>
  <c r="I50" i="3"/>
  <c r="J50" i="3" s="1"/>
  <c r="I172" i="3"/>
  <c r="J172" i="3" s="1"/>
  <c r="I13" i="3"/>
  <c r="J13" i="3" s="1"/>
  <c r="I161" i="3"/>
  <c r="J161" i="3" s="1"/>
  <c r="I22" i="3"/>
  <c r="J22" i="3" s="1"/>
  <c r="I71" i="3"/>
  <c r="J71" i="3" s="1"/>
  <c r="I139" i="3"/>
  <c r="J139" i="3" s="1"/>
  <c r="I111" i="3"/>
  <c r="J111" i="3" s="1"/>
  <c r="I34" i="3"/>
  <c r="J34" i="3" s="1"/>
  <c r="I159" i="3"/>
  <c r="J159" i="3" s="1"/>
  <c r="I184" i="3"/>
  <c r="J184" i="3" s="1"/>
  <c r="I166" i="3"/>
  <c r="J166" i="3" s="1"/>
  <c r="I174" i="3"/>
  <c r="J174" i="3" s="1"/>
  <c r="I30" i="3"/>
  <c r="J30" i="3" s="1"/>
  <c r="I99" i="3"/>
  <c r="J99" i="3" s="1"/>
  <c r="I36" i="3"/>
  <c r="J36" i="3" s="1"/>
  <c r="I115" i="3"/>
  <c r="J115" i="3" s="1"/>
  <c r="I3" i="3"/>
  <c r="J3" i="3" s="1"/>
  <c r="I95" i="3"/>
  <c r="J95" i="3" s="1"/>
  <c r="I52" i="3"/>
  <c r="J52" i="3" s="1"/>
  <c r="I149" i="3"/>
  <c r="J149" i="3" s="1"/>
  <c r="I48" i="3"/>
  <c r="J48" i="3" s="1"/>
  <c r="I127" i="3"/>
  <c r="J127" i="3" s="1"/>
  <c r="I85" i="3"/>
  <c r="J85" i="3" s="1"/>
  <c r="I101" i="3"/>
  <c r="J101" i="3" s="1"/>
  <c r="I123" i="3"/>
  <c r="J123" i="3" s="1"/>
  <c r="I60" i="3"/>
  <c r="J60" i="3" s="1"/>
  <c r="I178" i="3"/>
  <c r="J178" i="3" s="1"/>
  <c r="I67" i="3"/>
  <c r="J67" i="3" s="1"/>
  <c r="I64" i="3"/>
  <c r="J64" i="3" s="1"/>
  <c r="I129" i="3"/>
  <c r="J129" i="3" s="1"/>
  <c r="I28" i="3"/>
  <c r="J28" i="3" s="1"/>
  <c r="I113" i="3"/>
  <c r="J113" i="3" s="1"/>
  <c r="I119" i="3"/>
  <c r="J119" i="3" s="1"/>
  <c r="I77" i="3"/>
  <c r="J77" i="3" s="1"/>
  <c r="I39" i="3"/>
  <c r="J39" i="3" s="1"/>
  <c r="I17" i="3"/>
  <c r="J17" i="3" s="1"/>
  <c r="I155" i="3"/>
  <c r="J155" i="3" s="1"/>
  <c r="I137" i="3"/>
  <c r="J137" i="3" s="1"/>
  <c r="I15" i="3"/>
  <c r="J15" i="3" s="1"/>
  <c r="I89" i="3"/>
  <c r="J89" i="3" s="1"/>
  <c r="I168" i="3"/>
  <c r="J168" i="3" s="1"/>
  <c r="I117" i="3"/>
  <c r="J117" i="3" s="1"/>
  <c r="I40" i="3"/>
  <c r="J40" i="3" s="1"/>
  <c r="I79" i="3"/>
  <c r="J79" i="3" s="1"/>
  <c r="I73" i="3"/>
  <c r="J73" i="3" s="1"/>
  <c r="I81" i="3"/>
  <c r="J81" i="3" s="1"/>
  <c r="I58" i="3"/>
  <c r="J58" i="3" s="1"/>
  <c r="I151" i="3"/>
  <c r="J151" i="3" s="1"/>
  <c r="I180" i="3"/>
  <c r="J180" i="3" s="1"/>
  <c r="I105" i="3"/>
  <c r="J105" i="3" s="1"/>
  <c r="I170" i="3"/>
  <c r="J170" i="3" s="1"/>
  <c r="I145" i="3"/>
  <c r="J145" i="3" s="1"/>
  <c r="I75" i="3"/>
  <c r="J75" i="3" s="1"/>
  <c r="I5" i="3"/>
  <c r="J5" i="3" s="1"/>
  <c r="I62" i="3"/>
  <c r="J62" i="3" s="1"/>
  <c r="I153" i="3"/>
  <c r="J153" i="3" s="1"/>
  <c r="I69" i="3"/>
  <c r="J69" i="3" s="1"/>
  <c r="I97" i="3"/>
  <c r="J97" i="3" s="1"/>
  <c r="I42" i="3"/>
  <c r="J42" i="3" s="1"/>
  <c r="I107" i="3"/>
  <c r="J107" i="3" s="1"/>
  <c r="I54" i="3"/>
  <c r="J54" i="3" s="1"/>
  <c r="I87" i="3"/>
  <c r="J87" i="3" s="1"/>
  <c r="I56" i="3"/>
  <c r="J56" i="3" s="1"/>
  <c r="I26" i="3"/>
  <c r="J26" i="3" s="1"/>
  <c r="I133" i="3"/>
  <c r="J133" i="3" s="1"/>
  <c r="Q17" i="3"/>
  <c r="P5" i="3"/>
  <c r="P6" i="3"/>
  <c r="Q6" i="3"/>
  <c r="Q5" i="3"/>
  <c r="P9" i="3"/>
  <c r="J2" i="3" l="1"/>
  <c r="P17" i="3"/>
  <c r="C6" i="7" a="1"/>
  <c r="C6" i="7" s="1"/>
  <c r="P24" i="3" a="1"/>
  <c r="P24" i="3" s="1"/>
  <c r="P7" i="3"/>
  <c r="C118" i="2" l="1"/>
  <c r="P4" i="3"/>
  <c r="P10"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6227BC-CB0C-4B2C-B2F8-74FC40EB1CE8}" keepAlive="1" name="Query - EMP_STAFF" description="Connection to the 'EMP_STAFF' query in the workbook." type="5" refreshedVersion="0" background="1">
    <dbPr connection="Provider=Microsoft.Mashup.OleDb.1;Data Source=$Workbook$;Location=EMP_STAFF;Extended Properties=&quot;&quot;" command="SELECT * FROM [EMP_STAFF]"/>
  </connection>
  <connection id="2" xr16:uid="{0A114AF0-FB47-4BB7-AC20-1CECAF2F0BD0}"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C4AF9510-0B5E-435C-A2F6-ABAB1C89FA59}"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610ADBD7-2913-45F3-A9FC-290A29312DB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12FE113E-570D-4183-B19C-9790073E1579}" name="WorksheetConnection_DATA ANALYSIS 010.xlsx!Staff" type="102" refreshedVersion="8" minRefreshableVersion="5">
    <extLst>
      <ext xmlns:x15="http://schemas.microsoft.com/office/spreadsheetml/2010/11/main" uri="{DE250136-89BD-433C-8126-D09CA5730AF9}">
        <x15:connection id="Staff" autoDelete="1">
          <x15:rangePr sourceName="_xlcn.WorksheetConnection_DATAANALYSIS010.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EMP_STAFF]}"/>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<sst xmlns="http://schemas.openxmlformats.org/spreadsheetml/2006/main" count="2226" uniqueCount="256">
  <si>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</si>
  <si>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</si>
  <si>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</si>
  <si>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</si>
  <si>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</si>
  <si>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</si>
  <si>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</si>
  <si>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</si>
  <si>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</si>
  <si>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</si>
  <si>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</si>
  <si>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</si>
  <si>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</si>
  <si>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</si>
  <si>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</si>
  <si>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</si>
  <si>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</si>
  <si>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</si>
  <si>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</si>
  <si>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</si>
  <si>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</si>
  <si>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</si>
  <si>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</si>
  <si>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</si>
  <si>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</si>
  <si>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</si>
  <si>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</si>
  <si>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</si>
  <si>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</si>
  <si>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</si>
  <si>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</si>
  <si>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</si>
  <si>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</si>
  <si>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</si>
  <si>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</si>
  <si>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</si>
  <si>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</si>
  <si>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</si>
  <si>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</si>
  <si>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</si>
  <si>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</si>
  <si>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</si>
  <si>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</si>
  <si>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</si>
  <si>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</si>
  <si>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</si>
  <si>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</si>
  <si>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</si>
  <si>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</si>
  <si>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</si>
  <si>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</si>
  <si>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</si>
  <si>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</si>
  <si>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</si>
  <si>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</si>
  <si>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</si>
  <si>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</si>
  <si>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</si>
  <si>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</si>
  <si>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</si>
  <si>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</si>
  <si>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</si>
  <si>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</si>
  <si>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</si>
  <si>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</si>
  <si>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</si>
  <si>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</si>
  <si>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</si>
  <si>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</si>
  <si>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</si>
  <si>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</si>
  <si>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</si>
  <si>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</si>
  <si>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</si>
  <si>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</si>
  <si>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</si>
  <si>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</si>
  <si>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</si>
  <si>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</si>
  <si>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</si>
  <si>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</si>
  <si>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</si>
  <si>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</si>
  <si>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</si>
  <si>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</si>
  <si>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</si>
  <si>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</si>
  <si>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</si>
  <si>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</si>
  <si>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</si>
  <si>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</si>
  <si>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</si>
  <si>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</si>
  <si>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</si>
  <si>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</si>
  <si>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</si>
  <si>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</si>
  <si>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</si>
  <si>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</si>
  <si>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</si>
  <si>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</si>
  <si>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</si>
  <si>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</si>
  <si>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</si>
  <si>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</si>
  <si>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</si>
  <si>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</si>
  <si>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</si>
  <si>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</si>
  <si>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</si>
  <si>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</si>
  <si>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</si>
  <si>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</si>
  <si>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</si>
  <si>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</si>
  <si>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</si>
  <si>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</si>
  <si>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</si>
  <si>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</si>
  <si>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</si>
  <si>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</si>
  <si>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</si>
  <si>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</si>
  <si>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</si>
  <si>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</si>
  <si>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</si>
  <si>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</si>
  <si>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</si>
  <si>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</si>
  <si>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</si>
  <si>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</si>
  <si>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</si>
  <si>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</si>
  <si>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</si>
  <si>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</si>
  <si>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</si>
  <si>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</si>
  <si>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</si>
  <si>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</si>
  <si>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</si>
  <si>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</si>
  <si>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</si>
  <si>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</si>
  <si>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</si>
  <si>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</si>
  <si>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</si>
  <si>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</si>
  <si>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</si>
  <si>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</si>
  <si>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</si>
  <si>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</si>
  <si>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</si>
  <si>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</si>
  <si>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</si>
  <si>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</si>
  <si>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</si>
  <si>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</si>
  <si>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</si>
  <si>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</si>
  <si>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</si>
  <si>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</si>
  <si>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</si>
  <si>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</si>
  <si>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</si>
  <si>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</si>
  <si>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</si>
  <si>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</si>
  <si>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</si>
  <si>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</si>
  <si>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</si>
  <si>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</si>
  <si>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</si>
  <si>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</si>
  <si>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</si>
  <si>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</si>
  <si>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</si>
  <si>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</si>
  <si>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</si>
  <si>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</si>
  <si>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</si>
  <si>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</si>
  <si>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</si>
  <si>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</si>
  <si>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</si>
  <si>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</si>
  <si>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</si>
  <si>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</si>
  <si>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</si>
  <si>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</si>
  <si>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</si>
  <si>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</si>
  <si>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</si>
  <si>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</si>
  <si>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</si>
  <si>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</si>
  <si>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</si>
  <si>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</si>
  <si>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</si>
  <si>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</si>
  <si>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</si>
  <si>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</si>
  <si>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</si>
  <si>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COUNTRY</t>
  </si>
  <si>
    <t>NZ</t>
  </si>
  <si>
    <t>Others</t>
  </si>
  <si>
    <t>EMP_STAFF</t>
  </si>
  <si>
    <t>Count of employee</t>
  </si>
  <si>
    <t>Average sallary</t>
  </si>
  <si>
    <t>Average Age</t>
  </si>
  <si>
    <t>Average Tenure</t>
  </si>
  <si>
    <t>Female Ratio %</t>
  </si>
  <si>
    <t>Tenure</t>
  </si>
  <si>
    <t xml:space="preserve"> Ratio %</t>
  </si>
  <si>
    <t>QUAICK  DYNAMIC ANALYSIS OF THE DATA</t>
  </si>
  <si>
    <t xml:space="preserve">COUNT </t>
  </si>
  <si>
    <t>AVERAGE SALLARY</t>
  </si>
  <si>
    <t>AVERAGE TUNE</t>
  </si>
  <si>
    <t>MALE RATIO</t>
  </si>
  <si>
    <t>RATIO %</t>
  </si>
  <si>
    <t>Thoose employee his sallary is greater then 90k</t>
  </si>
  <si>
    <t>90000 &gt;</t>
  </si>
  <si>
    <t>INFORMATION FINDER</t>
  </si>
  <si>
    <t>2.O</t>
  </si>
  <si>
    <t>Male Vs Female Comparsion</t>
  </si>
  <si>
    <t>Sum of Age</t>
  </si>
  <si>
    <t>Average of Salary</t>
  </si>
  <si>
    <t>Row Labels</t>
  </si>
  <si>
    <t>Sum of Tenure</t>
  </si>
  <si>
    <t>Bounas</t>
  </si>
  <si>
    <t>Sum of Bounas</t>
  </si>
  <si>
    <t>Values</t>
  </si>
  <si>
    <t>Grand Total</t>
  </si>
  <si>
    <t>Count of Name</t>
  </si>
  <si>
    <t>Sallary as number</t>
  </si>
  <si>
    <t>MONTHS</t>
  </si>
  <si>
    <t>HEAD COUNT</t>
  </si>
  <si>
    <t>RUNNING TOTAL</t>
  </si>
  <si>
    <t>2020</t>
  </si>
  <si>
    <t>May</t>
  </si>
  <si>
    <t>Jun</t>
  </si>
  <si>
    <t>Jul</t>
  </si>
  <si>
    <t>Aug</t>
  </si>
  <si>
    <t>Sep</t>
  </si>
  <si>
    <t>Oct</t>
  </si>
  <si>
    <t>Nov</t>
  </si>
  <si>
    <t>Dec</t>
  </si>
  <si>
    <t>2021</t>
  </si>
  <si>
    <t>Jan</t>
  </si>
  <si>
    <t>Feb</t>
  </si>
  <si>
    <t>Mar</t>
  </si>
  <si>
    <t>Apr</t>
  </si>
  <si>
    <t>2022</t>
  </si>
  <si>
    <t>2023</t>
  </si>
  <si>
    <t>NEW ZELAND</t>
  </si>
  <si>
    <t>EMPLOYEE STAFF</t>
  </si>
  <si>
    <t xml:space="preserve">XYZ EMPLOYEE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</si>
</sst>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quot;$&quot;#,##0"/>
    <numFmt numFmtId="169" formatCode="mmm/yyyy"/>
    <numFmt numFmtId="175" formatCode="_(&quot;$&quot;* #,##0_);_(&quot;$&quot;* \(#,##0\);_(&quot;$&quot;* &quot;-&quot;??_);_(@_)"/>
  </numFmts>
  <fonts count="13" x14ac:knownFonts="1">
    <font>
      <sz val="11"/>
      <color theme="1"/>
      <name val="Century Gothic"/>
      <family val="2"/>
      <scheme val="minor"/>
    </font>
    <font>
      <sz val="11"/>
      <color theme="1"/>
      <name val="Century Gothic"/>
      <family val="2"/>
      <scheme val="minor"/>
    </font>
    <font>
      <b/>
      <sz val="11"/>
      <color theme="0"/>
      <name val="Century Gothic"/>
      <family val="2"/>
      <scheme val="minor"/>
    </font>
    <font>
      <b/>
      <sz val="11"/>
      <color theme="1"/>
      <name val="Century Gothic"/>
      <family val="2"/>
      <scheme val="minor"/>
    </font>
    <font>
      <sz val="11"/>
      <color theme="0"/>
      <name val="Segoe UI Black"/>
      <family val="2"/>
    </font>
    <font>
      <sz val="18"/>
      <color theme="0"/>
      <name val="Segoe UI Black"/>
      <family val="2"/>
    </font>
    <font>
      <sz val="22"/>
      <color theme="0"/>
      <name val="Segoe UI Black"/>
      <family val="2"/>
    </font>
    <font>
      <sz val="24"/>
      <color theme="0"/>
      <name val="Segoe UI Black"/>
      <family val="2"/>
    </font>
    <font>
      <sz val="10"/>
      <color theme="0"/>
      <name val="Segoe UI Black"/>
      <family val="2"/>
    </font>
    <font>
      <sz val="16"/>
      <color theme="1"/>
      <name val="Segoe UI Black"/>
      <family val="2"/>
    </font>
    <font>
      <sz val="20"/>
      <name val="Segoe UI Black"/>
      <family val="2"/>
    </font>
    <font>
      <sz val="10"/>
      <name val="Segoe UI Black"/>
      <family val="2"/>
    </font>
    <font>
      <sz val="22"/>
      <color theme="1"/>
      <name val="Century Gothic"/>
      <family val="2"/>
      <scheme val="minor"/>
    </font>
  </fonts>
  <fills count="11">
    <fill>
      <patternFill patternType="none"/>
    </fill>
    <fill>
      <patternFill patternType="gray125"/>
    </fill>
    <fill>
      <patternFill patternType="solid">
        <fgColor theme="9" tint="0.79998168889431442"/>
        <bgColor theme="9" tint="0.79998168889431442"/>
      </patternFill>
    </fill>
    <fill>
      <patternFill patternType="solid">
        <fgColor theme="4"/>
        <bgColor theme="4"/>
      </patternFill>
    </fill>
    <fill>
      <patternFill patternType="solid">
        <fgColor rgb="FFC000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rgb="FFFFC000"/>
        <bgColor indexed="64"/>
      </patternFill>
    </fill>
    <fill>
      <patternFill patternType="solid">
        <fgColor theme="1" tint="4.9989318521683403E-2"/>
        <bgColor indexed="64"/>
      </patternFill>
    </fill>
    <fill>
      <patternFill patternType="solid">
        <fgColor theme="1" tint="0.249977111117893"/>
        <bgColor indexed="64"/>
      </patternFill>
    </fill>
  </fills>
  <borders count="21">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39997558519241921"/>
      </left>
      <right/>
      <top/>
      <bottom style="thin">
        <color theme="4"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6">
    <xf numFmtId="0" fontId="0" fillId="0" borderId="0" xfId="0"/>
    <xf numFmtId="14" fontId="0" fillId="0" borderId="0" xfId="0" applyNumberFormat="1"/>
    <xf numFmtId="8" fontId="0" fillId="0" borderId="0" xfId="0" applyNumberFormat="1"/>
    <xf numFmtId="15" fontId="0" fillId="0" borderId="0" xfId="0" applyNumberFormat="1"/>
    <xf numFmtId="2" fontId="0" fillId="0" borderId="0" xfId="0" applyNumberFormat="1"/>
    <xf numFmtId="44" fontId="0" fillId="0" borderId="0" xfId="1" applyFont="1"/>
    <xf numFmtId="0" fontId="0" fillId="2" borderId="1" xfId="0" applyFill="1" applyBorder="1"/>
    <xf numFmtId="0" fontId="2" fillId="3" borderId="2" xfId="0" applyFont="1" applyFill="1" applyBorder="1"/>
    <xf numFmtId="0" fontId="2" fillId="3" borderId="3" xfId="0" applyFont="1" applyFill="1" applyBorder="1"/>
    <xf numFmtId="9" fontId="0" fillId="0" borderId="0" xfId="2" applyFont="1"/>
    <xf numFmtId="0" fontId="2" fillId="4" borderId="0" xfId="0" applyFont="1" applyFill="1" applyAlignment="1">
      <alignment horizontal="center" vertical="center"/>
    </xf>
    <xf numFmtId="0" fontId="0" fillId="0" borderId="4" xfId="0" applyBorder="1"/>
    <xf numFmtId="44" fontId="0" fillId="0" borderId="4" xfId="1" applyFont="1" applyBorder="1"/>
    <xf numFmtId="2" fontId="0" fillId="0" borderId="4" xfId="0" applyNumberFormat="1" applyBorder="1"/>
    <xf numFmtId="9" fontId="0" fillId="0" borderId="4" xfId="2" applyFont="1" applyBorder="1"/>
    <xf numFmtId="6" fontId="0" fillId="0" borderId="0" xfId="0" applyNumberFormat="1"/>
    <xf numFmtId="9" fontId="0" fillId="0" borderId="0" xfId="0" applyNumberFormat="1"/>
    <xf numFmtId="0" fontId="0" fillId="0" borderId="0" xfId="2" applyNumberFormat="1" applyFont="1"/>
    <xf numFmtId="0" fontId="2" fillId="3" borderId="8" xfId="0" applyFont="1" applyFill="1" applyBorder="1"/>
    <xf numFmtId="0" fontId="2" fillId="4" borderId="0" xfId="0" applyFont="1" applyFill="1" applyAlignment="1">
      <alignment horizontal="center"/>
    </xf>
    <xf numFmtId="0" fontId="0" fillId="0" borderId="0" xfId="0" pivotButton="1"/>
    <xf numFmtId="0" fontId="0" fillId="0" borderId="0" xfId="0" applyAlignment="1">
      <alignment horizontal="left"/>
    </xf>
    <xf numFmtId="0" fontId="0" fillId="5" borderId="0" xfId="0" applyFill="1" applyAlignment="1">
      <alignment horizontal="center"/>
    </xf>
    <xf numFmtId="0" fontId="0" fillId="0" borderId="0" xfId="0" applyAlignment="1">
      <alignment horizontal="center"/>
    </xf>
    <xf numFmtId="0" fontId="3" fillId="5" borderId="5" xfId="0" applyFont="1" applyFill="1" applyBorder="1" applyAlignment="1">
      <alignment horizontal="center"/>
    </xf>
    <xf numFmtId="0" fontId="3" fillId="5" borderId="6" xfId="0" applyFont="1" applyFill="1" applyBorder="1" applyAlignment="1">
      <alignment horizontal="center"/>
    </xf>
    <xf numFmtId="0" fontId="3" fillId="5" borderId="7" xfId="0" applyFont="1" applyFill="1" applyBorder="1" applyAlignment="1">
      <alignment horizontal="center"/>
    </xf>
    <xf numFmtId="0" fontId="0" fillId="5" borderId="4" xfId="0" applyFill="1" applyBorder="1" applyAlignment="1">
      <alignment horizontal="center"/>
    </xf>
    <xf numFmtId="0" fontId="0" fillId="0" borderId="0" xfId="0" applyNumberFormat="1"/>
    <xf numFmtId="0" fontId="0" fillId="0" borderId="0" xfId="0" applyAlignment="1">
      <alignment horizontal="left" indent="1"/>
    </xf>
    <xf numFmtId="164" fontId="0" fillId="0" borderId="0" xfId="0" applyNumberFormat="1"/>
    <xf numFmtId="0" fontId="0" fillId="0" borderId="0" xfId="1" applyNumberFormat="1" applyFont="1"/>
    <xf numFmtId="169" fontId="0" fillId="0" borderId="0" xfId="0" applyNumberFormat="1"/>
    <xf numFmtId="0" fontId="0" fillId="6" borderId="0" xfId="0" applyFill="1"/>
    <xf numFmtId="0" fontId="0" fillId="6" borderId="10" xfId="0" applyFill="1" applyBorder="1"/>
    <xf numFmtId="0" fontId="0" fillId="6" borderId="11" xfId="0" applyFill="1" applyBorder="1"/>
    <xf numFmtId="0" fontId="0" fillId="6" borderId="12" xfId="0" applyFill="1" applyBorder="1"/>
    <xf numFmtId="0" fontId="0" fillId="6" borderId="13" xfId="0" applyFill="1" applyBorder="1"/>
    <xf numFmtId="0" fontId="0" fillId="6" borderId="0" xfId="0" applyFill="1" applyBorder="1"/>
    <xf numFmtId="0" fontId="0" fillId="6" borderId="14" xfId="0" applyFill="1" applyBorder="1"/>
    <xf numFmtId="0" fontId="0" fillId="9" borderId="0" xfId="0" applyFill="1"/>
    <xf numFmtId="0" fontId="0" fillId="0" borderId="4" xfId="2" applyNumberFormat="1" applyFont="1" applyBorder="1"/>
    <xf numFmtId="0" fontId="4" fillId="10" borderId="18" xfId="0" applyFont="1" applyFill="1" applyBorder="1" applyAlignment="1">
      <alignment horizontal="center" vertical="center"/>
    </xf>
    <xf numFmtId="0" fontId="4" fillId="10" borderId="19" xfId="0" applyFont="1" applyFill="1" applyBorder="1" applyAlignment="1">
      <alignment horizontal="center" vertical="center"/>
    </xf>
    <xf numFmtId="0" fontId="4" fillId="10" borderId="20" xfId="0" applyFont="1" applyFill="1" applyBorder="1" applyAlignment="1">
      <alignment horizontal="center" vertical="center"/>
    </xf>
    <xf numFmtId="0" fontId="7" fillId="7" borderId="9" xfId="0" applyFont="1" applyFill="1" applyBorder="1" applyAlignment="1">
      <alignment horizontal="center" vertical="center"/>
    </xf>
    <xf numFmtId="175" fontId="8" fillId="7" borderId="9" xfId="1" applyNumberFormat="1" applyFont="1" applyFill="1" applyBorder="1" applyAlignment="1">
      <alignment horizontal="center" vertical="center"/>
    </xf>
    <xf numFmtId="9" fontId="5" fillId="7" borderId="9" xfId="2" applyFont="1" applyFill="1" applyBorder="1" applyAlignment="1">
      <alignment horizontal="center" vertical="center"/>
    </xf>
    <xf numFmtId="0" fontId="10" fillId="8" borderId="9" xfId="0" applyFont="1" applyFill="1" applyBorder="1" applyAlignment="1">
      <alignment horizontal="center" vertical="center"/>
    </xf>
    <xf numFmtId="9" fontId="9" fillId="8" borderId="9" xfId="2" applyFont="1" applyFill="1" applyBorder="1" applyAlignment="1">
      <alignment horizontal="center" vertical="center"/>
    </xf>
    <xf numFmtId="175" fontId="11" fillId="8" borderId="9" xfId="1" applyNumberFormat="1" applyFont="1" applyFill="1" applyBorder="1" applyAlignment="1">
      <alignment horizontal="center" vertical="center"/>
    </xf>
    <xf numFmtId="0" fontId="6" fillId="9" borderId="0" xfId="0" applyFont="1" applyFill="1" applyAlignment="1">
      <alignment horizontal="center" vertical="center"/>
    </xf>
    <xf numFmtId="0" fontId="12" fillId="9" borderId="0" xfId="0" applyFont="1" applyFill="1" applyAlignment="1">
      <alignment horizontal="center" vertical="center"/>
    </xf>
    <xf numFmtId="0" fontId="0" fillId="9" borderId="15" xfId="0" applyFill="1" applyBorder="1"/>
    <xf numFmtId="0" fontId="0" fillId="9" borderId="16" xfId="0" applyFill="1" applyBorder="1"/>
    <xf numFmtId="0" fontId="0" fillId="9" borderId="17" xfId="0" applyFill="1" applyBorder="1"/>
  </cellXfs>
  <cellStyles count="3">
    <cellStyle name="Currency" xfId="1" builtinId="4"/>
    <cellStyle name="Normal" xfId="0" builtinId="0"/>
    <cellStyle name="Percent" xfId="2" builtinId="5"/>
  </cellStyles>
  <dxfs count="17">
    <dxf>
      <font>
        <b val="0"/>
        <i val="0"/>
        <strike val="0"/>
        <condense val="0"/>
        <extend val="0"/>
        <outline val="0"/>
        <shadow val="0"/>
        <u val="none"/>
        <vertAlign val="baseline"/>
        <sz val="11"/>
        <color theme="1"/>
        <name val="Century Gothic"/>
        <family val="2"/>
        <scheme val="minor"/>
      </font>
      <numFmt numFmtId="0" formatCode="General"/>
    </dxf>
    <dxf>
      <font>
        <b val="0"/>
        <i val="0"/>
        <strike val="0"/>
        <condense val="0"/>
        <extend val="0"/>
        <outline val="0"/>
        <shadow val="0"/>
        <u val="none"/>
        <vertAlign val="baseline"/>
        <sz val="11"/>
        <color theme="1"/>
        <name val="Century Gothic"/>
        <family val="2"/>
        <scheme val="minor"/>
      </font>
    </dxf>
    <dxf>
      <numFmt numFmtId="2" formatCode="0.00"/>
    </dxf>
    <dxf>
      <numFmt numFmtId="12" formatCode="&quot;$&quot;#,##0.00_);[Red]\(&quot;$&quot;#,##0.00\)"/>
    </dxf>
    <dxf>
      <numFmt numFmtId="19" formatCode="m/d/yyyy"/>
    </dxf>
    <dxf>
      <numFmt numFmtId="2" formatCode="0.00"/>
    </dxf>
    <dxf>
      <numFmt numFmtId="2" formatCode="0.00"/>
    </dxf>
    <dxf>
      <numFmt numFmtId="12" formatCode="&quot;$&quot;#,##0.00_);[Red]\(&quot;$&quot;#,##0.00\)"/>
    </dxf>
    <dxf>
      <numFmt numFmtId="20" formatCode="d\-mmm\-yy"/>
    </dxf>
    <dxf>
      <numFmt numFmtId="2" formatCode="0.00"/>
    </dxf>
    <dxf>
      <numFmt numFmtId="12" formatCode="&quot;$&quot;#,##0.00_);[Red]\(&quot;$&quot;#,##0.00\)"/>
    </dxf>
    <dxf>
      <numFmt numFmtId="19" formatCode="m/d/yyyy"/>
    </dxf>
    <dxf>
      <numFmt numFmtId="0" formatCode="General"/>
    </dxf>
    <dxf>
      <numFmt numFmtId="0" formatCode="General"/>
    </dxf>
    <dxf>
      <numFmt numFmtId="0" formatCode="General"/>
    </dxf>
    <dxf>
      <numFmt numFmtId="12" formatCode="&quot;$&quot;#,##0.00_);[Red]\(&quot;$&quot;#,##0.00\)"/>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microsoft.com/office/2007/relationships/slicerCache" Target="slicerCaches/slicerCache5.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07/relationships/slicerCache" Target="slicerCaches/slicerCache4.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pivotCacheDefinition" Target="pivotCache/pivotCacheDefinition3.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SALLARY</a:t>
            </a:r>
            <a:r>
              <a:rPr lang="en-US" baseline="0"/>
              <a:t> VS RATING</a:t>
            </a:r>
            <a:endParaRPr lang="en-US"/>
          </a:p>
        </c:rich>
      </c:tx>
      <c:layout>
        <c:manualLayout>
          <c:xMode val="edge"/>
          <c:yMode val="edge"/>
          <c:x val="0.28860751837007265"/>
          <c:y val="3.111507104607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STAFF!$F$2:$F$184</c:f>
              <c:numCache>
                <c:formatCode>"$"#,##0.00_);[Red]\("$"#,##0.00\)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D1DA-4043-A1B7-65EDE2DC933D}"/>
            </c:ext>
          </c:extLst>
        </c:ser>
        <c:dLbls>
          <c:showLegendKey val="0"/>
          <c:showVal val="0"/>
          <c:showCatName val="0"/>
          <c:showSerName val="0"/>
          <c:showPercent val="0"/>
          <c:showBubbleSize val="0"/>
        </c:dLbls>
        <c:axId val="182896047"/>
        <c:axId val="182884527"/>
      </c:scatterChart>
      <c:valAx>
        <c:axId val="182896047"/>
        <c:scaling>
          <c:orientation val="minMax"/>
        </c:scaling>
        <c:delete val="0"/>
        <c:axPos val="b"/>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84527"/>
        <c:crosses val="autoZero"/>
        <c:crossBetween val="midCat"/>
      </c:valAx>
      <c:valAx>
        <c:axId val="18288452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9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'SALARY VS RATING'!$M$4</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'SALARY VS RATING'!$K$5:$K$40</c:f>
              <c:numCache>
                <c:formatCode>mmm/yyyy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'SALARY VS RATING'!$M$5:$M$40</c:f>
              <c:numCache>
                <c:formatCode>General</c:formatCode>
                <c:ptCount val="36"/>
                <c:pt idx="0">
                  <c:v>3</c:v>
                </c:pt>
                <c:pt idx="1">
                  <c:v>4</c:v>
                </c:pt>
                <c:pt idx="2">
                  <c:v>4</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7DFE-40AA-8384-2F24409B41B4}"/>
            </c:ext>
          </c:extLst>
        </c:ser>
        <c:dLbls>
          <c:showLegendKey val="0"/>
          <c:showVal val="0"/>
          <c:showCatName val="0"/>
          <c:showSerName val="0"/>
          <c:showPercent val="0"/>
          <c:showBubbleSize val="0"/>
        </c:dLbls>
        <c:marker val="1"/>
        <c:smooth val="0"/>
        <c:axId val="433937375"/>
        <c:axId val="433936895"/>
      </c:lineChart>
      <c:dateAx>
        <c:axId val="433937375"/>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936895"/>
        <c:crosses val="autoZero"/>
        <c:auto val="1"/>
        <c:lblOffset val="100"/>
        <c:baseTimeUnit val="months"/>
      </c:dateAx>
      <c:valAx>
        <c:axId val="4339368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93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010.xlsx]STAFF VS NZ!PivotTable3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EMP-STAFF</a:t>
            </a:r>
          </a:p>
        </c:rich>
      </c:tx>
      <c:layout>
        <c:manualLayout>
          <c:xMode val="edge"/>
          <c:yMode val="edge"/>
          <c:x val="1.3645669291338593E-2"/>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27362204724411"/>
          <c:y val="0.11187518226888303"/>
          <c:w val="0.75730971128608926"/>
          <c:h val="0.78142752989209685"/>
        </c:manualLayout>
      </c:layout>
      <c:barChart>
        <c:barDir val="bar"/>
        <c:grouping val="clustered"/>
        <c:varyColors val="0"/>
        <c:ser>
          <c:idx val="0"/>
          <c:order val="0"/>
          <c:tx>
            <c:strRef>
              <c:f>'STAFF VS NZ'!$C$8</c:f>
              <c:strCache>
                <c:ptCount val="1"/>
                <c:pt idx="0">
                  <c:v>Total</c:v>
                </c:pt>
              </c:strCache>
            </c:strRef>
          </c:tx>
          <c:spPr>
            <a:solidFill>
              <a:schemeClr val="accent1"/>
            </a:solidFill>
            <a:ln>
              <a:noFill/>
            </a:ln>
            <a:effectLst/>
          </c:spPr>
          <c:invertIfNegative val="0"/>
          <c:dLbls>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'STAFF VS NZ'!$B$9:$B$14</c:f>
              <c:strCache>
                <c:ptCount val="5"/>
                <c:pt idx="0">
                  <c:v>Finance</c:v>
                </c:pt>
                <c:pt idx="1">
                  <c:v>HR</c:v>
                </c:pt>
                <c:pt idx="2">
                  <c:v>Procurement</c:v>
                </c:pt>
                <c:pt idx="3">
                  <c:v>Sales</c:v>
                </c:pt>
                <c:pt idx="4">
                  <c:v>Website</c:v>
                </c:pt>
              </c:strCache>
            </c:strRef>
          </c:cat>
          <c:val>
            <c:numRef>
              <c:f>'STAFF VS NZ'!$C$9:$C$14</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E278-4679-93AE-E6CAFD056B30}"/>
            </c:ext>
          </c:extLst>
        </c:ser>
        <c:dLbls>
          <c:showLegendKey val="0"/>
          <c:showVal val="0"/>
          <c:showCatName val="0"/>
          <c:showSerName val="0"/>
          <c:showPercent val="0"/>
          <c:showBubbleSize val="0"/>
        </c:dLbls>
        <c:gapWidth val="182"/>
        <c:axId val="182889807"/>
        <c:axId val="182883087"/>
      </c:barChart>
      <c:catAx>
        <c:axId val="182889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83087"/>
        <c:crosses val="autoZero"/>
        <c:auto val="1"/>
        <c:lblAlgn val="ctr"/>
        <c:lblOffset val="100"/>
        <c:noMultiLvlLbl val="0"/>
      </c:catAx>
      <c:valAx>
        <c:axId val="182883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89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010.xlsx]STAFF VS NZ!PivotTable4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NZ BY DEPARTMENT</a:t>
            </a:r>
          </a:p>
        </c:rich>
      </c:tx>
      <c:layout>
        <c:manualLayout>
          <c:xMode val="edge"/>
          <c:yMode val="edge"/>
          <c:x val="1.5479002624671914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27362204724411"/>
          <c:y val="7.9467774861475632E-2"/>
          <c:w val="0.75730971128608926"/>
          <c:h val="0.8138349372995044"/>
        </c:manualLayout>
      </c:layout>
      <c:barChart>
        <c:barDir val="bar"/>
        <c:grouping val="clustered"/>
        <c:varyColors val="0"/>
        <c:ser>
          <c:idx val="0"/>
          <c:order val="0"/>
          <c:tx>
            <c:strRef>
              <c:f>'STAFF VS NZ'!$F$8</c:f>
              <c:strCache>
                <c:ptCount val="1"/>
                <c:pt idx="0">
                  <c:v>Total</c:v>
                </c:pt>
              </c:strCache>
            </c:strRef>
          </c:tx>
          <c:spPr>
            <a:solidFill>
              <a:schemeClr val="accent1"/>
            </a:solidFill>
            <a:ln>
              <a:noFill/>
            </a:ln>
            <a:effectLst/>
          </c:spPr>
          <c:invertIfNegative val="0"/>
          <c:dLbls>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'STAFF VS NZ'!$E$9:$E$14</c:f>
              <c:strCache>
                <c:ptCount val="5"/>
                <c:pt idx="0">
                  <c:v>Finance</c:v>
                </c:pt>
                <c:pt idx="1">
                  <c:v>HR</c:v>
                </c:pt>
                <c:pt idx="2">
                  <c:v>Procurement</c:v>
                </c:pt>
                <c:pt idx="3">
                  <c:v>Sales</c:v>
                </c:pt>
                <c:pt idx="4">
                  <c:v>Website</c:v>
                </c:pt>
              </c:strCache>
            </c:strRef>
          </c:cat>
          <c:val>
            <c:numRef>
              <c:f>'STAFF VS NZ'!$F$9:$F$14</c:f>
              <c:numCache>
                <c:formatCode>General</c:formatCode>
                <c:ptCount val="5"/>
                <c:pt idx="0">
                  <c:v>19</c:v>
                </c:pt>
                <c:pt idx="1">
                  <c:v>4</c:v>
                </c:pt>
                <c:pt idx="2">
                  <c:v>27</c:v>
                </c:pt>
                <c:pt idx="3">
                  <c:v>14</c:v>
                </c:pt>
                <c:pt idx="4">
                  <c:v>27</c:v>
                </c:pt>
              </c:numCache>
            </c:numRef>
          </c:val>
          <c:extLst>
            <c:ext xmlns:c16="http://schemas.microsoft.com/office/drawing/2014/chart" uri="{C3380CC4-5D6E-409C-BE32-E72D297353CC}">
              <c16:uniqueId val="{00000000-69DF-4945-B262-5B1170634CD5}"/>
            </c:ext>
          </c:extLst>
        </c:ser>
        <c:dLbls>
          <c:showLegendKey val="0"/>
          <c:showVal val="0"/>
          <c:showCatName val="0"/>
          <c:showSerName val="0"/>
          <c:showPercent val="0"/>
          <c:showBubbleSize val="0"/>
        </c:dLbls>
        <c:gapWidth val="182"/>
        <c:axId val="112023263"/>
        <c:axId val="112024703"/>
      </c:barChart>
      <c:catAx>
        <c:axId val="11202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24703"/>
        <c:crosses val="autoZero"/>
        <c:auto val="1"/>
        <c:lblAlgn val="ctr"/>
        <c:lblOffset val="100"/>
        <c:noMultiLvlLbl val="0"/>
      </c:catAx>
      <c:valAx>
        <c:axId val="112024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2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010.xlsx]SALARY VS RATING!PivotTable2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'SALARY VS RATING'!$C$15</c:f>
              <c:strCache>
                <c:ptCount val="1"/>
                <c:pt idx="0">
                  <c:v>Total</c:v>
                </c:pt>
              </c:strCache>
            </c:strRef>
          </c:tx>
          <c:spPr>
            <a:ln w="28575" cap="rnd">
              <a:solidFill>
                <a:schemeClr val="accent1"/>
              </a:solidFill>
              <a:round/>
            </a:ln>
            <a:effectLst/>
          </c:spPr>
          <c:marker>
            <c:symbol val="none"/>
          </c:marker>
          <c:cat>
            <c:multiLvlStrRef>
              <c:f>'SALARY VS RATING'!$B$16:$B$50</c:f>
              <c:multiLvlStrCache>
                <c:ptCount val="31"/>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lvl>
                <c:lvl>
                  <c:pt idx="0">
                    <c:v>2020</c:v>
                  </c:pt>
                  <c:pt idx="8">
                    <c:v>2021</c:v>
                  </c:pt>
                  <c:pt idx="20">
                    <c:v>2022</c:v>
                  </c:pt>
                  <c:pt idx="30">
                    <c:v>2023</c:v>
                  </c:pt>
                </c:lvl>
              </c:multiLvlStrCache>
            </c:multiLvlStrRef>
          </c:cat>
          <c:val>
            <c:numRef>
              <c:f>'SALARY VS RATING'!$C$16:$C$50</c:f>
              <c:numCache>
                <c:formatCode>General</c:formatCode>
                <c:ptCount val="31"/>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#N/A</c:v>
                </c:pt>
              </c:numCache>
            </c:numRef>
          </c:val>
          <c:smooth val="0"/>
          <c:extLst>
            <c:ext xmlns:c16="http://schemas.microsoft.com/office/drawing/2014/chart" uri="{C3380CC4-5D6E-409C-BE32-E72D297353CC}">
              <c16:uniqueId val="{00000000-F322-40B2-BC45-DCC5CFAB58D9}"/>
            </c:ext>
          </c:extLst>
        </c:ser>
        <c:dLbls>
          <c:showLegendKey val="0"/>
          <c:showVal val="0"/>
          <c:showCatName val="0"/>
          <c:showSerName val="0"/>
          <c:showPercent val="0"/>
          <c:showBubbleSize val="0"/>
        </c:dLbls>
        <c:smooth val="0"/>
        <c:axId val="319787679"/>
        <c:axId val="319790559"/>
      </c:lineChart>
      <c:catAx>
        <c:axId val="31978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790559"/>
        <c:crosses val="autoZero"/>
        <c:auto val="1"/>
        <c:lblAlgn val="ctr"/>
        <c:lblOffset val="100"/>
        <c:noMultiLvlLbl val="0"/>
      </c:catAx>
      <c:valAx>
        <c:axId val="3197905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78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3EFBAFEC-2F54-4EA1-A931-E8D040E3BA8D}" formatIdx="0">
          <cx:dataId val="0"/>
          <cx:layoutPr>
            <cx:binning intervalClosed="r" underflow="40000">
              <cx:binSize val="10000"/>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tickLabels/>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SPREAD PLOT BOX</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PLOT BOX</a:t>
          </a:r>
        </a:p>
      </cx:txPr>
    </cx:title>
    <cx:plotArea>
      <cx:plotAreaRegion>
        <cx:series layoutId="boxWhisker" uniqueId="{C02FD254-82AF-4A01-8F83-6860134319F1}" formatIdx="0">
          <cx:dataId val="0"/>
          <cx:layoutPr>
            <cx:visibility meanLine="0" meanMarker="1" nonoutliers="0" outliers="1"/>
            <cx:statistics quartileMethod="exclusive"/>
          </cx:layoutPr>
        </cx:series>
      </cx:plotAreaRegion>
      <cx:axis id="0" hidden="1">
        <cx:catScaling gapWidth="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332067</xdr:colOff>
      <xdr:row>20</xdr:row>
      <xdr:rowOff>107628</xdr:rowOff>
    </xdr:from>
    <xdr:to>
      <xdr:col>10</xdr:col>
      <xdr:colOff>147876</xdr:colOff>
      <xdr:row>35</xdr:row>
      <xdr:rowOff>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B37E615-EEFC-489C-91C8-CCB15008EE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2067" y="4161190"/>
              <a:ext cx="3869371" cy="25019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11</xdr:col>
      <xdr:colOff>4123</xdr:colOff>
      <xdr:row>20</xdr:row>
      <xdr:rowOff>86103</xdr:rowOff>
    </xdr:from>
    <xdr:to>
      <xdr:col>18</xdr:col>
      <xdr:colOff>10761</xdr:colOff>
      <xdr:row>34</xdr:row>
      <xdr:rowOff>152566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1FB6020-426D-4DDE-8EE1-C6FBADE4A1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50162" y="4147629"/>
              <a:ext cx="3866118" cy="24910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128030</xdr:colOff>
      <xdr:row>20</xdr:row>
      <xdr:rowOff>88964</xdr:rowOff>
    </xdr:from>
    <xdr:to>
      <xdr:col>24</xdr:col>
      <xdr:colOff>259291</xdr:colOff>
      <xdr:row>34</xdr:row>
      <xdr:rowOff>167271</xdr:rowOff>
    </xdr:to>
    <xdr:graphicFrame macro="">
      <xdr:nvGraphicFramePr>
        <xdr:cNvPr id="4" name="Chart 3">
          <a:extLst>
            <a:ext uri="{FF2B5EF4-FFF2-40B4-BE49-F238E27FC236}">
              <a16:creationId xmlns:a16="http://schemas.microsoft.com/office/drawing/2014/main" id="{07507F44-4045-4A55-8254-9D2E61215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18</xdr:col>
      <xdr:colOff>121709</xdr:colOff>
      <xdr:row>5</xdr:row>
      <xdr:rowOff>354</xdr:rowOff>
    </xdr:from>
    <xdr:to>
      <xdr:col>24</xdr:col>
      <xdr:colOff>269875</xdr:colOff>
      <xdr:row>20</xdr:row>
      <xdr:rowOff>652</xdr:rowOff>
    </xdr:to>
    <xdr:graphicFrame macro="">
      <xdr:nvGraphicFramePr>
        <xdr:cNvPr id="5" name="Chart 4">
          <a:extLst>
            <a:ext uri="{FF2B5EF4-FFF2-40B4-BE49-F238E27FC236}">
              <a16:creationId xmlns:a16="http://schemas.microsoft.com/office/drawing/2014/main" id="{8C539832-5CDE-4B1A-A12F-5D6BC9805C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10</xdr:col>
      <xdr:colOff>265423</xdr:colOff>
      <xdr:row>5</xdr:row>
      <xdr:rowOff>1784</xdr:rowOff>
    </xdr:from>
    <xdr:to>
      <xdr:col>17</xdr:col>
      <xdr:colOff>642936</xdr:colOff>
      <xdr:row>19</xdr:row>
      <xdr:rowOff>164630</xdr:rowOff>
    </xdr:to>
    <xdr:graphicFrame macro="">
      <xdr:nvGraphicFramePr>
        <xdr:cNvPr id="6" name="Chart 5">
          <a:extLst>
            <a:ext uri="{FF2B5EF4-FFF2-40B4-BE49-F238E27FC236}">
              <a16:creationId xmlns:a16="http://schemas.microsoft.com/office/drawing/2014/main" id="{F70A1B97-2225-4319-920B-3459CD133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xdr:col>
      <xdr:colOff>15873</xdr:colOff>
      <xdr:row>5</xdr:row>
      <xdr:rowOff>15582</xdr:rowOff>
    </xdr:from>
    <xdr:to>
      <xdr:col>10</xdr:col>
      <xdr:colOff>147875</xdr:colOff>
      <xdr:row>19</xdr:row>
      <xdr:rowOff>159724</xdr:rowOff>
    </xdr:to>
    <xdr:graphicFrame macro="">
      <xdr:nvGraphicFramePr>
        <xdr:cNvPr id="7" name="Chart 6">
          <a:extLst>
            <a:ext uri="{FF2B5EF4-FFF2-40B4-BE49-F238E27FC236}">
              <a16:creationId xmlns:a16="http://schemas.microsoft.com/office/drawing/2014/main" id="{EBB9EAEB-D987-456D-A543-D5833EFAC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346813</xdr:colOff>
      <xdr:row>0</xdr:row>
      <xdr:rowOff>2</xdr:rowOff>
    </xdr:from>
    <xdr:to>
      <xdr:col>27</xdr:col>
      <xdr:colOff>212435</xdr:colOff>
      <xdr:row>34</xdr:row>
      <xdr:rowOff>156689</xdr:rowOff>
    </xdr:to>
    <xdr:grpSp>
      <xdr:nvGrpSpPr>
        <xdr:cNvPr id="15" name="Group 14">
          <a:extLst>
            <a:ext uri="{FF2B5EF4-FFF2-40B4-BE49-F238E27FC236}">
              <a16:creationId xmlns:a16="http://schemas.microsoft.com/office/drawing/2014/main" id="{AAB9B945-F8D9-8AAD-E6BC-799684005D9D}"/>
            </a:ext>
          </a:extLst>
        </xdr:cNvPr>
        <xdr:cNvGrpSpPr/>
      </xdr:nvGrpSpPr>
      <xdr:grpSpPr>
        <a:xfrm>
          <a:off x="12519021" y="2"/>
          <a:ext cx="1844843" cy="6655129"/>
          <a:chOff x="12230384" y="230911"/>
          <a:chExt cx="1844843" cy="6655129"/>
        </a:xfrm>
      </xdr:grpSpPr>
      <mc:AlternateContent xmlns:mc="http://schemas.openxmlformats.org/markup-compatibility/2006">
        <mc:Choice xmlns:sle15="http://schemas.microsoft.com/office/drawing/2012/slicer" Requires="sle15">
          <xdr:graphicFrame macro="">
            <xdr:nvGraphicFramePr>
              <xdr:cNvPr id="10" name="Gender 2">
                <a:extLst>
                  <a:ext uri="{FF2B5EF4-FFF2-40B4-BE49-F238E27FC236}">
                    <a16:creationId xmlns:a16="http://schemas.microsoft.com/office/drawing/2014/main" id="{4C4928D4-20BB-4EDE-B120-B4C5264971CF}"/>
                  </a:ext>
                </a:extLst>
              </xdr:cNvPr>
              <xdr:cNvGraphicFramePr/>
            </xdr:nvGraphicFramePr>
            <xdr:xfrm>
              <a:off x="12246427" y="1451431"/>
              <a:ext cx="1828800" cy="923634"/>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2535064" y="1220522"/>
                <a:ext cx="1828800" cy="92363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mc:Choice xmlns:sle15="http://schemas.microsoft.com/office/drawing/2012/slicer" Requires="sle15">
          <xdr:graphicFrame macro="">
            <xdr:nvGraphicFramePr>
              <xdr:cNvPr id="11" name="Department 2">
                <a:extLst>
                  <a:ext uri="{FF2B5EF4-FFF2-40B4-BE49-F238E27FC236}">
                    <a16:creationId xmlns:a16="http://schemas.microsoft.com/office/drawing/2014/main" id="{6EBB216E-57EB-43EE-B6D1-33B639EA3A72}"/>
                  </a:ext>
                </a:extLst>
              </xdr:cNvPr>
              <xdr:cNvGraphicFramePr/>
            </xdr:nvGraphicFramePr>
            <xdr:xfrm>
              <a:off x="12244366" y="3403847"/>
              <a:ext cx="1828800" cy="1758621"/>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12533003" y="3172938"/>
                <a:ext cx="1828800" cy="175862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mc:Choice xmlns:sle15="http://schemas.microsoft.com/office/drawing/2012/slicer" Requires="sle15">
          <xdr:graphicFrame macro="">
            <xdr:nvGraphicFramePr>
              <xdr:cNvPr id="12" name="COUNTRY 1">
                <a:extLst>
                  <a:ext uri="{FF2B5EF4-FFF2-40B4-BE49-F238E27FC236}">
                    <a16:creationId xmlns:a16="http://schemas.microsoft.com/office/drawing/2014/main" id="{205A516C-500A-4333-AB76-F5023ABF9AAC}"/>
                  </a:ext>
                </a:extLst>
              </xdr:cNvPr>
              <xdr:cNvGraphicFramePr/>
            </xdr:nvGraphicFramePr>
            <xdr:xfrm>
              <a:off x="12230384" y="2408420"/>
              <a:ext cx="1828800" cy="956255"/>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2519021" y="2177511"/>
                <a:ext cx="1828800" cy="95625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mc:Choice xmlns:sle15="http://schemas.microsoft.com/office/drawing/2012/slicer" Requires="sle15">
          <xdr:graphicFrame macro="">
            <xdr:nvGraphicFramePr>
              <xdr:cNvPr id="13" name="Rating">
                <a:extLst>
                  <a:ext uri="{FF2B5EF4-FFF2-40B4-BE49-F238E27FC236}">
                    <a16:creationId xmlns:a16="http://schemas.microsoft.com/office/drawing/2014/main" id="{B7EE859C-F8BD-4E78-83CA-B5A44D66CB29}"/>
                  </a:ext>
                </a:extLst>
              </xdr:cNvPr>
              <xdr:cNvGraphicFramePr/>
            </xdr:nvGraphicFramePr>
            <xdr:xfrm>
              <a:off x="12238182" y="5195455"/>
              <a:ext cx="1828800" cy="1690585"/>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12526819" y="4964546"/>
                <a:ext cx="1828800" cy="169058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9C89484E-7F67-4FE2-A732-55A4B9D0D37E}"/>
                  </a:ext>
                </a:extLst>
              </xdr:cNvPr>
              <xdr:cNvGraphicFramePr/>
            </xdr:nvGraphicFramePr>
            <xdr:xfrm>
              <a:off x="12238182" y="230911"/>
              <a:ext cx="1828800" cy="1146297"/>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526819" y="2"/>
                <a:ext cx="1828800" cy="1146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647394</xdr:colOff>
      <xdr:row>4</xdr:row>
      <xdr:rowOff>95096</xdr:rowOff>
    </xdr:from>
    <xdr:to>
      <xdr:col>6</xdr:col>
      <xdr:colOff>527815</xdr:colOff>
      <xdr:row>20</xdr:row>
      <xdr:rowOff>100299</xdr:rowOff>
    </xdr:to>
    <xdr:graphicFrame macro="">
      <xdr:nvGraphicFramePr>
        <xdr:cNvPr id="2" name="Chart 1">
          <a:extLst>
            <a:ext uri="{FF2B5EF4-FFF2-40B4-BE49-F238E27FC236}">
              <a16:creationId xmlns:a16="http://schemas.microsoft.com/office/drawing/2014/main" id="{DC7E75AC-AD2B-9C58-C5A0-5784A0D91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247650</xdr:colOff>
      <xdr:row>42</xdr:row>
      <xdr:rowOff>114300</xdr:rowOff>
    </xdr:from>
    <xdr:to>
      <xdr:col>10</xdr:col>
      <xdr:colOff>114300</xdr:colOff>
      <xdr:row>129</xdr:row>
      <xdr:rowOff>98425</xdr:rowOff>
    </xdr:to>
    <mc:AlternateContent xmlns:mc="http://schemas.openxmlformats.org/markup-compatibility/2006">
      <mc:Choice xmlns:sle15="http://schemas.microsoft.com/office/drawing/2012/slicer" Requires="sle15">
        <xdr:graphicFrame macro="">
          <xdr:nvGraphicFramePr>
            <xdr:cNvPr id="2" name="Gender 1">
              <a:extLst>
                <a:ext uri="{FF2B5EF4-FFF2-40B4-BE49-F238E27FC236}">
                  <a16:creationId xmlns:a16="http://schemas.microsoft.com/office/drawing/2014/main" id="{7B07E3F2-626C-070D-4797-319E3770946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819900" y="1377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527050</xdr:colOff>
      <xdr:row>101</xdr:row>
      <xdr:rowOff>82550</xdr:rowOff>
    </xdr:from>
    <xdr:to>
      <xdr:col>16</xdr:col>
      <xdr:colOff>374650</xdr:colOff>
      <xdr:row>131</xdr:row>
      <xdr:rowOff>41275</xdr:rowOff>
    </xdr:to>
    <mc:AlternateContent xmlns:mc="http://schemas.openxmlformats.org/markup-compatibility/2006">
      <mc:Choice xmlns:sle15="http://schemas.microsoft.com/office/drawing/2012/slicer" Requires="sle15">
        <xdr:graphicFrame macro="">
          <xdr:nvGraphicFramePr>
            <xdr:cNvPr id="3" name="Department 1">
              <a:extLst>
                <a:ext uri="{FF2B5EF4-FFF2-40B4-BE49-F238E27FC236}">
                  <a16:creationId xmlns:a16="http://schemas.microsoft.com/office/drawing/2014/main" id="{3E09AB0E-5C87-DD22-A074-746EAD33D9B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303000" y="168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102658</xdr:colOff>
      <xdr:row>17</xdr:row>
      <xdr:rowOff>39687</xdr:rowOff>
    </xdr:from>
    <xdr:to>
      <xdr:col>7</xdr:col>
      <xdr:colOff>767291</xdr:colOff>
      <xdr:row>20</xdr:row>
      <xdr:rowOff>127882</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956B2F54-35F8-2D37-BAE5-9C054C08528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054776" y="3188229"/>
              <a:ext cx="1828800" cy="6041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nan Khan" refreshedDate="45416.547981481483" createdVersion="8" refreshedVersion="8" minRefreshableVersion="3" recordCount="183" xr:uid="{86A0C840-036F-4ACF-A804-4E49EDDD26F2}">
  <cacheSource type="worksheet">
    <worksheetSource name="Staff"/>
  </cacheSource>
  <cacheFields count="10">
    <cacheField name="Name" numFmtId="0">
      <sharedItems/>
    </cacheField>
    <cacheField name="Gender" numFmtId="0">
      <sharedItems count="3">
        <s v="Male"/>
        <s v="Female"/>
        <s v="Others"/>
      </sharedItems>
    </cacheField>
    <cacheField name="Department" numFmtId="0">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acheField>
    <cacheField name="Salary" numFmtId="8">
      <sharedItems containsSemiMixedTypes="0" containsString="0" containsNumber="1" containsInteger="1" minValue="33920" maxValue="119110"/>
    </cacheField>
    <cacheField name="Rating" numFmtId="0">
      <sharedItems/>
    </cacheField>
    <cacheField name="COUNTRY" numFmtId="0">
      <sharedItems count="2">
        <s v="NZ"/>
        <s v="EMP_STAFF"/>
      </sharedItems>
    </cacheField>
    <cacheField name="Tenure" numFmtId="2">
      <sharedItems containsSemiMixedTypes="0" containsString="0" containsNumber="1" minValue="1.0164383561643835" maxValue="3.9945205479452053"/>
    </cacheField>
    <cacheField name="Bounas" numFmtId="2">
      <sharedItems containsSemiMixedTypes="0" containsString="0" containsNumber="1" minValue="808" maxValue="3573.2999999999997"/>
    </cacheField>
  </cacheFields>
  <extLst>
    <ext xmlns:x14="http://schemas.microsoft.com/office/spreadsheetml/2009/9/main" uri="{725AE2AE-9491-48be-B2B4-4EB974FC3084}">
      <x14:pivotCacheDefinition pivotCacheId="98316616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Khan" refreshedDate="45416.673067013886" backgroundQuery="1" createdVersion="8" refreshedVersion="8" minRefreshableVersion="3" recordCount="0" supportSubquery="1" supportAdvancedDrill="1" xr:uid="{C296438B-F1CA-4A89-BC83-65DCD46CBCFF}">
  <cacheSource type="external" connectionId="4"/>
  <cacheFields count="4">
    <cacheField name="[Staff].[Department].[Department]" caption="Department" numFmtId="0" hierarchy="2" level="1">
      <sharedItems count="5">
        <s v="Finance"/>
        <s v="HR"/>
        <s v="Procurement"/>
        <s v="Sales"/>
        <s v="Website"/>
      </sharedItems>
    </cacheField>
    <cacheField name="[Measures].[Count of Name]" caption="Count of Name" numFmtId="0" hierarchy="18" level="32767"/>
    <cacheField name="[Staff].[COUNTRY].[COUNTRY]" caption="COUNTRY" numFmtId="0" hierarchy="7" level="1">
      <sharedItems containsSemiMixedTypes="0" containsNonDate="0" containsString="0"/>
    </cacheField>
    <cacheField name="[Staff].[Gender].[Gender]" caption="Gender" numFmtId="0" hierarchy="1" level="1">
      <sharedItems containsSemiMixedTypes="0" containsNonDate="0" containsString="0"/>
    </cacheField>
  </cacheFields>
  <cacheHierarchies count="20">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3"/>
      </fieldsUsage>
    </cacheHierarchy>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2" memberValueDatatype="20" unbalanced="0"/>
    <cacheHierarchy uniqueName="[Staff].[Date Joined]" caption="Date Joined" attribute="1" time="1" defaultMemberUniqueName="[Staff].[Date Joined].[All]" allUniqueName="[Staff].[Date Joined].[All]" dimensionUniqueName="[Staff]" displayFolder="" count="2" memberValueDatatype="7" unbalanced="0"/>
    <cacheHierarchy uniqueName="[Staff].[Salary]" caption="Salary" attribute="1" defaultMemberUniqueName="[Staff].[Salary].[All]" allUniqueName="[Staff].[Salary].[All]" dimensionUniqueName="[Staff]" displayFolder="" count="2" memberValueDatatype="20" unbalanced="0"/>
    <cacheHierarchy uniqueName="[Staff].[Rating]" caption="Rating" attribute="1" defaultMemberUniqueName="[Staff].[Rating].[All]" allUniqueName="[Staff].[Rating].[All]" dimensionUniqueName="[Staff]" displayFolder="" count="2"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2" memberValueDatatype="5" unbalanced="0"/>
    <cacheHierarchy uniqueName="[Staff].[Bounas]" caption="Bounas" attribute="1" defaultMemberUniqueName="[Staff].[Bounas].[All]" allUniqueName="[Staff].[Bounas].[All]" dimensionUniqueName="[Staff]" displayFolder="" count="2"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cacheHierarchy uniqueName="[Staff].[Date Joined (Month Index)]" caption="Date Joined (Month Index)" attribute="1" defaultMemberUniqueName="[Staff].[Date Joined (Month Index)].[All]" allUniqueName="[Staff].[Date Joined (Month Index)].[All]" dimensionUniqueName="[Staff]" displayFolder="" count="2"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Khan" refreshedDate="45416.673067939817" backgroundQuery="1" createdVersion="8" refreshedVersion="8" minRefreshableVersion="3" recordCount="0" supportSubquery="1" supportAdvancedDrill="1" xr:uid="{BB465507-8974-4579-B785-E4E1C1602BEB}">
  <cacheSource type="external" connectionId="4"/>
  <cacheFields count="4">
    <cacheField name="[Staff].[Rating].[Rating]" caption="Rating" numFmtId="0" hierarchy="6" level="1">
      <sharedItems count="5">
        <s v="Above average"/>
        <s v="Average"/>
        <s v="Exceptional"/>
        <s v="Poor"/>
        <s v="Very poor"/>
      </sharedItems>
    </cacheField>
    <cacheField name="[Measures].[Count of Name]" caption="Count of Name" numFmtId="0" hierarchy="18" level="32767"/>
    <cacheField name="[Measures].[Average of Salary]" caption="Average of Salary" numFmtId="0" hierarchy="19" level="32767"/>
    <cacheField name="[Staff].[Gender].[Gender]" caption="Gender" numFmtId="0" hierarchy="1" level="1">
      <sharedItems containsSemiMixedTypes="0" containsNonDate="0" containsString="0"/>
    </cacheField>
  </cacheFields>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3"/>
      </fieldsUsage>
    </cacheHierarchy>
    <cacheHierarchy uniqueName="[Staff].[Department]" caption="Department" attribute="1" defaultMemberUniqueName="[Staff].[Department].[All]" allUniqueName="[Staff].[Department].[All]" dimensionUniqueName="[Staff]" displayFolder="" count="2"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unas]" caption="Bounas" attribute="1" defaultMemberUniqueName="[Staff].[Bounas].[All]" allUniqueName="[Staff].[Bouna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Khan" refreshedDate="45416.673069328703" backgroundQuery="1" createdVersion="8" refreshedVersion="8" minRefreshableVersion="3" recordCount="0" supportSubquery="1" supportAdvancedDrill="1" xr:uid="{CC08667D-E0B0-4A59-8EFD-C780561D40D7}">
  <cacheSource type="external" connectionId="4"/>
  <cacheFields count="4">
    <cacheField name="[Staff].[Date Joined (Month)].[Date Joined (Month)]" caption="Date Joined (Month)" numFmtId="0" hierarchy="12" level="1">
      <sharedItems count="12">
        <s v="May"/>
        <s v="Jun"/>
        <s v="Jul"/>
        <s v="Aug"/>
        <s v="Sep"/>
        <s v="Oct"/>
        <s v="Nov"/>
        <s v="Dec"/>
        <s v="Jan"/>
        <s v="Feb"/>
        <s v="Mar"/>
        <s v="Apr"/>
      </sharedItems>
    </cacheField>
    <cacheField name="[Staff].[Date Joined (Year)].[Date Joined (Year)]" caption="Date Joined (Year)" numFmtId="0" hierarchy="10" level="1">
      <sharedItems count="4">
        <s v="2020"/>
        <s v="2021"/>
        <s v="2022"/>
        <s v="2023"/>
      </sharedItems>
    </cacheField>
    <cacheField name="[Measures].[Count of Name]" caption="Count of Name" numFmtId="0" hierarchy="18" level="32767"/>
    <cacheField name="[Staff].[Gender].[Gender]" caption="Gender" numFmtId="0" hierarchy="1" level="1">
      <sharedItems containsSemiMixedTypes="0" containsNonDate="0" containsString="0"/>
    </cacheField>
  </cacheFields>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3"/>
      </fieldsUsage>
    </cacheHierarchy>
    <cacheHierarchy uniqueName="[Staff].[Department]" caption="Department" attribute="1" defaultMemberUniqueName="[Staff].[Department].[All]" allUniqueName="[Staff].[Department].[All]" dimensionUniqueName="[Staff]" displayFolder="" count="2"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unas]" caption="Bounas" attribute="1" defaultMemberUniqueName="[Staff].[Bounas].[All]" allUniqueName="[Staff].[Bouna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Khan" refreshedDate="45416.673070138888" backgroundQuery="1" createdVersion="8" refreshedVersion="8" minRefreshableVersion="3" recordCount="0" supportSubquery="1" supportAdvancedDrill="1" xr:uid="{C217F224-6270-40AB-B353-36F026EA3842}">
  <cacheSource type="external" connectionId="4"/>
  <cacheFields count="4">
    <cacheField name="[Staff].[Department].[Department]" caption="Department" numFmtId="0" hierarchy="2" level="1">
      <sharedItems count="5">
        <s v="Finance"/>
        <s v="HR"/>
        <s v="Procurement"/>
        <s v="Sales"/>
        <s v="Website"/>
      </sharedItems>
    </cacheField>
    <cacheField name="[Measures].[Count of Name]" caption="Count of Name" numFmtId="0" hierarchy="18" level="32767"/>
    <cacheField name="[Staff].[COUNTRY].[COUNTRY]" caption="COUNTRY" numFmtId="0" hierarchy="7" level="1">
      <sharedItems containsSemiMixedTypes="0" containsNonDate="0" containsString="0"/>
    </cacheField>
    <cacheField name="[Staff].[Gender].[Gender]" caption="Gender" numFmtId="0" hierarchy="1" level="1">
      <sharedItems containsSemiMixedTypes="0" containsNonDate="0" containsString="0"/>
    </cacheField>
  </cacheFields>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3"/>
      </fieldsUsage>
    </cacheHierarchy>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unas]" caption="Bounas" attribute="1" defaultMemberUniqueName="[Staff].[Bounas].[All]" allUniqueName="[Staff].[Bouna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Khan" refreshedDate="45416.672138078706" backgroundQuery="1" createdVersion="3" refreshedVersion="8" minRefreshableVersion="3" recordCount="0" supportSubquery="1" supportAdvancedDrill="1" xr:uid="{36FDCA78-CFF5-49A1-9D6E-C212A4979F7E}">
  <cacheSource type="external" connectionId="4">
    <extLst>
      <ext xmlns:x14="http://schemas.microsoft.com/office/spreadsheetml/2009/9/main" uri="{F057638F-6D5F-4e77-A914-E7F072B9BCA8}">
        <x14:sourceConnection name="ThisWorkbookDataModel"/>
      </ext>
    </extLst>
  </cacheSource>
  <cacheFields count="0"/>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unas]" caption="Bounas" attribute="1" defaultMemberUniqueName="[Staff].[Bounas].[All]" allUniqueName="[Staff].[Bouna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184359207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Lindy Guillet"/>
    <x v="0"/>
    <s v="Sales"/>
    <n v="22"/>
    <d v="2021-09-07T00:00:00"/>
    <n v="112780"/>
    <s v="Above average"/>
    <x v="0"/>
    <n v="2.6575342465753424"/>
    <n v="3383.4"/>
  </r>
  <r>
    <s v="Ambros Murthwaite"/>
    <x v="0"/>
    <s v="Procurement"/>
    <n v="46"/>
    <d v="2022-07-16T00:00:00"/>
    <n v="70610"/>
    <s v="Average"/>
    <x v="0"/>
    <n v="1.8027397260273972"/>
    <n v="1412.2"/>
  </r>
  <r>
    <s v="Tatum Hush"/>
    <x v="1"/>
    <s v="Sales"/>
    <n v="28"/>
    <d v="2021-06-10T00:00:00"/>
    <n v="53240"/>
    <s v="Average"/>
    <x v="0"/>
    <n v="2.9013698630136986"/>
    <n v="1597.2"/>
  </r>
  <r>
    <s v="Benny Karolovsky"/>
    <x v="2"/>
    <s v="Finance"/>
    <n v="37"/>
    <d v="2020-11-11T00:00:00"/>
    <n v="115440"/>
    <s v="Poor"/>
    <x v="0"/>
    <n v="3.4794520547945207"/>
    <n v="3463.2"/>
  </r>
  <r>
    <s v="Hoyt D'Alesco"/>
    <x v="0"/>
    <s v="Sales"/>
    <n v="32"/>
    <d v="2021-09-26T00:00:00"/>
    <n v="53540"/>
    <s v="Average"/>
    <x v="0"/>
    <n v="2.6054794520547944"/>
    <n v="1606.2"/>
  </r>
  <r>
    <s v="Halimeda Kuscha"/>
    <x v="1"/>
    <s v="Procurement"/>
    <n v="30"/>
    <d v="2022-10-27T00:00:00"/>
    <n v="112570"/>
    <s v="Average"/>
    <x v="0"/>
    <n v="1.5205479452054795"/>
    <n v="2251.4"/>
  </r>
  <r>
    <s v="Erin Androsik"/>
    <x v="0"/>
    <s v="Procurement"/>
    <n v="33"/>
    <d v="2022-05-20T00:00:00"/>
    <n v="48530"/>
    <s v="Above average"/>
    <x v="0"/>
    <n v="1.9589041095890412"/>
    <n v="970.6"/>
  </r>
  <r>
    <s v="Vic Radolf"/>
    <x v="1"/>
    <s v="Website"/>
    <n v="24"/>
    <d v="2020-11-13T00:00:00"/>
    <n v="62780"/>
    <s v="Average"/>
    <x v="0"/>
    <n v="3.473972602739726"/>
    <n v="1883.3999999999999"/>
  </r>
  <r>
    <s v="William Reeveley"/>
    <x v="0"/>
    <s v="Website"/>
    <n v="33"/>
    <d v="2021-11-09T00:00:00"/>
    <n v="53870"/>
    <s v="Average"/>
    <x v="0"/>
    <n v="2.484931506849315"/>
    <n v="1616.1"/>
  </r>
  <r>
    <s v="Ewart Laphorn"/>
    <x v="1"/>
    <s v="HR"/>
    <n v="27"/>
    <d v="2020-10-18T00:00:00"/>
    <n v="119110"/>
    <s v="Average"/>
    <x v="0"/>
    <n v="3.5452054794520547"/>
    <n v="3573.2999999999997"/>
  </r>
  <r>
    <s v="Bev Lashley"/>
    <x v="0"/>
    <s v="Website"/>
    <n v="29"/>
    <d v="2020-12-15T00:00:00"/>
    <n v="112110"/>
    <s v="Poor"/>
    <x v="0"/>
    <n v="3.3863013698630136"/>
    <n v="3363.2999999999997"/>
  </r>
  <r>
    <s v="Kath Bletsoe"/>
    <x v="0"/>
    <s v="Sales"/>
    <n v="25"/>
    <d v="2021-07-06T00:00:00"/>
    <n v="65700"/>
    <s v="Average"/>
    <x v="0"/>
    <n v="2.8301369863013699"/>
    <n v="1971"/>
  </r>
  <r>
    <s v="Murry Dryburgh"/>
    <x v="0"/>
    <s v="Website"/>
    <n v="37"/>
    <d v="2022-05-20T00:00:00"/>
    <n v="69070"/>
    <s v="Average"/>
    <x v="0"/>
    <n v="1.9589041095890412"/>
    <n v="1381.4"/>
  </r>
  <r>
    <s v="Kaine Padly"/>
    <x v="0"/>
    <s v="Website"/>
    <n v="20"/>
    <d v="2021-09-20T00:00:00"/>
    <n v="107700"/>
    <s v="Average"/>
    <x v="0"/>
    <n v="2.6219178082191781"/>
    <n v="3231"/>
  </r>
  <r>
    <s v="Kassi Jonson"/>
    <x v="1"/>
    <s v="Website"/>
    <n v="32"/>
    <d v="2021-06-07T00:00:00"/>
    <n v="43840"/>
    <s v="Above average"/>
    <x v="0"/>
    <n v="2.9095890410958902"/>
    <n v="1315.2"/>
  </r>
  <r>
    <s v="Simon Kembery"/>
    <x v="0"/>
    <s v="Procurement"/>
    <n v="40"/>
    <d v="2021-03-08T00:00:00"/>
    <n v="99750"/>
    <s v="Average"/>
    <x v="0"/>
    <n v="3.1589041095890411"/>
    <n v="2992.5"/>
  </r>
  <r>
    <s v="Orton Livick"/>
    <x v="0"/>
    <s v="Procurement"/>
    <n v="21"/>
    <d v="2020-09-30T00:00:00"/>
    <n v="37920"/>
    <s v="Average"/>
    <x v="0"/>
    <n v="3.5945205479452054"/>
    <n v="1137.5999999999999"/>
  </r>
  <r>
    <s v="Kelci Walkden"/>
    <x v="0"/>
    <s v="Procurement"/>
    <n v="21"/>
    <d v="2022-07-20T00:00:00"/>
    <n v="57090"/>
    <s v="Average"/>
    <x v="0"/>
    <n v="1.7917808219178082"/>
    <n v="1141.8"/>
  </r>
  <r>
    <s v="Dotty Strutley"/>
    <x v="1"/>
    <s v="Website"/>
    <n v="31"/>
    <d v="2020-11-10T00:00:00"/>
    <n v="41980"/>
    <s v="Average"/>
    <x v="0"/>
    <n v="3.4821917808219176"/>
    <n v="1259.3999999999999"/>
  </r>
  <r>
    <s v="Shari McNee"/>
    <x v="0"/>
    <s v="HR"/>
    <n v="21"/>
    <d v="2021-02-15T00:00:00"/>
    <n v="75880"/>
    <s v="Average"/>
    <x v="0"/>
    <n v="3.2164383561643834"/>
    <n v="2276.4"/>
  </r>
  <r>
    <s v="Oby Sorrel"/>
    <x v="1"/>
    <s v="Finance"/>
    <n v="34"/>
    <d v="2022-04-02T00:00:00"/>
    <n v="58940"/>
    <s v="Average"/>
    <x v="0"/>
    <n v="2.0904109589041098"/>
    <n v="1768.2"/>
  </r>
  <r>
    <s v="Husein Augar"/>
    <x v="1"/>
    <s v="Finance"/>
    <n v="30"/>
    <d v="2021-07-12T00:00:00"/>
    <n v="67910"/>
    <s v="Poor"/>
    <x v="0"/>
    <n v="2.8136986301369862"/>
    <n v="2037.3"/>
  </r>
  <r>
    <s v="Brien Boise"/>
    <x v="1"/>
    <s v="Website"/>
    <n v="31"/>
    <d v="2022-04-12T00:00:00"/>
    <n v="58100"/>
    <s v="Average"/>
    <x v="0"/>
    <n v="2.0630136986301371"/>
    <n v="1743"/>
  </r>
  <r>
    <s v="Esmaria Denecamp"/>
    <x v="0"/>
    <s v="Finance"/>
    <n v="27"/>
    <d v="2022-01-06T00:00:00"/>
    <n v="48980"/>
    <s v="Average"/>
    <x v="0"/>
    <n v="2.3260273972602739"/>
    <n v="1469.3999999999999"/>
  </r>
  <r>
    <s v="Curtice Advani"/>
    <x v="2"/>
    <s v="Finance"/>
    <n v="30"/>
    <d v="2022-02-05T00:00:00"/>
    <n v="64000"/>
    <s v="Average"/>
    <x v="0"/>
    <n v="2.2438356164383562"/>
    <n v="1920"/>
  </r>
  <r>
    <s v="Barr Faughny"/>
    <x v="1"/>
    <s v="Procurement"/>
    <n v="42"/>
    <d v="2022-08-06T00:00:00"/>
    <n v="75000"/>
    <s v="Exceptional"/>
    <x v="0"/>
    <n v="1.7452054794520548"/>
    <n v="1500"/>
  </r>
  <r>
    <s v="Merrilee Plenty"/>
    <x v="1"/>
    <s v="Website"/>
    <n v="40"/>
    <d v="2021-05-21T00:00:00"/>
    <n v="87620"/>
    <s v="Average"/>
    <x v="0"/>
    <n v="2.956164383561644"/>
    <n v="2628.6"/>
  </r>
  <r>
    <s v="Niall Selesnick"/>
    <x v="1"/>
    <s v="Website"/>
    <n v="29"/>
    <d v="2020-07-11T00:00:00"/>
    <n v="34980"/>
    <s v="Average"/>
    <x v="0"/>
    <n v="3.8164383561643835"/>
    <n v="1049.3999999999999"/>
  </r>
  <r>
    <s v="Beverie Moffet"/>
    <x v="1"/>
    <s v="Finance"/>
    <n v="28"/>
    <d v="2020-12-20T00:00:00"/>
    <n v="75970"/>
    <s v="Average"/>
    <x v="0"/>
    <n v="3.3726027397260272"/>
    <n v="2279.1"/>
  </r>
  <r>
    <s v="Jehu Rudeforth"/>
    <x v="1"/>
    <s v="Finance"/>
    <n v="34"/>
    <d v="2022-02-20T00:00:00"/>
    <n v="60130"/>
    <s v="Average"/>
    <x v="0"/>
    <n v="2.2027397260273971"/>
    <n v="1803.8999999999999"/>
  </r>
  <r>
    <s v="Camilla Castle"/>
    <x v="1"/>
    <s v="Website"/>
    <n v="33"/>
    <d v="2021-06-27T00:00:00"/>
    <n v="75480"/>
    <s v="Very poor"/>
    <x v="0"/>
    <n v="2.8547945205479452"/>
    <n v="2264.4"/>
  </r>
  <r>
    <s v="Roddy Speechley"/>
    <x v="0"/>
    <s v="Procurement"/>
    <n v="33"/>
    <d v="2020-11-29T00:00:00"/>
    <n v="115920"/>
    <s v="Average"/>
    <x v="0"/>
    <n v="3.43013698630137"/>
    <n v="3477.6"/>
  </r>
  <r>
    <s v="Gray Seamon"/>
    <x v="1"/>
    <s v="Sales"/>
    <n v="36"/>
    <d v="2021-10-25T00:00:00"/>
    <n v="78540"/>
    <s v="Average"/>
    <x v="0"/>
    <n v="2.526027397260274"/>
    <n v="2356.1999999999998"/>
  </r>
  <r>
    <s v="Madelene Upcott"/>
    <x v="0"/>
    <s v="Procurement"/>
    <n v="25"/>
    <d v="2022-06-14T00:00:00"/>
    <n v="109190"/>
    <s v="Above average"/>
    <x v="0"/>
    <n v="1.8904109589041096"/>
    <n v="2183.8000000000002"/>
  </r>
  <r>
    <s v="Violante Courtonne"/>
    <x v="1"/>
    <s v="Sales"/>
    <n v="34"/>
    <d v="2022-06-09T00:00:00"/>
    <n v="49630"/>
    <s v="Poor"/>
    <x v="0"/>
    <n v="1.904109589041096"/>
    <n v="992.6"/>
  </r>
  <r>
    <s v="Bernie Gorges"/>
    <x v="1"/>
    <s v="Procurement"/>
    <n v="28"/>
    <d v="2022-03-10T00:00:00"/>
    <n v="99970"/>
    <s v="Average"/>
    <x v="0"/>
    <n v="2.1534246575342464"/>
    <n v="2999.1"/>
  </r>
  <r>
    <s v="Torrance Collier"/>
    <x v="1"/>
    <s v="Website"/>
    <n v="33"/>
    <d v="2020-12-25T00:00:00"/>
    <n v="96140"/>
    <s v="Average"/>
    <x v="0"/>
    <n v="3.3589041095890413"/>
    <n v="2884.2"/>
  </r>
  <r>
    <s v="Dyna Doucette"/>
    <x v="0"/>
    <s v="Procurement"/>
    <n v="31"/>
    <d v="2022-06-12T00:00:00"/>
    <n v="103550"/>
    <s v="Average"/>
    <x v="0"/>
    <n v="1.8958904109589041"/>
    <n v="2071"/>
  </r>
  <r>
    <s v="Gunar Cockshoot"/>
    <x v="0"/>
    <s v="Website"/>
    <n v="31"/>
    <d v="2021-11-11T00:00:00"/>
    <n v="48950"/>
    <s v="Average"/>
    <x v="0"/>
    <n v="2.4794520547945207"/>
    <n v="1468.5"/>
  </r>
  <r>
    <s v="Kaye Crocroft"/>
    <x v="0"/>
    <s v="Finance"/>
    <n v="24"/>
    <d v="2021-08-28T00:00:00"/>
    <n v="52610"/>
    <s v="Poor"/>
    <x v="0"/>
    <n v="2.6849315068493151"/>
    <n v="1578.3"/>
  </r>
  <r>
    <s v="Allene Gobbet"/>
    <x v="1"/>
    <s v="Procurement"/>
    <n v="36"/>
    <d v="2021-11-29T00:00:00"/>
    <n v="78390"/>
    <s v="Average"/>
    <x v="0"/>
    <n v="2.43013698630137"/>
    <n v="2351.6999999999998"/>
  </r>
  <r>
    <s v="Sibyl Dunkirk"/>
    <x v="1"/>
    <s v="Finance"/>
    <n v="33"/>
    <d v="2022-09-05T00:00:00"/>
    <n v="86570"/>
    <s v="Average"/>
    <x v="0"/>
    <n v="1.6630136986301369"/>
    <n v="1731.4"/>
  </r>
  <r>
    <s v="Agnes Collicott"/>
    <x v="1"/>
    <s v="Website"/>
    <n v="27"/>
    <d v="2022-05-05T00:00:00"/>
    <n v="83750"/>
    <s v="Average"/>
    <x v="0"/>
    <n v="2"/>
    <n v="1675"/>
  </r>
  <r>
    <s v="Leilah Yesinin"/>
    <x v="1"/>
    <s v="Finance"/>
    <n v="34"/>
    <d v="2021-09-06T00:00:00"/>
    <n v="92450"/>
    <s v="Average"/>
    <x v="0"/>
    <n v="2.6602739726027398"/>
    <n v="2773.5"/>
  </r>
  <r>
    <s v="Mollie Hanway"/>
    <x v="0"/>
    <s v="Website"/>
    <n v="20"/>
    <d v="2020-12-18T00:00:00"/>
    <n v="112650"/>
    <s v="Average"/>
    <x v="0"/>
    <n v="3.3780821917808219"/>
    <n v="3379.5"/>
  </r>
  <r>
    <s v="Kellsie Waby"/>
    <x v="0"/>
    <s v="Procurement"/>
    <n v="20"/>
    <d v="2022-07-02T00:00:00"/>
    <n v="79570"/>
    <s v="Average"/>
    <x v="0"/>
    <n v="1.8410958904109589"/>
    <n v="1591.4"/>
  </r>
  <r>
    <s v="Hyacinthie Braybrooke"/>
    <x v="1"/>
    <s v="Sales"/>
    <n v="20"/>
    <d v="2021-12-07T00:00:00"/>
    <n v="68900"/>
    <s v="Poor"/>
    <x v="0"/>
    <n v="2.408219178082192"/>
    <n v="2067"/>
  </r>
  <r>
    <s v="Van Tuxwell"/>
    <x v="1"/>
    <s v="Website"/>
    <n v="25"/>
    <d v="2022-05-13T00:00:00"/>
    <n v="80700"/>
    <s v="Above average"/>
    <x v="0"/>
    <n v="1.978082191780822"/>
    <n v="1614"/>
  </r>
  <r>
    <s v="Lilyan Klimpt"/>
    <x v="0"/>
    <s v="Procurement"/>
    <n v="19"/>
    <d v="2021-03-22T00:00:00"/>
    <n v="58960"/>
    <s v="Average"/>
    <x v="0"/>
    <n v="3.1205479452054794"/>
    <n v="1768.8"/>
  </r>
  <r>
    <s v="Tawnya Tickel"/>
    <x v="0"/>
    <s v="Website"/>
    <n v="36"/>
    <d v="2020-07-07T00:00:00"/>
    <n v="118840"/>
    <s v="Average"/>
    <x v="0"/>
    <n v="3.8273972602739725"/>
    <n v="3565.2"/>
  </r>
  <r>
    <s v="Jan Morforth"/>
    <x v="0"/>
    <s v="Finance"/>
    <n v="28"/>
    <d v="2020-07-29T00:00:00"/>
    <n v="48170"/>
    <s v="Above average"/>
    <x v="0"/>
    <n v="3.7671232876712328"/>
    <n v="1445.1"/>
  </r>
  <r>
    <s v="Florinda Crace"/>
    <x v="1"/>
    <s v="HR"/>
    <n v="32"/>
    <d v="2021-07-23T00:00:00"/>
    <n v="45510"/>
    <s v="Average"/>
    <x v="0"/>
    <n v="2.7835616438356166"/>
    <n v="1365.3"/>
  </r>
  <r>
    <s v="Tracy Renad"/>
    <x v="1"/>
    <s v="Procurement"/>
    <n v="36"/>
    <d v="2020-09-11T00:00:00"/>
    <n v="114890"/>
    <s v="Average"/>
    <x v="0"/>
    <n v="3.6465753424657534"/>
    <n v="3446.7"/>
  </r>
  <r>
    <s v="Myer McCory"/>
    <x v="0"/>
    <s v="Website"/>
    <n v="30"/>
    <d v="2022-10-16T00:00:00"/>
    <n v="69710"/>
    <s v="Average"/>
    <x v="0"/>
    <n v="1.5506849315068494"/>
    <n v="1394.2"/>
  </r>
  <r>
    <s v="Bennie Pepis"/>
    <x v="0"/>
    <s v="Finance"/>
    <n v="36"/>
    <d v="2021-05-17T00:00:00"/>
    <n v="71380"/>
    <s v="Average"/>
    <x v="0"/>
    <n v="2.967123287671233"/>
    <n v="2141.4"/>
  </r>
  <r>
    <s v="Rafaelita Blaksland"/>
    <x v="1"/>
    <s v="Sales"/>
    <n v="38"/>
    <d v="2021-06-30T00:00:00"/>
    <n v="109160"/>
    <s v="Exceptional"/>
    <x v="0"/>
    <n v="2.8465753424657536"/>
    <n v="3274.7999999999997"/>
  </r>
  <r>
    <s v="Mahalia Larcher"/>
    <x v="0"/>
    <s v="Procurement"/>
    <n v="27"/>
    <d v="2022-02-17T00:00:00"/>
    <n v="113280"/>
    <s v="Very poor"/>
    <x v="0"/>
    <n v="2.2109589041095892"/>
    <n v="3398.4"/>
  </r>
  <r>
    <s v="Andria Kimpton"/>
    <x v="0"/>
    <s v="Website"/>
    <n v="30"/>
    <d v="2021-03-18T00:00:00"/>
    <n v="69120"/>
    <s v="Average"/>
    <x v="0"/>
    <n v="3.1315068493150684"/>
    <n v="2073.6"/>
  </r>
  <r>
    <s v="Valentia Etteridge"/>
    <x v="1"/>
    <s v="HR"/>
    <n v="37"/>
    <d v="2021-09-12T00:00:00"/>
    <n v="118100"/>
    <s v="Average"/>
    <x v="0"/>
    <n v="2.6438356164383561"/>
    <n v="3543"/>
  </r>
  <r>
    <s v="Virginia McConville"/>
    <x v="1"/>
    <s v="Procurement"/>
    <n v="22"/>
    <d v="2021-09-11T00:00:00"/>
    <n v="76900"/>
    <s v="Above average"/>
    <x v="0"/>
    <n v="2.6465753424657534"/>
    <n v="2307"/>
  </r>
  <r>
    <s v="Wilone O'Kielt"/>
    <x v="1"/>
    <s v="Website"/>
    <n v="43"/>
    <d v="2023-04-29T00:00:00"/>
    <n v="114870"/>
    <s v="Average"/>
    <x v="0"/>
    <n v="1.0164383561643835"/>
    <n v="2297.4"/>
  </r>
  <r>
    <s v="Madge McCloughen"/>
    <x v="2"/>
    <s v="Website"/>
    <n v="32"/>
    <d v="2022-08-01T00:00:00"/>
    <n v="91310"/>
    <s v="Average"/>
    <x v="0"/>
    <n v="1.7589041095890412"/>
    <n v="1826.2"/>
  </r>
  <r>
    <s v="Janene Hairsine"/>
    <x v="1"/>
    <s v="Procurement"/>
    <n v="28"/>
    <d v="2021-10-17T00:00:00"/>
    <n v="104770"/>
    <s v="Average"/>
    <x v="0"/>
    <n v="2.547945205479452"/>
    <n v="3143.1"/>
  </r>
  <r>
    <s v="Alta Kaszper"/>
    <x v="0"/>
    <s v="Sales"/>
    <n v="27"/>
    <d v="2020-10-30T00:00:00"/>
    <n v="54970"/>
    <s v="Average"/>
    <x v="0"/>
    <n v="3.5123287671232877"/>
    <n v="1649.1"/>
  </r>
  <r>
    <s v="Dennison Crosswaite"/>
    <x v="2"/>
    <s v="Website"/>
    <n v="26"/>
    <d v="2021-03-16T00:00:00"/>
    <n v="90700"/>
    <s v="Above average"/>
    <x v="0"/>
    <n v="3.1369863013698631"/>
    <n v="2721"/>
  </r>
  <r>
    <s v="Oran Buxcy"/>
    <x v="1"/>
    <s v="Sales"/>
    <n v="38"/>
    <d v="2021-05-13T00:00:00"/>
    <n v="56870"/>
    <s v="Above average"/>
    <x v="0"/>
    <n v="2.978082191780822"/>
    <n v="1706.1"/>
  </r>
  <r>
    <s v="Hinda Label"/>
    <x v="1"/>
    <s v="Sales"/>
    <n v="25"/>
    <d v="2021-01-09T00:00:00"/>
    <n v="92700"/>
    <s v="Average"/>
    <x v="0"/>
    <n v="3.3178082191780822"/>
    <n v="2781"/>
  </r>
  <r>
    <s v="Marney O'Breen"/>
    <x v="1"/>
    <s v="Finance"/>
    <n v="21"/>
    <d v="2021-05-01T00:00:00"/>
    <n v="65920"/>
    <s v="Average"/>
    <x v="0"/>
    <n v="3.010958904109589"/>
    <n v="1977.6"/>
  </r>
  <r>
    <s v="Dell Molloy"/>
    <x v="0"/>
    <s v="Procurement"/>
    <n v="26"/>
    <d v="2021-01-29T00:00:00"/>
    <n v="47360"/>
    <s v="Average"/>
    <x v="0"/>
    <n v="3.2630136986301368"/>
    <n v="1420.8"/>
  </r>
  <r>
    <s v="Mallorie Waber"/>
    <x v="0"/>
    <s v="Procurement"/>
    <n v="30"/>
    <d v="2022-04-15T00:00:00"/>
    <n v="60570"/>
    <s v="Average"/>
    <x v="0"/>
    <n v="2.0547945205479454"/>
    <n v="1817.1"/>
  </r>
  <r>
    <s v="Cherlyn Barter"/>
    <x v="1"/>
    <s v="Procurement"/>
    <n v="28"/>
    <d v="2022-03-29T00:00:00"/>
    <n v="104120"/>
    <s v="Average"/>
    <x v="0"/>
    <n v="2.1013698630136988"/>
    <n v="3123.6"/>
  </r>
  <r>
    <s v="Ches Bonnell"/>
    <x v="0"/>
    <s v="Website"/>
    <n v="37"/>
    <d v="2021-05-22T00:00:00"/>
    <n v="88050"/>
    <s v="Poor"/>
    <x v="0"/>
    <n v="2.9534246575342467"/>
    <n v="2641.5"/>
  </r>
  <r>
    <s v="Collin Jagson"/>
    <x v="0"/>
    <s v="Website"/>
    <n v="24"/>
    <d v="2022-05-05T00:00:00"/>
    <n v="100420"/>
    <s v="Average"/>
    <x v="0"/>
    <n v="2"/>
    <n v="2008.4"/>
  </r>
  <r>
    <s v="Hogan Iles"/>
    <x v="1"/>
    <s v="Procurement"/>
    <n v="30"/>
    <d v="2022-10-16T00:00:00"/>
    <n v="114180"/>
    <s v="Average"/>
    <x v="0"/>
    <n v="1.5506849315068494"/>
    <n v="2283.6"/>
  </r>
  <r>
    <s v="Gretchen Callow"/>
    <x v="1"/>
    <s v="Website"/>
    <n v="21"/>
    <d v="2022-04-27T00:00:00"/>
    <n v="33920"/>
    <s v="Average"/>
    <x v="0"/>
    <n v="2.021917808219178"/>
    <n v="1017.5999999999999"/>
  </r>
  <r>
    <s v="Kissiah Maydway"/>
    <x v="0"/>
    <s v="Procurement"/>
    <n v="23"/>
    <d v="2021-09-01T00:00:00"/>
    <n v="106460"/>
    <s v="Average"/>
    <x v="0"/>
    <n v="2.6739726027397261"/>
    <n v="3193.7999999999997"/>
  </r>
  <r>
    <s v="Archibald Filliskirk"/>
    <x v="0"/>
    <s v="Procurement"/>
    <n v="35"/>
    <d v="2022-06-15T00:00:00"/>
    <n v="40400"/>
    <s v="Average"/>
    <x v="0"/>
    <n v="1.8876712328767122"/>
    <n v="808"/>
  </r>
  <r>
    <s v="Enoch Dowrey"/>
    <x v="0"/>
    <s v="Finance"/>
    <n v="27"/>
    <d v="2021-02-09T00:00:00"/>
    <n v="91650"/>
    <s v="Above average"/>
    <x v="0"/>
    <n v="3.2328767123287672"/>
    <n v="2749.5"/>
  </r>
  <r>
    <s v="Bili Sizey"/>
    <x v="0"/>
    <s v="Sales"/>
    <n v="43"/>
    <d v="2022-02-28T00:00:00"/>
    <n v="36040"/>
    <s v="Average"/>
    <x v="0"/>
    <n v="2.1808219178082191"/>
    <n v="1081.2"/>
  </r>
  <r>
    <s v="Caro Chappel"/>
    <x v="1"/>
    <s v="Website"/>
    <n v="40"/>
    <d v="2021-07-04T00:00:00"/>
    <n v="104410"/>
    <s v="Average"/>
    <x v="0"/>
    <n v="2.8356164383561642"/>
    <n v="3132.2999999999997"/>
  </r>
  <r>
    <s v="Constantino Espley"/>
    <x v="0"/>
    <s v="Finance"/>
    <n v="30"/>
    <d v="2022-02-14T00:00:00"/>
    <n v="96800"/>
    <s v="Average"/>
    <x v="0"/>
    <n v="2.2191780821917808"/>
    <n v="2904"/>
  </r>
  <r>
    <s v="Karlen McCaffrey"/>
    <x v="1"/>
    <s v="Finance"/>
    <n v="34"/>
    <d v="2021-09-20T00:00:00"/>
    <n v="85000"/>
    <s v="Average"/>
    <x v="0"/>
    <n v="2.6219178082191781"/>
    <n v="2550"/>
  </r>
  <r>
    <s v="Drusy MacCombe"/>
    <x v="0"/>
    <s v="Sales"/>
    <n v="28"/>
    <d v="2022-09-16T00:00:00"/>
    <n v="43510"/>
    <s v="Very poor"/>
    <x v="0"/>
    <n v="1.6328767123287671"/>
    <n v="870.2"/>
  </r>
  <r>
    <s v="My Hanscome"/>
    <x v="0"/>
    <s v="Finance"/>
    <n v="33"/>
    <d v="2021-02-16T00:00:00"/>
    <n v="59430"/>
    <s v="Average"/>
    <x v="0"/>
    <n v="3.2136986301369861"/>
    <n v="1782.8999999999999"/>
  </r>
  <r>
    <s v="Teressa Udden"/>
    <x v="1"/>
    <s v="Finance"/>
    <n v="33"/>
    <d v="2020-08-24T00:00:00"/>
    <n v="65360"/>
    <s v="Average"/>
    <x v="0"/>
    <n v="3.6958904109589041"/>
    <n v="1960.8"/>
  </r>
  <r>
    <s v="Crissie Cordel"/>
    <x v="1"/>
    <s v="Procurement"/>
    <n v="32"/>
    <d v="2022-02-19T00:00:00"/>
    <n v="41570"/>
    <s v="Average"/>
    <x v="0"/>
    <n v="2.2054794520547945"/>
    <n v="1247.0999999999999"/>
  </r>
  <r>
    <s v="Elia Cockton"/>
    <x v="1"/>
    <s v="Website"/>
    <n v="33"/>
    <d v="2021-04-26T00:00:00"/>
    <n v="75280"/>
    <s v="Average"/>
    <x v="0"/>
    <n v="3.0246575342465754"/>
    <n v="2258.4"/>
  </r>
  <r>
    <s v="Gigi Bohling"/>
    <x v="0"/>
    <s v="Sales"/>
    <n v="33"/>
    <d v="2021-07-08T00:00:00"/>
    <n v="74550"/>
    <s v="Average"/>
    <x v="0"/>
    <n v="2.8246575342465752"/>
    <n v="2236.5"/>
  </r>
  <r>
    <s v="Ebonee Roxburgh"/>
    <x v="0"/>
    <s v="Procurement"/>
    <n v="30"/>
    <d v="2022-05-20T00:00:00"/>
    <n v="67950"/>
    <s v="Average"/>
    <x v="0"/>
    <n v="1.9589041095890412"/>
    <n v="1359"/>
  </r>
  <r>
    <s v="Shayne Stegel"/>
    <x v="0"/>
    <s v="Finance"/>
    <n v="42"/>
    <d v="2022-06-19T00:00:00"/>
    <n v="70270"/>
    <s v="Poor"/>
    <x v="0"/>
    <n v="1.8767123287671232"/>
    <n v="1405.4"/>
  </r>
  <r>
    <s v="Zach Polon"/>
    <x v="0"/>
    <s v="Procurement"/>
    <n v="26"/>
    <d v="2021-08-03T00:00:00"/>
    <n v="53540"/>
    <s v="Average"/>
    <x v="0"/>
    <n v="2.7534246575342465"/>
    <n v="1606.2"/>
  </r>
  <r>
    <s v="Deepali Charan"/>
    <x v="0"/>
    <s v="Website"/>
    <n v="20"/>
    <d v="2020-10-18T00:00:00"/>
    <n v="112650"/>
    <s v="Average"/>
    <x v="1"/>
    <n v="3.5452054794520547"/>
    <n v="3379.5"/>
  </r>
  <r>
    <s v="Yagna Sujeev"/>
    <x v="1"/>
    <s v="Website"/>
    <n v="32"/>
    <d v="2021-04-07T00:00:00"/>
    <n v="65000"/>
    <s v="Above average"/>
    <x v="1"/>
    <n v="3.0767123287671234"/>
    <n v="1950"/>
  </r>
  <r>
    <s v="Satyendra Venkatadri"/>
    <x v="0"/>
    <s v="Procurement"/>
    <n v="31"/>
    <d v="2022-04-12T00:00:00"/>
    <n v="103550"/>
    <s v="Average"/>
    <x v="1"/>
    <n v="2.0630136986301371"/>
    <n v="3106.5"/>
  </r>
  <r>
    <s v="Madhavdas Buhpathi"/>
    <x v="1"/>
    <s v="HR"/>
    <n v="32"/>
    <d v="2021-05-23T00:00:00"/>
    <n v="45510"/>
    <s v="Average"/>
    <x v="1"/>
    <n v="2.9506849315068493"/>
    <n v="1365.3"/>
  </r>
  <r>
    <s v="Sahila Chandrasekhar"/>
    <x v="2"/>
    <s v="Finance"/>
    <n v="37"/>
    <d v="2020-09-11T00:00:00"/>
    <n v="115440"/>
    <s v="Poor"/>
    <x v="1"/>
    <n v="3.6465753424657534"/>
    <n v="3463.2"/>
  </r>
  <r>
    <s v="Mirium Seemantini Shivakumar"/>
    <x v="1"/>
    <s v="Sales"/>
    <n v="38"/>
    <d v="2021-03-13T00:00:00"/>
    <n v="56870"/>
    <s v="Above average"/>
    <x v="1"/>
    <n v="3.1452054794520548"/>
    <n v="1706.1"/>
  </r>
  <r>
    <s v="Purnendu Vijayarangan"/>
    <x v="1"/>
    <s v="Sales"/>
    <n v="25"/>
    <d v="2020-11-09T00:00:00"/>
    <n v="92700"/>
    <s v="Average"/>
    <x v="1"/>
    <n v="3.484931506849315"/>
    <n v="2781"/>
  </r>
  <r>
    <s v="Rukma Vinita"/>
    <x v="2"/>
    <s v="Website"/>
    <n v="32"/>
    <d v="2022-06-01T00:00:00"/>
    <n v="91310"/>
    <s v="Average"/>
    <x v="1"/>
    <n v="1.9260273972602739"/>
    <n v="1826.2"/>
  </r>
  <r>
    <s v="Yauvani Tarpa"/>
    <x v="0"/>
    <s v="Sales"/>
    <n v="33"/>
    <d v="2021-05-08T00:00:00"/>
    <n v="74550"/>
    <s v="Average"/>
    <x v="1"/>
    <n v="2.9917808219178084"/>
    <n v="2236.5"/>
  </r>
  <r>
    <s v="Damayanti Thangavadivelu"/>
    <x v="0"/>
    <s v="Procurement"/>
    <n v="25"/>
    <d v="2022-04-14T00:00:00"/>
    <n v="109190"/>
    <s v="Above average"/>
    <x v="1"/>
    <n v="2.0575342465753423"/>
    <n v="3275.7"/>
  </r>
  <r>
    <s v="Manjusri Ruchi"/>
    <x v="1"/>
    <s v="Website"/>
    <n v="40"/>
    <d v="2021-05-04T00:00:00"/>
    <n v="104410"/>
    <s v="Average"/>
    <x v="1"/>
    <n v="3.0027397260273974"/>
    <n v="3132.2999999999997"/>
  </r>
  <r>
    <s v="Mithil Nadkarni"/>
    <x v="0"/>
    <s v="Finance"/>
    <n v="30"/>
    <d v="2021-12-14T00:00:00"/>
    <n v="96800"/>
    <s v="Average"/>
    <x v="1"/>
    <n v="2.3890410958904109"/>
    <n v="2904"/>
  </r>
  <r>
    <s v="Ardhendu Abhichandra Jayakar"/>
    <x v="0"/>
    <s v="Finance"/>
    <n v="28"/>
    <d v="2020-05-29T00:00:00"/>
    <n v="48170"/>
    <s v="Above average"/>
    <x v="1"/>
    <n v="3.9342465753424656"/>
    <n v="1445.1"/>
  </r>
  <r>
    <s v="Akbar Sorabhjee"/>
    <x v="0"/>
    <s v="Procurement"/>
    <n v="21"/>
    <d v="2020-07-30T00:00:00"/>
    <n v="37920"/>
    <s v="Average"/>
    <x v="1"/>
    <n v="3.7643835616438355"/>
    <n v="1137.5999999999999"/>
  </r>
  <r>
    <s v="Bandhula Sathyanna"/>
    <x v="0"/>
    <s v="Procurement"/>
    <n v="34"/>
    <d v="2022-03-22T00:00:00"/>
    <n v="112650"/>
    <s v="Average"/>
    <x v="1"/>
    <n v="2.1205479452054794"/>
    <n v="3379.5"/>
  </r>
  <r>
    <s v="Daruka Ghazali"/>
    <x v="1"/>
    <s v="Sales"/>
    <n v="34"/>
    <d v="2022-04-09T00:00:00"/>
    <n v="49630"/>
    <s v="Poor"/>
    <x v="1"/>
    <n v="2.0712328767123287"/>
    <n v="1488.8999999999999"/>
  </r>
  <r>
    <s v="Heer Pennathur"/>
    <x v="0"/>
    <s v="Website"/>
    <n v="36"/>
    <d v="2020-05-07T00:00:00"/>
    <n v="118840"/>
    <s v="Average"/>
    <x v="1"/>
    <n v="3.9945205479452053"/>
    <n v="3565.2"/>
  </r>
  <r>
    <s v="Shekhar Eswara"/>
    <x v="0"/>
    <s v="Website"/>
    <n v="30"/>
    <d v="2022-08-16T00:00:00"/>
    <n v="69710"/>
    <s v="Average"/>
    <x v="1"/>
    <n v="1.7178082191780821"/>
    <n v="1394.2"/>
  </r>
  <r>
    <s v="Udyan Lanka"/>
    <x v="0"/>
    <s v="Procurement"/>
    <n v="20"/>
    <d v="2022-05-02T00:00:00"/>
    <n v="79570"/>
    <s v="Average"/>
    <x v="1"/>
    <n v="2.0082191780821916"/>
    <n v="2387.1"/>
  </r>
  <r>
    <s v="Shreela Ramasubraman"/>
    <x v="1"/>
    <s v="Procurement"/>
    <n v="22"/>
    <d v="2021-07-11T00:00:00"/>
    <n v="76900"/>
    <s v="Above average"/>
    <x v="1"/>
    <n v="2.8164383561643835"/>
    <n v="2307"/>
  </r>
  <r>
    <s v="Sanchali Shirish"/>
    <x v="0"/>
    <s v="Sales"/>
    <n v="27"/>
    <d v="2020-08-30T00:00:00"/>
    <n v="54970"/>
    <s v="Average"/>
    <x v="1"/>
    <n v="3.6794520547945204"/>
    <n v="1649.1"/>
  </r>
  <r>
    <s v="Gangadutt Ragha"/>
    <x v="0"/>
    <s v="Website"/>
    <n v="37"/>
    <d v="2021-03-22T00:00:00"/>
    <n v="88050"/>
    <s v="Poor"/>
    <x v="1"/>
    <n v="3.1205479452054794"/>
    <n v="2641.5"/>
  </r>
  <r>
    <s v="Waheeda Vasuman"/>
    <x v="0"/>
    <s v="Sales"/>
    <n v="43"/>
    <d v="2021-12-28T00:00:00"/>
    <n v="36040"/>
    <s v="Average"/>
    <x v="1"/>
    <n v="2.3506849315068492"/>
    <n v="1081.2"/>
  </r>
  <r>
    <s v="Nanak Sapna"/>
    <x v="1"/>
    <s v="Procurement"/>
    <n v="42"/>
    <d v="2022-06-06T00:00:00"/>
    <n v="75000"/>
    <s v="Exceptional"/>
    <x v="1"/>
    <n v="1.9123287671232876"/>
    <n v="1500"/>
  </r>
  <r>
    <s v="Shobhana Samuel"/>
    <x v="0"/>
    <s v="Procurement"/>
    <n v="35"/>
    <d v="2022-04-15T00:00:00"/>
    <n v="40400"/>
    <s v="Average"/>
    <x v="1"/>
    <n v="2.0547945205479454"/>
    <n v="1212"/>
  </r>
  <r>
    <s v="Amlankusum Rajabhushan"/>
    <x v="0"/>
    <s v="Website"/>
    <n v="24"/>
    <d v="2022-03-05T00:00:00"/>
    <n v="100420"/>
    <s v="Average"/>
    <x v="1"/>
    <n v="2.1671232876712327"/>
    <n v="3012.6"/>
  </r>
  <r>
    <s v="Pratigya Rema"/>
    <x v="1"/>
    <s v="Website"/>
    <n v="31"/>
    <d v="2022-02-12T00:00:00"/>
    <n v="58100"/>
    <s v="Average"/>
    <x v="1"/>
    <n v="2.2246575342465755"/>
    <n v="1743"/>
  </r>
  <r>
    <s v="Ramnath Ravuri"/>
    <x v="1"/>
    <s v="Website"/>
    <n v="44"/>
    <d v="2023-02-28T00:00:00"/>
    <n v="114870"/>
    <s v="Average"/>
    <x v="1"/>
    <n v="1.1808219178082191"/>
    <n v="2297.4"/>
  </r>
  <r>
    <s v="Prerana Nishita"/>
    <x v="1"/>
    <s v="Procurement"/>
    <n v="32"/>
    <d v="2021-12-19T00:00:00"/>
    <n v="41570"/>
    <s v="Average"/>
    <x v="1"/>
    <n v="2.3753424657534246"/>
    <n v="1247.0999999999999"/>
  </r>
  <r>
    <s v="Makshi Vinutha"/>
    <x v="1"/>
    <s v="Procurement"/>
    <n v="30"/>
    <d v="2022-08-27T00:00:00"/>
    <n v="112570"/>
    <s v="Average"/>
    <x v="1"/>
    <n v="1.6876712328767123"/>
    <n v="2251.4"/>
  </r>
  <r>
    <s v="Shiuli Sapna"/>
    <x v="0"/>
    <s v="Procurement"/>
    <n v="26"/>
    <d v="2020-11-29T00:00:00"/>
    <n v="47360"/>
    <s v="Average"/>
    <x v="1"/>
    <n v="3.43013698630137"/>
    <n v="1420.8"/>
  </r>
  <r>
    <s v="Agrata Rajarama"/>
    <x v="1"/>
    <s v="Finance"/>
    <n v="21"/>
    <d v="2021-03-01T00:00:00"/>
    <n v="65920"/>
    <s v="Average"/>
    <x v="1"/>
    <n v="3.1780821917808217"/>
    <n v="1977.6"/>
  </r>
  <r>
    <s v="Vasu Nandin"/>
    <x v="1"/>
    <s v="Procurement"/>
    <n v="28"/>
    <d v="2022-01-10T00:00:00"/>
    <n v="99970"/>
    <s v="Average"/>
    <x v="1"/>
    <n v="2.3150684931506849"/>
    <n v="2999.1"/>
  </r>
  <r>
    <s v="Bhuvan Pals"/>
    <x v="1"/>
    <s v="Website"/>
    <n v="25"/>
    <d v="2022-03-13T00:00:00"/>
    <n v="80700"/>
    <s v="Above average"/>
    <x v="1"/>
    <n v="2.1452054794520548"/>
    <n v="2421"/>
  </r>
  <r>
    <s v="Gumwant Veera"/>
    <x v="0"/>
    <s v="Finance"/>
    <n v="24"/>
    <d v="2021-06-28T00:00:00"/>
    <n v="52610"/>
    <s v="Poor"/>
    <x v="1"/>
    <n v="2.8520547945205479"/>
    <n v="1578.3"/>
  </r>
  <r>
    <s v="Narois Motiwala"/>
    <x v="0"/>
    <s v="Website"/>
    <n v="29"/>
    <d v="2020-10-15T00:00:00"/>
    <n v="112110"/>
    <s v="Poor"/>
    <x v="1"/>
    <n v="3.5534246575342467"/>
    <n v="3363.2999999999997"/>
  </r>
  <r>
    <s v="Anjushri Chandiramani"/>
    <x v="1"/>
    <s v="HR"/>
    <n v="27"/>
    <d v="2020-08-18T00:00:00"/>
    <n v="119110"/>
    <s v="Average"/>
    <x v="1"/>
    <n v="3.7123287671232879"/>
    <n v="3573.2999999999997"/>
  </r>
  <r>
    <s v="Krishnakanta Vellanki"/>
    <x v="0"/>
    <s v="Sales"/>
    <n v="22"/>
    <d v="2021-07-07T00:00:00"/>
    <n v="112780"/>
    <s v="Above average"/>
    <x v="1"/>
    <n v="2.8273972602739725"/>
    <n v="3383.4"/>
  </r>
  <r>
    <s v="Dhruv Manjunath"/>
    <x v="1"/>
    <s v="Procurement"/>
    <n v="36"/>
    <d v="2020-07-11T00:00:00"/>
    <n v="114890"/>
    <s v="Average"/>
    <x v="1"/>
    <n v="3.8164383561643835"/>
    <n v="3446.7"/>
  </r>
  <r>
    <s v="Vanmala Shriharsha"/>
    <x v="0"/>
    <s v="Finance"/>
    <n v="27"/>
    <d v="2021-11-06T00:00:00"/>
    <n v="48980"/>
    <s v="Average"/>
    <x v="1"/>
    <n v="2.493150684931507"/>
    <n v="1469.3999999999999"/>
  </r>
  <r>
    <s v="Sameer Shashank Sapra"/>
    <x v="0"/>
    <s v="HR"/>
    <n v="21"/>
    <d v="2020-12-15T00:00:00"/>
    <n v="75880"/>
    <s v="Average"/>
    <x v="1"/>
    <n v="3.3863013698630136"/>
    <n v="2276.4"/>
  </r>
  <r>
    <s v="Anumati Shyamari Meherhomji"/>
    <x v="1"/>
    <s v="Sales"/>
    <n v="28"/>
    <d v="2021-04-10T00:00:00"/>
    <n v="53240"/>
    <s v="Average"/>
    <x v="1"/>
    <n v="3.0684931506849313"/>
    <n v="1597.2"/>
  </r>
  <r>
    <s v="Tarala Vishaal"/>
    <x v="1"/>
    <s v="Finance"/>
    <n v="34"/>
    <d v="2021-07-20T00:00:00"/>
    <n v="85000"/>
    <s v="Average"/>
    <x v="1"/>
    <n v="2.7917808219178082"/>
    <n v="2550"/>
  </r>
  <r>
    <s v="Shubhra Potla"/>
    <x v="1"/>
    <s v="Website"/>
    <n v="21"/>
    <d v="2022-02-27T00:00:00"/>
    <n v="33920"/>
    <s v="Average"/>
    <x v="1"/>
    <n v="2.1835616438356165"/>
    <n v="1017.5999999999999"/>
  </r>
  <r>
    <s v="Hemavati Muthiah"/>
    <x v="1"/>
    <s v="Website"/>
    <n v="33"/>
    <d v="2021-02-26T00:00:00"/>
    <n v="75280"/>
    <s v="Average"/>
    <x v="1"/>
    <n v="3.1863013698630138"/>
    <n v="2258.4"/>
  </r>
  <r>
    <s v="Krittika Gaekwad"/>
    <x v="1"/>
    <s v="Finance"/>
    <n v="34"/>
    <d v="2022-02-02T00:00:00"/>
    <n v="58940"/>
    <s v="Average"/>
    <x v="1"/>
    <n v="2.2520547945205478"/>
    <n v="1768.2"/>
  </r>
  <r>
    <s v="Shevantilal Muppala"/>
    <x v="1"/>
    <s v="Procurement"/>
    <n v="28"/>
    <d v="2021-08-17T00:00:00"/>
    <n v="104770"/>
    <s v="Average"/>
    <x v="1"/>
    <n v="2.7150684931506848"/>
    <n v="3143.1"/>
  </r>
  <r>
    <s v="Shattesh Utpat"/>
    <x v="0"/>
    <s v="Procurement"/>
    <n v="21"/>
    <d v="2022-05-20T00:00:00"/>
    <n v="57090"/>
    <s v="Average"/>
    <x v="1"/>
    <n v="1.9589041095890412"/>
    <n v="1141.8"/>
  </r>
  <r>
    <s v="Kamalakshi Mukundan"/>
    <x v="0"/>
    <s v="Finance"/>
    <n v="27"/>
    <d v="2020-12-09T00:00:00"/>
    <n v="91650"/>
    <s v="Above average"/>
    <x v="1"/>
    <n v="3.4027397260273973"/>
    <n v="2749.5"/>
  </r>
  <r>
    <s v="Chandana Sannidhi Surnilla"/>
    <x v="0"/>
    <s v="Finance"/>
    <n v="42"/>
    <d v="2022-04-19T00:00:00"/>
    <n v="70270"/>
    <s v="Poor"/>
    <x v="1"/>
    <n v="2.043835616438356"/>
    <n v="2108.1"/>
  </r>
  <r>
    <s v="Indu Varada Sumedh"/>
    <x v="1"/>
    <s v="Finance"/>
    <n v="28"/>
    <d v="2020-10-20T00:00:00"/>
    <n v="75970"/>
    <s v="Average"/>
    <x v="1"/>
    <n v="3.5397260273972604"/>
    <n v="2279.1"/>
  </r>
  <r>
    <s v="Karuna Pashupathy"/>
    <x v="2"/>
    <s v="Website"/>
    <n v="27"/>
    <d v="2021-01-16T00:00:00"/>
    <n v="90700"/>
    <s v="Above average"/>
    <x v="1"/>
    <n v="3.2986301369863016"/>
    <n v="2721"/>
  </r>
  <r>
    <s v="Mardav Ramaswami"/>
    <x v="0"/>
    <s v="Procurement"/>
    <n v="30"/>
    <d v="2022-02-15T00:00:00"/>
    <n v="60570"/>
    <s v="Average"/>
    <x v="1"/>
    <n v="2.2164383561643834"/>
    <n v="1817.1"/>
  </r>
  <r>
    <s v="Sarayu Ragunathan"/>
    <x v="0"/>
    <s v="Procurement"/>
    <n v="33"/>
    <d v="2020-09-29T00:00:00"/>
    <n v="115920"/>
    <s v="Average"/>
    <x v="1"/>
    <n v="3.5972602739726027"/>
    <n v="3477.6"/>
  </r>
  <r>
    <s v="Kevalkumar Solanki"/>
    <x v="1"/>
    <s v="Finance"/>
    <n v="33"/>
    <d v="2020-06-24T00:00:00"/>
    <n v="65360"/>
    <s v="Average"/>
    <x v="1"/>
    <n v="3.8630136986301369"/>
    <n v="1960.8"/>
  </r>
  <r>
    <s v="Upendra Swati"/>
    <x v="2"/>
    <s v="Finance"/>
    <n v="30"/>
    <d v="2021-12-05T00:00:00"/>
    <n v="64000"/>
    <s v="Average"/>
    <x v="1"/>
    <n v="2.4136986301369863"/>
    <n v="1920"/>
  </r>
  <r>
    <s v="Deepit Ranjana"/>
    <x v="1"/>
    <s v="Finance"/>
    <n v="34"/>
    <d v="2021-07-06T00:00:00"/>
    <n v="92450"/>
    <s v="Average"/>
    <x v="1"/>
    <n v="2.8301369863013699"/>
    <n v="2773.5"/>
  </r>
  <r>
    <s v="Amal Nimesh"/>
    <x v="0"/>
    <s v="Website"/>
    <n v="31"/>
    <d v="2021-09-11T00:00:00"/>
    <n v="48950"/>
    <s v="Average"/>
    <x v="1"/>
    <n v="2.6465753424657534"/>
    <n v="1468.5"/>
  </r>
  <r>
    <s v="Kunja Prashanta Vibha"/>
    <x v="1"/>
    <s v="Website"/>
    <n v="27"/>
    <d v="2022-03-05T00:00:00"/>
    <n v="83750"/>
    <s v="Average"/>
    <x v="1"/>
    <n v="2.1671232876712327"/>
    <n v="2512.5"/>
  </r>
  <r>
    <s v="Godavari Veena"/>
    <x v="1"/>
    <s v="Website"/>
    <n v="40"/>
    <d v="2021-03-21T00:00:00"/>
    <n v="87620"/>
    <s v="Average"/>
    <x v="1"/>
    <n v="3.1232876712328768"/>
    <n v="2628.6"/>
  </r>
  <r>
    <s v="Devasree Fullara Saurin"/>
    <x v="1"/>
    <s v="Sales"/>
    <n v="20"/>
    <d v="2021-10-07T00:00:00"/>
    <n v="68900"/>
    <s v="Poor"/>
    <x v="1"/>
    <n v="2.5753424657534247"/>
    <n v="2067"/>
  </r>
  <r>
    <s v="Geena Raghavanpillai"/>
    <x v="0"/>
    <s v="Sales"/>
    <n v="32"/>
    <d v="2021-07-26T00:00:00"/>
    <n v="53540"/>
    <s v="Average"/>
    <x v="1"/>
    <n v="2.7753424657534245"/>
    <n v="1606.2"/>
  </r>
  <r>
    <s v="Rupak Mehra"/>
    <x v="0"/>
    <s v="Sales"/>
    <n v="28"/>
    <d v="2022-07-16T00:00:00"/>
    <n v="43510"/>
    <s v="Very poor"/>
    <x v="1"/>
    <n v="1.8027397260273972"/>
    <n v="870.2"/>
  </r>
  <r>
    <s v="Sawini Chandan"/>
    <x v="1"/>
    <s v="Sales"/>
    <n v="38"/>
    <d v="2021-04-30T00:00:00"/>
    <n v="109160"/>
    <s v="Exceptional"/>
    <x v="1"/>
    <n v="3.0136986301369864"/>
    <n v="3274.7999999999997"/>
  </r>
  <r>
    <s v="Baruna Ogale"/>
    <x v="0"/>
    <s v="Procurement"/>
    <n v="40"/>
    <d v="2021-01-08T00:00:00"/>
    <n v="99750"/>
    <s v="Average"/>
    <x v="1"/>
    <n v="3.3205479452054796"/>
    <n v="2992.5"/>
  </r>
  <r>
    <s v="Jagajeet Viraj"/>
    <x v="1"/>
    <s v="Website"/>
    <n v="31"/>
    <d v="2020-09-10T00:00:00"/>
    <n v="41980"/>
    <s v="Average"/>
    <x v="1"/>
    <n v="3.6493150684931508"/>
    <n v="1259.3999999999999"/>
  </r>
  <r>
    <s v="Kulbhushan Moorthy"/>
    <x v="0"/>
    <s v="Finance"/>
    <n v="36"/>
    <d v="2021-03-17T00:00:00"/>
    <n v="71380"/>
    <s v="Average"/>
    <x v="1"/>
    <n v="3.1342465753424658"/>
    <n v="2141.4"/>
  </r>
  <r>
    <s v="Ilesh Dasgupta"/>
    <x v="0"/>
    <s v="Procurement"/>
    <n v="27"/>
    <d v="2021-12-17T00:00:00"/>
    <n v="113280"/>
    <s v="Very poor"/>
    <x v="1"/>
    <n v="2.3808219178082193"/>
    <n v="3398.4"/>
  </r>
  <r>
    <s v="Madhumati Gazala Soumitra"/>
    <x v="1"/>
    <s v="Finance"/>
    <n v="33"/>
    <d v="2022-07-05T00:00:00"/>
    <n v="86570"/>
    <s v="Average"/>
    <x v="1"/>
    <n v="1.832876712328767"/>
    <n v="1731.4"/>
  </r>
  <r>
    <s v="Chitrasen Laul"/>
    <x v="0"/>
    <s v="Procurement"/>
    <n v="26"/>
    <d v="2021-06-03T00:00:00"/>
    <n v="53540"/>
    <s v="Average"/>
    <x v="1"/>
    <n v="2.9205479452054797"/>
    <n v="1606.2"/>
  </r>
  <r>
    <s v="Jaishree Atasi Yavatkar"/>
    <x v="0"/>
    <s v="Website"/>
    <n v="37"/>
    <d v="2022-03-20T00:00:00"/>
    <n v="69070"/>
    <s v="Average"/>
    <x v="1"/>
    <n v="2.1260273972602741"/>
    <n v="2072.1"/>
  </r>
  <r>
    <s v="Kantimoy Pritish"/>
    <x v="1"/>
    <s v="Finance"/>
    <n v="30"/>
    <d v="2021-05-12T00:00:00"/>
    <n v="67910"/>
    <s v="Poor"/>
    <x v="1"/>
    <n v="2.9808219178082194"/>
    <n v="2037.3"/>
  </r>
  <r>
    <s v="Rameshwari Chikodi"/>
    <x v="0"/>
    <s v="Website"/>
    <n v="30"/>
    <d v="2021-01-18T00:00:00"/>
    <n v="69120"/>
    <s v="Average"/>
    <x v="1"/>
    <n v="3.2931506849315069"/>
    <n v="2073.6"/>
  </r>
  <r>
    <s v="Lalit Kothari"/>
    <x v="1"/>
    <s v="Finance"/>
    <n v="34"/>
    <d v="2021-12-20T00:00:00"/>
    <n v="60130"/>
    <s v="Average"/>
    <x v="1"/>
    <n v="2.3726027397260272"/>
    <n v="1803.8999999999999"/>
  </r>
  <r>
    <s v="Sahas Sanabhi Shrikant"/>
    <x v="0"/>
    <s v="Procurement"/>
    <n v="23"/>
    <d v="2021-07-01T00:00:00"/>
    <n v="106460"/>
    <s v="Average"/>
    <x v="1"/>
    <n v="2.8438356164383563"/>
    <n v="3193.7999999999997"/>
  </r>
  <r>
    <s v="Kaishori Harathi Kateel"/>
    <x v="1"/>
    <s v="HR"/>
    <n v="37"/>
    <d v="2021-07-12T00:00:00"/>
    <n v="118100"/>
    <s v="Average"/>
    <x v="1"/>
    <n v="2.8136986301369862"/>
    <n v="3543"/>
  </r>
  <r>
    <s v="Rushil Kripa"/>
    <x v="1"/>
    <s v="Procurement"/>
    <n v="36"/>
    <d v="2021-09-29T00:00:00"/>
    <n v="78390"/>
    <s v="Average"/>
    <x v="1"/>
    <n v="2.5972602739726027"/>
    <n v="2351.6999999999998"/>
  </r>
  <r>
    <s v="Sarojini Naueshwara"/>
    <x v="1"/>
    <s v="Procurement"/>
    <n v="30"/>
    <d v="2022-08-16T00:00:00"/>
    <n v="114180"/>
    <s v="Average"/>
    <x v="1"/>
    <n v="1.7178082191780821"/>
    <n v="2283.6"/>
  </r>
  <r>
    <s v="Sartaj Probal"/>
    <x v="1"/>
    <s v="Procurement"/>
    <n v="28"/>
    <d v="2022-01-29T00:00:00"/>
    <n v="104120"/>
    <s v="Average"/>
    <x v="1"/>
    <n v="2.2630136986301368"/>
    <n v="3123.6"/>
  </r>
  <r>
    <s v="Mahindra Sreedharan"/>
    <x v="0"/>
    <s v="Procurement"/>
    <n v="30"/>
    <d v="2022-03-20T00:00:00"/>
    <n v="67950"/>
    <s v="Average"/>
    <x v="1"/>
    <n v="2.1260273972602741"/>
    <n v="2038.5"/>
  </r>
  <r>
    <s v="Suchira Bhanupriya Tapti"/>
    <x v="1"/>
    <s v="Website"/>
    <n v="29"/>
    <d v="2020-05-11T00:00:00"/>
    <n v="34980"/>
    <s v="Average"/>
    <x v="1"/>
    <n v="3.9835616438356163"/>
    <n v="1049.3999999999999"/>
  </r>
  <r>
    <s v="Fullara Sushanti Mokate"/>
    <x v="1"/>
    <s v="Website"/>
    <n v="24"/>
    <d v="2020-09-13T00:00:00"/>
    <n v="62780"/>
    <s v="Average"/>
    <x v="1"/>
    <n v="3.6410958904109587"/>
    <n v="1883.3999999999999"/>
  </r>
  <r>
    <s v="Hridaynath Tendulkar"/>
    <x v="0"/>
    <s v="Website"/>
    <n v="20"/>
    <d v="2021-07-20T00:00:00"/>
    <n v="107700"/>
    <s v="Average"/>
    <x v="1"/>
    <n v="2.7917808219178082"/>
    <n v="3231"/>
  </r>
  <r>
    <s v="Abhaya Priyavardhan"/>
    <x v="0"/>
    <s v="Sales"/>
    <n v="25"/>
    <d v="2021-05-06T00:00:00"/>
    <n v="65700"/>
    <s v="Average"/>
    <x v="1"/>
    <n v="2.9972602739726026"/>
    <n v="1971"/>
  </r>
  <r>
    <s v="Ayog Chakrabarti"/>
    <x v="1"/>
    <s v="Website"/>
    <n v="33"/>
    <d v="2021-04-27T00:00:00"/>
    <n v="75480"/>
    <s v="Very poor"/>
    <x v="1"/>
    <n v="3.021917808219178"/>
    <n v="2264.4"/>
  </r>
  <r>
    <s v="Pragya Nilufar"/>
    <x v="0"/>
    <s v="Website"/>
    <n v="33"/>
    <d v="2021-09-09T00:00:00"/>
    <n v="53870"/>
    <s v="Average"/>
    <x v="1"/>
    <n v="2.6520547945205482"/>
    <n v="1616.1"/>
  </r>
  <r>
    <s v="Shulabh Qutub Sundaramoorthy"/>
    <x v="1"/>
    <s v="Sales"/>
    <n v="36"/>
    <d v="2021-08-25T00:00:00"/>
    <n v="78540"/>
    <s v="Average"/>
    <x v="1"/>
    <n v="2.6931506849315068"/>
    <n v="2356.1999999999998"/>
  </r>
  <r>
    <s v="Vinanti Choudhari"/>
    <x v="0"/>
    <s v="Procurement"/>
    <n v="19"/>
    <d v="2021-01-22T00:00:00"/>
    <n v="58960"/>
    <s v="Average"/>
    <x v="1"/>
    <n v="3.2821917808219179"/>
    <n v="1768.8"/>
  </r>
  <r>
    <s v="Ranajay Kailashnath Richa"/>
    <x v="0"/>
    <s v="Procurement"/>
    <n v="46"/>
    <d v="2022-05-16T00:00:00"/>
    <n v="70610"/>
    <s v="Average"/>
    <x v="1"/>
    <n v="1.9698630136986301"/>
    <n v="1412.2"/>
  </r>
  <r>
    <s v="Asija Pothireddy"/>
    <x v="0"/>
    <s v="Finance"/>
    <n v="33"/>
    <d v="2020-12-16T00:00:00"/>
    <n v="59430"/>
    <s v="Average"/>
    <x v="1"/>
    <n v="3.3835616438356166"/>
    <n v="1782.8999999999999"/>
  </r>
  <r>
    <s v="Piyali Mahanthapa"/>
    <x v="0"/>
    <s v="Procurement"/>
    <n v="33"/>
    <d v="2022-03-20T00:00:00"/>
    <n v="48530"/>
    <s v="Above average"/>
    <x v="1"/>
    <n v="2.1260273972602741"/>
    <n v="1455.8999999999999"/>
  </r>
  <r>
    <s v="Sukhdev Nageshwar"/>
    <x v="1"/>
    <s v="Website"/>
    <n v="33"/>
    <d v="2020-10-25T00:00:00"/>
    <n v="96140"/>
    <s v="Average"/>
    <x v="1"/>
    <n v="3.526027397260274"/>
    <n v="288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C94EF6-9508-4523-91C8-4FC2AD15C388}"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8:F14" firstHeaderRow="1" firstDataRow="1" firstDataCol="1" rowPageCount="1" colPageCount="1"/>
  <pivotFields count="4">
    <pivotField axis="axisRow" compact="0" allDrilled="1" outline="0" subtotalTop="0" showAll="0" dataSourceSort="1" defaultSubtotal="0" defaultAttributeDrillState="1">
      <items count="5">
        <item x="0"/>
        <item x="1"/>
        <item x="2"/>
        <item x="3"/>
        <item x="4"/>
      </items>
    </pivotField>
    <pivotField dataField="1" compact="0" outline="0" subtotalTop="0" showAll="0" defaultSubtotal="0"/>
    <pivotField axis="axisPage" compact="0" allDrilled="1" outline="0" subtotalTop="0" showAll="0" dataSourceSort="1" defaultSubtotal="0" defaultAttributeDrillState="1"/>
    <pivotField compact="0" allDrilled="1" outline="0" subtotalTop="0" showAll="0" dataSourceSort="1" defaultSubtotal="0" defaultAttributeDrillState="1"/>
  </pivotFields>
  <rowFields count="1">
    <field x="0"/>
  </rowFields>
  <rowItems count="6">
    <i>
      <x/>
    </i>
    <i>
      <x v="1"/>
    </i>
    <i>
      <x v="2"/>
    </i>
    <i>
      <x v="3"/>
    </i>
    <i>
      <x v="4"/>
    </i>
    <i t="grand">
      <x/>
    </i>
  </rowItems>
  <colItems count="1">
    <i/>
  </colItems>
  <pageFields count="1">
    <pageField fld="2" hier="7" name="[Staff].[COUNTRY].&amp;[NZ]" cap="NZ"/>
  </pageFields>
  <dataFields count="1">
    <dataField name="Count of Name" fld="1"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0">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CBC078-052C-468C-804D-54199964ED2F}" name="PivotTable3" cacheId="32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B8:C14" firstHeaderRow="1" firstDataRow="1" firstDataCol="1" rowPageCount="1" colPageCount="1"/>
  <pivotFields count="4">
    <pivotField axis="axisRow" compact="0" allDrilled="1" outline="0" subtotalTop="0" showAll="0" dataSourceSort="1" defaultSubtotal="0" defaultAttributeDrillState="1">
      <items count="5">
        <item x="0"/>
        <item x="1"/>
        <item x="2"/>
        <item x="3"/>
        <item x="4"/>
      </items>
    </pivotField>
    <pivotField dataField="1" compact="0" outline="0" subtotalTop="0" showAll="0" defaultSubtotal="0"/>
    <pivotField axis="axisPage" compact="0" allDrilled="1" outline="0" subtotalTop="0" showAll="0" dataSourceSort="1" defaultSubtotal="0" defaultAttributeDrillState="1"/>
    <pivotField compact="0" allDrilled="1" outline="0" subtotalTop="0" showAll="0" dataSourceSort="1" defaultSubtotal="0" defaultAttributeDrillState="1"/>
  </pivotFields>
  <rowFields count="1">
    <field x="0"/>
  </rowFields>
  <rowItems count="6">
    <i>
      <x/>
    </i>
    <i>
      <x v="1"/>
    </i>
    <i>
      <x v="2"/>
    </i>
    <i>
      <x v="3"/>
    </i>
    <i>
      <x v="4"/>
    </i>
    <i t="grand">
      <x/>
    </i>
  </rowItems>
  <colItems count="1">
    <i/>
  </colItems>
  <pageFields count="1">
    <pageField fld="2" hier="7" name="[Staff].[COUNTRY].&amp;[EMP_STAFF]" cap="EMP_STAFF"/>
  </pageFields>
  <dataFields count="1">
    <dataField name="Count of Name" fld="1" subtotal="count" baseField="0" baseItem="0"/>
  </dataFields>
  <chartFormats count="1">
    <chartFormat chart="2" format="2" series="1">
      <pivotArea type="data" outline="0" fieldPosition="0">
        <references count="1">
          <reference field="4294967294" count="1" selected="0">
            <x v="0"/>
          </reference>
        </references>
      </pivotArea>
    </chartFormat>
  </chartFormats>
  <pivotHierarchies count="20">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4"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E85259-F367-40FA-8DB7-F62FF58F2303}" name="PivotTable2" cacheId="3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15:C50" firstHeaderRow="1"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e="0"/>
      </items>
    </pivotField>
    <pivotField dataField="1" subtotalTop="0" showAll="0" defaultSubtotal="0"/>
    <pivotField allDrilled="1" subtotalTop="0" showAll="0" dataSourceSort="1" defaultSubtotal="0" defaultAttributeDrillState="1"/>
  </pivotFields>
  <rowFields count="2">
    <field x="1"/>
    <field x="0"/>
  </rowFields>
  <rowItems count="35">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0">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F0644D-1081-4AC0-8613-0E0F27AEB23A}" name="PivotTable1" cacheId="33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4:D10" firstHeaderRow="0" firstDataRow="1" firstDataCol="1"/>
  <pivotFields count="4">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4"/>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0">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Salary"/>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010.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FA9ACD-529E-4F96-9327-89C950D4C116}" name="PivotTable1"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B18:D23" firstHeaderRow="1" firstDataRow="2" firstDataCol="1"/>
  <pivotFields count="10">
    <pivotField compact="0" outline="0" showAll="0"/>
    <pivotField axis="axisCol" compact="0" outline="0" showAll="0">
      <items count="4">
        <item x="1"/>
        <item x="0"/>
        <item h="1" x="2"/>
        <item t="default"/>
      </items>
    </pivotField>
    <pivotField compact="0" outline="0" showAll="0"/>
    <pivotField dataField="1" compact="0" outline="0" showAll="0"/>
    <pivotField compact="0" numFmtId="14" outline="0" showAll="0"/>
    <pivotField dataField="1" compact="0" numFmtId="8" outline="0" showAll="0"/>
    <pivotField compact="0" outline="0" showAll="0"/>
    <pivotField compact="0" outline="0" showAll="0">
      <items count="3">
        <item x="1"/>
        <item x="0"/>
        <item t="default"/>
      </items>
    </pivotField>
    <pivotField dataField="1" compact="0" numFmtId="2" outline="0" showAll="0"/>
    <pivotField dataField="1" compact="0" numFmtId="2" outline="0" showAll="0"/>
  </pivotFields>
  <rowFields count="1">
    <field x="-2"/>
  </rowFields>
  <rowItems count="4">
    <i>
      <x/>
    </i>
    <i i="1">
      <x v="1"/>
    </i>
    <i i="2">
      <x v="2"/>
    </i>
    <i i="3">
      <x v="3"/>
    </i>
  </rowItems>
  <colFields count="1">
    <field x="1"/>
  </colFields>
  <colItems count="2">
    <i>
      <x/>
    </i>
    <i>
      <x v="1"/>
    </i>
  </colItems>
  <dataFields count="4">
    <dataField name="Sum of Bounas" fld="9" baseField="0" baseItem="0"/>
    <dataField name="Average of Salary" fld="5" subtotal="average" baseField="1" baseItem="1" numFmtId="2"/>
    <dataField name="Sum of Tenure" fld="8" baseField="0" baseItem="0" numFmtId="2"/>
    <dataField name="Sum of Age" fld="3" baseField="1" baseItem="0" numFmtId="2"/>
  </dataFields>
  <formats count="2">
    <format dxfId="6">
      <pivotArea outline="0" collapsedLevelsAreSubtotals="1" fieldPosition="0">
        <references count="1">
          <reference field="4294967294" count="1" selected="0">
            <x v="1"/>
          </reference>
        </references>
      </pivotArea>
    </format>
    <format dxfId="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52D9A6F-F250-4147-A968-CA1F8B4FDC71}"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1" dataBound="0" tableColumnId="10"/>
      <queryTableField id="12"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0A47424-A95E-449B-B5B4-7248EADC6E69}" sourceName="COUNTRY">
  <pivotTables>
    <pivotTable tabId="7" name="PivotTable1"/>
  </pivotTables>
  <data>
    <tabular pivotCacheId="98316616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EA16321-0197-4E59-B8B6-C673AB678741}" sourceName="[Staff].[Gender]">
  <pivotTables>
    <pivotTable tabId="10" name="PivotTable3"/>
    <pivotTable tabId="9" name="PivotTable1"/>
    <pivotTable tabId="9" name="PivotTable2"/>
    <pivotTable tabId="10" name="PivotTable4"/>
  </pivotTables>
  <data>
    <olap pivotCacheId="1843592079">
      <levels count="2">
        <level uniqueName="[Staff].[Gender].[(All)]" sourceCaption="(All)" count="0"/>
        <level uniqueName="[Staff].[Gender].[Gender]" sourceCaption="Gender" count="3">
          <ranges>
            <range startItem="0">
              <i n="[Staff].[Gender].&amp;[Female]" c="Female"/>
              <i n="[Staff].[Gender].&amp;[Male]" c="Male"/>
              <i n="[Staff].[Gender].&amp;[Others]" c="Others"/>
            </range>
          </ranges>
        </level>
      </levels>
      <selections count="1">
        <selection n="[Staff].[Gend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B5BBC57-1029-4246-898E-C3B500BABFA6}" sourceName="Gender">
  <extLst>
    <x:ext xmlns:x15="http://schemas.microsoft.com/office/spreadsheetml/2010/11/main" uri="{2F2917AC-EB37-4324-AD4E-5DD8C200BD13}">
      <x15:tableSlicerCache tableId="1"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A70DD2A6-9F90-4903-85E7-ECD5B05E4E33}" sourceName="Department">
  <extLst>
    <x:ext xmlns:x15="http://schemas.microsoft.com/office/spreadsheetml/2010/11/main" uri="{2F2917AC-EB37-4324-AD4E-5DD8C200BD13}">
      <x15:tableSlicerCache tableId="1"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546A2EB-1EE4-4EBE-8B86-8CC69CE39852}" sourceName="Gender">
  <extLst>
    <x:ext xmlns:x15="http://schemas.microsoft.com/office/spreadsheetml/2010/11/main" uri="{2F2917AC-EB37-4324-AD4E-5DD8C200BD13}">
      <x15:tableSlicerCache tableId="3"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7278B446-3ADF-4CE3-AF82-69EA0796EBCB}" sourceName="Department">
  <extLst>
    <x:ext xmlns:x15="http://schemas.microsoft.com/office/spreadsheetml/2010/11/main" uri="{2F2917AC-EB37-4324-AD4E-5DD8C200BD13}">
      <x15:tableSlicerCache tableId="3"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5A06935-D534-49B0-8701-8B6EA750B8F2}" sourceName="COUNTRY">
  <extLst>
    <x:ext xmlns:x15="http://schemas.microsoft.com/office/spreadsheetml/2010/11/main" uri="{2F2917AC-EB37-4324-AD4E-5DD8C200BD13}">
      <x15:tableSlicerCache tableId="3"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F8B189BD-C6E3-41B2-89AA-5771F6284EA7}" sourceName="Rating">
  <extLst>
    <x:ext xmlns:x15="http://schemas.microsoft.com/office/spreadsheetml/2010/11/main" uri="{2F2917AC-EB37-4324-AD4E-5DD8C200BD13}">
      <x15:tableSlicerCache tableId="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382330C-4D4B-4F5B-B4EC-9183A8469FC8}" cache="Slicer_Gender" caption="Gender" level="1"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4BC138D-EEC5-473E-BD61-916F34D18694}" cache="Slicer_Gender2" caption="Gender" style="SlicerStyleDark1" rowHeight="241300"/>
  <slicer name="Department 2" xr10:uid="{63E0D5D2-E5F8-4821-82E6-4CCCE4BDCCD3}" cache="Slicer_Department2" caption="Department" style="SlicerStyleDark1" rowHeight="241300"/>
  <slicer name="COUNTRY 1" xr10:uid="{87CED126-6AB6-41AF-A5C1-EF9F368D5580}" cache="Slicer_COUNTRY1" caption="COUNTRY" style="SlicerStyleDark1" rowHeight="241300"/>
  <slicer name="Rating" xr10:uid="{14E6E4FB-2B47-49FA-A620-CECB0FE67617}" cache="Slicer_Rating" caption="Rating"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A68C233-FF35-43AF-849E-83E653C5D059}" cache="Slicer_Gender1" caption="Gender" rowHeight="241300"/>
  <slicer name="Department 1" xr10:uid="{AEE2AB1E-7005-41AA-BD8B-0549140F91EF}" cache="Slicer_Department1" caption="Department"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8B46203-8C26-4BEF-9C0E-D736F4179138}" cache="Slicer_COUNTRY" caption="COUNTRY" columnCount="2" style="SlicerStyleDark2"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CE0910-C019-40DC-A0A6-0AB20D2F34B3}" name="NZ_STAFF" displayName="NZ_STAFF" ref="G9:M109">
  <autoFilter ref="G9:M109" xr:uid="{A5CE0910-C019-40DC-A0A6-0AB20D2F34B3}"/>
  <tableColumns count="7">
    <tableColumn id="1" xr3:uid="{0BA4AFA0-0A44-45A1-991B-5AC93364BD3F}" name="Name" totalsRowLabel="Total"/>
    <tableColumn id="2" xr3:uid="{C2731CCB-80C4-42EB-8AB4-DAA0A154D0EF}" name="Gender"/>
    <tableColumn id="3" xr3:uid="{FD78A3F0-071B-417D-8543-F8A16BB8A1BC}" name="Department"/>
    <tableColumn id="4" xr3:uid="{BF72EF9F-171F-4D49-86ED-045EC69F3128}" name="Age"/>
    <tableColumn id="5" xr3:uid="{6A5CE015-C8E6-4CEA-BB3C-C06DDA3A03FC}" name="Date Joined" dataDxfId="16"/>
    <tableColumn id="6" xr3:uid="{D94DCDB2-78EC-4C21-83C4-F7FC470036BA}" name="Salary" dataDxfId="15"/>
    <tableColumn id="7" xr3:uid="{A215A261-DE5A-4257-A3D2-6AD31D88DCB0}"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D45C6-1198-44A9-A76A-898CD84A244B}" name="EMP_STAFF" displayName="EMP_STAFF" ref="F6:L118" totalsRowShown="0">
  <autoFilter ref="F6:L118" xr:uid="{D94D45C6-1198-44A9-A76A-898CD84A244B}">
    <filterColumn colId="1">
      <filters>
        <filter val="Female"/>
      </filters>
    </filterColumn>
    <filterColumn colId="5">
      <filters>
        <filter val="HR"/>
      </filters>
    </filterColumn>
  </autoFilter>
  <tableColumns count="7">
    <tableColumn id="1" xr3:uid="{A58C7D6B-D4C2-4E92-8C75-E8A7A7C69FBF}" name="Name"/>
    <tableColumn id="2" xr3:uid="{48FB403D-A43F-421A-9529-3B9605CF6EEF}" name="Gender"/>
    <tableColumn id="3" xr3:uid="{822B9797-9830-4C5D-862D-B5334114E094}" name="Age"/>
    <tableColumn id="4" xr3:uid="{40BBA6D9-2FAB-413E-B8F0-B4383182EE98}" name="Rating"/>
    <tableColumn id="5" xr3:uid="{50CF4DC4-A076-4F63-A76F-52B0A3D26BE1}" name="Date Joined"/>
    <tableColumn id="6" xr3:uid="{374F3F1F-098C-4441-B348-8E8524E11350}" name="Department"/>
    <tableColumn id="7" xr3:uid="{66CCA6F0-286F-4FE3-BE59-88453051ABAA}"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68100D-FC1B-41E2-8EA6-0B4467E233D9}" name="Staff" displayName="Staff" ref="A1:K185" tableType="queryTable" totalsRowCount="1">
  <autoFilter ref="A1:K184" xr:uid="{F468100D-FC1B-41E2-8EA6-0B4467E233D9}"/>
  <sortState xmlns:xlrd2="http://schemas.microsoft.com/office/spreadsheetml/2017/richdata2" ref="A2:J184">
    <sortCondition ref="F2:F184"/>
  </sortState>
  <tableColumns count="11">
    <tableColumn id="1" xr3:uid="{51ECB95D-80D8-4689-8D7B-5C4D7560AD6D}" uniqueName="1" name="Name" queryTableFieldId="1" dataDxfId="14"/>
    <tableColumn id="2" xr3:uid="{228AC2B6-85B9-473C-B168-8200C03625F6}" uniqueName="2" name="Gender" queryTableFieldId="2" dataDxfId="13"/>
    <tableColumn id="3" xr3:uid="{AA19A452-BD78-4B23-9329-5D84693F6732}" uniqueName="3" name="Department" queryTableFieldId="3" dataDxfId="12"/>
    <tableColumn id="4" xr3:uid="{DBF06E5F-69ED-49E3-A93E-68DC9AB08F9B}" uniqueName="4" name="Age" queryTableFieldId="4"/>
    <tableColumn id="5" xr3:uid="{4A1AAB8C-00FB-4A16-BB52-F9A4102660F3}" uniqueName="5" name="Date Joined" queryTableFieldId="5" dataDxfId="11" totalsRowDxfId="4"/>
    <tableColumn id="6" xr3:uid="{8ACF9683-7087-42FF-B3EC-FA45F7FC6D50}" uniqueName="6" name="Salary" queryTableFieldId="6" dataDxfId="10" totalsRowDxfId="3"/>
    <tableColumn id="7" xr3:uid="{592EB4DC-6151-48E2-9EB8-36480385B405}" uniqueName="7" name="Rating" queryTableFieldId="7"/>
    <tableColumn id="8" xr3:uid="{D96EACDE-0436-47B0-B6EA-4FDDD88901AC}" uniqueName="8" name="COUNTRY" queryTableFieldId="8"/>
    <tableColumn id="9" xr3:uid="{5D19A2C7-77B7-4D64-817A-48EE988B83F2}" uniqueName="9" name="Tenure" queryTableFieldId="9" dataDxfId="9" totalsRowDxfId="2">
      <calculatedColumnFormula>(TODAY()-Staff[[#This Row],[Date Joined]])/365</calculatedColumnFormula>
    </tableColumn>
    <tableColumn id="10" xr3:uid="{80BE4F1D-58ED-4110-9DCF-3EFF3AB31E8B}" uniqueName="10" name="Bounas" queryTableFieldId="11" totalsRowDxfId="1" dataCellStyle="Currency" totalsRowCellStyle="Currency">
      <calculatedColumnFormula>ROUNDUP(IF(Staff[[#This Row],[Tenure]]&gt;2,3%,2%)*Staff[[#This Row],[Salary]],0)</calculatedColumnFormula>
    </tableColumn>
    <tableColumn id="11" xr3:uid="{EDCA6E7D-2854-47A8-B0A9-A47DD3014302}" uniqueName="11" name="Sallary as number" queryTableFieldId="12" dataDxfId="0" dataCellStyle="Currency">
      <calculatedColumnFormula>_xlfn.XLOOKUP(Staff[[#This Row],[Rating]],'SALARY VS RATING'!$G$5:$G$9,'SALARY VS RATING'!$H$5:$H$9)</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5AF526C-274E-445B-B6B1-C6D49A1D3C8F}" name="Table5" displayName="Table5" ref="V9:AD72" totalsRowShown="0">
  <autoFilter ref="V9:AD72" xr:uid="{65AF526C-274E-445B-B6B1-C6D49A1D3C8F}"/>
  <tableColumns count="9">
    <tableColumn id="1" xr3:uid="{2D76CCCF-73F6-4F4D-A12E-21CD628F7F0E}" name="Name"/>
    <tableColumn id="2" xr3:uid="{80864A02-5A24-43DE-9BE2-92D3A31F5FA0}" name="Gender"/>
    <tableColumn id="3" xr3:uid="{2F0873A7-25B6-441A-8E2D-56DB7DCDBB26}" name="Department"/>
    <tableColumn id="4" xr3:uid="{E54EF595-37BA-44D6-A4BA-0ECEE92A57C1}" name="Age"/>
    <tableColumn id="5" xr3:uid="{1890A2C0-8BA7-4562-9F33-D150C812C1B9}" name="Date Joined" dataDxfId="8"/>
    <tableColumn id="6" xr3:uid="{ED1E082C-88BB-4ADE-B64B-0DCF7EDCF15C}" name="Salary" dataDxfId="7"/>
    <tableColumn id="7" xr3:uid="{8090D03A-B816-447C-B369-4F642920D818}" name="Rating"/>
    <tableColumn id="8" xr3:uid="{85415A51-73BC-4378-9B09-599E73DE8C01}" name="COUNTRY"/>
    <tableColumn id="9" xr3:uid="{C956776B-F6A3-4E94-BCBD-6ED913E2FFD5}" name="Tenure"/>
  </tableColumns>
  <tableStyleInfo name="TableStyleMedium2" showFirstColumn="0" showLastColumn="0" showRowStripes="1" showColumnStripes="0"/>
</table>
</file>

<file path=xl/theme/theme1.xml><?xml version="1.0" encoding="utf-8"?>
<a:theme xmlns:a="http://schemas.openxmlformats.org/drawingml/2006/main" name="Slice">
  <a:themeElements>
    <a:clrScheme name="Custom 1">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D651C-89E2-480A-BE86-AE8CF0C5158D}">
  <dimension ref="B1:Y35"/>
  <sheetViews>
    <sheetView showGridLines="0" showRowColHeaders="0" tabSelected="1" zoomScale="77" zoomScaleNormal="77" workbookViewId="0">
      <selection activeCell="L38" sqref="L38"/>
    </sheetView>
  </sheetViews>
  <sheetFormatPr defaultRowHeight="13.5" x14ac:dyDescent="0.25"/>
  <cols>
    <col min="1" max="2" width="4.5" style="33" customWidth="1"/>
    <col min="3" max="3" width="8.6640625" style="33"/>
    <col min="4" max="4" width="3.6640625" style="33" customWidth="1"/>
    <col min="5" max="5" width="9.1640625" style="33" bestFit="1" customWidth="1"/>
    <col min="6" max="6" width="3.6640625" style="33" customWidth="1"/>
    <col min="7" max="7" width="9.08203125" style="33" customWidth="1"/>
    <col min="8" max="9" width="3.6640625" style="33" customWidth="1"/>
    <col min="10" max="10" width="2.75" style="33" customWidth="1"/>
    <col min="11" max="11" width="3.6640625" style="33" customWidth="1"/>
    <col min="12" max="13" width="8.6640625" style="33"/>
    <col min="14" max="14" width="3.6640625" style="33" customWidth="1"/>
    <col min="15" max="15" width="8.6640625" style="33"/>
    <col min="16" max="16" width="3.6640625" style="33" customWidth="1"/>
    <col min="17" max="16384" width="8.6640625" style="33"/>
  </cols>
  <sheetData>
    <row r="1" spans="2:25" ht="14" thickBot="1" x14ac:dyDescent="0.3"/>
    <row r="2" spans="2:25" ht="19.5" customHeight="1" thickBot="1" x14ac:dyDescent="0.3">
      <c r="C2" s="42" t="s">
        <v>253</v>
      </c>
      <c r="D2" s="43"/>
      <c r="E2" s="43"/>
      <c r="F2" s="43"/>
      <c r="G2" s="44"/>
      <c r="M2" s="42" t="s">
        <v>254</v>
      </c>
      <c r="N2" s="43"/>
      <c r="O2" s="43"/>
      <c r="P2" s="43"/>
      <c r="Q2" s="44"/>
      <c r="S2" s="51" t="s">
        <v>255</v>
      </c>
      <c r="T2" s="52"/>
      <c r="U2" s="52"/>
      <c r="V2" s="52"/>
      <c r="W2" s="52"/>
      <c r="X2" s="52"/>
    </row>
    <row r="3" spans="2:25" ht="14" thickBot="1" x14ac:dyDescent="0.3">
      <c r="S3" s="52"/>
      <c r="T3" s="52"/>
      <c r="U3" s="52"/>
      <c r="V3" s="52"/>
      <c r="W3" s="52"/>
      <c r="X3" s="52"/>
    </row>
    <row r="4" spans="2:25" ht="53.5" customHeight="1" thickBot="1" x14ac:dyDescent="0.3">
      <c r="C4" s="45">
        <f>COUNTIFS(Staff[COUNTRY],"NZ")</f>
        <v>91</v>
      </c>
      <c r="E4" s="47">
        <f>COUNTIFS(Staff[COUNTRY],"NZ",Staff[Gender],"FEMALE")/C4</f>
        <v>0.47252747252747251</v>
      </c>
      <c r="G4" s="46">
        <f>AVERAGEIFS(Staff[Salary],Staff[COUNTRY],"NZ")</f>
        <v>76978.791208791212</v>
      </c>
      <c r="M4" s="48">
        <f>COUNTIFS(Staff[COUNTRY],"EMP_STAFF")</f>
        <v>92</v>
      </c>
      <c r="O4" s="49">
        <f>COUNTIFS(Staff[COUNTRY],"NZ",Staff[Gender],"FEMALE")/M4</f>
        <v>0.46739130434782611</v>
      </c>
      <c r="Q4" s="50">
        <f>AVERAGEIFS(Staff[Salary],Staff[COUNTRY],"EMP_STAFF")</f>
        <v>77596.521739130432</v>
      </c>
      <c r="S4" s="52"/>
      <c r="T4" s="52"/>
      <c r="U4" s="52"/>
      <c r="V4" s="52"/>
      <c r="W4" s="52"/>
      <c r="X4" s="52"/>
    </row>
    <row r="5" spans="2:25" ht="14" thickBot="1" x14ac:dyDescent="0.3"/>
    <row r="6" spans="2:25" x14ac:dyDescent="0.25">
      <c r="B6" s="34"/>
      <c r="C6" s="35"/>
      <c r="D6" s="35"/>
      <c r="E6" s="35"/>
      <c r="F6" s="35"/>
      <c r="G6" s="35"/>
      <c r="H6" s="35"/>
      <c r="I6" s="35"/>
      <c r="J6" s="36"/>
      <c r="K6" s="40"/>
      <c r="L6" s="34"/>
      <c r="M6" s="35"/>
      <c r="N6" s="35"/>
      <c r="O6" s="35"/>
      <c r="P6" s="35"/>
      <c r="Q6" s="35"/>
      <c r="R6" s="36"/>
      <c r="S6" s="40"/>
      <c r="Y6" s="40"/>
    </row>
    <row r="7" spans="2:25" x14ac:dyDescent="0.25">
      <c r="B7" s="37"/>
      <c r="C7" s="38"/>
      <c r="D7" s="38"/>
      <c r="E7" s="38"/>
      <c r="F7" s="38"/>
      <c r="G7" s="38"/>
      <c r="H7" s="38"/>
      <c r="I7" s="38"/>
      <c r="J7" s="39"/>
      <c r="K7" s="40"/>
      <c r="L7" s="37"/>
      <c r="M7" s="38"/>
      <c r="N7" s="38"/>
      <c r="O7" s="38"/>
      <c r="P7" s="38"/>
      <c r="Q7" s="38"/>
      <c r="R7" s="39"/>
      <c r="S7" s="40"/>
      <c r="Y7" s="40"/>
    </row>
    <row r="8" spans="2:25" x14ac:dyDescent="0.25">
      <c r="B8" s="37"/>
      <c r="C8" s="38"/>
      <c r="D8" s="38"/>
      <c r="E8" s="38"/>
      <c r="F8" s="38"/>
      <c r="G8" s="38"/>
      <c r="H8" s="38"/>
      <c r="I8" s="38"/>
      <c r="J8" s="39"/>
      <c r="K8" s="40"/>
      <c r="L8" s="37"/>
      <c r="M8" s="38"/>
      <c r="N8" s="38"/>
      <c r="O8" s="38"/>
      <c r="P8" s="38"/>
      <c r="Q8" s="38"/>
      <c r="R8" s="39"/>
      <c r="S8" s="40"/>
      <c r="Y8" s="40"/>
    </row>
    <row r="9" spans="2:25" x14ac:dyDescent="0.25">
      <c r="B9" s="37"/>
      <c r="C9" s="38"/>
      <c r="D9" s="38"/>
      <c r="E9" s="38"/>
      <c r="F9" s="38"/>
      <c r="G9" s="38"/>
      <c r="H9" s="38"/>
      <c r="I9" s="38"/>
      <c r="J9" s="39"/>
      <c r="K9" s="40"/>
      <c r="L9" s="37"/>
      <c r="M9" s="38"/>
      <c r="N9" s="38"/>
      <c r="O9" s="38"/>
      <c r="P9" s="38"/>
      <c r="Q9" s="38"/>
      <c r="R9" s="39"/>
      <c r="S9" s="40"/>
      <c r="Y9" s="40"/>
    </row>
    <row r="10" spans="2:25" x14ac:dyDescent="0.25">
      <c r="B10" s="37"/>
      <c r="C10" s="38"/>
      <c r="D10" s="38"/>
      <c r="E10" s="38"/>
      <c r="F10" s="38"/>
      <c r="G10" s="38"/>
      <c r="H10" s="38"/>
      <c r="I10" s="38"/>
      <c r="J10" s="39"/>
      <c r="K10" s="40"/>
      <c r="L10" s="37"/>
      <c r="M10" s="38"/>
      <c r="N10" s="38"/>
      <c r="O10" s="38"/>
      <c r="P10" s="38"/>
      <c r="Q10" s="38"/>
      <c r="R10" s="39"/>
      <c r="S10" s="40"/>
      <c r="Y10" s="40"/>
    </row>
    <row r="11" spans="2:25" x14ac:dyDescent="0.25">
      <c r="B11" s="37"/>
      <c r="C11" s="38"/>
      <c r="D11" s="38"/>
      <c r="E11" s="38"/>
      <c r="F11" s="38"/>
      <c r="G11" s="38"/>
      <c r="H11" s="38"/>
      <c r="I11" s="38"/>
      <c r="J11" s="39"/>
      <c r="K11" s="40"/>
      <c r="L11" s="37"/>
      <c r="M11" s="38"/>
      <c r="N11" s="38"/>
      <c r="O11" s="38"/>
      <c r="P11" s="38"/>
      <c r="Q11" s="38"/>
      <c r="R11" s="39"/>
      <c r="S11" s="40"/>
      <c r="Y11" s="40"/>
    </row>
    <row r="12" spans="2:25" x14ac:dyDescent="0.25">
      <c r="B12" s="37"/>
      <c r="C12" s="38"/>
      <c r="D12" s="38"/>
      <c r="E12" s="38"/>
      <c r="F12" s="38"/>
      <c r="G12" s="38"/>
      <c r="H12" s="38"/>
      <c r="I12" s="38"/>
      <c r="J12" s="39"/>
      <c r="K12" s="40"/>
      <c r="L12" s="37"/>
      <c r="M12" s="38"/>
      <c r="N12" s="38"/>
      <c r="O12" s="38"/>
      <c r="P12" s="38"/>
      <c r="Q12" s="38"/>
      <c r="R12" s="39"/>
      <c r="S12" s="40"/>
      <c r="Y12" s="40"/>
    </row>
    <row r="13" spans="2:25" x14ac:dyDescent="0.25">
      <c r="B13" s="37"/>
      <c r="C13" s="38"/>
      <c r="D13" s="38"/>
      <c r="E13" s="38"/>
      <c r="F13" s="38"/>
      <c r="G13" s="38"/>
      <c r="H13" s="38"/>
      <c r="I13" s="38"/>
      <c r="J13" s="39"/>
      <c r="K13" s="40"/>
      <c r="L13" s="37"/>
      <c r="M13" s="38"/>
      <c r="N13" s="38"/>
      <c r="O13" s="38"/>
      <c r="P13" s="38"/>
      <c r="Q13" s="38"/>
      <c r="R13" s="39"/>
      <c r="S13" s="40"/>
      <c r="Y13" s="40"/>
    </row>
    <row r="14" spans="2:25" x14ac:dyDescent="0.25">
      <c r="B14" s="37"/>
      <c r="C14" s="38"/>
      <c r="D14" s="38"/>
      <c r="E14" s="38"/>
      <c r="F14" s="38"/>
      <c r="G14" s="38"/>
      <c r="H14" s="38"/>
      <c r="I14" s="38"/>
      <c r="J14" s="39"/>
      <c r="K14" s="40"/>
      <c r="L14" s="37"/>
      <c r="M14" s="38"/>
      <c r="N14" s="38"/>
      <c r="O14" s="38"/>
      <c r="P14" s="38"/>
      <c r="Q14" s="38"/>
      <c r="R14" s="39"/>
      <c r="S14" s="40"/>
      <c r="Y14" s="40"/>
    </row>
    <row r="15" spans="2:25" x14ac:dyDescent="0.25">
      <c r="B15" s="37"/>
      <c r="C15" s="38"/>
      <c r="D15" s="38"/>
      <c r="E15" s="38"/>
      <c r="F15" s="38"/>
      <c r="G15" s="38"/>
      <c r="H15" s="38"/>
      <c r="I15" s="38"/>
      <c r="J15" s="39"/>
      <c r="K15" s="40"/>
      <c r="L15" s="37"/>
      <c r="M15" s="38"/>
      <c r="N15" s="38"/>
      <c r="O15" s="38"/>
      <c r="P15" s="38"/>
      <c r="Q15" s="38"/>
      <c r="R15" s="39"/>
      <c r="S15" s="40"/>
      <c r="Y15" s="40"/>
    </row>
    <row r="16" spans="2:25" x14ac:dyDescent="0.25">
      <c r="B16" s="37"/>
      <c r="C16" s="38"/>
      <c r="D16" s="38"/>
      <c r="E16" s="38"/>
      <c r="F16" s="38"/>
      <c r="G16" s="38"/>
      <c r="H16" s="38"/>
      <c r="I16" s="38"/>
      <c r="J16" s="39"/>
      <c r="K16" s="40"/>
      <c r="L16" s="37"/>
      <c r="M16" s="38"/>
      <c r="N16" s="38"/>
      <c r="O16" s="38"/>
      <c r="P16" s="38"/>
      <c r="Q16" s="38"/>
      <c r="R16" s="39"/>
      <c r="S16" s="40"/>
      <c r="Y16" s="40"/>
    </row>
    <row r="17" spans="2:25" x14ac:dyDescent="0.25">
      <c r="B17" s="37"/>
      <c r="C17" s="38"/>
      <c r="D17" s="38"/>
      <c r="E17" s="38"/>
      <c r="F17" s="38"/>
      <c r="G17" s="38"/>
      <c r="H17" s="38"/>
      <c r="I17" s="38"/>
      <c r="J17" s="39"/>
      <c r="K17" s="40"/>
      <c r="L17" s="37"/>
      <c r="M17" s="38"/>
      <c r="N17" s="38"/>
      <c r="O17" s="38"/>
      <c r="P17" s="38"/>
      <c r="Q17" s="38"/>
      <c r="R17" s="39"/>
      <c r="S17" s="40"/>
      <c r="Y17" s="40"/>
    </row>
    <row r="18" spans="2:25" x14ac:dyDescent="0.25">
      <c r="B18" s="37"/>
      <c r="C18" s="38"/>
      <c r="D18" s="38"/>
      <c r="E18" s="38"/>
      <c r="F18" s="38"/>
      <c r="G18" s="38"/>
      <c r="H18" s="38"/>
      <c r="I18" s="38"/>
      <c r="J18" s="39"/>
      <c r="K18" s="40"/>
      <c r="L18" s="37"/>
      <c r="M18" s="38"/>
      <c r="N18" s="38"/>
      <c r="O18" s="38"/>
      <c r="P18" s="38"/>
      <c r="Q18" s="38"/>
      <c r="R18" s="39"/>
      <c r="S18" s="40"/>
      <c r="Y18" s="40"/>
    </row>
    <row r="19" spans="2:25" x14ac:dyDescent="0.25">
      <c r="B19" s="37"/>
      <c r="C19" s="38"/>
      <c r="D19" s="38"/>
      <c r="E19" s="38"/>
      <c r="F19" s="38"/>
      <c r="G19" s="38"/>
      <c r="H19" s="38"/>
      <c r="I19" s="38"/>
      <c r="J19" s="39"/>
      <c r="K19" s="40"/>
      <c r="L19" s="37"/>
      <c r="M19" s="38"/>
      <c r="N19" s="38"/>
      <c r="O19" s="38"/>
      <c r="P19" s="38"/>
      <c r="Q19" s="38"/>
      <c r="R19" s="39"/>
      <c r="S19" s="40"/>
      <c r="Y19" s="40"/>
    </row>
    <row r="20" spans="2:25" ht="14" thickBot="1" x14ac:dyDescent="0.3">
      <c r="B20" s="53"/>
      <c r="C20" s="54"/>
      <c r="D20" s="54"/>
      <c r="E20" s="54"/>
      <c r="F20" s="54"/>
      <c r="G20" s="54"/>
      <c r="H20" s="54"/>
      <c r="I20" s="54"/>
      <c r="J20" s="55"/>
      <c r="K20" s="40"/>
      <c r="L20" s="53"/>
      <c r="M20" s="54"/>
      <c r="N20" s="54"/>
      <c r="O20" s="54"/>
      <c r="P20" s="54"/>
      <c r="Q20" s="54"/>
      <c r="R20" s="55"/>
      <c r="S20" s="40"/>
      <c r="T20" s="40"/>
      <c r="U20" s="40"/>
      <c r="V20" s="40"/>
      <c r="W20" s="40"/>
      <c r="X20" s="40"/>
      <c r="Y20" s="40"/>
    </row>
    <row r="21" spans="2:25" x14ac:dyDescent="0.25">
      <c r="B21" s="40"/>
      <c r="C21" s="40"/>
      <c r="D21" s="40"/>
      <c r="E21" s="40"/>
      <c r="F21" s="40"/>
      <c r="G21" s="40"/>
      <c r="H21" s="40"/>
      <c r="I21" s="40"/>
      <c r="J21" s="40"/>
      <c r="K21" s="40"/>
      <c r="L21" s="40"/>
      <c r="M21" s="40"/>
      <c r="N21" s="40"/>
      <c r="O21" s="40"/>
      <c r="P21" s="40"/>
      <c r="Q21" s="40"/>
      <c r="R21" s="40"/>
      <c r="S21" s="40"/>
      <c r="T21" s="40"/>
      <c r="U21" s="40"/>
      <c r="V21" s="40"/>
      <c r="W21" s="40"/>
      <c r="X21" s="40"/>
      <c r="Y21" s="40"/>
    </row>
    <row r="22" spans="2:25" x14ac:dyDescent="0.25">
      <c r="K22" s="40"/>
      <c r="S22" s="40"/>
      <c r="Y22" s="40"/>
    </row>
    <row r="23" spans="2:25" x14ac:dyDescent="0.25">
      <c r="K23" s="40"/>
      <c r="S23" s="40"/>
      <c r="Y23" s="40"/>
    </row>
    <row r="24" spans="2:25" x14ac:dyDescent="0.25">
      <c r="K24" s="40"/>
      <c r="S24" s="40"/>
      <c r="Y24" s="40"/>
    </row>
    <row r="25" spans="2:25" x14ac:dyDescent="0.25">
      <c r="K25" s="40"/>
      <c r="S25" s="40"/>
      <c r="Y25" s="40"/>
    </row>
    <row r="26" spans="2:25" x14ac:dyDescent="0.25">
      <c r="K26" s="40"/>
      <c r="S26" s="40"/>
      <c r="Y26" s="40"/>
    </row>
    <row r="27" spans="2:25" x14ac:dyDescent="0.25">
      <c r="K27" s="40"/>
      <c r="S27" s="40"/>
      <c r="Y27" s="40"/>
    </row>
    <row r="28" spans="2:25" x14ac:dyDescent="0.25">
      <c r="K28" s="40"/>
      <c r="S28" s="40"/>
      <c r="Y28" s="40"/>
    </row>
    <row r="29" spans="2:25" x14ac:dyDescent="0.25">
      <c r="K29" s="40"/>
      <c r="S29" s="40"/>
      <c r="Y29" s="40"/>
    </row>
    <row r="30" spans="2:25" x14ac:dyDescent="0.25">
      <c r="K30" s="40"/>
      <c r="S30" s="40"/>
      <c r="Y30" s="40"/>
    </row>
    <row r="31" spans="2:25" x14ac:dyDescent="0.25">
      <c r="K31" s="40"/>
      <c r="S31" s="40"/>
      <c r="Y31" s="40"/>
    </row>
    <row r="32" spans="2:25" x14ac:dyDescent="0.25">
      <c r="K32" s="40"/>
      <c r="S32" s="40"/>
      <c r="Y32" s="40"/>
    </row>
    <row r="33" spans="11:25" x14ac:dyDescent="0.25">
      <c r="K33" s="40"/>
      <c r="S33" s="40"/>
      <c r="Y33" s="40"/>
    </row>
    <row r="34" spans="11:25" x14ac:dyDescent="0.25">
      <c r="K34" s="40"/>
      <c r="S34" s="40"/>
      <c r="Y34" s="40"/>
    </row>
    <row r="35" spans="11:25" x14ac:dyDescent="0.25">
      <c r="K35" s="40"/>
      <c r="S35" s="40"/>
      <c r="Y35" s="40"/>
    </row>
  </sheetData>
  <mergeCells count="3">
    <mergeCell ref="C2:G2"/>
    <mergeCell ref="M2:Q2"/>
    <mergeCell ref="S2:X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F018-1051-4F14-9A87-DC999DBADD9C}">
  <dimension ref="B6:F14"/>
  <sheetViews>
    <sheetView workbookViewId="0">
      <selection activeCell="G8" sqref="G8"/>
    </sheetView>
  </sheetViews>
  <sheetFormatPr defaultRowHeight="13.5" x14ac:dyDescent="0.25"/>
  <cols>
    <col min="2" max="2" width="13.5" bestFit="1" customWidth="1"/>
    <col min="3" max="3" width="14.33203125" bestFit="1" customWidth="1"/>
    <col min="5" max="5" width="13.5" bestFit="1" customWidth="1"/>
    <col min="6" max="6" width="14.33203125" bestFit="1" customWidth="1"/>
  </cols>
  <sheetData>
    <row r="6" spans="2:6" x14ac:dyDescent="0.25">
      <c r="B6" s="20" t="s">
        <v>202</v>
      </c>
      <c r="C6" t="s" vm="1">
        <v>205</v>
      </c>
      <c r="E6" s="20" t="s">
        <v>202</v>
      </c>
      <c r="F6" t="s" vm="2">
        <v>203</v>
      </c>
    </row>
    <row r="8" spans="2:6" x14ac:dyDescent="0.25">
      <c r="B8" s="20" t="s">
        <v>2</v>
      </c>
      <c r="C8" t="s">
        <v>232</v>
      </c>
      <c r="E8" s="20" t="s">
        <v>2</v>
      </c>
      <c r="F8" t="s">
        <v>232</v>
      </c>
    </row>
    <row r="9" spans="2:6" x14ac:dyDescent="0.25">
      <c r="B9" t="s">
        <v>17</v>
      </c>
      <c r="C9" s="28">
        <v>19</v>
      </c>
      <c r="E9" t="s">
        <v>17</v>
      </c>
      <c r="F9" s="28">
        <v>19</v>
      </c>
    </row>
    <row r="10" spans="2:6" x14ac:dyDescent="0.25">
      <c r="B10" t="s">
        <v>26</v>
      </c>
      <c r="C10" s="28">
        <v>4</v>
      </c>
      <c r="E10" t="s">
        <v>26</v>
      </c>
      <c r="F10" s="28">
        <v>4</v>
      </c>
    </row>
    <row r="11" spans="2:6" x14ac:dyDescent="0.25">
      <c r="B11" t="s">
        <v>12</v>
      </c>
      <c r="C11" s="28">
        <v>28</v>
      </c>
      <c r="E11" t="s">
        <v>12</v>
      </c>
      <c r="F11" s="28">
        <v>27</v>
      </c>
    </row>
    <row r="12" spans="2:6" x14ac:dyDescent="0.25">
      <c r="B12" t="s">
        <v>9</v>
      </c>
      <c r="C12" s="28">
        <v>14</v>
      </c>
      <c r="E12" t="s">
        <v>9</v>
      </c>
      <c r="F12" s="28">
        <v>14</v>
      </c>
    </row>
    <row r="13" spans="2:6" x14ac:dyDescent="0.25">
      <c r="B13" t="s">
        <v>23</v>
      </c>
      <c r="C13" s="28">
        <v>27</v>
      </c>
      <c r="E13" t="s">
        <v>23</v>
      </c>
      <c r="F13" s="28">
        <v>27</v>
      </c>
    </row>
    <row r="14" spans="2:6" x14ac:dyDescent="0.25">
      <c r="B14" t="s">
        <v>231</v>
      </c>
      <c r="C14" s="28">
        <v>92</v>
      </c>
      <c r="E14" t="s">
        <v>231</v>
      </c>
      <c r="F14" s="28">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36765-199A-4073-8D21-CD7317CE5823}">
  <dimension ref="B4:M188"/>
  <sheetViews>
    <sheetView topLeftCell="F3" zoomScale="115" zoomScaleNormal="83" workbookViewId="0">
      <selection activeCell="P11" sqref="P11"/>
    </sheetView>
  </sheetViews>
  <sheetFormatPr defaultRowHeight="14.5" x14ac:dyDescent="0.25"/>
  <cols>
    <col min="2" max="2" width="13.1640625" bestFit="1" customWidth="1"/>
    <col min="3" max="3" width="14.4140625" bestFit="1" customWidth="1"/>
    <col min="4" max="4" width="16.75" bestFit="1" customWidth="1"/>
    <col min="7" max="7" width="15.1640625" bestFit="1" customWidth="1"/>
    <col min="11" max="11" width="9.83203125" bestFit="1" customWidth="1"/>
    <col min="12" max="12" width="12.9140625" style="28" bestFit="1" customWidth="1"/>
    <col min="13" max="13" width="15.4140625" bestFit="1" customWidth="1"/>
  </cols>
  <sheetData>
    <row r="4" spans="2:13" ht="13.5" x14ac:dyDescent="0.25">
      <c r="B4" s="20" t="s">
        <v>226</v>
      </c>
      <c r="C4" t="s">
        <v>232</v>
      </c>
      <c r="D4" t="s">
        <v>225</v>
      </c>
      <c r="K4" t="s">
        <v>234</v>
      </c>
      <c r="L4" s="28" t="s">
        <v>235</v>
      </c>
      <c r="M4" t="s">
        <v>236</v>
      </c>
    </row>
    <row r="5" spans="2:13" ht="13.5" x14ac:dyDescent="0.25">
      <c r="B5" s="21" t="s">
        <v>43</v>
      </c>
      <c r="C5" s="28">
        <v>4</v>
      </c>
      <c r="D5" s="30">
        <v>92080</v>
      </c>
      <c r="G5" s="21" t="s">
        <v>43</v>
      </c>
      <c r="H5">
        <v>5</v>
      </c>
      <c r="J5" cm="1">
        <f t="array" ref="J5:J40">_xlfn.SEQUENCE(36)</f>
        <v>1</v>
      </c>
      <c r="K5" s="32" cm="1">
        <f t="array" ref="K5:K40">EDATE(DATE(2020,4,1),_xlfn.ANCHORARRAY(J5)+0)</f>
        <v>43952</v>
      </c>
      <c r="L5" s="28">
        <f>COUNTIFS(Staff[Date Joined],"&gt;="&amp;K5,Staff[Date Joined],"&lt;="&amp;EOMONTH(K5,0))</f>
        <v>3</v>
      </c>
      <c r="M5">
        <f>SUM($L$5:L5)</f>
        <v>3</v>
      </c>
    </row>
    <row r="6" spans="2:13" ht="13.5" x14ac:dyDescent="0.25">
      <c r="B6" s="21" t="s">
        <v>10</v>
      </c>
      <c r="C6" s="28">
        <v>20</v>
      </c>
      <c r="D6" s="30">
        <v>76991</v>
      </c>
      <c r="G6" s="21" t="s">
        <v>10</v>
      </c>
      <c r="H6">
        <v>4</v>
      </c>
      <c r="J6">
        <v>2</v>
      </c>
      <c r="K6" s="32">
        <v>43983</v>
      </c>
      <c r="L6" s="28">
        <f>COUNTIFS(Staff[Date Joined],"&gt;="&amp;K6,Staff[Date Joined],"&lt;="&amp;EOMONTH(K6,0))</f>
        <v>1</v>
      </c>
      <c r="M6">
        <f>SUM($L$5:L6)</f>
        <v>4</v>
      </c>
    </row>
    <row r="7" spans="2:13" ht="13.5" x14ac:dyDescent="0.25">
      <c r="B7" s="21" t="s">
        <v>13</v>
      </c>
      <c r="C7" s="28">
        <v>137</v>
      </c>
      <c r="D7" s="30">
        <v>76798.759124087592</v>
      </c>
      <c r="G7" s="21" t="s">
        <v>13</v>
      </c>
      <c r="H7">
        <v>3</v>
      </c>
      <c r="J7">
        <v>3</v>
      </c>
      <c r="K7" s="32">
        <v>44013</v>
      </c>
      <c r="L7" s="28">
        <f>COUNTIFS(Staff[Date Joined],"&gt;="&amp;K7,Staff[Date Joined],"&lt;="&amp;EOMONTH(K7,0))</f>
        <v>5</v>
      </c>
      <c r="M7">
        <f>SUM($L$4:L6)</f>
        <v>4</v>
      </c>
    </row>
    <row r="8" spans="2:13" ht="13.5" x14ac:dyDescent="0.25">
      <c r="B8" s="21" t="s">
        <v>18</v>
      </c>
      <c r="C8" s="28">
        <v>16</v>
      </c>
      <c r="D8" s="30">
        <v>78115</v>
      </c>
      <c r="G8" s="21" t="s">
        <v>18</v>
      </c>
      <c r="H8">
        <v>2</v>
      </c>
      <c r="J8">
        <v>4</v>
      </c>
      <c r="K8" s="32">
        <v>44044</v>
      </c>
      <c r="L8" s="28">
        <f>COUNTIFS(Staff[Date Joined],"&gt;="&amp;K8,Staff[Date Joined],"&lt;="&amp;EOMONTH(K8,0))</f>
        <v>3</v>
      </c>
      <c r="M8">
        <f>SUM($L$5:L8)</f>
        <v>12</v>
      </c>
    </row>
    <row r="9" spans="2:13" ht="13.5" x14ac:dyDescent="0.25">
      <c r="B9" s="21" t="s">
        <v>49</v>
      </c>
      <c r="C9" s="28">
        <v>6</v>
      </c>
      <c r="D9" s="30">
        <v>77423.333333333328</v>
      </c>
      <c r="G9" s="21" t="s">
        <v>49</v>
      </c>
      <c r="H9">
        <v>1</v>
      </c>
      <c r="J9">
        <v>5</v>
      </c>
      <c r="K9" s="32">
        <v>44075</v>
      </c>
      <c r="L9" s="28">
        <f>COUNTIFS(Staff[Date Joined],"&gt;="&amp;K9,Staff[Date Joined],"&lt;="&amp;EOMONTH(K9,0))</f>
        <v>6</v>
      </c>
      <c r="M9">
        <f>SUM($L$5:L9)</f>
        <v>18</v>
      </c>
    </row>
    <row r="10" spans="2:13" ht="13.5" x14ac:dyDescent="0.25">
      <c r="B10" s="21" t="s">
        <v>231</v>
      </c>
      <c r="C10" s="28">
        <v>183</v>
      </c>
      <c r="D10" s="30">
        <v>77289.344262295082</v>
      </c>
      <c r="J10">
        <v>6</v>
      </c>
      <c r="K10" s="32">
        <v>44105</v>
      </c>
      <c r="L10" s="28">
        <f>COUNTIFS(Staff[Date Joined],"&gt;="&amp;K10,Staff[Date Joined],"&lt;="&amp;EOMONTH(K10,0))</f>
        <v>6</v>
      </c>
      <c r="M10">
        <f>SUM($L$5:L10)</f>
        <v>24</v>
      </c>
    </row>
    <row r="11" spans="2:13" ht="13.5" x14ac:dyDescent="0.25">
      <c r="J11">
        <v>7</v>
      </c>
      <c r="K11" s="32">
        <v>44136</v>
      </c>
      <c r="L11" s="28">
        <f>COUNTIFS(Staff[Date Joined],"&gt;="&amp;K11,Staff[Date Joined],"&lt;="&amp;EOMONTH(K11,0))</f>
        <v>6</v>
      </c>
      <c r="M11">
        <f>SUM($L$5:L11)</f>
        <v>30</v>
      </c>
    </row>
    <row r="12" spans="2:13" ht="13.5" x14ac:dyDescent="0.25">
      <c r="J12">
        <v>8</v>
      </c>
      <c r="K12" s="32">
        <v>44166</v>
      </c>
      <c r="L12" s="28">
        <f>COUNTIFS(Staff[Date Joined],"&gt;="&amp;K12,Staff[Date Joined],"&lt;="&amp;EOMONTH(K12,0))</f>
        <v>7</v>
      </c>
      <c r="M12">
        <f>SUM($L$5:L12)</f>
        <v>37</v>
      </c>
    </row>
    <row r="13" spans="2:13" ht="13.5" x14ac:dyDescent="0.25">
      <c r="J13">
        <v>9</v>
      </c>
      <c r="K13" s="32">
        <v>44197</v>
      </c>
      <c r="L13" s="28">
        <f>COUNTIFS(Staff[Date Joined],"&gt;="&amp;K13,Staff[Date Joined],"&lt;="&amp;EOMONTH(K13,0))</f>
        <v>6</v>
      </c>
      <c r="M13">
        <f>SUM($L$5:L13)</f>
        <v>43</v>
      </c>
    </row>
    <row r="14" spans="2:13" ht="13.5" x14ac:dyDescent="0.25">
      <c r="J14">
        <v>10</v>
      </c>
      <c r="K14" s="32">
        <v>44228</v>
      </c>
      <c r="L14" s="28">
        <f>COUNTIFS(Staff[Date Joined],"&gt;="&amp;K14,Staff[Date Joined],"&lt;="&amp;EOMONTH(K14,0))</f>
        <v>4</v>
      </c>
      <c r="M14">
        <f>SUM($L$5:L14)</f>
        <v>47</v>
      </c>
    </row>
    <row r="15" spans="2:13" ht="13.5" x14ac:dyDescent="0.25">
      <c r="B15" s="20" t="s">
        <v>226</v>
      </c>
      <c r="C15" t="s">
        <v>232</v>
      </c>
      <c r="J15">
        <v>11</v>
      </c>
      <c r="K15" s="32">
        <v>44256</v>
      </c>
      <c r="L15" s="28">
        <f>COUNTIFS(Staff[Date Joined],"&gt;="&amp;K15,Staff[Date Joined],"&lt;="&amp;EOMONTH(K15,0))</f>
        <v>9</v>
      </c>
      <c r="M15">
        <f>SUM($L$5:L15)</f>
        <v>56</v>
      </c>
    </row>
    <row r="16" spans="2:13" ht="13.5" x14ac:dyDescent="0.25">
      <c r="B16" s="21" t="s">
        <v>237</v>
      </c>
      <c r="C16" s="28"/>
      <c r="J16">
        <v>12</v>
      </c>
      <c r="K16" s="32">
        <v>44287</v>
      </c>
      <c r="L16" s="28">
        <f>COUNTIFS(Staff[Date Joined],"&gt;="&amp;K16,Staff[Date Joined],"&lt;="&amp;EOMONTH(K16,0))</f>
        <v>5</v>
      </c>
      <c r="M16">
        <f>SUM($L$5:L16)</f>
        <v>61</v>
      </c>
    </row>
    <row r="17" spans="2:13" ht="13.5" x14ac:dyDescent="0.25">
      <c r="B17" s="29" t="s">
        <v>238</v>
      </c>
      <c r="C17" s="28">
        <v>3</v>
      </c>
      <c r="J17">
        <v>13</v>
      </c>
      <c r="K17" s="32">
        <v>44317</v>
      </c>
      <c r="L17" s="28">
        <f>COUNTIFS(Staff[Date Joined],"&gt;="&amp;K17,Staff[Date Joined],"&lt;="&amp;EOMONTH(K17,0))</f>
        <v>10</v>
      </c>
      <c r="M17">
        <f>SUM($L$5:L17)</f>
        <v>71</v>
      </c>
    </row>
    <row r="18" spans="2:13" ht="13.5" x14ac:dyDescent="0.25">
      <c r="B18" s="29" t="s">
        <v>239</v>
      </c>
      <c r="C18" s="28">
        <v>4</v>
      </c>
      <c r="J18">
        <v>14</v>
      </c>
      <c r="K18" s="32">
        <v>44348</v>
      </c>
      <c r="L18" s="28">
        <f>COUNTIFS(Staff[Date Joined],"&gt;="&amp;K18,Staff[Date Joined],"&lt;="&amp;EOMONTH(K18,0))</f>
        <v>6</v>
      </c>
      <c r="M18">
        <f>SUM($L$5:L18)</f>
        <v>77</v>
      </c>
    </row>
    <row r="19" spans="2:13" ht="13.5" x14ac:dyDescent="0.25">
      <c r="B19" s="29" t="s">
        <v>240</v>
      </c>
      <c r="C19" s="28">
        <v>9</v>
      </c>
      <c r="J19">
        <v>15</v>
      </c>
      <c r="K19" s="32">
        <v>44378</v>
      </c>
      <c r="L19" s="28">
        <f>COUNTIFS(Staff[Date Joined],"&gt;="&amp;K19,Staff[Date Joined],"&lt;="&amp;EOMONTH(K19,0))</f>
        <v>13</v>
      </c>
      <c r="M19">
        <f>SUM($L$5:L19)</f>
        <v>90</v>
      </c>
    </row>
    <row r="20" spans="2:13" ht="13.5" x14ac:dyDescent="0.25">
      <c r="B20" s="29" t="s">
        <v>241</v>
      </c>
      <c r="C20" s="28">
        <v>12</v>
      </c>
      <c r="J20">
        <v>16</v>
      </c>
      <c r="K20" s="32">
        <v>44409</v>
      </c>
      <c r="L20" s="28">
        <f>COUNTIFS(Staff[Date Joined],"&gt;="&amp;K20,Staff[Date Joined],"&lt;="&amp;EOMONTH(K20,0))</f>
        <v>4</v>
      </c>
      <c r="M20">
        <f>SUM($L$5:L20)</f>
        <v>94</v>
      </c>
    </row>
    <row r="21" spans="2:13" ht="13.5" x14ac:dyDescent="0.25">
      <c r="B21" s="29" t="s">
        <v>242</v>
      </c>
      <c r="C21" s="28">
        <v>18</v>
      </c>
      <c r="J21">
        <v>17</v>
      </c>
      <c r="K21" s="32">
        <v>44440</v>
      </c>
      <c r="L21" s="28">
        <f>COUNTIFS(Staff[Date Joined],"&gt;="&amp;K21,Staff[Date Joined],"&lt;="&amp;EOMONTH(K21,0))</f>
        <v>11</v>
      </c>
      <c r="M21">
        <f>SUM($L$5:L21)</f>
        <v>105</v>
      </c>
    </row>
    <row r="22" spans="2:13" ht="13.5" x14ac:dyDescent="0.25">
      <c r="B22" s="29" t="s">
        <v>243</v>
      </c>
      <c r="C22" s="28">
        <v>24</v>
      </c>
      <c r="J22">
        <v>18</v>
      </c>
      <c r="K22" s="32">
        <v>44470</v>
      </c>
      <c r="L22" s="28">
        <f>COUNTIFS(Staff[Date Joined],"&gt;="&amp;K22,Staff[Date Joined],"&lt;="&amp;EOMONTH(K22,0))</f>
        <v>3</v>
      </c>
      <c r="M22">
        <f>SUM($L$5:L22)</f>
        <v>108</v>
      </c>
    </row>
    <row r="23" spans="2:13" ht="13.5" x14ac:dyDescent="0.25">
      <c r="B23" s="29" t="s">
        <v>244</v>
      </c>
      <c r="C23" s="28">
        <v>30</v>
      </c>
      <c r="J23">
        <v>19</v>
      </c>
      <c r="K23" s="32">
        <v>44501</v>
      </c>
      <c r="L23" s="28">
        <f>COUNTIFS(Staff[Date Joined],"&gt;="&amp;K23,Staff[Date Joined],"&lt;="&amp;EOMONTH(K23,0))</f>
        <v>4</v>
      </c>
      <c r="M23">
        <f>SUM($L$5:L23)</f>
        <v>112</v>
      </c>
    </row>
    <row r="24" spans="2:13" ht="13.5" x14ac:dyDescent="0.25">
      <c r="B24" s="29" t="s">
        <v>245</v>
      </c>
      <c r="C24" s="28">
        <v>37</v>
      </c>
      <c r="J24">
        <v>20</v>
      </c>
      <c r="K24" s="32">
        <v>44531</v>
      </c>
      <c r="L24" s="28">
        <f>COUNTIFS(Staff[Date Joined],"&gt;="&amp;K24,Staff[Date Joined],"&lt;="&amp;EOMONTH(K24,0))</f>
        <v>7</v>
      </c>
      <c r="M24">
        <f>SUM($L$5:L24)</f>
        <v>119</v>
      </c>
    </row>
    <row r="25" spans="2:13" ht="13.5" x14ac:dyDescent="0.25">
      <c r="B25" s="21" t="s">
        <v>246</v>
      </c>
      <c r="C25" s="28"/>
      <c r="J25">
        <v>21</v>
      </c>
      <c r="K25" s="32">
        <v>44562</v>
      </c>
      <c r="L25" s="28">
        <f>COUNTIFS(Staff[Date Joined],"&gt;="&amp;K25,Staff[Date Joined],"&lt;="&amp;EOMONTH(K25,0))</f>
        <v>3</v>
      </c>
      <c r="M25">
        <f>SUM($L$5:L25)</f>
        <v>122</v>
      </c>
    </row>
    <row r="26" spans="2:13" ht="13.5" x14ac:dyDescent="0.25">
      <c r="B26" s="29" t="s">
        <v>247</v>
      </c>
      <c r="C26" s="28">
        <v>6</v>
      </c>
      <c r="J26">
        <v>22</v>
      </c>
      <c r="K26" s="32">
        <v>44593</v>
      </c>
      <c r="L26" s="28">
        <f>COUNTIFS(Staff[Date Joined],"&gt;="&amp;K26,Staff[Date Joined],"&lt;="&amp;EOMONTH(K26,0))</f>
        <v>10</v>
      </c>
      <c r="M26">
        <f>SUM($L$5:L26)</f>
        <v>132</v>
      </c>
    </row>
    <row r="27" spans="2:13" ht="13.5" x14ac:dyDescent="0.25">
      <c r="B27" s="29" t="s">
        <v>248</v>
      </c>
      <c r="C27" s="28">
        <v>10</v>
      </c>
      <c r="J27">
        <v>23</v>
      </c>
      <c r="K27" s="32">
        <v>44621</v>
      </c>
      <c r="L27" s="28">
        <f>COUNTIFS(Staff[Date Joined],"&gt;="&amp;K27,Staff[Date Joined],"&lt;="&amp;EOMONTH(K27,0))</f>
        <v>9</v>
      </c>
      <c r="M27">
        <f>SUM($L$5:L27)</f>
        <v>141</v>
      </c>
    </row>
    <row r="28" spans="2:13" ht="13.5" x14ac:dyDescent="0.25">
      <c r="B28" s="29" t="s">
        <v>249</v>
      </c>
      <c r="C28" s="28">
        <v>19</v>
      </c>
      <c r="J28">
        <v>24</v>
      </c>
      <c r="K28" s="32">
        <v>44652</v>
      </c>
      <c r="L28" s="28">
        <f>COUNTIFS(Staff[Date Joined],"&gt;="&amp;K28,Staff[Date Joined],"&lt;="&amp;EOMONTH(K28,0))</f>
        <v>9</v>
      </c>
      <c r="M28">
        <f>SUM($L$5:L28)</f>
        <v>150</v>
      </c>
    </row>
    <row r="29" spans="2:13" ht="13.5" x14ac:dyDescent="0.25">
      <c r="B29" s="29" t="s">
        <v>250</v>
      </c>
      <c r="C29" s="28">
        <v>24</v>
      </c>
      <c r="J29">
        <v>25</v>
      </c>
      <c r="K29" s="32">
        <v>44682</v>
      </c>
      <c r="L29" s="28">
        <f>COUNTIFS(Staff[Date Joined],"&gt;="&amp;K29,Staff[Date Joined],"&lt;="&amp;EOMONTH(K29,0))</f>
        <v>9</v>
      </c>
      <c r="M29">
        <f>SUM($L$5:L29)</f>
        <v>159</v>
      </c>
    </row>
    <row r="30" spans="2:13" ht="13.5" x14ac:dyDescent="0.25">
      <c r="B30" s="29" t="s">
        <v>238</v>
      </c>
      <c r="C30" s="28">
        <v>34</v>
      </c>
      <c r="J30">
        <v>26</v>
      </c>
      <c r="K30" s="32">
        <v>44713</v>
      </c>
      <c r="L30" s="28">
        <f>COUNTIFS(Staff[Date Joined],"&gt;="&amp;K30,Staff[Date Joined],"&lt;="&amp;EOMONTH(K30,0))</f>
        <v>7</v>
      </c>
      <c r="M30">
        <f>SUM($L$5:L30)</f>
        <v>166</v>
      </c>
    </row>
    <row r="31" spans="2:13" ht="13.5" x14ac:dyDescent="0.25">
      <c r="B31" s="29" t="s">
        <v>239</v>
      </c>
      <c r="C31" s="28">
        <v>40</v>
      </c>
      <c r="J31">
        <v>27</v>
      </c>
      <c r="K31" s="32">
        <v>44743</v>
      </c>
      <c r="L31" s="28">
        <f>COUNTIFS(Staff[Date Joined],"&gt;="&amp;K31,Staff[Date Joined],"&lt;="&amp;EOMONTH(K31,0))</f>
        <v>5</v>
      </c>
      <c r="M31">
        <f>SUM($L$5:L31)</f>
        <v>171</v>
      </c>
    </row>
    <row r="32" spans="2:13" ht="13.5" x14ac:dyDescent="0.25">
      <c r="B32" s="29" t="s">
        <v>240</v>
      </c>
      <c r="C32" s="28">
        <v>53</v>
      </c>
      <c r="J32">
        <v>28</v>
      </c>
      <c r="K32" s="32">
        <v>44774</v>
      </c>
      <c r="L32" s="28">
        <f>COUNTIFS(Staff[Date Joined],"&gt;="&amp;K32,Staff[Date Joined],"&lt;="&amp;EOMONTH(K32,0))</f>
        <v>5</v>
      </c>
      <c r="M32">
        <f>SUM($L$5:L32)</f>
        <v>176</v>
      </c>
    </row>
    <row r="33" spans="2:13" ht="13.5" x14ac:dyDescent="0.25">
      <c r="B33" s="29" t="s">
        <v>241</v>
      </c>
      <c r="C33" s="28">
        <v>57</v>
      </c>
      <c r="J33">
        <v>29</v>
      </c>
      <c r="K33" s="32">
        <v>44805</v>
      </c>
      <c r="L33" s="28">
        <f>COUNTIFS(Staff[Date Joined],"&gt;="&amp;K33,Staff[Date Joined],"&lt;="&amp;EOMONTH(K33,0))</f>
        <v>2</v>
      </c>
      <c r="M33">
        <f>SUM($L$5:L33)</f>
        <v>178</v>
      </c>
    </row>
    <row r="34" spans="2:13" ht="13.5" x14ac:dyDescent="0.25">
      <c r="B34" s="29" t="s">
        <v>242</v>
      </c>
      <c r="C34" s="28">
        <v>68</v>
      </c>
      <c r="J34">
        <v>30</v>
      </c>
      <c r="K34" s="32">
        <v>44835</v>
      </c>
      <c r="L34" s="28">
        <f>COUNTIFS(Staff[Date Joined],"&gt;="&amp;K34,Staff[Date Joined],"&lt;="&amp;EOMONTH(K34,0))</f>
        <v>3</v>
      </c>
      <c r="M34">
        <f>SUM($L$5:L34)</f>
        <v>181</v>
      </c>
    </row>
    <row r="35" spans="2:13" ht="13.5" x14ac:dyDescent="0.25">
      <c r="B35" s="29" t="s">
        <v>243</v>
      </c>
      <c r="C35" s="28">
        <v>71</v>
      </c>
      <c r="J35">
        <v>31</v>
      </c>
      <c r="K35" s="32">
        <v>44866</v>
      </c>
      <c r="L35" s="28">
        <f>COUNTIFS(Staff[Date Joined],"&gt;="&amp;K35,Staff[Date Joined],"&lt;="&amp;EOMONTH(K35,0))</f>
        <v>0</v>
      </c>
      <c r="M35">
        <f>SUM($L$5:L35)</f>
        <v>181</v>
      </c>
    </row>
    <row r="36" spans="2:13" ht="13.5" x14ac:dyDescent="0.25">
      <c r="B36" s="29" t="s">
        <v>244</v>
      </c>
      <c r="C36" s="28">
        <v>75</v>
      </c>
      <c r="J36">
        <v>32</v>
      </c>
      <c r="K36" s="32">
        <v>44896</v>
      </c>
      <c r="L36" s="28">
        <f>COUNTIFS(Staff[Date Joined],"&gt;="&amp;K36,Staff[Date Joined],"&lt;="&amp;EOMONTH(K36,0))</f>
        <v>0</v>
      </c>
      <c r="M36">
        <f>SUM($L$5:L36)</f>
        <v>181</v>
      </c>
    </row>
    <row r="37" spans="2:13" ht="13.5" x14ac:dyDescent="0.25">
      <c r="B37" s="29" t="s">
        <v>245</v>
      </c>
      <c r="C37" s="28">
        <v>82</v>
      </c>
      <c r="J37">
        <v>33</v>
      </c>
      <c r="K37" s="32">
        <v>44927</v>
      </c>
      <c r="L37" s="28">
        <f>COUNTIFS(Staff[Date Joined],"&gt;="&amp;K37,Staff[Date Joined],"&lt;="&amp;EOMONTH(K37,0))</f>
        <v>0</v>
      </c>
      <c r="M37">
        <f>SUM($L$5:L37)</f>
        <v>181</v>
      </c>
    </row>
    <row r="38" spans="2:13" ht="13.5" x14ac:dyDescent="0.25">
      <c r="B38" s="21" t="s">
        <v>251</v>
      </c>
      <c r="C38" s="28"/>
      <c r="J38">
        <v>34</v>
      </c>
      <c r="K38" s="32">
        <v>44958</v>
      </c>
      <c r="L38" s="28">
        <f>COUNTIFS(Staff[Date Joined],"&gt;="&amp;K38,Staff[Date Joined],"&lt;="&amp;EOMONTH(K38,0))</f>
        <v>1</v>
      </c>
      <c r="M38">
        <f>SUM($L$5:L38)</f>
        <v>182</v>
      </c>
    </row>
    <row r="39" spans="2:13" ht="13.5" x14ac:dyDescent="0.25">
      <c r="B39" s="29" t="s">
        <v>247</v>
      </c>
      <c r="C39" s="28">
        <v>3</v>
      </c>
      <c r="J39">
        <v>35</v>
      </c>
      <c r="K39" s="32">
        <v>44986</v>
      </c>
      <c r="L39" s="28">
        <f>COUNTIFS(Staff[Date Joined],"&gt;="&amp;K39,Staff[Date Joined],"&lt;="&amp;EOMONTH(K39,0))</f>
        <v>0</v>
      </c>
      <c r="M39">
        <f>SUM($L$5:L39)</f>
        <v>182</v>
      </c>
    </row>
    <row r="40" spans="2:13" ht="13.5" x14ac:dyDescent="0.25">
      <c r="B40" s="29" t="s">
        <v>248</v>
      </c>
      <c r="C40" s="28">
        <v>13</v>
      </c>
      <c r="J40">
        <v>36</v>
      </c>
      <c r="K40" s="32">
        <v>45017</v>
      </c>
      <c r="L40" s="28">
        <f>COUNTIFS(Staff[Date Joined],"&gt;="&amp;K40,Staff[Date Joined],"&lt;="&amp;EOMONTH(K40,0))</f>
        <v>1</v>
      </c>
      <c r="M40">
        <f>SUM($L$5:L40)</f>
        <v>183</v>
      </c>
    </row>
    <row r="41" spans="2:13" ht="13.5" x14ac:dyDescent="0.25">
      <c r="B41" s="29" t="s">
        <v>249</v>
      </c>
      <c r="C41" s="28">
        <v>22</v>
      </c>
    </row>
    <row r="42" spans="2:13" ht="13.5" x14ac:dyDescent="0.25">
      <c r="B42" s="29" t="s">
        <v>250</v>
      </c>
      <c r="C42" s="28">
        <v>31</v>
      </c>
    </row>
    <row r="43" spans="2:13" ht="13.5" x14ac:dyDescent="0.25">
      <c r="B43" s="29" t="s">
        <v>238</v>
      </c>
      <c r="C43" s="28">
        <v>40</v>
      </c>
    </row>
    <row r="44" spans="2:13" ht="13.5" x14ac:dyDescent="0.25">
      <c r="B44" s="29" t="s">
        <v>239</v>
      </c>
      <c r="C44" s="28">
        <v>47</v>
      </c>
    </row>
    <row r="45" spans="2:13" ht="13.5" x14ac:dyDescent="0.25">
      <c r="B45" s="29" t="s">
        <v>240</v>
      </c>
      <c r="C45" s="28">
        <v>52</v>
      </c>
    </row>
    <row r="46" spans="2:13" ht="13.5" x14ac:dyDescent="0.25">
      <c r="B46" s="29" t="s">
        <v>241</v>
      </c>
      <c r="C46" s="28">
        <v>57</v>
      </c>
    </row>
    <row r="47" spans="2:13" ht="13.5" x14ac:dyDescent="0.25">
      <c r="B47" s="29" t="s">
        <v>242</v>
      </c>
      <c r="C47" s="28">
        <v>59</v>
      </c>
    </row>
    <row r="48" spans="2:13" ht="13.5" x14ac:dyDescent="0.25">
      <c r="B48" s="29" t="s">
        <v>243</v>
      </c>
      <c r="C48" s="28">
        <v>62</v>
      </c>
    </row>
    <row r="49" spans="2:3" ht="13.5" x14ac:dyDescent="0.25">
      <c r="B49" s="21" t="s">
        <v>252</v>
      </c>
      <c r="C49" s="28" t="e">
        <v>#N/A</v>
      </c>
    </row>
    <row r="50" spans="2:3" ht="13.5" x14ac:dyDescent="0.25">
      <c r="B50" s="21" t="s">
        <v>231</v>
      </c>
      <c r="C50" s="28"/>
    </row>
    <row r="51" spans="2:3" ht="13.5" x14ac:dyDescent="0.25"/>
    <row r="52" spans="2:3" ht="13.5" x14ac:dyDescent="0.25"/>
    <row r="53" spans="2:3" ht="13.5" x14ac:dyDescent="0.25"/>
    <row r="54" spans="2:3" ht="13.5" x14ac:dyDescent="0.25"/>
    <row r="55" spans="2:3" ht="13.5" x14ac:dyDescent="0.25"/>
    <row r="56" spans="2:3" ht="13.5" x14ac:dyDescent="0.25"/>
    <row r="57" spans="2:3" ht="13.5" x14ac:dyDescent="0.25"/>
    <row r="58" spans="2:3" ht="13.5" x14ac:dyDescent="0.25"/>
    <row r="59" spans="2:3" ht="13.5" x14ac:dyDescent="0.25"/>
    <row r="60" spans="2:3" ht="13.5" x14ac:dyDescent="0.25"/>
    <row r="61" spans="2:3" ht="13.5" x14ac:dyDescent="0.25"/>
    <row r="62" spans="2:3" ht="13.5" x14ac:dyDescent="0.25"/>
    <row r="63" spans="2:3" ht="13.5" x14ac:dyDescent="0.25"/>
    <row r="64" spans="2:3" ht="13.5" x14ac:dyDescent="0.25"/>
    <row r="65" ht="13.5" x14ac:dyDescent="0.25"/>
    <row r="66" ht="13.5" x14ac:dyDescent="0.25"/>
    <row r="67" ht="13.5" x14ac:dyDescent="0.25"/>
    <row r="68" ht="13.5" x14ac:dyDescent="0.25"/>
    <row r="69" ht="13.5" x14ac:dyDescent="0.25"/>
    <row r="70" ht="13.5" x14ac:dyDescent="0.25"/>
    <row r="71" ht="13.5" x14ac:dyDescent="0.25"/>
    <row r="72" ht="13.5" x14ac:dyDescent="0.25"/>
    <row r="73" ht="13.5" x14ac:dyDescent="0.25"/>
    <row r="74" ht="13.5" x14ac:dyDescent="0.25"/>
    <row r="75" ht="13.5" x14ac:dyDescent="0.25"/>
    <row r="76" ht="13.5" x14ac:dyDescent="0.25"/>
    <row r="77" ht="13.5" x14ac:dyDescent="0.25"/>
    <row r="78" ht="13.5" x14ac:dyDescent="0.25"/>
    <row r="79" ht="13.5" x14ac:dyDescent="0.25"/>
    <row r="80" ht="13.5" x14ac:dyDescent="0.25"/>
    <row r="81" ht="13.5" x14ac:dyDescent="0.25"/>
    <row r="82" ht="13.5" x14ac:dyDescent="0.25"/>
    <row r="83" ht="13.5" x14ac:dyDescent="0.25"/>
    <row r="84" ht="13.5" x14ac:dyDescent="0.25"/>
    <row r="85" ht="13.5" x14ac:dyDescent="0.25"/>
    <row r="86" ht="13.5" x14ac:dyDescent="0.25"/>
    <row r="87" ht="13.5" x14ac:dyDescent="0.25"/>
    <row r="88" ht="13.5" x14ac:dyDescent="0.25"/>
    <row r="89" ht="13.5" x14ac:dyDescent="0.25"/>
    <row r="90" ht="13.5" x14ac:dyDescent="0.25"/>
    <row r="91" ht="13.5" x14ac:dyDescent="0.25"/>
    <row r="92" ht="13.5" x14ac:dyDescent="0.25"/>
    <row r="93" ht="13.5" x14ac:dyDescent="0.25"/>
    <row r="94" ht="13.5" x14ac:dyDescent="0.25"/>
    <row r="95" ht="13.5" x14ac:dyDescent="0.25"/>
    <row r="96" ht="13.5" x14ac:dyDescent="0.25"/>
    <row r="97" ht="13.5" x14ac:dyDescent="0.25"/>
    <row r="98" ht="13.5" x14ac:dyDescent="0.25"/>
    <row r="99" ht="13.5" x14ac:dyDescent="0.25"/>
    <row r="100" ht="13.5" x14ac:dyDescent="0.25"/>
    <row r="101" ht="13.5" x14ac:dyDescent="0.25"/>
    <row r="102" ht="13.5" x14ac:dyDescent="0.25"/>
    <row r="103" ht="13.5" x14ac:dyDescent="0.25"/>
    <row r="104" ht="13.5" x14ac:dyDescent="0.25"/>
    <row r="105" ht="13.5" x14ac:dyDescent="0.25"/>
    <row r="106" ht="13.5" x14ac:dyDescent="0.25"/>
    <row r="107" ht="13.5" x14ac:dyDescent="0.25"/>
    <row r="108" ht="13.5" x14ac:dyDescent="0.25"/>
    <row r="109" ht="13.5" x14ac:dyDescent="0.25"/>
    <row r="110" ht="13.5" x14ac:dyDescent="0.25"/>
    <row r="111" ht="13.5" x14ac:dyDescent="0.25"/>
    <row r="112" ht="13.5" x14ac:dyDescent="0.25"/>
    <row r="113" ht="13.5" x14ac:dyDescent="0.25"/>
    <row r="114" ht="13.5" x14ac:dyDescent="0.25"/>
    <row r="115" ht="13.5" x14ac:dyDescent="0.25"/>
    <row r="116" ht="13.5" x14ac:dyDescent="0.25"/>
    <row r="117" ht="13.5" x14ac:dyDescent="0.25"/>
    <row r="118" ht="13.5" x14ac:dyDescent="0.25"/>
    <row r="119" ht="13.5" x14ac:dyDescent="0.25"/>
    <row r="120" ht="13.5" x14ac:dyDescent="0.25"/>
    <row r="121" ht="13.5" x14ac:dyDescent="0.25"/>
    <row r="122" ht="13.5" x14ac:dyDescent="0.25"/>
    <row r="123" ht="13.5" x14ac:dyDescent="0.25"/>
    <row r="124" ht="13.5" x14ac:dyDescent="0.25"/>
    <row r="125" ht="13.5" x14ac:dyDescent="0.25"/>
    <row r="126" ht="13.5" x14ac:dyDescent="0.25"/>
    <row r="127" ht="13.5" x14ac:dyDescent="0.25"/>
    <row r="128" ht="13.5" x14ac:dyDescent="0.25"/>
    <row r="129" ht="13.5" x14ac:dyDescent="0.25"/>
    <row r="130" ht="13.5" x14ac:dyDescent="0.25"/>
    <row r="131" ht="13.5" x14ac:dyDescent="0.25"/>
    <row r="132" ht="13.5" x14ac:dyDescent="0.25"/>
    <row r="133" ht="13.5" x14ac:dyDescent="0.25"/>
    <row r="134" ht="13.5" x14ac:dyDescent="0.25"/>
    <row r="135" ht="13.5" x14ac:dyDescent="0.25"/>
    <row r="136" ht="13.5" x14ac:dyDescent="0.25"/>
    <row r="137" ht="13.5" x14ac:dyDescent="0.25"/>
    <row r="138" ht="13.5" x14ac:dyDescent="0.25"/>
    <row r="139" ht="13.5" x14ac:dyDescent="0.25"/>
    <row r="140" ht="13.5" x14ac:dyDescent="0.25"/>
    <row r="141" ht="13.5" x14ac:dyDescent="0.25"/>
    <row r="142" ht="13.5" x14ac:dyDescent="0.25"/>
    <row r="143" ht="13.5" x14ac:dyDescent="0.25"/>
    <row r="144" ht="13.5" x14ac:dyDescent="0.25"/>
    <row r="145" ht="13.5" x14ac:dyDescent="0.25"/>
    <row r="146" ht="13.5" x14ac:dyDescent="0.25"/>
    <row r="147" ht="13.5" x14ac:dyDescent="0.25"/>
    <row r="148" ht="13.5" x14ac:dyDescent="0.25"/>
    <row r="149" ht="13.5" x14ac:dyDescent="0.25"/>
    <row r="150" ht="13.5" x14ac:dyDescent="0.25"/>
    <row r="151" ht="13.5" x14ac:dyDescent="0.25"/>
    <row r="152" ht="13.5" x14ac:dyDescent="0.25"/>
    <row r="153" ht="13.5" x14ac:dyDescent="0.25"/>
    <row r="154" ht="13.5" x14ac:dyDescent="0.25"/>
    <row r="155" ht="13.5" x14ac:dyDescent="0.25"/>
    <row r="156" ht="13.5" x14ac:dyDescent="0.25"/>
    <row r="157" ht="13.5" x14ac:dyDescent="0.25"/>
    <row r="158" ht="13.5" x14ac:dyDescent="0.25"/>
    <row r="159" ht="13.5" x14ac:dyDescent="0.25"/>
    <row r="160" ht="13.5" x14ac:dyDescent="0.25"/>
    <row r="161" ht="13.5" x14ac:dyDescent="0.25"/>
    <row r="162" ht="13.5" x14ac:dyDescent="0.25"/>
    <row r="163" ht="13.5" x14ac:dyDescent="0.25"/>
    <row r="164" ht="13.5" x14ac:dyDescent="0.25"/>
    <row r="165" ht="13.5" x14ac:dyDescent="0.25"/>
    <row r="166" ht="13.5" x14ac:dyDescent="0.25"/>
    <row r="167" ht="13.5" x14ac:dyDescent="0.25"/>
    <row r="168" ht="13.5" x14ac:dyDescent="0.25"/>
    <row r="169" ht="13.5" x14ac:dyDescent="0.25"/>
    <row r="170" ht="13.5" x14ac:dyDescent="0.25"/>
    <row r="171" ht="13.5" x14ac:dyDescent="0.25"/>
    <row r="172" ht="13.5" x14ac:dyDescent="0.25"/>
    <row r="173" ht="13.5" x14ac:dyDescent="0.25"/>
    <row r="174" ht="13.5" x14ac:dyDescent="0.25"/>
    <row r="175" ht="13.5" x14ac:dyDescent="0.25"/>
    <row r="176" ht="13.5" x14ac:dyDescent="0.25"/>
    <row r="177" ht="13.5" x14ac:dyDescent="0.25"/>
    <row r="178" ht="13.5" x14ac:dyDescent="0.25"/>
    <row r="179" ht="13.5" x14ac:dyDescent="0.25"/>
    <row r="180" ht="13.5" x14ac:dyDescent="0.25"/>
    <row r="181" ht="13.5" x14ac:dyDescent="0.25"/>
    <row r="182" ht="13.5" x14ac:dyDescent="0.25"/>
    <row r="183" ht="13.5" x14ac:dyDescent="0.25"/>
    <row r="184" ht="13.5" x14ac:dyDescent="0.25"/>
    <row r="185" ht="13.5" x14ac:dyDescent="0.25"/>
    <row r="186" ht="13.5" x14ac:dyDescent="0.25"/>
    <row r="187" ht="13.5" x14ac:dyDescent="0.25"/>
    <row r="188" ht="13.5" x14ac:dyDescent="0.25"/>
  </sheetData>
  <conditionalFormatting pivot="1" sqref="D5:D9">
    <cfRule type="dataBar" priority="1">
      <dataBar>
        <cfvo type="min"/>
        <cfvo type="max"/>
        <color rgb="FF008AEF"/>
      </dataBar>
      <extLst>
        <ext xmlns:x14="http://schemas.microsoft.com/office/spreadsheetml/2009/9/main" uri="{B025F937-C7B1-47D3-B67F-A62EFF666E3E}">
          <x14:id>{E84C12B1-2F71-4953-997F-A664031CF580}</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E84C12B1-2F71-4953-997F-A664031CF580}">
            <x14:dataBar minLength="0" maxLength="100" border="1" negativeBarBorderColorSameAsPositive="0">
              <x14:cfvo type="autoMin"/>
              <x14:cfvo type="autoMax"/>
              <x14:borderColor rgb="FF008AEF"/>
              <x14:negativeFillColor rgb="FFFF0000"/>
              <x14:negativeBorderColor rgb="FFFF0000"/>
              <x14:axisColor rgb="FF000000"/>
            </x14:dataBar>
          </x14:cfRule>
          <xm:sqref>D5:D9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781E4-8048-4D71-A59A-C31FD6F25B04}">
  <sheetPr codeName="Sheet1"/>
  <dimension ref="G9:M109"/>
  <sheetViews>
    <sheetView topLeftCell="D11" workbookViewId="0">
      <selection activeCell="G39" sqref="G39"/>
    </sheetView>
  </sheetViews>
  <sheetFormatPr defaultRowHeight="14.5" x14ac:dyDescent="0.25"/>
  <cols>
    <col min="7" max="7" width="19.75" customWidth="1"/>
    <col min="8" max="8" width="8.9140625" customWidth="1"/>
    <col min="9" max="9" width="13" customWidth="1"/>
    <col min="10" max="10" width="5.83203125" customWidth="1"/>
    <col min="11" max="11" width="12.58203125" customWidth="1"/>
    <col min="12" max="12" width="11.4140625" customWidth="1"/>
    <col min="13" max="13" width="13.1640625" customWidth="1"/>
  </cols>
  <sheetData>
    <row r="9" spans="7:13" ht="13.5" x14ac:dyDescent="0.25">
      <c r="G9" t="s">
        <v>0</v>
      </c>
      <c r="H9" t="s">
        <v>1</v>
      </c>
      <c r="I9" t="s">
        <v>2</v>
      </c>
      <c r="J9" t="s">
        <v>3</v>
      </c>
      <c r="K9" t="s">
        <v>4</v>
      </c>
      <c r="L9" t="s">
        <v>5</v>
      </c>
      <c r="M9" t="s">
        <v>6</v>
      </c>
    </row>
    <row r="10" spans="7:13" ht="13.5" x14ac:dyDescent="0.25">
      <c r="G10" t="s">
        <v>7</v>
      </c>
      <c r="H10" t="s">
        <v>8</v>
      </c>
      <c r="I10" t="s">
        <v>9</v>
      </c>
      <c r="J10">
        <v>22</v>
      </c>
      <c r="K10" s="3">
        <v>44446</v>
      </c>
      <c r="L10" s="2">
        <v>112780</v>
      </c>
      <c r="M10" t="s">
        <v>10</v>
      </c>
    </row>
    <row r="11" spans="7:13" ht="13.5" x14ac:dyDescent="0.25">
      <c r="G11" t="s">
        <v>11</v>
      </c>
      <c r="H11" t="s">
        <v>8</v>
      </c>
      <c r="I11" t="s">
        <v>12</v>
      </c>
      <c r="J11">
        <v>46</v>
      </c>
      <c r="K11" s="3">
        <v>44758</v>
      </c>
      <c r="L11" s="2">
        <v>70610</v>
      </c>
      <c r="M11" t="s">
        <v>13</v>
      </c>
    </row>
    <row r="12" spans="7:13" ht="13.5" x14ac:dyDescent="0.25">
      <c r="G12" t="s">
        <v>14</v>
      </c>
      <c r="H12" t="s">
        <v>15</v>
      </c>
      <c r="I12" t="s">
        <v>9</v>
      </c>
      <c r="J12">
        <v>28</v>
      </c>
      <c r="K12" s="3">
        <v>44357</v>
      </c>
      <c r="L12" s="2">
        <v>53240</v>
      </c>
      <c r="M12" t="s">
        <v>13</v>
      </c>
    </row>
    <row r="13" spans="7:13" ht="13.5" x14ac:dyDescent="0.25">
      <c r="G13" t="s">
        <v>16</v>
      </c>
      <c r="I13" t="s">
        <v>17</v>
      </c>
      <c r="J13">
        <v>37</v>
      </c>
      <c r="K13" s="3">
        <v>44146</v>
      </c>
      <c r="L13" s="2">
        <v>115440</v>
      </c>
      <c r="M13" t="s">
        <v>18</v>
      </c>
    </row>
    <row r="14" spans="7:13" ht="13.5" x14ac:dyDescent="0.25">
      <c r="G14" t="s">
        <v>19</v>
      </c>
      <c r="H14" t="s">
        <v>8</v>
      </c>
      <c r="I14" t="s">
        <v>9</v>
      </c>
      <c r="J14">
        <v>32</v>
      </c>
      <c r="K14" s="3">
        <v>44465</v>
      </c>
      <c r="L14" s="2">
        <v>53540</v>
      </c>
      <c r="M14" t="s">
        <v>13</v>
      </c>
    </row>
    <row r="15" spans="7:13" ht="13.5" x14ac:dyDescent="0.25">
      <c r="G15" t="s">
        <v>20</v>
      </c>
      <c r="H15" t="s">
        <v>15</v>
      </c>
      <c r="I15" t="s">
        <v>12</v>
      </c>
      <c r="J15">
        <v>30</v>
      </c>
      <c r="K15" s="3">
        <v>44861</v>
      </c>
      <c r="L15" s="2">
        <v>112570</v>
      </c>
      <c r="M15" t="s">
        <v>13</v>
      </c>
    </row>
    <row r="16" spans="7:13" ht="13.5" x14ac:dyDescent="0.25">
      <c r="G16" t="s">
        <v>21</v>
      </c>
      <c r="H16" t="s">
        <v>8</v>
      </c>
      <c r="I16" t="s">
        <v>12</v>
      </c>
      <c r="J16">
        <v>33</v>
      </c>
      <c r="K16" s="3">
        <v>44701</v>
      </c>
      <c r="L16" s="2">
        <v>48530</v>
      </c>
      <c r="M16" t="s">
        <v>10</v>
      </c>
    </row>
    <row r="17" spans="7:13" ht="13.5" x14ac:dyDescent="0.25">
      <c r="G17" t="s">
        <v>22</v>
      </c>
      <c r="H17" t="s">
        <v>15</v>
      </c>
      <c r="I17" t="s">
        <v>23</v>
      </c>
      <c r="J17">
        <v>24</v>
      </c>
      <c r="K17" s="3">
        <v>44148</v>
      </c>
      <c r="L17" s="2">
        <v>62780</v>
      </c>
      <c r="M17" t="s">
        <v>13</v>
      </c>
    </row>
    <row r="18" spans="7:13" ht="13.5" x14ac:dyDescent="0.25">
      <c r="G18" t="s">
        <v>24</v>
      </c>
      <c r="H18" t="s">
        <v>8</v>
      </c>
      <c r="I18" t="s">
        <v>23</v>
      </c>
      <c r="J18">
        <v>33</v>
      </c>
      <c r="K18" s="3">
        <v>44509</v>
      </c>
      <c r="L18" s="2">
        <v>53870</v>
      </c>
      <c r="M18" t="s">
        <v>13</v>
      </c>
    </row>
    <row r="19" spans="7:13" ht="13.5" x14ac:dyDescent="0.25">
      <c r="G19" t="s">
        <v>25</v>
      </c>
      <c r="H19" t="s">
        <v>15</v>
      </c>
      <c r="I19" t="s">
        <v>26</v>
      </c>
      <c r="J19">
        <v>27</v>
      </c>
      <c r="K19" s="3">
        <v>44122</v>
      </c>
      <c r="L19" s="2">
        <v>119110</v>
      </c>
      <c r="M19" t="s">
        <v>13</v>
      </c>
    </row>
    <row r="20" spans="7:13" ht="13.5" x14ac:dyDescent="0.25">
      <c r="G20" t="s">
        <v>27</v>
      </c>
      <c r="H20" t="s">
        <v>8</v>
      </c>
      <c r="I20" t="s">
        <v>23</v>
      </c>
      <c r="J20">
        <v>29</v>
      </c>
      <c r="K20" s="3">
        <v>44180</v>
      </c>
      <c r="L20" s="2">
        <v>112110</v>
      </c>
      <c r="M20" t="s">
        <v>18</v>
      </c>
    </row>
    <row r="21" spans="7:13" ht="13.5" x14ac:dyDescent="0.25">
      <c r="G21" t="s">
        <v>28</v>
      </c>
      <c r="H21" t="s">
        <v>8</v>
      </c>
      <c r="I21" t="s">
        <v>9</v>
      </c>
      <c r="J21">
        <v>25</v>
      </c>
      <c r="K21" s="3">
        <v>44383</v>
      </c>
      <c r="L21" s="2">
        <v>65700</v>
      </c>
      <c r="M21" t="s">
        <v>13</v>
      </c>
    </row>
    <row r="22" spans="7:13" ht="13.5" x14ac:dyDescent="0.25">
      <c r="G22" t="s">
        <v>29</v>
      </c>
      <c r="H22" t="s">
        <v>8</v>
      </c>
      <c r="I22" t="s">
        <v>23</v>
      </c>
      <c r="J22">
        <v>37</v>
      </c>
      <c r="K22" s="3">
        <v>44701</v>
      </c>
      <c r="L22" s="2">
        <v>69070</v>
      </c>
      <c r="M22" t="s">
        <v>13</v>
      </c>
    </row>
    <row r="23" spans="7:13" ht="13.5" x14ac:dyDescent="0.25">
      <c r="G23" t="s">
        <v>30</v>
      </c>
      <c r="H23" t="s">
        <v>8</v>
      </c>
      <c r="I23" t="s">
        <v>23</v>
      </c>
      <c r="J23">
        <v>20</v>
      </c>
      <c r="K23" s="3">
        <v>44459</v>
      </c>
      <c r="L23" s="2">
        <v>107700</v>
      </c>
      <c r="M23" t="s">
        <v>13</v>
      </c>
    </row>
    <row r="24" spans="7:13" ht="13.5" x14ac:dyDescent="0.25">
      <c r="G24" t="s">
        <v>31</v>
      </c>
      <c r="H24" t="s">
        <v>15</v>
      </c>
      <c r="I24" t="s">
        <v>23</v>
      </c>
      <c r="J24">
        <v>32</v>
      </c>
      <c r="K24" s="3">
        <v>44354</v>
      </c>
      <c r="L24" s="2">
        <v>43840</v>
      </c>
      <c r="M24" t="s">
        <v>10</v>
      </c>
    </row>
    <row r="25" spans="7:13" ht="13.5" x14ac:dyDescent="0.25">
      <c r="G25" t="s">
        <v>32</v>
      </c>
      <c r="H25" t="s">
        <v>8</v>
      </c>
      <c r="I25" t="s">
        <v>12</v>
      </c>
      <c r="J25">
        <v>40</v>
      </c>
      <c r="K25" s="3">
        <v>44263</v>
      </c>
      <c r="L25" s="2">
        <v>99750</v>
      </c>
      <c r="M25" t="s">
        <v>13</v>
      </c>
    </row>
    <row r="26" spans="7:13" ht="13.5" x14ac:dyDescent="0.25">
      <c r="G26" t="s">
        <v>33</v>
      </c>
      <c r="H26" t="s">
        <v>8</v>
      </c>
      <c r="I26" t="s">
        <v>12</v>
      </c>
      <c r="J26">
        <v>21</v>
      </c>
      <c r="K26" s="3">
        <v>44104</v>
      </c>
      <c r="L26" s="2">
        <v>37920</v>
      </c>
      <c r="M26" t="s">
        <v>13</v>
      </c>
    </row>
    <row r="27" spans="7:13" ht="13.5" x14ac:dyDescent="0.25">
      <c r="G27" t="s">
        <v>34</v>
      </c>
      <c r="H27" t="s">
        <v>8</v>
      </c>
      <c r="I27" t="s">
        <v>12</v>
      </c>
      <c r="J27">
        <v>21</v>
      </c>
      <c r="K27" s="3">
        <v>44762</v>
      </c>
      <c r="L27" s="2">
        <v>57090</v>
      </c>
      <c r="M27" t="s">
        <v>13</v>
      </c>
    </row>
    <row r="28" spans="7:13" ht="13.5" x14ac:dyDescent="0.25">
      <c r="G28" t="s">
        <v>35</v>
      </c>
      <c r="H28" t="s">
        <v>15</v>
      </c>
      <c r="I28" t="s">
        <v>23</v>
      </c>
      <c r="J28">
        <v>31</v>
      </c>
      <c r="K28" s="3">
        <v>44145</v>
      </c>
      <c r="L28" s="2">
        <v>41980</v>
      </c>
      <c r="M28" t="s">
        <v>13</v>
      </c>
    </row>
    <row r="29" spans="7:13" ht="13.5" x14ac:dyDescent="0.25">
      <c r="G29" t="s">
        <v>36</v>
      </c>
      <c r="H29" t="s">
        <v>8</v>
      </c>
      <c r="I29" t="s">
        <v>26</v>
      </c>
      <c r="J29">
        <v>21</v>
      </c>
      <c r="K29" s="3">
        <v>44242</v>
      </c>
      <c r="L29" s="2">
        <v>75880</v>
      </c>
      <c r="M29" t="s">
        <v>13</v>
      </c>
    </row>
    <row r="30" spans="7:13" ht="13.5" x14ac:dyDescent="0.25">
      <c r="G30" t="s">
        <v>37</v>
      </c>
      <c r="H30" t="s">
        <v>15</v>
      </c>
      <c r="I30" t="s">
        <v>17</v>
      </c>
      <c r="J30">
        <v>34</v>
      </c>
      <c r="K30" s="3">
        <v>44653</v>
      </c>
      <c r="L30" s="2">
        <v>58940</v>
      </c>
      <c r="M30" t="s">
        <v>13</v>
      </c>
    </row>
    <row r="31" spans="7:13" ht="13.5" x14ac:dyDescent="0.25">
      <c r="G31" t="s">
        <v>38</v>
      </c>
      <c r="H31" t="s">
        <v>15</v>
      </c>
      <c r="I31" t="s">
        <v>17</v>
      </c>
      <c r="J31">
        <v>30</v>
      </c>
      <c r="K31" s="3">
        <v>44389</v>
      </c>
      <c r="L31" s="2">
        <v>67910</v>
      </c>
      <c r="M31" t="s">
        <v>18</v>
      </c>
    </row>
    <row r="32" spans="7:13" ht="13.5" x14ac:dyDescent="0.25">
      <c r="G32" t="s">
        <v>39</v>
      </c>
      <c r="H32" t="s">
        <v>15</v>
      </c>
      <c r="I32" t="s">
        <v>23</v>
      </c>
      <c r="J32">
        <v>31</v>
      </c>
      <c r="K32" s="3">
        <v>44663</v>
      </c>
      <c r="L32" s="2">
        <v>58100</v>
      </c>
      <c r="M32" t="s">
        <v>13</v>
      </c>
    </row>
    <row r="33" spans="7:13" ht="13.5" x14ac:dyDescent="0.25">
      <c r="G33" t="s">
        <v>40</v>
      </c>
      <c r="H33" t="s">
        <v>8</v>
      </c>
      <c r="I33" t="s">
        <v>17</v>
      </c>
      <c r="J33">
        <v>27</v>
      </c>
      <c r="K33" s="3">
        <v>44567</v>
      </c>
      <c r="L33" s="2">
        <v>48980</v>
      </c>
      <c r="M33" t="s">
        <v>13</v>
      </c>
    </row>
    <row r="34" spans="7:13" ht="13.5" x14ac:dyDescent="0.25">
      <c r="G34" t="s">
        <v>41</v>
      </c>
      <c r="I34" t="s">
        <v>17</v>
      </c>
      <c r="J34">
        <v>30</v>
      </c>
      <c r="K34" s="3">
        <v>44597</v>
      </c>
      <c r="L34" s="2">
        <v>64000</v>
      </c>
      <c r="M34" t="s">
        <v>13</v>
      </c>
    </row>
    <row r="35" spans="7:13" ht="13.5" x14ac:dyDescent="0.25">
      <c r="G35" t="s">
        <v>42</v>
      </c>
      <c r="H35" t="s">
        <v>15</v>
      </c>
      <c r="I35" t="s">
        <v>12</v>
      </c>
      <c r="J35">
        <v>42</v>
      </c>
      <c r="K35" s="3">
        <v>44779</v>
      </c>
      <c r="L35" s="2">
        <v>75000</v>
      </c>
      <c r="M35" t="s">
        <v>43</v>
      </c>
    </row>
    <row r="36" spans="7:13" ht="13.5" x14ac:dyDescent="0.25">
      <c r="G36" t="s">
        <v>44</v>
      </c>
      <c r="H36" t="s">
        <v>15</v>
      </c>
      <c r="I36" t="s">
        <v>23</v>
      </c>
      <c r="J36">
        <v>40</v>
      </c>
      <c r="K36" s="3">
        <v>44337</v>
      </c>
      <c r="L36" s="2">
        <v>87620</v>
      </c>
      <c r="M36" t="s">
        <v>13</v>
      </c>
    </row>
    <row r="37" spans="7:13" ht="13.5" x14ac:dyDescent="0.25">
      <c r="G37" t="s">
        <v>45</v>
      </c>
      <c r="H37" t="s">
        <v>15</v>
      </c>
      <c r="I37" t="s">
        <v>23</v>
      </c>
      <c r="J37">
        <v>29</v>
      </c>
      <c r="K37" s="3">
        <v>44023</v>
      </c>
      <c r="L37" s="2">
        <v>34980</v>
      </c>
      <c r="M37" t="s">
        <v>13</v>
      </c>
    </row>
    <row r="38" spans="7:13" ht="13.5" x14ac:dyDescent="0.25">
      <c r="G38" t="s">
        <v>46</v>
      </c>
      <c r="H38" t="s">
        <v>15</v>
      </c>
      <c r="I38" t="s">
        <v>17</v>
      </c>
      <c r="J38">
        <v>28</v>
      </c>
      <c r="K38" s="3">
        <v>44185</v>
      </c>
      <c r="L38" s="2">
        <v>75970</v>
      </c>
      <c r="M38" t="s">
        <v>13</v>
      </c>
    </row>
    <row r="39" spans="7:13" ht="13.5" x14ac:dyDescent="0.25">
      <c r="G39" t="s">
        <v>47</v>
      </c>
      <c r="H39" t="s">
        <v>15</v>
      </c>
      <c r="I39" t="s">
        <v>17</v>
      </c>
      <c r="J39">
        <v>34</v>
      </c>
      <c r="K39" s="3">
        <v>44612</v>
      </c>
      <c r="L39" s="2">
        <v>60130</v>
      </c>
      <c r="M39" t="s">
        <v>13</v>
      </c>
    </row>
    <row r="40" spans="7:13" ht="13.5" x14ac:dyDescent="0.25">
      <c r="G40" t="s">
        <v>48</v>
      </c>
      <c r="H40" t="s">
        <v>15</v>
      </c>
      <c r="I40" t="s">
        <v>23</v>
      </c>
      <c r="J40">
        <v>33</v>
      </c>
      <c r="K40" s="3">
        <v>44374</v>
      </c>
      <c r="L40" s="2">
        <v>75480</v>
      </c>
      <c r="M40" t="s">
        <v>49</v>
      </c>
    </row>
    <row r="41" spans="7:13" ht="13.5" x14ac:dyDescent="0.25">
      <c r="G41" t="s">
        <v>50</v>
      </c>
      <c r="H41" t="s">
        <v>8</v>
      </c>
      <c r="I41" t="s">
        <v>12</v>
      </c>
      <c r="J41">
        <v>33</v>
      </c>
      <c r="K41" s="3">
        <v>44164</v>
      </c>
      <c r="L41" s="2">
        <v>115920</v>
      </c>
      <c r="M41" t="s">
        <v>13</v>
      </c>
    </row>
    <row r="42" spans="7:13" ht="13.5" x14ac:dyDescent="0.25">
      <c r="G42" t="s">
        <v>51</v>
      </c>
      <c r="H42" t="s">
        <v>15</v>
      </c>
      <c r="I42" t="s">
        <v>9</v>
      </c>
      <c r="J42">
        <v>36</v>
      </c>
      <c r="K42" s="3">
        <v>44494</v>
      </c>
      <c r="L42" s="2">
        <v>78540</v>
      </c>
      <c r="M42" t="s">
        <v>13</v>
      </c>
    </row>
    <row r="43" spans="7:13" ht="13.5" x14ac:dyDescent="0.25">
      <c r="G43" t="s">
        <v>52</v>
      </c>
      <c r="H43" t="s">
        <v>8</v>
      </c>
      <c r="I43" t="s">
        <v>12</v>
      </c>
      <c r="J43">
        <v>25</v>
      </c>
      <c r="K43" s="3">
        <v>44726</v>
      </c>
      <c r="L43" s="2">
        <v>109190</v>
      </c>
      <c r="M43" t="s">
        <v>10</v>
      </c>
    </row>
    <row r="44" spans="7:13" ht="13.5" x14ac:dyDescent="0.25">
      <c r="G44" t="s">
        <v>53</v>
      </c>
      <c r="H44" t="s">
        <v>15</v>
      </c>
      <c r="I44" t="s">
        <v>9</v>
      </c>
      <c r="J44">
        <v>34</v>
      </c>
      <c r="K44" s="3">
        <v>44721</v>
      </c>
      <c r="L44" s="2">
        <v>49630</v>
      </c>
      <c r="M44" t="s">
        <v>18</v>
      </c>
    </row>
    <row r="45" spans="7:13" ht="13.5" x14ac:dyDescent="0.25">
      <c r="G45" t="s">
        <v>54</v>
      </c>
      <c r="H45" t="s">
        <v>15</v>
      </c>
      <c r="I45" t="s">
        <v>12</v>
      </c>
      <c r="J45">
        <v>28</v>
      </c>
      <c r="K45" s="3">
        <v>44630</v>
      </c>
      <c r="L45" s="2">
        <v>99970</v>
      </c>
      <c r="M45" t="s">
        <v>13</v>
      </c>
    </row>
    <row r="46" spans="7:13" ht="13.5" x14ac:dyDescent="0.25">
      <c r="G46" t="s">
        <v>55</v>
      </c>
      <c r="H46" t="s">
        <v>15</v>
      </c>
      <c r="I46" t="s">
        <v>23</v>
      </c>
      <c r="J46">
        <v>33</v>
      </c>
      <c r="K46" s="3">
        <v>44190</v>
      </c>
      <c r="L46" s="2">
        <v>96140</v>
      </c>
      <c r="M46" t="s">
        <v>13</v>
      </c>
    </row>
    <row r="47" spans="7:13" ht="13.5" x14ac:dyDescent="0.25">
      <c r="G47" t="s">
        <v>56</v>
      </c>
      <c r="H47" t="s">
        <v>8</v>
      </c>
      <c r="I47" t="s">
        <v>12</v>
      </c>
      <c r="J47">
        <v>31</v>
      </c>
      <c r="K47" s="3">
        <v>44724</v>
      </c>
      <c r="L47" s="2">
        <v>103550</v>
      </c>
      <c r="M47" t="s">
        <v>13</v>
      </c>
    </row>
    <row r="48" spans="7:13" ht="13.5" x14ac:dyDescent="0.25">
      <c r="G48" t="s">
        <v>57</v>
      </c>
      <c r="H48" t="s">
        <v>8</v>
      </c>
      <c r="I48" t="s">
        <v>23</v>
      </c>
      <c r="J48">
        <v>31</v>
      </c>
      <c r="K48" s="3">
        <v>44511</v>
      </c>
      <c r="L48" s="2">
        <v>48950</v>
      </c>
      <c r="M48" t="s">
        <v>13</v>
      </c>
    </row>
    <row r="49" spans="7:13" ht="13.5" x14ac:dyDescent="0.25">
      <c r="G49" t="s">
        <v>58</v>
      </c>
      <c r="H49" t="s">
        <v>8</v>
      </c>
      <c r="I49" t="s">
        <v>17</v>
      </c>
      <c r="J49">
        <v>24</v>
      </c>
      <c r="K49" s="3">
        <v>44436</v>
      </c>
      <c r="L49" s="2">
        <v>52610</v>
      </c>
      <c r="M49" t="s">
        <v>18</v>
      </c>
    </row>
    <row r="50" spans="7:13" ht="13.5" x14ac:dyDescent="0.25">
      <c r="G50" t="s">
        <v>59</v>
      </c>
      <c r="H50" t="s">
        <v>15</v>
      </c>
      <c r="I50" t="s">
        <v>12</v>
      </c>
      <c r="J50">
        <v>36</v>
      </c>
      <c r="K50" s="3">
        <v>44529</v>
      </c>
      <c r="L50" s="2">
        <v>78390</v>
      </c>
      <c r="M50" t="s">
        <v>13</v>
      </c>
    </row>
    <row r="51" spans="7:13" ht="13.5" x14ac:dyDescent="0.25">
      <c r="G51" t="s">
        <v>60</v>
      </c>
      <c r="H51" t="s">
        <v>15</v>
      </c>
      <c r="I51" t="s">
        <v>17</v>
      </c>
      <c r="J51">
        <v>33</v>
      </c>
      <c r="K51" s="3">
        <v>44809</v>
      </c>
      <c r="L51" s="2">
        <v>86570</v>
      </c>
      <c r="M51" t="s">
        <v>13</v>
      </c>
    </row>
    <row r="52" spans="7:13" ht="13.5" x14ac:dyDescent="0.25">
      <c r="G52" t="s">
        <v>61</v>
      </c>
      <c r="H52" t="s">
        <v>15</v>
      </c>
      <c r="I52" t="s">
        <v>23</v>
      </c>
      <c r="J52">
        <v>27</v>
      </c>
      <c r="K52" s="3">
        <v>44686</v>
      </c>
      <c r="L52" s="2">
        <v>83750</v>
      </c>
      <c r="M52" t="s">
        <v>13</v>
      </c>
    </row>
    <row r="53" spans="7:13" ht="13.5" x14ac:dyDescent="0.25">
      <c r="G53" t="s">
        <v>62</v>
      </c>
      <c r="H53" t="s">
        <v>15</v>
      </c>
      <c r="I53" t="s">
        <v>17</v>
      </c>
      <c r="J53">
        <v>34</v>
      </c>
      <c r="K53" s="3">
        <v>44445</v>
      </c>
      <c r="L53" s="2">
        <v>92450</v>
      </c>
      <c r="M53" t="s">
        <v>13</v>
      </c>
    </row>
    <row r="54" spans="7:13" ht="13.5" x14ac:dyDescent="0.25">
      <c r="G54" t="s">
        <v>63</v>
      </c>
      <c r="H54" t="s">
        <v>8</v>
      </c>
      <c r="I54" t="s">
        <v>23</v>
      </c>
      <c r="J54">
        <v>20</v>
      </c>
      <c r="K54" s="3">
        <v>44183</v>
      </c>
      <c r="L54" s="2">
        <v>112650</v>
      </c>
      <c r="M54" t="s">
        <v>13</v>
      </c>
    </row>
    <row r="55" spans="7:13" ht="13.5" x14ac:dyDescent="0.25">
      <c r="G55" t="s">
        <v>64</v>
      </c>
      <c r="H55" t="s">
        <v>8</v>
      </c>
      <c r="I55" t="s">
        <v>12</v>
      </c>
      <c r="J55">
        <v>20</v>
      </c>
      <c r="K55" s="3">
        <v>44744</v>
      </c>
      <c r="L55" s="2">
        <v>79570</v>
      </c>
      <c r="M55" t="s">
        <v>13</v>
      </c>
    </row>
    <row r="56" spans="7:13" ht="13.5" x14ac:dyDescent="0.25">
      <c r="G56" t="s">
        <v>65</v>
      </c>
      <c r="H56" t="s">
        <v>15</v>
      </c>
      <c r="I56" t="s">
        <v>9</v>
      </c>
      <c r="J56">
        <v>20</v>
      </c>
      <c r="K56" s="3">
        <v>44537</v>
      </c>
      <c r="L56" s="2">
        <v>68900</v>
      </c>
      <c r="M56" t="s">
        <v>18</v>
      </c>
    </row>
    <row r="57" spans="7:13" ht="13.5" x14ac:dyDescent="0.25">
      <c r="G57" t="s">
        <v>66</v>
      </c>
      <c r="H57" t="s">
        <v>15</v>
      </c>
      <c r="I57" t="s">
        <v>23</v>
      </c>
      <c r="J57">
        <v>25</v>
      </c>
      <c r="K57" s="3">
        <v>44694</v>
      </c>
      <c r="L57" s="2">
        <v>80700</v>
      </c>
      <c r="M57" t="s">
        <v>10</v>
      </c>
    </row>
    <row r="58" spans="7:13" ht="13.5" x14ac:dyDescent="0.25">
      <c r="G58" t="s">
        <v>67</v>
      </c>
      <c r="H58" t="s">
        <v>8</v>
      </c>
      <c r="I58" t="s">
        <v>12</v>
      </c>
      <c r="J58">
        <v>19</v>
      </c>
      <c r="K58" s="3">
        <v>44277</v>
      </c>
      <c r="L58" s="2">
        <v>58960</v>
      </c>
      <c r="M58" t="s">
        <v>13</v>
      </c>
    </row>
    <row r="59" spans="7:13" ht="13.5" x14ac:dyDescent="0.25">
      <c r="G59" t="s">
        <v>68</v>
      </c>
      <c r="H59" t="s">
        <v>8</v>
      </c>
      <c r="I59" t="s">
        <v>23</v>
      </c>
      <c r="J59">
        <v>36</v>
      </c>
      <c r="K59" s="3">
        <v>44019</v>
      </c>
      <c r="L59" s="2">
        <v>118840</v>
      </c>
      <c r="M59" t="s">
        <v>13</v>
      </c>
    </row>
    <row r="60" spans="7:13" ht="13.5" x14ac:dyDescent="0.25">
      <c r="G60" t="s">
        <v>69</v>
      </c>
      <c r="H60" t="s">
        <v>8</v>
      </c>
      <c r="I60" t="s">
        <v>17</v>
      </c>
      <c r="J60">
        <v>28</v>
      </c>
      <c r="K60" s="3">
        <v>44041</v>
      </c>
      <c r="L60" s="2">
        <v>48170</v>
      </c>
      <c r="M60" t="s">
        <v>10</v>
      </c>
    </row>
    <row r="61" spans="7:13" ht="13.5" x14ac:dyDescent="0.25">
      <c r="G61" t="s">
        <v>70</v>
      </c>
      <c r="H61" t="s">
        <v>15</v>
      </c>
      <c r="I61" t="s">
        <v>26</v>
      </c>
      <c r="J61">
        <v>32</v>
      </c>
      <c r="K61" s="3">
        <v>44400</v>
      </c>
      <c r="L61" s="2">
        <v>45510</v>
      </c>
      <c r="M61" t="s">
        <v>13</v>
      </c>
    </row>
    <row r="62" spans="7:13" ht="13.5" x14ac:dyDescent="0.25">
      <c r="G62" t="s">
        <v>63</v>
      </c>
      <c r="H62" t="s">
        <v>8</v>
      </c>
      <c r="I62" t="s">
        <v>12</v>
      </c>
      <c r="J62">
        <v>34</v>
      </c>
      <c r="K62" s="3">
        <v>44703</v>
      </c>
      <c r="L62" s="2">
        <v>112650</v>
      </c>
      <c r="M62" t="s">
        <v>13</v>
      </c>
    </row>
    <row r="63" spans="7:13" ht="13.5" x14ac:dyDescent="0.25">
      <c r="G63" t="s">
        <v>71</v>
      </c>
      <c r="H63" t="s">
        <v>15</v>
      </c>
      <c r="I63" t="s">
        <v>12</v>
      </c>
      <c r="J63">
        <v>36</v>
      </c>
      <c r="K63" s="3">
        <v>44085</v>
      </c>
      <c r="L63" s="2">
        <v>114890</v>
      </c>
      <c r="M63" t="s">
        <v>13</v>
      </c>
    </row>
    <row r="64" spans="7:13" ht="13.5" x14ac:dyDescent="0.25">
      <c r="G64" t="s">
        <v>72</v>
      </c>
      <c r="H64" t="s">
        <v>8</v>
      </c>
      <c r="I64" t="s">
        <v>23</v>
      </c>
      <c r="J64">
        <v>30</v>
      </c>
      <c r="K64" s="3">
        <v>44850</v>
      </c>
      <c r="L64" s="2">
        <v>69710</v>
      </c>
      <c r="M64" t="s">
        <v>13</v>
      </c>
    </row>
    <row r="65" spans="7:13" ht="13.5" x14ac:dyDescent="0.25">
      <c r="G65" t="s">
        <v>73</v>
      </c>
      <c r="H65" t="s">
        <v>8</v>
      </c>
      <c r="I65" t="s">
        <v>17</v>
      </c>
      <c r="J65">
        <v>36</v>
      </c>
      <c r="K65" s="3">
        <v>44333</v>
      </c>
      <c r="L65" s="2">
        <v>71380</v>
      </c>
      <c r="M65" t="s">
        <v>13</v>
      </c>
    </row>
    <row r="66" spans="7:13" ht="13.5" x14ac:dyDescent="0.25">
      <c r="G66" t="s">
        <v>74</v>
      </c>
      <c r="H66" t="s">
        <v>15</v>
      </c>
      <c r="I66" t="s">
        <v>9</v>
      </c>
      <c r="J66">
        <v>38</v>
      </c>
      <c r="K66" s="3">
        <v>44377</v>
      </c>
      <c r="L66" s="2">
        <v>109160</v>
      </c>
      <c r="M66" t="s">
        <v>43</v>
      </c>
    </row>
    <row r="67" spans="7:13" ht="13.5" x14ac:dyDescent="0.25">
      <c r="G67" t="s">
        <v>75</v>
      </c>
      <c r="H67" t="s">
        <v>8</v>
      </c>
      <c r="I67" t="s">
        <v>12</v>
      </c>
      <c r="J67">
        <v>27</v>
      </c>
      <c r="K67" s="3">
        <v>44609</v>
      </c>
      <c r="L67" s="2">
        <v>113280</v>
      </c>
      <c r="M67" t="s">
        <v>49</v>
      </c>
    </row>
    <row r="68" spans="7:13" ht="13.5" x14ac:dyDescent="0.25">
      <c r="G68" t="s">
        <v>76</v>
      </c>
      <c r="H68" t="s">
        <v>8</v>
      </c>
      <c r="I68" t="s">
        <v>23</v>
      </c>
      <c r="J68">
        <v>30</v>
      </c>
      <c r="K68" s="3">
        <v>44273</v>
      </c>
      <c r="L68" s="2">
        <v>69120</v>
      </c>
      <c r="M68" t="s">
        <v>13</v>
      </c>
    </row>
    <row r="69" spans="7:13" ht="13.5" x14ac:dyDescent="0.25">
      <c r="G69" t="s">
        <v>77</v>
      </c>
      <c r="H69" t="s">
        <v>15</v>
      </c>
      <c r="I69" t="s">
        <v>26</v>
      </c>
      <c r="J69">
        <v>37</v>
      </c>
      <c r="K69" s="3">
        <v>44451</v>
      </c>
      <c r="L69" s="2">
        <v>118100</v>
      </c>
      <c r="M69" t="s">
        <v>13</v>
      </c>
    </row>
    <row r="70" spans="7:13" ht="13.5" x14ac:dyDescent="0.25">
      <c r="G70" t="s">
        <v>78</v>
      </c>
      <c r="H70" t="s">
        <v>15</v>
      </c>
      <c r="I70" t="s">
        <v>12</v>
      </c>
      <c r="J70">
        <v>22</v>
      </c>
      <c r="K70" s="3">
        <v>44450</v>
      </c>
      <c r="L70" s="2">
        <v>76900</v>
      </c>
      <c r="M70" t="s">
        <v>10</v>
      </c>
    </row>
    <row r="71" spans="7:13" ht="13.5" x14ac:dyDescent="0.25">
      <c r="G71" t="s">
        <v>79</v>
      </c>
      <c r="H71" t="s">
        <v>15</v>
      </c>
      <c r="I71" t="s">
        <v>23</v>
      </c>
      <c r="J71">
        <v>43</v>
      </c>
      <c r="K71" s="3">
        <v>45045</v>
      </c>
      <c r="L71" s="2">
        <v>114870</v>
      </c>
      <c r="M71" t="s">
        <v>13</v>
      </c>
    </row>
    <row r="72" spans="7:13" ht="13.5" x14ac:dyDescent="0.25">
      <c r="G72" t="s">
        <v>80</v>
      </c>
      <c r="I72" t="s">
        <v>23</v>
      </c>
      <c r="J72">
        <v>32</v>
      </c>
      <c r="K72" s="3">
        <v>44774</v>
      </c>
      <c r="L72" s="2">
        <v>91310</v>
      </c>
      <c r="M72" t="s">
        <v>13</v>
      </c>
    </row>
    <row r="73" spans="7:13" ht="13.5" x14ac:dyDescent="0.25">
      <c r="G73" t="s">
        <v>81</v>
      </c>
      <c r="H73" t="s">
        <v>15</v>
      </c>
      <c r="I73" t="s">
        <v>12</v>
      </c>
      <c r="J73">
        <v>28</v>
      </c>
      <c r="K73" s="3">
        <v>44486</v>
      </c>
      <c r="L73" s="2">
        <v>104770</v>
      </c>
      <c r="M73" t="s">
        <v>13</v>
      </c>
    </row>
    <row r="74" spans="7:13" ht="13.5" x14ac:dyDescent="0.25">
      <c r="G74" t="s">
        <v>82</v>
      </c>
      <c r="H74" t="s">
        <v>8</v>
      </c>
      <c r="I74" t="s">
        <v>9</v>
      </c>
      <c r="J74">
        <v>27</v>
      </c>
      <c r="K74" s="3">
        <v>44134</v>
      </c>
      <c r="L74" s="2">
        <v>54970</v>
      </c>
      <c r="M74" t="s">
        <v>13</v>
      </c>
    </row>
    <row r="75" spans="7:13" ht="13.5" x14ac:dyDescent="0.25">
      <c r="G75" t="s">
        <v>83</v>
      </c>
      <c r="I75" t="s">
        <v>23</v>
      </c>
      <c r="J75">
        <v>26</v>
      </c>
      <c r="K75" s="3">
        <v>44271</v>
      </c>
      <c r="L75" s="2">
        <v>90700</v>
      </c>
      <c r="M75" t="s">
        <v>10</v>
      </c>
    </row>
    <row r="76" spans="7:13" ht="13.5" x14ac:dyDescent="0.25">
      <c r="G76" t="s">
        <v>84</v>
      </c>
      <c r="H76" t="s">
        <v>15</v>
      </c>
      <c r="I76" t="s">
        <v>9</v>
      </c>
      <c r="J76">
        <v>38</v>
      </c>
      <c r="K76" s="3">
        <v>44329</v>
      </c>
      <c r="L76" s="2">
        <v>56870</v>
      </c>
      <c r="M76" t="s">
        <v>10</v>
      </c>
    </row>
    <row r="77" spans="7:13" ht="13.5" x14ac:dyDescent="0.25">
      <c r="G77" t="s">
        <v>85</v>
      </c>
      <c r="H77" t="s">
        <v>15</v>
      </c>
      <c r="I77" t="s">
        <v>9</v>
      </c>
      <c r="J77">
        <v>25</v>
      </c>
      <c r="K77" s="3">
        <v>44205</v>
      </c>
      <c r="L77" s="2">
        <v>92700</v>
      </c>
      <c r="M77" t="s">
        <v>13</v>
      </c>
    </row>
    <row r="78" spans="7:13" ht="13.5" x14ac:dyDescent="0.25">
      <c r="G78" t="s">
        <v>86</v>
      </c>
      <c r="H78" t="s">
        <v>15</v>
      </c>
      <c r="I78" t="s">
        <v>17</v>
      </c>
      <c r="J78">
        <v>21</v>
      </c>
      <c r="K78" s="3">
        <v>44317</v>
      </c>
      <c r="L78" s="2">
        <v>65920</v>
      </c>
      <c r="M78" t="s">
        <v>13</v>
      </c>
    </row>
    <row r="79" spans="7:13" ht="13.5" x14ac:dyDescent="0.25">
      <c r="G79" t="s">
        <v>87</v>
      </c>
      <c r="H79" t="s">
        <v>8</v>
      </c>
      <c r="I79" t="s">
        <v>12</v>
      </c>
      <c r="J79">
        <v>26</v>
      </c>
      <c r="K79" s="3">
        <v>44225</v>
      </c>
      <c r="L79" s="2">
        <v>47360</v>
      </c>
      <c r="M79" t="s">
        <v>13</v>
      </c>
    </row>
    <row r="80" spans="7:13" ht="13.5" x14ac:dyDescent="0.25">
      <c r="G80" t="s">
        <v>88</v>
      </c>
      <c r="H80" t="s">
        <v>8</v>
      </c>
      <c r="I80" t="s">
        <v>12</v>
      </c>
      <c r="J80">
        <v>30</v>
      </c>
      <c r="K80" s="3">
        <v>44666</v>
      </c>
      <c r="L80" s="2">
        <v>60570</v>
      </c>
      <c r="M80" t="s">
        <v>13</v>
      </c>
    </row>
    <row r="81" spans="7:13" ht="13.5" x14ac:dyDescent="0.25">
      <c r="G81" t="s">
        <v>89</v>
      </c>
      <c r="H81" t="s">
        <v>15</v>
      </c>
      <c r="I81" t="s">
        <v>12</v>
      </c>
      <c r="J81">
        <v>28</v>
      </c>
      <c r="K81" s="3">
        <v>44649</v>
      </c>
      <c r="L81" s="2">
        <v>104120</v>
      </c>
      <c r="M81" t="s">
        <v>13</v>
      </c>
    </row>
    <row r="82" spans="7:13" ht="13.5" x14ac:dyDescent="0.25">
      <c r="G82" t="s">
        <v>90</v>
      </c>
      <c r="H82" t="s">
        <v>8</v>
      </c>
      <c r="I82" t="s">
        <v>23</v>
      </c>
      <c r="J82">
        <v>37</v>
      </c>
      <c r="K82" s="3">
        <v>44338</v>
      </c>
      <c r="L82" s="2">
        <v>88050</v>
      </c>
      <c r="M82" t="s">
        <v>18</v>
      </c>
    </row>
    <row r="83" spans="7:13" ht="13.5" x14ac:dyDescent="0.25">
      <c r="G83" t="s">
        <v>91</v>
      </c>
      <c r="H83" t="s">
        <v>8</v>
      </c>
      <c r="I83" t="s">
        <v>23</v>
      </c>
      <c r="J83">
        <v>24</v>
      </c>
      <c r="K83" s="3">
        <v>44686</v>
      </c>
      <c r="L83" s="2">
        <v>100420</v>
      </c>
      <c r="M83" t="s">
        <v>13</v>
      </c>
    </row>
    <row r="84" spans="7:13" ht="13.5" x14ac:dyDescent="0.25">
      <c r="G84" t="s">
        <v>92</v>
      </c>
      <c r="H84" t="s">
        <v>15</v>
      </c>
      <c r="I84" t="s">
        <v>12</v>
      </c>
      <c r="J84">
        <v>30</v>
      </c>
      <c r="K84" s="3">
        <v>44850</v>
      </c>
      <c r="L84" s="2">
        <v>114180</v>
      </c>
      <c r="M84" t="s">
        <v>13</v>
      </c>
    </row>
    <row r="85" spans="7:13" ht="13.5" x14ac:dyDescent="0.25">
      <c r="G85" t="s">
        <v>93</v>
      </c>
      <c r="H85" t="s">
        <v>15</v>
      </c>
      <c r="I85" t="s">
        <v>23</v>
      </c>
      <c r="J85">
        <v>21</v>
      </c>
      <c r="K85" s="3">
        <v>44678</v>
      </c>
      <c r="L85" s="2">
        <v>33920</v>
      </c>
      <c r="M85" t="s">
        <v>13</v>
      </c>
    </row>
    <row r="86" spans="7:13" ht="13.5" x14ac:dyDescent="0.25">
      <c r="G86" t="s">
        <v>94</v>
      </c>
      <c r="H86" t="s">
        <v>8</v>
      </c>
      <c r="I86" t="s">
        <v>12</v>
      </c>
      <c r="J86">
        <v>23</v>
      </c>
      <c r="K86" s="3">
        <v>44440</v>
      </c>
      <c r="L86" s="2">
        <v>106460</v>
      </c>
      <c r="M86" t="s">
        <v>13</v>
      </c>
    </row>
    <row r="87" spans="7:13" ht="13.5" x14ac:dyDescent="0.25">
      <c r="G87" t="s">
        <v>95</v>
      </c>
      <c r="H87" t="s">
        <v>8</v>
      </c>
      <c r="I87" t="s">
        <v>12</v>
      </c>
      <c r="J87">
        <v>35</v>
      </c>
      <c r="K87" s="3">
        <v>44727</v>
      </c>
      <c r="L87" s="2">
        <v>40400</v>
      </c>
      <c r="M87" t="s">
        <v>13</v>
      </c>
    </row>
    <row r="88" spans="7:13" ht="13.5" x14ac:dyDescent="0.25">
      <c r="G88" t="s">
        <v>96</v>
      </c>
      <c r="H88" t="s">
        <v>8</v>
      </c>
      <c r="I88" t="s">
        <v>17</v>
      </c>
      <c r="J88">
        <v>27</v>
      </c>
      <c r="K88" s="3">
        <v>44236</v>
      </c>
      <c r="L88" s="2">
        <v>91650</v>
      </c>
      <c r="M88" t="s">
        <v>10</v>
      </c>
    </row>
    <row r="89" spans="7:13" ht="13.5" x14ac:dyDescent="0.25">
      <c r="G89" t="s">
        <v>97</v>
      </c>
      <c r="H89" t="s">
        <v>8</v>
      </c>
      <c r="I89" t="s">
        <v>9</v>
      </c>
      <c r="J89">
        <v>43</v>
      </c>
      <c r="K89" s="3">
        <v>44620</v>
      </c>
      <c r="L89" s="2">
        <v>36040</v>
      </c>
      <c r="M89" t="s">
        <v>13</v>
      </c>
    </row>
    <row r="90" spans="7:13" ht="13.5" x14ac:dyDescent="0.25">
      <c r="G90" t="s">
        <v>98</v>
      </c>
      <c r="H90" t="s">
        <v>15</v>
      </c>
      <c r="I90" t="s">
        <v>23</v>
      </c>
      <c r="J90">
        <v>40</v>
      </c>
      <c r="K90" s="3">
        <v>44381</v>
      </c>
      <c r="L90" s="2">
        <v>104410</v>
      </c>
      <c r="M90" t="s">
        <v>13</v>
      </c>
    </row>
    <row r="91" spans="7:13" ht="13.5" x14ac:dyDescent="0.25">
      <c r="G91" t="s">
        <v>99</v>
      </c>
      <c r="H91" t="s">
        <v>8</v>
      </c>
      <c r="I91" t="s">
        <v>17</v>
      </c>
      <c r="J91">
        <v>30</v>
      </c>
      <c r="K91" s="3">
        <v>44606</v>
      </c>
      <c r="L91" s="2">
        <v>96800</v>
      </c>
      <c r="M91" t="s">
        <v>13</v>
      </c>
    </row>
    <row r="92" spans="7:13" ht="13.5" x14ac:dyDescent="0.25">
      <c r="G92" t="s">
        <v>100</v>
      </c>
      <c r="H92" t="s">
        <v>15</v>
      </c>
      <c r="I92" t="s">
        <v>17</v>
      </c>
      <c r="J92">
        <v>34</v>
      </c>
      <c r="K92" s="3">
        <v>44459</v>
      </c>
      <c r="L92" s="2">
        <v>85000</v>
      </c>
      <c r="M92" t="s">
        <v>13</v>
      </c>
    </row>
    <row r="93" spans="7:13" ht="13.5" x14ac:dyDescent="0.25">
      <c r="G93" t="s">
        <v>101</v>
      </c>
      <c r="H93" t="s">
        <v>8</v>
      </c>
      <c r="I93" t="s">
        <v>9</v>
      </c>
      <c r="J93">
        <v>28</v>
      </c>
      <c r="K93" s="3">
        <v>44820</v>
      </c>
      <c r="L93" s="2">
        <v>43510</v>
      </c>
      <c r="M93" t="s">
        <v>49</v>
      </c>
    </row>
    <row r="94" spans="7:13" ht="13.5" x14ac:dyDescent="0.25">
      <c r="G94" t="s">
        <v>102</v>
      </c>
      <c r="H94" t="s">
        <v>8</v>
      </c>
      <c r="I94" t="s">
        <v>17</v>
      </c>
      <c r="J94">
        <v>33</v>
      </c>
      <c r="K94" s="3">
        <v>44243</v>
      </c>
      <c r="L94" s="2">
        <v>59430</v>
      </c>
      <c r="M94" t="s">
        <v>13</v>
      </c>
    </row>
    <row r="95" spans="7:13" ht="13.5" x14ac:dyDescent="0.25">
      <c r="G95" t="s">
        <v>103</v>
      </c>
      <c r="H95" t="s">
        <v>15</v>
      </c>
      <c r="I95" t="s">
        <v>17</v>
      </c>
      <c r="J95">
        <v>33</v>
      </c>
      <c r="K95" s="3">
        <v>44067</v>
      </c>
      <c r="L95" s="2">
        <v>65360</v>
      </c>
      <c r="M95" t="s">
        <v>13</v>
      </c>
    </row>
    <row r="96" spans="7:13" ht="13.5" x14ac:dyDescent="0.25">
      <c r="G96" t="s">
        <v>104</v>
      </c>
      <c r="H96" t="s">
        <v>15</v>
      </c>
      <c r="I96" t="s">
        <v>12</v>
      </c>
      <c r="J96">
        <v>32</v>
      </c>
      <c r="K96" s="3">
        <v>44611</v>
      </c>
      <c r="L96" s="2">
        <v>41570</v>
      </c>
      <c r="M96" t="s">
        <v>13</v>
      </c>
    </row>
    <row r="97" spans="7:13" ht="13.5" x14ac:dyDescent="0.25">
      <c r="G97" t="s">
        <v>105</v>
      </c>
      <c r="H97" t="s">
        <v>15</v>
      </c>
      <c r="I97" t="s">
        <v>23</v>
      </c>
      <c r="J97">
        <v>33</v>
      </c>
      <c r="K97" s="3">
        <v>44312</v>
      </c>
      <c r="L97" s="2">
        <v>75280</v>
      </c>
      <c r="M97" t="s">
        <v>13</v>
      </c>
    </row>
    <row r="98" spans="7:13" ht="13.5" x14ac:dyDescent="0.25">
      <c r="G98" t="s">
        <v>106</v>
      </c>
      <c r="H98" t="s">
        <v>8</v>
      </c>
      <c r="I98" t="s">
        <v>9</v>
      </c>
      <c r="J98">
        <v>33</v>
      </c>
      <c r="K98" s="3">
        <v>44385</v>
      </c>
      <c r="L98" s="2">
        <v>74550</v>
      </c>
      <c r="M98" t="s">
        <v>13</v>
      </c>
    </row>
    <row r="99" spans="7:13" ht="13.5" x14ac:dyDescent="0.25">
      <c r="G99" t="s">
        <v>107</v>
      </c>
      <c r="H99" t="s">
        <v>8</v>
      </c>
      <c r="I99" t="s">
        <v>12</v>
      </c>
      <c r="J99">
        <v>30</v>
      </c>
      <c r="K99" s="3">
        <v>44701</v>
      </c>
      <c r="L99" s="2">
        <v>67950</v>
      </c>
      <c r="M99" t="s">
        <v>13</v>
      </c>
    </row>
    <row r="100" spans="7:13" ht="13.5" x14ac:dyDescent="0.25">
      <c r="G100" t="s">
        <v>108</v>
      </c>
      <c r="H100" t="s">
        <v>8</v>
      </c>
      <c r="I100" t="s">
        <v>17</v>
      </c>
      <c r="J100">
        <v>42</v>
      </c>
      <c r="K100" s="3">
        <v>44731</v>
      </c>
      <c r="L100" s="2">
        <v>70270</v>
      </c>
      <c r="M100" t="s">
        <v>18</v>
      </c>
    </row>
    <row r="101" spans="7:13" ht="13.5" x14ac:dyDescent="0.25">
      <c r="G101" t="s">
        <v>109</v>
      </c>
      <c r="H101" t="s">
        <v>8</v>
      </c>
      <c r="I101" t="s">
        <v>12</v>
      </c>
      <c r="J101">
        <v>26</v>
      </c>
      <c r="K101" s="3">
        <v>44411</v>
      </c>
      <c r="L101" s="2">
        <v>53540</v>
      </c>
      <c r="M101" t="s">
        <v>13</v>
      </c>
    </row>
    <row r="102" spans="7:13" ht="13.5" x14ac:dyDescent="0.25">
      <c r="G102" t="s">
        <v>7</v>
      </c>
      <c r="H102" t="s">
        <v>8</v>
      </c>
      <c r="I102" t="s">
        <v>9</v>
      </c>
      <c r="J102">
        <v>22</v>
      </c>
      <c r="K102" s="3">
        <v>44446</v>
      </c>
      <c r="L102" s="2">
        <v>112780</v>
      </c>
      <c r="M102" t="s">
        <v>10</v>
      </c>
    </row>
    <row r="103" spans="7:13" ht="13.5" x14ac:dyDescent="0.25">
      <c r="G103" t="s">
        <v>11</v>
      </c>
      <c r="H103" t="s">
        <v>8</v>
      </c>
      <c r="I103" t="s">
        <v>12</v>
      </c>
      <c r="J103">
        <v>46</v>
      </c>
      <c r="K103" s="3">
        <v>44758</v>
      </c>
      <c r="L103" s="2">
        <v>70610</v>
      </c>
      <c r="M103" t="s">
        <v>13</v>
      </c>
    </row>
    <row r="104" spans="7:13" ht="13.5" x14ac:dyDescent="0.25">
      <c r="G104" t="s">
        <v>14</v>
      </c>
      <c r="H104" t="s">
        <v>15</v>
      </c>
      <c r="I104" t="s">
        <v>9</v>
      </c>
      <c r="J104">
        <v>28</v>
      </c>
      <c r="K104" s="3">
        <v>44357</v>
      </c>
      <c r="L104" s="2">
        <v>53240</v>
      </c>
      <c r="M104" t="s">
        <v>13</v>
      </c>
    </row>
    <row r="105" spans="7:13" ht="13.5" x14ac:dyDescent="0.25">
      <c r="G105" t="s">
        <v>16</v>
      </c>
      <c r="I105" t="s">
        <v>17</v>
      </c>
      <c r="J105">
        <v>37</v>
      </c>
      <c r="K105" s="3">
        <v>44146</v>
      </c>
      <c r="L105" s="2">
        <v>115440</v>
      </c>
      <c r="M105" t="s">
        <v>18</v>
      </c>
    </row>
    <row r="106" spans="7:13" ht="13.5" x14ac:dyDescent="0.25">
      <c r="G106" t="s">
        <v>19</v>
      </c>
      <c r="H106" t="s">
        <v>8</v>
      </c>
      <c r="I106" t="s">
        <v>9</v>
      </c>
      <c r="J106">
        <v>32</v>
      </c>
      <c r="K106" s="3">
        <v>44465</v>
      </c>
      <c r="L106" s="2">
        <v>53540</v>
      </c>
      <c r="M106" t="s">
        <v>13</v>
      </c>
    </row>
    <row r="107" spans="7:13" ht="13.5" x14ac:dyDescent="0.25">
      <c r="G107" t="s">
        <v>20</v>
      </c>
      <c r="H107" t="s">
        <v>15</v>
      </c>
      <c r="I107" t="s">
        <v>12</v>
      </c>
      <c r="J107">
        <v>30</v>
      </c>
      <c r="K107" s="3">
        <v>44861</v>
      </c>
      <c r="L107" s="2">
        <v>112570</v>
      </c>
      <c r="M107" t="s">
        <v>13</v>
      </c>
    </row>
    <row r="108" spans="7:13" ht="13.5" x14ac:dyDescent="0.25">
      <c r="G108" t="s">
        <v>21</v>
      </c>
      <c r="H108" t="s">
        <v>8</v>
      </c>
      <c r="I108" t="s">
        <v>12</v>
      </c>
      <c r="J108">
        <v>33</v>
      </c>
      <c r="K108" s="3">
        <v>44701</v>
      </c>
      <c r="L108" s="2">
        <v>48530</v>
      </c>
      <c r="M108" t="s">
        <v>10</v>
      </c>
    </row>
    <row r="109" spans="7:13" ht="13.5" x14ac:dyDescent="0.25">
      <c r="G109" t="s">
        <v>22</v>
      </c>
      <c r="H109" t="s">
        <v>15</v>
      </c>
      <c r="I109" t="s">
        <v>23</v>
      </c>
      <c r="J109">
        <v>24</v>
      </c>
      <c r="K109" s="3">
        <v>44148</v>
      </c>
      <c r="L109" s="2">
        <v>62780</v>
      </c>
      <c r="M109" t="s">
        <v>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3FB12-B75E-47AB-99FE-4515801C244C}">
  <sheetPr codeName="Sheet3"/>
  <dimension ref="C6:L118"/>
  <sheetViews>
    <sheetView topLeftCell="M3" workbookViewId="0">
      <selection activeCell="K137" sqref="K137"/>
    </sheetView>
  </sheetViews>
  <sheetFormatPr defaultRowHeight="14.5" x14ac:dyDescent="0.25"/>
  <cols>
    <col min="6" max="6" width="28.1640625" customWidth="1"/>
    <col min="7" max="7" width="8.9140625" customWidth="1"/>
    <col min="8" max="8" width="5.83203125" customWidth="1"/>
    <col min="9" max="9" width="13.1640625" customWidth="1"/>
    <col min="10" max="10" width="12.58203125" customWidth="1"/>
    <col min="11" max="11" width="13" customWidth="1"/>
    <col min="12" max="12" width="7.75" customWidth="1"/>
  </cols>
  <sheetData>
    <row r="6" spans="6:12" ht="13.5" x14ac:dyDescent="0.25">
      <c r="F6" t="s">
        <v>0</v>
      </c>
      <c r="G6" t="s">
        <v>1</v>
      </c>
      <c r="H6" t="s">
        <v>3</v>
      </c>
      <c r="I6" t="s">
        <v>6</v>
      </c>
      <c r="J6" t="s">
        <v>4</v>
      </c>
      <c r="K6" t="s">
        <v>2</v>
      </c>
      <c r="L6" t="s">
        <v>5</v>
      </c>
    </row>
    <row r="7" spans="6:12" ht="13.5" hidden="1" x14ac:dyDescent="0.25">
      <c r="F7" t="s">
        <v>110</v>
      </c>
      <c r="G7" t="s">
        <v>8</v>
      </c>
      <c r="H7">
        <v>20</v>
      </c>
      <c r="I7" t="s">
        <v>13</v>
      </c>
      <c r="J7">
        <v>44122</v>
      </c>
      <c r="K7" t="s">
        <v>23</v>
      </c>
      <c r="L7">
        <v>112650</v>
      </c>
    </row>
    <row r="8" spans="6:12" ht="13.5" hidden="1" x14ac:dyDescent="0.25">
      <c r="F8" t="s">
        <v>111</v>
      </c>
      <c r="G8" t="s">
        <v>15</v>
      </c>
      <c r="H8">
        <v>32</v>
      </c>
      <c r="I8" t="s">
        <v>10</v>
      </c>
      <c r="J8">
        <v>44293</v>
      </c>
      <c r="K8" t="s">
        <v>23</v>
      </c>
      <c r="L8">
        <v>65000</v>
      </c>
    </row>
    <row r="9" spans="6:12" ht="13.5" hidden="1" x14ac:dyDescent="0.25">
      <c r="F9" t="s">
        <v>112</v>
      </c>
      <c r="G9" t="s">
        <v>8</v>
      </c>
      <c r="H9">
        <v>31</v>
      </c>
      <c r="I9" t="s">
        <v>13</v>
      </c>
      <c r="J9">
        <v>44663</v>
      </c>
      <c r="K9" t="s">
        <v>12</v>
      </c>
      <c r="L9">
        <v>103550</v>
      </c>
    </row>
    <row r="10" spans="6:12" ht="13.5" x14ac:dyDescent="0.25">
      <c r="F10" t="s">
        <v>113</v>
      </c>
      <c r="G10" t="s">
        <v>15</v>
      </c>
      <c r="H10">
        <v>32</v>
      </c>
      <c r="I10" t="s">
        <v>13</v>
      </c>
      <c r="J10">
        <v>44339</v>
      </c>
      <c r="K10" t="s">
        <v>26</v>
      </c>
      <c r="L10">
        <v>45510</v>
      </c>
    </row>
    <row r="11" spans="6:12" ht="13.5" hidden="1" x14ac:dyDescent="0.25">
      <c r="F11" t="s">
        <v>114</v>
      </c>
      <c r="H11">
        <v>37</v>
      </c>
      <c r="I11" t="s">
        <v>18</v>
      </c>
      <c r="J11">
        <v>44085</v>
      </c>
      <c r="K11" t="s">
        <v>17</v>
      </c>
      <c r="L11">
        <v>115440</v>
      </c>
    </row>
    <row r="12" spans="6:12" ht="13.5" hidden="1" x14ac:dyDescent="0.25">
      <c r="F12" t="s">
        <v>115</v>
      </c>
      <c r="G12" t="s">
        <v>15</v>
      </c>
      <c r="H12">
        <v>38</v>
      </c>
      <c r="I12" t="s">
        <v>10</v>
      </c>
      <c r="J12">
        <v>44268</v>
      </c>
      <c r="K12" t="s">
        <v>9</v>
      </c>
      <c r="L12">
        <v>56870</v>
      </c>
    </row>
    <row r="13" spans="6:12" ht="13.5" hidden="1" x14ac:dyDescent="0.25">
      <c r="F13" t="s">
        <v>116</v>
      </c>
      <c r="G13" t="s">
        <v>15</v>
      </c>
      <c r="H13">
        <v>25</v>
      </c>
      <c r="I13" t="s">
        <v>13</v>
      </c>
      <c r="J13">
        <v>44144</v>
      </c>
      <c r="K13" t="s">
        <v>9</v>
      </c>
      <c r="L13">
        <v>92700</v>
      </c>
    </row>
    <row r="14" spans="6:12" ht="13.5" hidden="1" x14ac:dyDescent="0.25">
      <c r="F14" t="s">
        <v>117</v>
      </c>
      <c r="H14">
        <v>32</v>
      </c>
      <c r="I14" t="s">
        <v>13</v>
      </c>
      <c r="J14">
        <v>44713</v>
      </c>
      <c r="K14" t="s">
        <v>23</v>
      </c>
      <c r="L14">
        <v>91310</v>
      </c>
    </row>
    <row r="15" spans="6:12" ht="13.5" hidden="1" x14ac:dyDescent="0.25">
      <c r="F15" t="s">
        <v>118</v>
      </c>
      <c r="G15" t="s">
        <v>8</v>
      </c>
      <c r="H15">
        <v>33</v>
      </c>
      <c r="I15" t="s">
        <v>13</v>
      </c>
      <c r="J15">
        <v>44324</v>
      </c>
      <c r="K15" t="s">
        <v>9</v>
      </c>
      <c r="L15">
        <v>74550</v>
      </c>
    </row>
    <row r="16" spans="6:12" ht="13.5" hidden="1" x14ac:dyDescent="0.25">
      <c r="F16" t="s">
        <v>119</v>
      </c>
      <c r="G16" t="s">
        <v>8</v>
      </c>
      <c r="H16">
        <v>25</v>
      </c>
      <c r="I16" t="s">
        <v>10</v>
      </c>
      <c r="J16">
        <v>44665</v>
      </c>
      <c r="K16" t="s">
        <v>12</v>
      </c>
      <c r="L16">
        <v>109190</v>
      </c>
    </row>
    <row r="17" spans="6:12" ht="13.5" hidden="1" x14ac:dyDescent="0.25">
      <c r="F17" t="s">
        <v>120</v>
      </c>
      <c r="G17" t="s">
        <v>15</v>
      </c>
      <c r="H17">
        <v>40</v>
      </c>
      <c r="I17" t="s">
        <v>13</v>
      </c>
      <c r="J17">
        <v>44320</v>
      </c>
      <c r="K17" t="s">
        <v>23</v>
      </c>
      <c r="L17">
        <v>104410</v>
      </c>
    </row>
    <row r="18" spans="6:12" ht="13.5" hidden="1" x14ac:dyDescent="0.25">
      <c r="F18" t="s">
        <v>121</v>
      </c>
      <c r="G18" t="s">
        <v>8</v>
      </c>
      <c r="H18">
        <v>30</v>
      </c>
      <c r="I18" t="s">
        <v>13</v>
      </c>
      <c r="J18">
        <v>44544</v>
      </c>
      <c r="K18" t="s">
        <v>17</v>
      </c>
      <c r="L18">
        <v>96800</v>
      </c>
    </row>
    <row r="19" spans="6:12" ht="13.5" hidden="1" x14ac:dyDescent="0.25">
      <c r="F19" t="s">
        <v>122</v>
      </c>
      <c r="G19" t="s">
        <v>8</v>
      </c>
      <c r="H19">
        <v>28</v>
      </c>
      <c r="I19" t="s">
        <v>10</v>
      </c>
      <c r="J19">
        <v>43980</v>
      </c>
      <c r="K19" t="s">
        <v>17</v>
      </c>
      <c r="L19">
        <v>48170</v>
      </c>
    </row>
    <row r="20" spans="6:12" ht="13.5" hidden="1" x14ac:dyDescent="0.25">
      <c r="F20" t="s">
        <v>123</v>
      </c>
      <c r="G20" t="s">
        <v>8</v>
      </c>
      <c r="H20">
        <v>21</v>
      </c>
      <c r="I20" t="s">
        <v>13</v>
      </c>
      <c r="J20">
        <v>44042</v>
      </c>
      <c r="K20" t="s">
        <v>12</v>
      </c>
      <c r="L20">
        <v>37920</v>
      </c>
    </row>
    <row r="21" spans="6:12" ht="13.5" hidden="1" x14ac:dyDescent="0.25">
      <c r="F21" t="s">
        <v>124</v>
      </c>
      <c r="G21" t="s">
        <v>8</v>
      </c>
      <c r="H21">
        <v>34</v>
      </c>
      <c r="I21" t="s">
        <v>13</v>
      </c>
      <c r="J21">
        <v>44642</v>
      </c>
      <c r="K21" t="s">
        <v>12</v>
      </c>
      <c r="L21">
        <v>112650</v>
      </c>
    </row>
    <row r="22" spans="6:12" ht="13.5" hidden="1" x14ac:dyDescent="0.25">
      <c r="F22" t="s">
        <v>125</v>
      </c>
      <c r="G22" t="s">
        <v>15</v>
      </c>
      <c r="H22">
        <v>34</v>
      </c>
      <c r="I22" t="s">
        <v>18</v>
      </c>
      <c r="J22">
        <v>44660</v>
      </c>
      <c r="K22" t="s">
        <v>9</v>
      </c>
      <c r="L22">
        <v>49630</v>
      </c>
    </row>
    <row r="23" spans="6:12" ht="13.5" hidden="1" x14ac:dyDescent="0.25">
      <c r="F23" t="s">
        <v>126</v>
      </c>
      <c r="G23" t="s">
        <v>8</v>
      </c>
      <c r="H23">
        <v>36</v>
      </c>
      <c r="I23" t="s">
        <v>13</v>
      </c>
      <c r="J23">
        <v>43958</v>
      </c>
      <c r="K23" t="s">
        <v>23</v>
      </c>
      <c r="L23">
        <v>118840</v>
      </c>
    </row>
    <row r="24" spans="6:12" ht="13.5" hidden="1" x14ac:dyDescent="0.25">
      <c r="F24" t="s">
        <v>127</v>
      </c>
      <c r="G24" t="s">
        <v>8</v>
      </c>
      <c r="H24">
        <v>30</v>
      </c>
      <c r="I24" t="s">
        <v>13</v>
      </c>
      <c r="J24">
        <v>44789</v>
      </c>
      <c r="K24" t="s">
        <v>23</v>
      </c>
      <c r="L24">
        <v>69710</v>
      </c>
    </row>
    <row r="25" spans="6:12" ht="13.5" hidden="1" x14ac:dyDescent="0.25">
      <c r="F25" t="s">
        <v>128</v>
      </c>
      <c r="G25" t="s">
        <v>8</v>
      </c>
      <c r="H25">
        <v>20</v>
      </c>
      <c r="I25" t="s">
        <v>13</v>
      </c>
      <c r="J25">
        <v>44683</v>
      </c>
      <c r="K25" t="s">
        <v>12</v>
      </c>
      <c r="L25">
        <v>79570</v>
      </c>
    </row>
    <row r="26" spans="6:12" ht="13.5" hidden="1" x14ac:dyDescent="0.25">
      <c r="F26" t="s">
        <v>129</v>
      </c>
      <c r="G26" t="s">
        <v>15</v>
      </c>
      <c r="H26">
        <v>22</v>
      </c>
      <c r="I26" t="s">
        <v>10</v>
      </c>
      <c r="J26">
        <v>44388</v>
      </c>
      <c r="K26" t="s">
        <v>12</v>
      </c>
      <c r="L26">
        <v>76900</v>
      </c>
    </row>
    <row r="27" spans="6:12" ht="13.5" hidden="1" x14ac:dyDescent="0.25">
      <c r="F27" t="s">
        <v>130</v>
      </c>
      <c r="G27" t="s">
        <v>8</v>
      </c>
      <c r="H27">
        <v>27</v>
      </c>
      <c r="I27" t="s">
        <v>13</v>
      </c>
      <c r="J27">
        <v>44073</v>
      </c>
      <c r="K27" t="s">
        <v>9</v>
      </c>
      <c r="L27">
        <v>54970</v>
      </c>
    </row>
    <row r="28" spans="6:12" ht="13.5" hidden="1" x14ac:dyDescent="0.25">
      <c r="F28" t="s">
        <v>131</v>
      </c>
      <c r="G28" t="s">
        <v>8</v>
      </c>
      <c r="H28">
        <v>37</v>
      </c>
      <c r="I28" t="s">
        <v>18</v>
      </c>
      <c r="J28">
        <v>44277</v>
      </c>
      <c r="K28" t="s">
        <v>23</v>
      </c>
      <c r="L28">
        <v>88050</v>
      </c>
    </row>
    <row r="29" spans="6:12" ht="13.5" hidden="1" x14ac:dyDescent="0.25">
      <c r="F29" t="s">
        <v>132</v>
      </c>
      <c r="G29" t="s">
        <v>8</v>
      </c>
      <c r="H29">
        <v>43</v>
      </c>
      <c r="I29" t="s">
        <v>13</v>
      </c>
      <c r="J29">
        <v>44558</v>
      </c>
      <c r="K29" t="s">
        <v>9</v>
      </c>
      <c r="L29">
        <v>36040</v>
      </c>
    </row>
    <row r="30" spans="6:12" ht="13.5" hidden="1" x14ac:dyDescent="0.25">
      <c r="F30" t="s">
        <v>133</v>
      </c>
      <c r="G30" t="s">
        <v>15</v>
      </c>
      <c r="H30">
        <v>42</v>
      </c>
      <c r="I30" t="s">
        <v>43</v>
      </c>
      <c r="J30">
        <v>44718</v>
      </c>
      <c r="K30" t="s">
        <v>12</v>
      </c>
      <c r="L30">
        <v>75000</v>
      </c>
    </row>
    <row r="31" spans="6:12" ht="13.5" hidden="1" x14ac:dyDescent="0.25">
      <c r="F31" t="s">
        <v>134</v>
      </c>
      <c r="G31" t="s">
        <v>8</v>
      </c>
      <c r="H31">
        <v>35</v>
      </c>
      <c r="I31" t="s">
        <v>13</v>
      </c>
      <c r="J31">
        <v>44666</v>
      </c>
      <c r="K31" t="s">
        <v>12</v>
      </c>
      <c r="L31">
        <v>40400</v>
      </c>
    </row>
    <row r="32" spans="6:12" ht="13.5" hidden="1" x14ac:dyDescent="0.25">
      <c r="F32" t="s">
        <v>135</v>
      </c>
      <c r="G32" t="s">
        <v>8</v>
      </c>
      <c r="H32">
        <v>24</v>
      </c>
      <c r="I32" t="s">
        <v>13</v>
      </c>
      <c r="J32">
        <v>44625</v>
      </c>
      <c r="K32" t="s">
        <v>23</v>
      </c>
      <c r="L32">
        <v>100420</v>
      </c>
    </row>
    <row r="33" spans="6:12" ht="13.5" hidden="1" x14ac:dyDescent="0.25">
      <c r="F33" t="s">
        <v>136</v>
      </c>
      <c r="G33" t="s">
        <v>15</v>
      </c>
      <c r="H33">
        <v>31</v>
      </c>
      <c r="I33" t="s">
        <v>13</v>
      </c>
      <c r="J33">
        <v>44604</v>
      </c>
      <c r="K33" t="s">
        <v>23</v>
      </c>
      <c r="L33">
        <v>58100</v>
      </c>
    </row>
    <row r="34" spans="6:12" ht="13.5" hidden="1" x14ac:dyDescent="0.25">
      <c r="F34" t="s">
        <v>137</v>
      </c>
      <c r="G34" t="s">
        <v>15</v>
      </c>
      <c r="H34">
        <v>44</v>
      </c>
      <c r="I34" t="s">
        <v>13</v>
      </c>
      <c r="J34">
        <v>44985</v>
      </c>
      <c r="K34" t="s">
        <v>23</v>
      </c>
      <c r="L34">
        <v>114870</v>
      </c>
    </row>
    <row r="35" spans="6:12" ht="13.5" hidden="1" x14ac:dyDescent="0.25">
      <c r="F35" t="s">
        <v>138</v>
      </c>
      <c r="G35" t="s">
        <v>15</v>
      </c>
      <c r="H35">
        <v>32</v>
      </c>
      <c r="I35" t="s">
        <v>13</v>
      </c>
      <c r="J35">
        <v>44549</v>
      </c>
      <c r="K35" t="s">
        <v>12</v>
      </c>
      <c r="L35">
        <v>41570</v>
      </c>
    </row>
    <row r="36" spans="6:12" ht="13.5" hidden="1" x14ac:dyDescent="0.25">
      <c r="F36" t="s">
        <v>139</v>
      </c>
      <c r="G36" t="s">
        <v>15</v>
      </c>
      <c r="H36">
        <v>30</v>
      </c>
      <c r="I36" t="s">
        <v>13</v>
      </c>
      <c r="J36">
        <v>44800</v>
      </c>
      <c r="K36" t="s">
        <v>12</v>
      </c>
      <c r="L36">
        <v>112570</v>
      </c>
    </row>
    <row r="37" spans="6:12" ht="13.5" hidden="1" x14ac:dyDescent="0.25">
      <c r="F37" t="s">
        <v>140</v>
      </c>
      <c r="G37" t="s">
        <v>8</v>
      </c>
      <c r="H37">
        <v>26</v>
      </c>
      <c r="I37" t="s">
        <v>13</v>
      </c>
      <c r="J37">
        <v>44164</v>
      </c>
      <c r="K37" t="s">
        <v>12</v>
      </c>
      <c r="L37">
        <v>47360</v>
      </c>
    </row>
    <row r="38" spans="6:12" ht="13.5" hidden="1" x14ac:dyDescent="0.25">
      <c r="F38" t="s">
        <v>141</v>
      </c>
      <c r="G38" t="s">
        <v>15</v>
      </c>
      <c r="H38">
        <v>21</v>
      </c>
      <c r="I38" t="s">
        <v>13</v>
      </c>
      <c r="J38">
        <v>44256</v>
      </c>
      <c r="K38" t="s">
        <v>17</v>
      </c>
      <c r="L38">
        <v>65920</v>
      </c>
    </row>
    <row r="39" spans="6:12" ht="13.5" hidden="1" x14ac:dyDescent="0.25">
      <c r="F39" t="s">
        <v>142</v>
      </c>
      <c r="G39" t="s">
        <v>15</v>
      </c>
      <c r="H39">
        <v>28</v>
      </c>
      <c r="I39" t="s">
        <v>13</v>
      </c>
      <c r="J39">
        <v>44571</v>
      </c>
      <c r="K39" t="s">
        <v>12</v>
      </c>
      <c r="L39">
        <v>99970</v>
      </c>
    </row>
    <row r="40" spans="6:12" ht="13.5" hidden="1" x14ac:dyDescent="0.25">
      <c r="F40" t="s">
        <v>143</v>
      </c>
      <c r="G40" t="s">
        <v>15</v>
      </c>
      <c r="H40">
        <v>25</v>
      </c>
      <c r="I40" t="s">
        <v>10</v>
      </c>
      <c r="J40">
        <v>44633</v>
      </c>
      <c r="K40" t="s">
        <v>23</v>
      </c>
      <c r="L40">
        <v>80700</v>
      </c>
    </row>
    <row r="41" spans="6:12" ht="13.5" hidden="1" x14ac:dyDescent="0.25">
      <c r="F41" t="s">
        <v>144</v>
      </c>
      <c r="G41" t="s">
        <v>8</v>
      </c>
      <c r="H41">
        <v>24</v>
      </c>
      <c r="I41" t="s">
        <v>18</v>
      </c>
      <c r="J41">
        <v>44375</v>
      </c>
      <c r="K41" t="s">
        <v>17</v>
      </c>
      <c r="L41">
        <v>52610</v>
      </c>
    </row>
    <row r="42" spans="6:12" ht="13.5" hidden="1" x14ac:dyDescent="0.25">
      <c r="F42" t="s">
        <v>145</v>
      </c>
      <c r="G42" t="s">
        <v>8</v>
      </c>
      <c r="H42">
        <v>29</v>
      </c>
      <c r="I42" t="s">
        <v>18</v>
      </c>
      <c r="J42">
        <v>44119</v>
      </c>
      <c r="K42" t="s">
        <v>23</v>
      </c>
      <c r="L42">
        <v>112110</v>
      </c>
    </row>
    <row r="43" spans="6:12" ht="13.5" x14ac:dyDescent="0.25">
      <c r="F43" t="s">
        <v>146</v>
      </c>
      <c r="G43" t="s">
        <v>15</v>
      </c>
      <c r="H43">
        <v>27</v>
      </c>
      <c r="I43" t="s">
        <v>13</v>
      </c>
      <c r="J43">
        <v>44061</v>
      </c>
      <c r="K43" t="s">
        <v>26</v>
      </c>
      <c r="L43">
        <v>119110</v>
      </c>
    </row>
    <row r="44" spans="6:12" ht="13.5" hidden="1" x14ac:dyDescent="0.25">
      <c r="F44" t="s">
        <v>147</v>
      </c>
      <c r="G44" t="s">
        <v>8</v>
      </c>
      <c r="H44">
        <v>22</v>
      </c>
      <c r="I44" t="s">
        <v>10</v>
      </c>
      <c r="J44">
        <v>44384</v>
      </c>
      <c r="K44" t="s">
        <v>9</v>
      </c>
      <c r="L44">
        <v>112780</v>
      </c>
    </row>
    <row r="45" spans="6:12" ht="13.5" hidden="1" x14ac:dyDescent="0.25">
      <c r="F45" t="s">
        <v>148</v>
      </c>
      <c r="G45" t="s">
        <v>15</v>
      </c>
      <c r="H45">
        <v>36</v>
      </c>
      <c r="I45" t="s">
        <v>13</v>
      </c>
      <c r="J45">
        <v>44023</v>
      </c>
      <c r="K45" t="s">
        <v>12</v>
      </c>
      <c r="L45">
        <v>114890</v>
      </c>
    </row>
    <row r="46" spans="6:12" ht="13.5" hidden="1" x14ac:dyDescent="0.25">
      <c r="F46" t="s">
        <v>149</v>
      </c>
      <c r="G46" t="s">
        <v>8</v>
      </c>
      <c r="H46">
        <v>27</v>
      </c>
      <c r="I46" t="s">
        <v>13</v>
      </c>
      <c r="J46">
        <v>44506</v>
      </c>
      <c r="K46" t="s">
        <v>17</v>
      </c>
      <c r="L46">
        <v>48980</v>
      </c>
    </row>
    <row r="47" spans="6:12" ht="13.5" hidden="1" x14ac:dyDescent="0.25">
      <c r="F47" t="s">
        <v>150</v>
      </c>
      <c r="G47" t="s">
        <v>8</v>
      </c>
      <c r="H47">
        <v>21</v>
      </c>
      <c r="I47" t="s">
        <v>13</v>
      </c>
      <c r="J47">
        <v>44180</v>
      </c>
      <c r="K47" t="s">
        <v>26</v>
      </c>
      <c r="L47">
        <v>75880</v>
      </c>
    </row>
    <row r="48" spans="6:12" ht="13.5" hidden="1" x14ac:dyDescent="0.25">
      <c r="F48" t="s">
        <v>151</v>
      </c>
      <c r="G48" t="s">
        <v>15</v>
      </c>
      <c r="H48">
        <v>28</v>
      </c>
      <c r="I48" t="s">
        <v>13</v>
      </c>
      <c r="J48">
        <v>44296</v>
      </c>
      <c r="K48" t="s">
        <v>9</v>
      </c>
      <c r="L48">
        <v>53240</v>
      </c>
    </row>
    <row r="49" spans="6:12" ht="13.5" hidden="1" x14ac:dyDescent="0.25">
      <c r="F49" t="s">
        <v>152</v>
      </c>
      <c r="G49" t="s">
        <v>15</v>
      </c>
      <c r="H49">
        <v>34</v>
      </c>
      <c r="I49" t="s">
        <v>13</v>
      </c>
      <c r="J49">
        <v>44397</v>
      </c>
      <c r="K49" t="s">
        <v>17</v>
      </c>
      <c r="L49">
        <v>85000</v>
      </c>
    </row>
    <row r="50" spans="6:12" ht="13.5" hidden="1" x14ac:dyDescent="0.25">
      <c r="F50" t="s">
        <v>153</v>
      </c>
      <c r="G50" t="s">
        <v>15</v>
      </c>
      <c r="H50">
        <v>21</v>
      </c>
      <c r="I50" t="s">
        <v>13</v>
      </c>
      <c r="J50">
        <v>44619</v>
      </c>
      <c r="K50" t="s">
        <v>23</v>
      </c>
      <c r="L50">
        <v>33920</v>
      </c>
    </row>
    <row r="51" spans="6:12" ht="13.5" hidden="1" x14ac:dyDescent="0.25">
      <c r="F51" t="s">
        <v>154</v>
      </c>
      <c r="G51" t="s">
        <v>15</v>
      </c>
      <c r="H51">
        <v>33</v>
      </c>
      <c r="I51" t="s">
        <v>13</v>
      </c>
      <c r="J51">
        <v>44253</v>
      </c>
      <c r="K51" t="s">
        <v>23</v>
      </c>
      <c r="L51">
        <v>75280</v>
      </c>
    </row>
    <row r="52" spans="6:12" ht="13.5" hidden="1" x14ac:dyDescent="0.25">
      <c r="F52" t="s">
        <v>155</v>
      </c>
      <c r="G52" t="s">
        <v>15</v>
      </c>
      <c r="H52">
        <v>34</v>
      </c>
      <c r="I52" t="s">
        <v>13</v>
      </c>
      <c r="J52">
        <v>44594</v>
      </c>
      <c r="K52" t="s">
        <v>17</v>
      </c>
      <c r="L52">
        <v>58940</v>
      </c>
    </row>
    <row r="53" spans="6:12" ht="13.5" hidden="1" x14ac:dyDescent="0.25">
      <c r="F53" t="s">
        <v>156</v>
      </c>
      <c r="G53" t="s">
        <v>15</v>
      </c>
      <c r="H53">
        <v>28</v>
      </c>
      <c r="I53" t="s">
        <v>13</v>
      </c>
      <c r="J53">
        <v>44425</v>
      </c>
      <c r="K53" t="s">
        <v>12</v>
      </c>
      <c r="L53">
        <v>104770</v>
      </c>
    </row>
    <row r="54" spans="6:12" ht="13.5" hidden="1" x14ac:dyDescent="0.25">
      <c r="F54" t="s">
        <v>157</v>
      </c>
      <c r="G54" t="s">
        <v>8</v>
      </c>
      <c r="H54">
        <v>21</v>
      </c>
      <c r="I54" t="s">
        <v>13</v>
      </c>
      <c r="J54">
        <v>44701</v>
      </c>
      <c r="K54" t="s">
        <v>12</v>
      </c>
      <c r="L54">
        <v>57090</v>
      </c>
    </row>
    <row r="55" spans="6:12" ht="13.5" hidden="1" x14ac:dyDescent="0.25">
      <c r="F55" t="s">
        <v>158</v>
      </c>
      <c r="G55" t="s">
        <v>8</v>
      </c>
      <c r="H55">
        <v>27</v>
      </c>
      <c r="I55" t="s">
        <v>10</v>
      </c>
      <c r="J55">
        <v>44174</v>
      </c>
      <c r="K55" t="s">
        <v>17</v>
      </c>
      <c r="L55">
        <v>91650</v>
      </c>
    </row>
    <row r="56" spans="6:12" ht="13.5" hidden="1" x14ac:dyDescent="0.25">
      <c r="F56" t="s">
        <v>159</v>
      </c>
      <c r="G56" t="s">
        <v>8</v>
      </c>
      <c r="H56">
        <v>42</v>
      </c>
      <c r="I56" t="s">
        <v>18</v>
      </c>
      <c r="J56">
        <v>44670</v>
      </c>
      <c r="K56" t="s">
        <v>17</v>
      </c>
      <c r="L56">
        <v>70270</v>
      </c>
    </row>
    <row r="57" spans="6:12" ht="13.5" hidden="1" x14ac:dyDescent="0.25">
      <c r="F57" t="s">
        <v>160</v>
      </c>
      <c r="G57" t="s">
        <v>15</v>
      </c>
      <c r="H57">
        <v>28</v>
      </c>
      <c r="I57" t="s">
        <v>13</v>
      </c>
      <c r="J57">
        <v>44124</v>
      </c>
      <c r="K57" t="s">
        <v>17</v>
      </c>
      <c r="L57">
        <v>75970</v>
      </c>
    </row>
    <row r="58" spans="6:12" ht="13.5" hidden="1" x14ac:dyDescent="0.25">
      <c r="F58" t="s">
        <v>161</v>
      </c>
      <c r="H58">
        <v>27</v>
      </c>
      <c r="I58" t="s">
        <v>10</v>
      </c>
      <c r="J58">
        <v>44212</v>
      </c>
      <c r="K58" t="s">
        <v>23</v>
      </c>
      <c r="L58">
        <v>90700</v>
      </c>
    </row>
    <row r="59" spans="6:12" ht="13.5" hidden="1" x14ac:dyDescent="0.25">
      <c r="F59" t="s">
        <v>162</v>
      </c>
      <c r="G59" t="s">
        <v>8</v>
      </c>
      <c r="H59">
        <v>30</v>
      </c>
      <c r="I59" t="s">
        <v>13</v>
      </c>
      <c r="J59">
        <v>44607</v>
      </c>
      <c r="K59" t="s">
        <v>12</v>
      </c>
      <c r="L59">
        <v>60570</v>
      </c>
    </row>
    <row r="60" spans="6:12" ht="13.5" hidden="1" x14ac:dyDescent="0.25">
      <c r="F60" t="s">
        <v>163</v>
      </c>
      <c r="G60" t="s">
        <v>8</v>
      </c>
      <c r="H60">
        <v>33</v>
      </c>
      <c r="I60" t="s">
        <v>13</v>
      </c>
      <c r="J60">
        <v>44103</v>
      </c>
      <c r="K60" t="s">
        <v>12</v>
      </c>
      <c r="L60">
        <v>115920</v>
      </c>
    </row>
    <row r="61" spans="6:12" ht="13.5" hidden="1" x14ac:dyDescent="0.25">
      <c r="F61" t="s">
        <v>164</v>
      </c>
      <c r="G61" t="s">
        <v>15</v>
      </c>
      <c r="H61">
        <v>33</v>
      </c>
      <c r="I61" t="s">
        <v>13</v>
      </c>
      <c r="J61">
        <v>44006</v>
      </c>
      <c r="K61" t="s">
        <v>17</v>
      </c>
      <c r="L61">
        <v>65360</v>
      </c>
    </row>
    <row r="62" spans="6:12" ht="13.5" hidden="1" x14ac:dyDescent="0.25">
      <c r="F62" t="s">
        <v>165</v>
      </c>
      <c r="H62">
        <v>30</v>
      </c>
      <c r="I62" t="s">
        <v>13</v>
      </c>
      <c r="J62">
        <v>44535</v>
      </c>
      <c r="K62" t="s">
        <v>17</v>
      </c>
      <c r="L62">
        <v>64000</v>
      </c>
    </row>
    <row r="63" spans="6:12" ht="13.5" hidden="1" x14ac:dyDescent="0.25">
      <c r="F63" t="s">
        <v>166</v>
      </c>
      <c r="G63" t="s">
        <v>15</v>
      </c>
      <c r="H63">
        <v>34</v>
      </c>
      <c r="I63" t="s">
        <v>13</v>
      </c>
      <c r="J63">
        <v>44383</v>
      </c>
      <c r="K63" t="s">
        <v>17</v>
      </c>
      <c r="L63">
        <v>92450</v>
      </c>
    </row>
    <row r="64" spans="6:12" ht="13.5" hidden="1" x14ac:dyDescent="0.25">
      <c r="F64" t="s">
        <v>167</v>
      </c>
      <c r="G64" t="s">
        <v>8</v>
      </c>
      <c r="H64">
        <v>31</v>
      </c>
      <c r="I64" t="s">
        <v>13</v>
      </c>
      <c r="J64">
        <v>44450</v>
      </c>
      <c r="K64" t="s">
        <v>23</v>
      </c>
      <c r="L64">
        <v>48950</v>
      </c>
    </row>
    <row r="65" spans="6:12" ht="13.5" hidden="1" x14ac:dyDescent="0.25">
      <c r="F65" t="s">
        <v>168</v>
      </c>
      <c r="G65" t="s">
        <v>15</v>
      </c>
      <c r="H65">
        <v>27</v>
      </c>
      <c r="I65" t="s">
        <v>13</v>
      </c>
      <c r="J65">
        <v>44625</v>
      </c>
      <c r="K65" t="s">
        <v>23</v>
      </c>
      <c r="L65">
        <v>83750</v>
      </c>
    </row>
    <row r="66" spans="6:12" ht="13.5" hidden="1" x14ac:dyDescent="0.25">
      <c r="F66" t="s">
        <v>169</v>
      </c>
      <c r="G66" t="s">
        <v>15</v>
      </c>
      <c r="H66">
        <v>40</v>
      </c>
      <c r="I66" t="s">
        <v>13</v>
      </c>
      <c r="J66">
        <v>44276</v>
      </c>
      <c r="K66" t="s">
        <v>23</v>
      </c>
      <c r="L66">
        <v>87620</v>
      </c>
    </row>
    <row r="67" spans="6:12" ht="13.5" hidden="1" x14ac:dyDescent="0.25">
      <c r="F67" t="s">
        <v>170</v>
      </c>
      <c r="G67" t="s">
        <v>15</v>
      </c>
      <c r="H67">
        <v>20</v>
      </c>
      <c r="I67" t="s">
        <v>18</v>
      </c>
      <c r="J67">
        <v>44476</v>
      </c>
      <c r="K67" t="s">
        <v>9</v>
      </c>
      <c r="L67">
        <v>68900</v>
      </c>
    </row>
    <row r="68" spans="6:12" ht="13.5" hidden="1" x14ac:dyDescent="0.25">
      <c r="F68" t="s">
        <v>171</v>
      </c>
      <c r="G68" t="s">
        <v>8</v>
      </c>
      <c r="H68">
        <v>32</v>
      </c>
      <c r="I68" t="s">
        <v>13</v>
      </c>
      <c r="J68">
        <v>44403</v>
      </c>
      <c r="K68" t="s">
        <v>9</v>
      </c>
      <c r="L68">
        <v>53540</v>
      </c>
    </row>
    <row r="69" spans="6:12" ht="13.5" hidden="1" x14ac:dyDescent="0.25">
      <c r="F69" t="s">
        <v>172</v>
      </c>
      <c r="G69" t="s">
        <v>8</v>
      </c>
      <c r="H69">
        <v>28</v>
      </c>
      <c r="I69" t="s">
        <v>49</v>
      </c>
      <c r="J69">
        <v>44758</v>
      </c>
      <c r="K69" t="s">
        <v>9</v>
      </c>
      <c r="L69">
        <v>43510</v>
      </c>
    </row>
    <row r="70" spans="6:12" ht="13.5" hidden="1" x14ac:dyDescent="0.25">
      <c r="F70" t="s">
        <v>173</v>
      </c>
      <c r="G70" t="s">
        <v>15</v>
      </c>
      <c r="H70">
        <v>38</v>
      </c>
      <c r="I70" t="s">
        <v>43</v>
      </c>
      <c r="J70">
        <v>44316</v>
      </c>
      <c r="K70" t="s">
        <v>9</v>
      </c>
      <c r="L70">
        <v>109160</v>
      </c>
    </row>
    <row r="71" spans="6:12" ht="13.5" hidden="1" x14ac:dyDescent="0.25">
      <c r="F71" t="s">
        <v>174</v>
      </c>
      <c r="G71" t="s">
        <v>8</v>
      </c>
      <c r="H71">
        <v>40</v>
      </c>
      <c r="I71" t="s">
        <v>13</v>
      </c>
      <c r="J71">
        <v>44204</v>
      </c>
      <c r="K71" t="s">
        <v>12</v>
      </c>
      <c r="L71">
        <v>99750</v>
      </c>
    </row>
    <row r="72" spans="6:12" ht="13.5" hidden="1" x14ac:dyDescent="0.25">
      <c r="F72" t="s">
        <v>175</v>
      </c>
      <c r="G72" t="s">
        <v>15</v>
      </c>
      <c r="H72">
        <v>31</v>
      </c>
      <c r="I72" t="s">
        <v>13</v>
      </c>
      <c r="J72">
        <v>44084</v>
      </c>
      <c r="K72" t="s">
        <v>23</v>
      </c>
      <c r="L72">
        <v>41980</v>
      </c>
    </row>
    <row r="73" spans="6:12" ht="13.5" hidden="1" x14ac:dyDescent="0.25">
      <c r="F73" t="s">
        <v>176</v>
      </c>
      <c r="G73" t="s">
        <v>8</v>
      </c>
      <c r="H73">
        <v>36</v>
      </c>
      <c r="I73" t="s">
        <v>13</v>
      </c>
      <c r="J73">
        <v>44272</v>
      </c>
      <c r="K73" t="s">
        <v>17</v>
      </c>
      <c r="L73">
        <v>71380</v>
      </c>
    </row>
    <row r="74" spans="6:12" ht="13.5" hidden="1" x14ac:dyDescent="0.25">
      <c r="F74" t="s">
        <v>177</v>
      </c>
      <c r="G74" t="s">
        <v>8</v>
      </c>
      <c r="H74">
        <v>27</v>
      </c>
      <c r="I74" t="s">
        <v>49</v>
      </c>
      <c r="J74">
        <v>44547</v>
      </c>
      <c r="K74" t="s">
        <v>12</v>
      </c>
      <c r="L74">
        <v>113280</v>
      </c>
    </row>
    <row r="75" spans="6:12" ht="13.5" hidden="1" x14ac:dyDescent="0.25">
      <c r="F75" t="s">
        <v>178</v>
      </c>
      <c r="G75" t="s">
        <v>15</v>
      </c>
      <c r="H75">
        <v>33</v>
      </c>
      <c r="I75" t="s">
        <v>13</v>
      </c>
      <c r="J75">
        <v>44747</v>
      </c>
      <c r="K75" t="s">
        <v>17</v>
      </c>
      <c r="L75">
        <v>86570</v>
      </c>
    </row>
    <row r="76" spans="6:12" ht="13.5" hidden="1" x14ac:dyDescent="0.25">
      <c r="F76" t="s">
        <v>179</v>
      </c>
      <c r="G76" t="s">
        <v>8</v>
      </c>
      <c r="H76">
        <v>26</v>
      </c>
      <c r="I76" t="s">
        <v>13</v>
      </c>
      <c r="J76">
        <v>44350</v>
      </c>
      <c r="K76" t="s">
        <v>12</v>
      </c>
      <c r="L76">
        <v>53540</v>
      </c>
    </row>
    <row r="77" spans="6:12" ht="13.5" hidden="1" x14ac:dyDescent="0.25">
      <c r="F77" t="s">
        <v>180</v>
      </c>
      <c r="G77" t="s">
        <v>8</v>
      </c>
      <c r="H77">
        <v>37</v>
      </c>
      <c r="I77" t="s">
        <v>13</v>
      </c>
      <c r="J77">
        <v>44640</v>
      </c>
      <c r="K77" t="s">
        <v>23</v>
      </c>
      <c r="L77">
        <v>69070</v>
      </c>
    </row>
    <row r="78" spans="6:12" ht="13.5" hidden="1" x14ac:dyDescent="0.25">
      <c r="F78" t="s">
        <v>181</v>
      </c>
      <c r="G78" t="s">
        <v>15</v>
      </c>
      <c r="H78">
        <v>30</v>
      </c>
      <c r="I78" t="s">
        <v>18</v>
      </c>
      <c r="J78">
        <v>44328</v>
      </c>
      <c r="K78" t="s">
        <v>17</v>
      </c>
      <c r="L78">
        <v>67910</v>
      </c>
    </row>
    <row r="79" spans="6:12" ht="13.5" hidden="1" x14ac:dyDescent="0.25">
      <c r="F79" t="s">
        <v>182</v>
      </c>
      <c r="G79" t="s">
        <v>8</v>
      </c>
      <c r="H79">
        <v>30</v>
      </c>
      <c r="I79" t="s">
        <v>13</v>
      </c>
      <c r="J79">
        <v>44214</v>
      </c>
      <c r="K79" t="s">
        <v>23</v>
      </c>
      <c r="L79">
        <v>69120</v>
      </c>
    </row>
    <row r="80" spans="6:12" ht="13.5" hidden="1" x14ac:dyDescent="0.25">
      <c r="F80" t="s">
        <v>183</v>
      </c>
      <c r="G80" t="s">
        <v>15</v>
      </c>
      <c r="H80">
        <v>34</v>
      </c>
      <c r="I80" t="s">
        <v>13</v>
      </c>
      <c r="J80">
        <v>44550</v>
      </c>
      <c r="K80" t="s">
        <v>17</v>
      </c>
      <c r="L80">
        <v>60130</v>
      </c>
    </row>
    <row r="81" spans="6:12" ht="13.5" hidden="1" x14ac:dyDescent="0.25">
      <c r="F81" t="s">
        <v>184</v>
      </c>
      <c r="G81" t="s">
        <v>8</v>
      </c>
      <c r="H81">
        <v>23</v>
      </c>
      <c r="I81" t="s">
        <v>13</v>
      </c>
      <c r="J81">
        <v>44378</v>
      </c>
      <c r="K81" t="s">
        <v>12</v>
      </c>
      <c r="L81">
        <v>106460</v>
      </c>
    </row>
    <row r="82" spans="6:12" ht="13.5" x14ac:dyDescent="0.25">
      <c r="F82" t="s">
        <v>185</v>
      </c>
      <c r="G82" t="s">
        <v>15</v>
      </c>
      <c r="H82">
        <v>37</v>
      </c>
      <c r="I82" t="s">
        <v>13</v>
      </c>
      <c r="J82">
        <v>44389</v>
      </c>
      <c r="K82" t="s">
        <v>26</v>
      </c>
      <c r="L82">
        <v>118100</v>
      </c>
    </row>
    <row r="83" spans="6:12" ht="13.5" hidden="1" x14ac:dyDescent="0.25">
      <c r="F83" t="s">
        <v>186</v>
      </c>
      <c r="G83" t="s">
        <v>15</v>
      </c>
      <c r="H83">
        <v>36</v>
      </c>
      <c r="I83" t="s">
        <v>13</v>
      </c>
      <c r="J83">
        <v>44468</v>
      </c>
      <c r="K83" t="s">
        <v>12</v>
      </c>
      <c r="L83">
        <v>78390</v>
      </c>
    </row>
    <row r="84" spans="6:12" ht="13.5" hidden="1" x14ac:dyDescent="0.25">
      <c r="F84" t="s">
        <v>187</v>
      </c>
      <c r="G84" t="s">
        <v>15</v>
      </c>
      <c r="H84">
        <v>30</v>
      </c>
      <c r="I84" t="s">
        <v>13</v>
      </c>
      <c r="J84">
        <v>44789</v>
      </c>
      <c r="K84" t="s">
        <v>12</v>
      </c>
      <c r="L84">
        <v>114180</v>
      </c>
    </row>
    <row r="85" spans="6:12" ht="13.5" hidden="1" x14ac:dyDescent="0.25">
      <c r="F85" t="s">
        <v>188</v>
      </c>
      <c r="G85" t="s">
        <v>15</v>
      </c>
      <c r="H85">
        <v>28</v>
      </c>
      <c r="I85" t="s">
        <v>13</v>
      </c>
      <c r="J85">
        <v>44590</v>
      </c>
      <c r="K85" t="s">
        <v>12</v>
      </c>
      <c r="L85">
        <v>104120</v>
      </c>
    </row>
    <row r="86" spans="6:12" ht="13.5" hidden="1" x14ac:dyDescent="0.25">
      <c r="F86" t="s">
        <v>189</v>
      </c>
      <c r="G86" t="s">
        <v>8</v>
      </c>
      <c r="H86">
        <v>30</v>
      </c>
      <c r="I86" t="s">
        <v>13</v>
      </c>
      <c r="J86">
        <v>44640</v>
      </c>
      <c r="K86" t="s">
        <v>12</v>
      </c>
      <c r="L86">
        <v>67950</v>
      </c>
    </row>
    <row r="87" spans="6:12" ht="13.5" hidden="1" x14ac:dyDescent="0.25">
      <c r="F87" t="s">
        <v>190</v>
      </c>
      <c r="G87" t="s">
        <v>15</v>
      </c>
      <c r="H87">
        <v>29</v>
      </c>
      <c r="I87" t="s">
        <v>13</v>
      </c>
      <c r="J87">
        <v>43962</v>
      </c>
      <c r="K87" t="s">
        <v>23</v>
      </c>
      <c r="L87">
        <v>34980</v>
      </c>
    </row>
    <row r="88" spans="6:12" ht="13.5" hidden="1" x14ac:dyDescent="0.25">
      <c r="F88" t="s">
        <v>191</v>
      </c>
      <c r="G88" t="s">
        <v>15</v>
      </c>
      <c r="H88">
        <v>24</v>
      </c>
      <c r="I88" t="s">
        <v>13</v>
      </c>
      <c r="J88">
        <v>44087</v>
      </c>
      <c r="K88" t="s">
        <v>23</v>
      </c>
      <c r="L88">
        <v>62780</v>
      </c>
    </row>
    <row r="89" spans="6:12" ht="13.5" hidden="1" x14ac:dyDescent="0.25">
      <c r="F89" t="s">
        <v>192</v>
      </c>
      <c r="G89" t="s">
        <v>8</v>
      </c>
      <c r="H89">
        <v>20</v>
      </c>
      <c r="I89" t="s">
        <v>13</v>
      </c>
      <c r="J89">
        <v>44397</v>
      </c>
      <c r="K89" t="s">
        <v>23</v>
      </c>
      <c r="L89">
        <v>107700</v>
      </c>
    </row>
    <row r="90" spans="6:12" ht="13.5" hidden="1" x14ac:dyDescent="0.25">
      <c r="F90" t="s">
        <v>193</v>
      </c>
      <c r="G90" t="s">
        <v>8</v>
      </c>
      <c r="H90">
        <v>25</v>
      </c>
      <c r="I90" t="s">
        <v>13</v>
      </c>
      <c r="J90">
        <v>44322</v>
      </c>
      <c r="K90" t="s">
        <v>9</v>
      </c>
      <c r="L90">
        <v>65700</v>
      </c>
    </row>
    <row r="91" spans="6:12" ht="13.5" hidden="1" x14ac:dyDescent="0.25">
      <c r="F91" t="s">
        <v>194</v>
      </c>
      <c r="G91" t="s">
        <v>15</v>
      </c>
      <c r="H91">
        <v>33</v>
      </c>
      <c r="I91" t="s">
        <v>49</v>
      </c>
      <c r="J91">
        <v>44313</v>
      </c>
      <c r="K91" t="s">
        <v>23</v>
      </c>
      <c r="L91">
        <v>75480</v>
      </c>
    </row>
    <row r="92" spans="6:12" ht="13.5" hidden="1" x14ac:dyDescent="0.25">
      <c r="F92" t="s">
        <v>195</v>
      </c>
      <c r="G92" t="s">
        <v>8</v>
      </c>
      <c r="H92">
        <v>33</v>
      </c>
      <c r="I92" t="s">
        <v>13</v>
      </c>
      <c r="J92">
        <v>44448</v>
      </c>
      <c r="K92" t="s">
        <v>23</v>
      </c>
      <c r="L92">
        <v>53870</v>
      </c>
    </row>
    <row r="93" spans="6:12" ht="13.5" hidden="1" x14ac:dyDescent="0.25">
      <c r="F93" t="s">
        <v>196</v>
      </c>
      <c r="G93" t="s">
        <v>15</v>
      </c>
      <c r="H93">
        <v>36</v>
      </c>
      <c r="I93" t="s">
        <v>13</v>
      </c>
      <c r="J93">
        <v>44433</v>
      </c>
      <c r="K93" t="s">
        <v>9</v>
      </c>
      <c r="L93">
        <v>78540</v>
      </c>
    </row>
    <row r="94" spans="6:12" ht="13.5" hidden="1" x14ac:dyDescent="0.25">
      <c r="F94" t="s">
        <v>197</v>
      </c>
      <c r="G94" t="s">
        <v>8</v>
      </c>
      <c r="H94">
        <v>19</v>
      </c>
      <c r="I94" t="s">
        <v>13</v>
      </c>
      <c r="J94">
        <v>44218</v>
      </c>
      <c r="K94" t="s">
        <v>12</v>
      </c>
      <c r="L94">
        <v>58960</v>
      </c>
    </row>
    <row r="95" spans="6:12" ht="13.5" hidden="1" x14ac:dyDescent="0.25">
      <c r="F95" t="s">
        <v>198</v>
      </c>
      <c r="G95" t="s">
        <v>8</v>
      </c>
      <c r="H95">
        <v>46</v>
      </c>
      <c r="I95" t="s">
        <v>13</v>
      </c>
      <c r="J95">
        <v>44697</v>
      </c>
      <c r="K95" t="s">
        <v>12</v>
      </c>
      <c r="L95">
        <v>70610</v>
      </c>
    </row>
    <row r="96" spans="6:12" ht="13.5" hidden="1" x14ac:dyDescent="0.25">
      <c r="F96" t="s">
        <v>199</v>
      </c>
      <c r="G96" t="s">
        <v>8</v>
      </c>
      <c r="H96">
        <v>33</v>
      </c>
      <c r="I96" t="s">
        <v>13</v>
      </c>
      <c r="J96">
        <v>44181</v>
      </c>
      <c r="K96" t="s">
        <v>17</v>
      </c>
      <c r="L96">
        <v>59430</v>
      </c>
    </row>
    <row r="97" spans="6:12" ht="13.5" hidden="1" x14ac:dyDescent="0.25">
      <c r="F97" t="s">
        <v>200</v>
      </c>
      <c r="G97" t="s">
        <v>8</v>
      </c>
      <c r="H97">
        <v>33</v>
      </c>
      <c r="I97" t="s">
        <v>10</v>
      </c>
      <c r="J97">
        <v>44640</v>
      </c>
      <c r="K97" t="s">
        <v>12</v>
      </c>
      <c r="L97">
        <v>48530</v>
      </c>
    </row>
    <row r="98" spans="6:12" ht="13.5" hidden="1" x14ac:dyDescent="0.25">
      <c r="F98" t="s">
        <v>201</v>
      </c>
      <c r="G98" t="s">
        <v>15</v>
      </c>
      <c r="H98">
        <v>33</v>
      </c>
      <c r="I98" t="s">
        <v>13</v>
      </c>
      <c r="J98">
        <v>44129</v>
      </c>
      <c r="K98" t="s">
        <v>23</v>
      </c>
      <c r="L98">
        <v>96140</v>
      </c>
    </row>
    <row r="99" spans="6:12" ht="13.5" hidden="1" x14ac:dyDescent="0.25">
      <c r="F99" t="s">
        <v>110</v>
      </c>
      <c r="G99" t="s">
        <v>8</v>
      </c>
      <c r="H99">
        <v>20</v>
      </c>
      <c r="I99" t="s">
        <v>13</v>
      </c>
      <c r="J99">
        <v>44122</v>
      </c>
      <c r="K99" t="s">
        <v>23</v>
      </c>
      <c r="L99">
        <v>112650</v>
      </c>
    </row>
    <row r="100" spans="6:12" ht="13.5" hidden="1" x14ac:dyDescent="0.25">
      <c r="F100" t="s">
        <v>111</v>
      </c>
      <c r="G100" t="s">
        <v>15</v>
      </c>
      <c r="H100">
        <v>32</v>
      </c>
      <c r="I100" t="s">
        <v>10</v>
      </c>
      <c r="J100">
        <v>44293</v>
      </c>
      <c r="K100" t="s">
        <v>23</v>
      </c>
      <c r="L100">
        <v>43840</v>
      </c>
    </row>
    <row r="101" spans="6:12" ht="13.5" hidden="1" x14ac:dyDescent="0.25">
      <c r="F101" t="s">
        <v>112</v>
      </c>
      <c r="G101" t="s">
        <v>8</v>
      </c>
      <c r="H101">
        <v>31</v>
      </c>
      <c r="I101" t="s">
        <v>13</v>
      </c>
      <c r="J101">
        <v>44663</v>
      </c>
      <c r="K101" t="s">
        <v>12</v>
      </c>
      <c r="L101">
        <v>103550</v>
      </c>
    </row>
    <row r="102" spans="6:12" ht="13.5" x14ac:dyDescent="0.25">
      <c r="F102" t="s">
        <v>113</v>
      </c>
      <c r="G102" t="s">
        <v>15</v>
      </c>
      <c r="H102">
        <v>32</v>
      </c>
      <c r="I102" t="s">
        <v>13</v>
      </c>
      <c r="J102">
        <v>44339</v>
      </c>
      <c r="K102" t="s">
        <v>26</v>
      </c>
      <c r="L102">
        <v>45510</v>
      </c>
    </row>
    <row r="103" spans="6:12" ht="13.5" hidden="1" x14ac:dyDescent="0.25">
      <c r="F103" t="s">
        <v>114</v>
      </c>
      <c r="H103">
        <v>37</v>
      </c>
      <c r="I103" t="s">
        <v>18</v>
      </c>
      <c r="J103">
        <v>44085</v>
      </c>
      <c r="K103" t="s">
        <v>17</v>
      </c>
      <c r="L103">
        <v>115440</v>
      </c>
    </row>
    <row r="104" spans="6:12" ht="13.5" hidden="1" x14ac:dyDescent="0.25">
      <c r="F104" t="s">
        <v>115</v>
      </c>
      <c r="G104" t="s">
        <v>15</v>
      </c>
      <c r="H104">
        <v>38</v>
      </c>
      <c r="I104" t="s">
        <v>10</v>
      </c>
      <c r="J104">
        <v>44268</v>
      </c>
      <c r="K104" t="s">
        <v>9</v>
      </c>
      <c r="L104">
        <v>56870</v>
      </c>
    </row>
    <row r="105" spans="6:12" ht="13.5" hidden="1" x14ac:dyDescent="0.25">
      <c r="F105" t="s">
        <v>116</v>
      </c>
      <c r="G105" t="s">
        <v>15</v>
      </c>
      <c r="H105">
        <v>25</v>
      </c>
      <c r="I105" t="s">
        <v>13</v>
      </c>
      <c r="J105">
        <v>44144</v>
      </c>
      <c r="K105" t="s">
        <v>9</v>
      </c>
      <c r="L105">
        <v>92700</v>
      </c>
    </row>
    <row r="106" spans="6:12" ht="13.5" hidden="1" x14ac:dyDescent="0.25">
      <c r="F106" t="s">
        <v>117</v>
      </c>
      <c r="H106">
        <v>32</v>
      </c>
      <c r="I106" t="s">
        <v>13</v>
      </c>
      <c r="J106">
        <v>44713</v>
      </c>
      <c r="K106" t="s">
        <v>23</v>
      </c>
      <c r="L106">
        <v>91310</v>
      </c>
    </row>
    <row r="107" spans="6:12" ht="13.5" hidden="1" x14ac:dyDescent="0.25">
      <c r="F107" t="s">
        <v>118</v>
      </c>
      <c r="G107" t="s">
        <v>8</v>
      </c>
      <c r="H107">
        <v>33</v>
      </c>
      <c r="I107" t="s">
        <v>13</v>
      </c>
      <c r="J107">
        <v>44324</v>
      </c>
      <c r="K107" t="s">
        <v>9</v>
      </c>
      <c r="L107">
        <v>74550</v>
      </c>
    </row>
    <row r="108" spans="6:12" ht="13.5" hidden="1" x14ac:dyDescent="0.25">
      <c r="F108" t="s">
        <v>119</v>
      </c>
      <c r="G108" t="s">
        <v>8</v>
      </c>
      <c r="H108">
        <v>25</v>
      </c>
      <c r="I108" t="s">
        <v>10</v>
      </c>
      <c r="J108">
        <v>44665</v>
      </c>
      <c r="K108" t="s">
        <v>12</v>
      </c>
      <c r="L108">
        <v>109190</v>
      </c>
    </row>
    <row r="109" spans="6:12" ht="13.5" hidden="1" x14ac:dyDescent="0.25">
      <c r="F109" t="s">
        <v>120</v>
      </c>
      <c r="G109" t="s">
        <v>15</v>
      </c>
      <c r="H109">
        <v>40</v>
      </c>
      <c r="I109" t="s">
        <v>13</v>
      </c>
      <c r="J109">
        <v>44320</v>
      </c>
      <c r="K109" t="s">
        <v>23</v>
      </c>
      <c r="L109">
        <v>104410</v>
      </c>
    </row>
    <row r="110" spans="6:12" ht="13.5" hidden="1" x14ac:dyDescent="0.25">
      <c r="F110" t="s">
        <v>121</v>
      </c>
      <c r="G110" t="s">
        <v>8</v>
      </c>
      <c r="H110">
        <v>30</v>
      </c>
      <c r="I110" t="s">
        <v>13</v>
      </c>
      <c r="J110">
        <v>44544</v>
      </c>
      <c r="K110" t="s">
        <v>17</v>
      </c>
      <c r="L110">
        <v>96800</v>
      </c>
    </row>
    <row r="111" spans="6:12" ht="13.5" hidden="1" x14ac:dyDescent="0.25">
      <c r="F111" t="s">
        <v>122</v>
      </c>
      <c r="G111" t="s">
        <v>8</v>
      </c>
      <c r="H111">
        <v>28</v>
      </c>
      <c r="I111" t="s">
        <v>10</v>
      </c>
      <c r="J111">
        <v>43980</v>
      </c>
      <c r="K111" t="s">
        <v>17</v>
      </c>
      <c r="L111">
        <v>48170</v>
      </c>
    </row>
    <row r="112" spans="6:12" ht="13.5" hidden="1" x14ac:dyDescent="0.25">
      <c r="F112" t="s">
        <v>123</v>
      </c>
      <c r="G112" t="s">
        <v>8</v>
      </c>
      <c r="H112">
        <v>21</v>
      </c>
      <c r="I112" t="s">
        <v>13</v>
      </c>
      <c r="J112">
        <v>44042</v>
      </c>
      <c r="K112" t="s">
        <v>12</v>
      </c>
      <c r="L112">
        <v>37920</v>
      </c>
    </row>
    <row r="113" spans="3:12" ht="13.5" hidden="1" x14ac:dyDescent="0.25">
      <c r="F113" t="s">
        <v>124</v>
      </c>
      <c r="G113" t="s">
        <v>8</v>
      </c>
      <c r="H113">
        <v>34</v>
      </c>
      <c r="I113" t="s">
        <v>13</v>
      </c>
      <c r="J113">
        <v>44642</v>
      </c>
      <c r="K113" t="s">
        <v>12</v>
      </c>
      <c r="L113">
        <v>112650</v>
      </c>
    </row>
    <row r="114" spans="3:12" ht="13.5" hidden="1" x14ac:dyDescent="0.25">
      <c r="F114" t="s">
        <v>125</v>
      </c>
      <c r="G114" t="s">
        <v>15</v>
      </c>
      <c r="H114">
        <v>34</v>
      </c>
      <c r="I114" t="s">
        <v>18</v>
      </c>
      <c r="J114">
        <v>44660</v>
      </c>
      <c r="K114" t="s">
        <v>9</v>
      </c>
      <c r="L114">
        <v>49630</v>
      </c>
    </row>
    <row r="115" spans="3:12" ht="13.5" hidden="1" x14ac:dyDescent="0.25">
      <c r="F115" t="s">
        <v>126</v>
      </c>
      <c r="G115" t="s">
        <v>8</v>
      </c>
      <c r="H115">
        <v>36</v>
      </c>
      <c r="I115" t="s">
        <v>13</v>
      </c>
      <c r="J115">
        <v>43958</v>
      </c>
      <c r="K115" t="s">
        <v>23</v>
      </c>
      <c r="L115">
        <v>118840</v>
      </c>
    </row>
    <row r="116" spans="3:12" ht="13.5" hidden="1" x14ac:dyDescent="0.25">
      <c r="F116" t="s">
        <v>127</v>
      </c>
      <c r="G116" t="s">
        <v>8</v>
      </c>
      <c r="H116">
        <v>30</v>
      </c>
      <c r="I116" t="s">
        <v>13</v>
      </c>
      <c r="J116">
        <v>44789</v>
      </c>
      <c r="K116" t="s">
        <v>23</v>
      </c>
      <c r="L116">
        <v>69710</v>
      </c>
    </row>
    <row r="117" spans="3:12" ht="13.5" hidden="1" x14ac:dyDescent="0.25">
      <c r="F117" t="s">
        <v>128</v>
      </c>
      <c r="G117" t="s">
        <v>8</v>
      </c>
      <c r="H117">
        <v>20</v>
      </c>
      <c r="I117" t="s">
        <v>13</v>
      </c>
      <c r="J117">
        <v>44683</v>
      </c>
      <c r="K117" t="s">
        <v>12</v>
      </c>
      <c r="L117">
        <v>79570</v>
      </c>
    </row>
    <row r="118" spans="3:12" ht="13.5" hidden="1" x14ac:dyDescent="0.25">
      <c r="C118">
        <f>COUNTA(EMP_STAFF[Name])</f>
        <v>112</v>
      </c>
      <c r="F118" t="s">
        <v>129</v>
      </c>
      <c r="G118" t="s">
        <v>15</v>
      </c>
      <c r="H118">
        <v>22</v>
      </c>
      <c r="I118" t="s">
        <v>10</v>
      </c>
      <c r="J118">
        <v>44388</v>
      </c>
      <c r="K118" t="s">
        <v>12</v>
      </c>
      <c r="L118">
        <v>76900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D78DE-F1BA-4A56-8215-A0AF5FA5F54B}">
  <sheetPr codeName="Sheet4"/>
  <dimension ref="A1:AD185"/>
  <sheetViews>
    <sheetView zoomScale="101" workbookViewId="0">
      <selection activeCell="J41" sqref="J41"/>
    </sheetView>
  </sheetViews>
  <sheetFormatPr defaultRowHeight="14.5" x14ac:dyDescent="0.25"/>
  <cols>
    <col min="1" max="1" width="28.25" customWidth="1"/>
    <col min="2" max="2" width="9.25" customWidth="1"/>
    <col min="3" max="3" width="13.33203125" customWidth="1"/>
    <col min="4" max="4" width="6.1640625" customWidth="1"/>
    <col min="5" max="5" width="12.83203125" customWidth="1"/>
    <col min="6" max="6" width="11.6640625" customWidth="1"/>
    <col min="7" max="7" width="13.25" customWidth="1"/>
    <col min="8" max="8" width="11.1640625" customWidth="1"/>
    <col min="9" max="9" width="8.9140625" style="4" customWidth="1"/>
    <col min="10" max="10" width="10.1640625" style="5" customWidth="1"/>
    <col min="11" max="11" width="18.25" style="5" customWidth="1"/>
    <col min="12" max="12" width="10.1640625" style="5" customWidth="1"/>
    <col min="13" max="13" width="8.9140625" style="4" customWidth="1"/>
    <col min="15" max="15" width="16.4140625" customWidth="1"/>
    <col min="16" max="16" width="19.25" bestFit="1" customWidth="1"/>
    <col min="17" max="17" width="12.5" customWidth="1"/>
    <col min="22" max="22" width="23.5" customWidth="1"/>
    <col min="23" max="23" width="11.4140625" customWidth="1"/>
    <col min="24" max="24" width="13.33203125" customWidth="1"/>
    <col min="25" max="25" width="6.5" customWidth="1"/>
    <col min="26" max="26" width="12.9140625" customWidth="1"/>
    <col min="27" max="27" width="11.58203125" customWidth="1"/>
    <col min="28" max="28" width="13.1640625" customWidth="1"/>
    <col min="29" max="29" width="11.4140625" customWidth="1"/>
    <col min="30" max="30" width="12.4140625" customWidth="1"/>
  </cols>
  <sheetData>
    <row r="1" spans="1:30" ht="13.5" x14ac:dyDescent="0.25">
      <c r="A1" t="s">
        <v>0</v>
      </c>
      <c r="B1" t="s">
        <v>1</v>
      </c>
      <c r="C1" t="s">
        <v>2</v>
      </c>
      <c r="D1" t="s">
        <v>3</v>
      </c>
      <c r="E1" t="s">
        <v>4</v>
      </c>
      <c r="F1" t="s">
        <v>5</v>
      </c>
      <c r="G1" t="s">
        <v>6</v>
      </c>
      <c r="H1" t="s">
        <v>202</v>
      </c>
      <c r="I1" s="4" t="s">
        <v>211</v>
      </c>
      <c r="J1" s="5" t="s">
        <v>228</v>
      </c>
      <c r="K1" s="5" t="s">
        <v>233</v>
      </c>
    </row>
    <row r="2" spans="1:30" ht="13.5" x14ac:dyDescent="0.25">
      <c r="A2" t="s">
        <v>93</v>
      </c>
      <c r="B2" t="s">
        <v>15</v>
      </c>
      <c r="C2" t="s">
        <v>23</v>
      </c>
      <c r="D2">
        <v>21</v>
      </c>
      <c r="E2" s="1">
        <v>44678</v>
      </c>
      <c r="F2" s="2">
        <v>33920</v>
      </c>
      <c r="G2" t="s">
        <v>13</v>
      </c>
      <c r="H2" t="s">
        <v>203</v>
      </c>
      <c r="I2" s="4">
        <f ca="1">(TODAY()-Staff[[#This Row],[Date Joined]])/365</f>
        <v>2.021917808219178</v>
      </c>
      <c r="J2" s="5">
        <f ca="1">ROUNDUP(IF(Staff[[#This Row],[Tenure]]&gt;2,3%,2%)*Staff[[#This Row],[Salary]],0)</f>
        <v>1018</v>
      </c>
      <c r="K2" s="31">
        <f>_xlfn.XLOOKUP(Staff[[#This Row],[Rating]],'SALARY VS RATING'!$G$5:$G$9,'SALARY VS RATING'!$H$5:$H$9)</f>
        <v>3</v>
      </c>
    </row>
    <row r="3" spans="1:30" ht="14" x14ac:dyDescent="0.25">
      <c r="A3" t="s">
        <v>153</v>
      </c>
      <c r="B3" t="s">
        <v>15</v>
      </c>
      <c r="C3" t="s">
        <v>23</v>
      </c>
      <c r="D3">
        <v>21</v>
      </c>
      <c r="E3" s="1">
        <v>44619</v>
      </c>
      <c r="F3" s="2">
        <v>33920</v>
      </c>
      <c r="G3" t="s">
        <v>13</v>
      </c>
      <c r="H3" t="s">
        <v>205</v>
      </c>
      <c r="I3" s="4">
        <f ca="1">(TODAY()-Staff[[#This Row],[Date Joined]])/365</f>
        <v>2.1835616438356165</v>
      </c>
      <c r="J3" s="5">
        <f ca="1">ROUNDUP(IF(Staff[[#This Row],[Tenure]]&gt;2,3%,2%)*Staff[[#This Row],[Salary]],0)</f>
        <v>1018</v>
      </c>
      <c r="K3" s="31">
        <f>_xlfn.XLOOKUP(Staff[[#This Row],[Rating]],'SALARY VS RATING'!$G$5:$G$9,'SALARY VS RATING'!$H$5:$H$9)</f>
        <v>3</v>
      </c>
      <c r="N3" s="10">
        <v>1</v>
      </c>
      <c r="O3" s="22" t="s">
        <v>213</v>
      </c>
      <c r="P3" s="22"/>
      <c r="Q3" s="22"/>
    </row>
    <row r="4" spans="1:30" ht="13.5" x14ac:dyDescent="0.25">
      <c r="A4" t="s">
        <v>45</v>
      </c>
      <c r="B4" t="s">
        <v>15</v>
      </c>
      <c r="C4" t="s">
        <v>23</v>
      </c>
      <c r="D4">
        <v>29</v>
      </c>
      <c r="E4" s="1">
        <v>44023</v>
      </c>
      <c r="F4" s="2">
        <v>34980</v>
      </c>
      <c r="G4" t="s">
        <v>13</v>
      </c>
      <c r="H4" t="s">
        <v>203</v>
      </c>
      <c r="I4" s="4">
        <f ca="1">(TODAY()-Staff[[#This Row],[Date Joined]])/365</f>
        <v>3.8164383561643835</v>
      </c>
      <c r="J4" s="5">
        <f ca="1">ROUNDUP(IF(Staff[[#This Row],[Tenure]]&gt;2,3%,2%)*Staff[[#This Row],[Salary]],0)</f>
        <v>1050</v>
      </c>
      <c r="K4" s="31">
        <f>_xlfn.XLOOKUP(Staff[[#This Row],[Rating]],'SALARY VS RATING'!$G$5:$G$9,'SALARY VS RATING'!$H$5:$H$9)</f>
        <v>3</v>
      </c>
      <c r="O4" s="11" t="s">
        <v>206</v>
      </c>
      <c r="P4" s="11">
        <f>COUNTA(Staff[Name])</f>
        <v>183</v>
      </c>
    </row>
    <row r="5" spans="1:30" ht="13.5" x14ac:dyDescent="0.25">
      <c r="A5" t="s">
        <v>190</v>
      </c>
      <c r="B5" t="s">
        <v>15</v>
      </c>
      <c r="C5" t="s">
        <v>23</v>
      </c>
      <c r="D5">
        <v>29</v>
      </c>
      <c r="E5" s="1">
        <v>43962</v>
      </c>
      <c r="F5" s="2">
        <v>34980</v>
      </c>
      <c r="G5" t="s">
        <v>13</v>
      </c>
      <c r="H5" t="s">
        <v>205</v>
      </c>
      <c r="I5" s="4">
        <f ca="1">(TODAY()-Staff[[#This Row],[Date Joined]])/365</f>
        <v>3.9835616438356163</v>
      </c>
      <c r="J5" s="5">
        <f ca="1">ROUNDUP(IF(Staff[[#This Row],[Tenure]]&gt;2,3%,2%)*Staff[[#This Row],[Salary]],0)</f>
        <v>1050</v>
      </c>
      <c r="K5" s="31">
        <f>_xlfn.XLOOKUP(Staff[[#This Row],[Rating]],'SALARY VS RATING'!$G$5:$G$9,'SALARY VS RATING'!$H$5:$H$9)</f>
        <v>3</v>
      </c>
      <c r="O5" s="11" t="s">
        <v>207</v>
      </c>
      <c r="P5" s="12">
        <f>AVERAGE(F:F)</f>
        <v>77289.344262295082</v>
      </c>
      <c r="Q5">
        <f>MEDIAN(Staff[Salary])</f>
        <v>75000</v>
      </c>
    </row>
    <row r="6" spans="1:30" ht="13.5" x14ac:dyDescent="0.25">
      <c r="A6" t="s">
        <v>97</v>
      </c>
      <c r="B6" t="s">
        <v>8</v>
      </c>
      <c r="C6" t="s">
        <v>9</v>
      </c>
      <c r="D6">
        <v>43</v>
      </c>
      <c r="E6" s="1">
        <v>44620</v>
      </c>
      <c r="F6" s="2">
        <v>36040</v>
      </c>
      <c r="G6" t="s">
        <v>13</v>
      </c>
      <c r="H6" t="s">
        <v>203</v>
      </c>
      <c r="I6" s="4">
        <f ca="1">(TODAY()-Staff[[#This Row],[Date Joined]])/365</f>
        <v>2.1808219178082191</v>
      </c>
      <c r="J6" s="5">
        <f ca="1">ROUNDUP(IF(Staff[[#This Row],[Tenure]]&gt;2,3%,2%)*Staff[[#This Row],[Salary]],0)</f>
        <v>1082</v>
      </c>
      <c r="K6" s="31">
        <f>_xlfn.XLOOKUP(Staff[[#This Row],[Rating]],'SALARY VS RATING'!$G$5:$G$9,'SALARY VS RATING'!$H$5:$H$9)</f>
        <v>3</v>
      </c>
      <c r="O6" s="11" t="s">
        <v>208</v>
      </c>
      <c r="P6" s="13">
        <f>AVERAGE(D:D)</f>
        <v>30.42622950819672</v>
      </c>
      <c r="Q6">
        <f>MEDIAN(Staff[Age])</f>
        <v>30</v>
      </c>
      <c r="W6" s="23"/>
      <c r="X6" s="23"/>
      <c r="Y6" s="23"/>
      <c r="Z6" s="23"/>
      <c r="AA6" s="23"/>
    </row>
    <row r="7" spans="1:30" ht="13.5" x14ac:dyDescent="0.25">
      <c r="A7" t="s">
        <v>132</v>
      </c>
      <c r="B7" t="s">
        <v>8</v>
      </c>
      <c r="C7" t="s">
        <v>9</v>
      </c>
      <c r="D7">
        <v>43</v>
      </c>
      <c r="E7" s="1">
        <v>44558</v>
      </c>
      <c r="F7" s="2">
        <v>36040</v>
      </c>
      <c r="G7" t="s">
        <v>13</v>
      </c>
      <c r="H7" t="s">
        <v>205</v>
      </c>
      <c r="I7" s="4">
        <f ca="1">(TODAY()-Staff[[#This Row],[Date Joined]])/365</f>
        <v>2.3506849315068492</v>
      </c>
      <c r="J7" s="5">
        <f ca="1">ROUNDUP(IF(Staff[[#This Row],[Tenure]]&gt;2,3%,2%)*Staff[[#This Row],[Salary]],0)</f>
        <v>1082</v>
      </c>
      <c r="K7" s="31">
        <f>_xlfn.XLOOKUP(Staff[[#This Row],[Rating]],'SALARY VS RATING'!$G$5:$G$9,'SALARY VS RATING'!$H$5:$H$9)</f>
        <v>3</v>
      </c>
      <c r="O7" s="11" t="s">
        <v>209</v>
      </c>
      <c r="P7" s="13">
        <f ca="1">AVERAGE(Staff[Tenure])</f>
        <v>2.6930608578486428</v>
      </c>
    </row>
    <row r="8" spans="1:30" ht="14" x14ac:dyDescent="0.3">
      <c r="A8" t="s">
        <v>33</v>
      </c>
      <c r="B8" t="s">
        <v>8</v>
      </c>
      <c r="C8" t="s">
        <v>12</v>
      </c>
      <c r="D8">
        <v>21</v>
      </c>
      <c r="E8" s="1">
        <v>44104</v>
      </c>
      <c r="F8" s="2">
        <v>37920</v>
      </c>
      <c r="G8" t="s">
        <v>13</v>
      </c>
      <c r="H8" t="s">
        <v>203</v>
      </c>
      <c r="I8" s="4">
        <f ca="1">(TODAY()-Staff[[#This Row],[Date Joined]])/365</f>
        <v>3.5945205479452054</v>
      </c>
      <c r="J8" s="5">
        <f ca="1">ROUNDUP(IF(Staff[[#This Row],[Tenure]]&gt;2,3%,2%)*Staff[[#This Row],[Salary]],0)</f>
        <v>1138</v>
      </c>
      <c r="K8" s="31">
        <f>_xlfn.XLOOKUP(Staff[[#This Row],[Rating]],'SALARY VS RATING'!$G$5:$G$9,'SALARY VS RATING'!$H$5:$H$9)</f>
        <v>3</v>
      </c>
      <c r="O8" s="11" t="s">
        <v>210</v>
      </c>
      <c r="P8" s="11"/>
      <c r="Q8" s="4"/>
      <c r="W8" s="24" t="s">
        <v>219</v>
      </c>
      <c r="X8" s="25"/>
      <c r="Y8" s="25"/>
      <c r="Z8" s="25"/>
      <c r="AA8" s="25"/>
      <c r="AB8" s="25"/>
      <c r="AC8" s="26"/>
    </row>
    <row r="9" spans="1:30" ht="13.5" x14ac:dyDescent="0.25">
      <c r="A9" t="s">
        <v>123</v>
      </c>
      <c r="B9" t="s">
        <v>8</v>
      </c>
      <c r="C9" t="s">
        <v>12</v>
      </c>
      <c r="D9">
        <v>21</v>
      </c>
      <c r="E9" s="1">
        <v>44042</v>
      </c>
      <c r="F9" s="2">
        <v>37920</v>
      </c>
      <c r="G9" t="s">
        <v>13</v>
      </c>
      <c r="H9" t="s">
        <v>205</v>
      </c>
      <c r="I9" s="4">
        <f ca="1">(TODAY()-Staff[[#This Row],[Date Joined]])/365</f>
        <v>3.7643835616438355</v>
      </c>
      <c r="J9" s="5">
        <f ca="1">ROUNDUP(IF(Staff[[#This Row],[Tenure]]&gt;2,3%,2%)*Staff[[#This Row],[Salary]],0)</f>
        <v>1138</v>
      </c>
      <c r="K9" s="31">
        <f>_xlfn.XLOOKUP(Staff[[#This Row],[Rating]],'SALARY VS RATING'!$G$5:$G$9,'SALARY VS RATING'!$H$5:$H$9)</f>
        <v>3</v>
      </c>
      <c r="O9" s="11" t="s">
        <v>15</v>
      </c>
      <c r="P9" s="11">
        <f>COUNTIFS(Staff[Gender],"FEMALE")</f>
        <v>86</v>
      </c>
      <c r="V9" t="s">
        <v>0</v>
      </c>
      <c r="W9" t="s">
        <v>1</v>
      </c>
      <c r="X9" t="s">
        <v>2</v>
      </c>
      <c r="Y9" t="s">
        <v>3</v>
      </c>
      <c r="Z9" t="s">
        <v>4</v>
      </c>
      <c r="AA9" t="s">
        <v>5</v>
      </c>
      <c r="AB9" t="s">
        <v>6</v>
      </c>
      <c r="AC9" t="s">
        <v>202</v>
      </c>
      <c r="AD9" t="s">
        <v>211</v>
      </c>
    </row>
    <row r="10" spans="1:30" ht="13.5" x14ac:dyDescent="0.25">
      <c r="A10" t="s">
        <v>95</v>
      </c>
      <c r="B10" t="s">
        <v>8</v>
      </c>
      <c r="C10" t="s">
        <v>12</v>
      </c>
      <c r="D10">
        <v>35</v>
      </c>
      <c r="E10" s="1">
        <v>44727</v>
      </c>
      <c r="F10" s="2">
        <v>40400</v>
      </c>
      <c r="G10" t="s">
        <v>13</v>
      </c>
      <c r="H10" t="s">
        <v>203</v>
      </c>
      <c r="I10" s="4">
        <f ca="1">(TODAY()-Staff[[#This Row],[Date Joined]])/365</f>
        <v>1.8876712328767122</v>
      </c>
      <c r="J10" s="5">
        <f ca="1">ROUNDUP(IF(Staff[[#This Row],[Tenure]]&gt;2,3%,2%)*Staff[[#This Row],[Salary]],0)</f>
        <v>808</v>
      </c>
      <c r="K10" s="31">
        <f>_xlfn.XLOOKUP(Staff[[#This Row],[Rating]],'SALARY VS RATING'!$G$5:$G$9,'SALARY VS RATING'!$H$5:$H$9)</f>
        <v>3</v>
      </c>
      <c r="O10" s="11" t="s">
        <v>212</v>
      </c>
      <c r="P10" s="14">
        <f>P9/P4</f>
        <v>0.46994535519125685</v>
      </c>
      <c r="V10" t="s">
        <v>7</v>
      </c>
      <c r="W10" t="s">
        <v>8</v>
      </c>
      <c r="X10" t="s">
        <v>9</v>
      </c>
      <c r="Y10">
        <v>22</v>
      </c>
      <c r="Z10" s="3">
        <v>44446</v>
      </c>
      <c r="AA10" s="2">
        <v>112780</v>
      </c>
      <c r="AB10" t="s">
        <v>10</v>
      </c>
      <c r="AC10" t="s">
        <v>203</v>
      </c>
      <c r="AD10">
        <v>2.6575342465753424</v>
      </c>
    </row>
    <row r="11" spans="1:30" ht="13.5" x14ac:dyDescent="0.25">
      <c r="A11" t="s">
        <v>134</v>
      </c>
      <c r="B11" t="s">
        <v>8</v>
      </c>
      <c r="C11" t="s">
        <v>12</v>
      </c>
      <c r="D11">
        <v>35</v>
      </c>
      <c r="E11" s="1">
        <v>44666</v>
      </c>
      <c r="F11" s="2">
        <v>40400</v>
      </c>
      <c r="G11" t="s">
        <v>13</v>
      </c>
      <c r="H11" t="s">
        <v>205</v>
      </c>
      <c r="I11" s="4">
        <f ca="1">(TODAY()-Staff[[#This Row],[Date Joined]])/365</f>
        <v>2.0547945205479454</v>
      </c>
      <c r="J11" s="5">
        <f ca="1">ROUNDUP(IF(Staff[[#This Row],[Tenure]]&gt;2,3%,2%)*Staff[[#This Row],[Salary]],0)</f>
        <v>1212</v>
      </c>
      <c r="K11" s="31">
        <f>_xlfn.XLOOKUP(Staff[[#This Row],[Rating]],'SALARY VS RATING'!$G$5:$G$9,'SALARY VS RATING'!$H$5:$H$9)</f>
        <v>3</v>
      </c>
      <c r="O11" s="5"/>
      <c r="V11" t="s">
        <v>16</v>
      </c>
      <c r="W11" t="s">
        <v>204</v>
      </c>
      <c r="X11" t="s">
        <v>17</v>
      </c>
      <c r="Y11">
        <v>37</v>
      </c>
      <c r="Z11" s="3">
        <v>44146</v>
      </c>
      <c r="AA11" s="2">
        <v>115440</v>
      </c>
      <c r="AB11" t="s">
        <v>18</v>
      </c>
      <c r="AC11" t="s">
        <v>203</v>
      </c>
      <c r="AD11">
        <v>3.4794520547945207</v>
      </c>
    </row>
    <row r="12" spans="1:30" ht="13.5" x14ac:dyDescent="0.25">
      <c r="A12" t="s">
        <v>104</v>
      </c>
      <c r="B12" t="s">
        <v>15</v>
      </c>
      <c r="C12" t="s">
        <v>12</v>
      </c>
      <c r="D12">
        <v>32</v>
      </c>
      <c r="E12" s="1">
        <v>44611</v>
      </c>
      <c r="F12" s="2">
        <v>41570</v>
      </c>
      <c r="G12" t="s">
        <v>13</v>
      </c>
      <c r="H12" t="s">
        <v>203</v>
      </c>
      <c r="I12" s="4">
        <f ca="1">(TODAY()-Staff[[#This Row],[Date Joined]])/365</f>
        <v>2.2054794520547945</v>
      </c>
      <c r="J12" s="5">
        <f ca="1">ROUNDUP(IF(Staff[[#This Row],[Tenure]]&gt;2,3%,2%)*Staff[[#This Row],[Salary]],0)</f>
        <v>1248</v>
      </c>
      <c r="K12" s="31">
        <f>_xlfn.XLOOKUP(Staff[[#This Row],[Rating]],'SALARY VS RATING'!$G$5:$G$9,'SALARY VS RATING'!$H$5:$H$9)</f>
        <v>3</v>
      </c>
      <c r="V12" t="s">
        <v>20</v>
      </c>
      <c r="W12" t="s">
        <v>15</v>
      </c>
      <c r="X12" t="s">
        <v>12</v>
      </c>
      <c r="Y12">
        <v>30</v>
      </c>
      <c r="Z12" s="3">
        <v>44861</v>
      </c>
      <c r="AA12" s="2">
        <v>112570</v>
      </c>
      <c r="AB12" t="s">
        <v>13</v>
      </c>
      <c r="AC12" t="s">
        <v>203</v>
      </c>
      <c r="AD12">
        <v>1.5205479452054795</v>
      </c>
    </row>
    <row r="13" spans="1:30" ht="13.5" x14ac:dyDescent="0.25">
      <c r="A13" t="s">
        <v>138</v>
      </c>
      <c r="B13" t="s">
        <v>15</v>
      </c>
      <c r="C13" t="s">
        <v>12</v>
      </c>
      <c r="D13">
        <v>32</v>
      </c>
      <c r="E13" s="1">
        <v>44549</v>
      </c>
      <c r="F13" s="2">
        <v>41570</v>
      </c>
      <c r="G13" t="s">
        <v>13</v>
      </c>
      <c r="H13" t="s">
        <v>205</v>
      </c>
      <c r="I13" s="4">
        <f ca="1">(TODAY()-Staff[[#This Row],[Date Joined]])/365</f>
        <v>2.3753424657534246</v>
      </c>
      <c r="J13" s="5">
        <f ca="1">ROUNDUP(IF(Staff[[#This Row],[Tenure]]&gt;2,3%,2%)*Staff[[#This Row],[Salary]],0)</f>
        <v>1248</v>
      </c>
      <c r="K13" s="31">
        <f>_xlfn.XLOOKUP(Staff[[#This Row],[Rating]],'SALARY VS RATING'!$G$5:$G$9,'SALARY VS RATING'!$H$5:$H$9)</f>
        <v>3</v>
      </c>
      <c r="V13" t="s">
        <v>25</v>
      </c>
      <c r="W13" t="s">
        <v>15</v>
      </c>
      <c r="X13" t="s">
        <v>26</v>
      </c>
      <c r="Y13">
        <v>27</v>
      </c>
      <c r="Z13" s="3">
        <v>44122</v>
      </c>
      <c r="AA13" s="2">
        <v>119110</v>
      </c>
      <c r="AB13" t="s">
        <v>13</v>
      </c>
      <c r="AC13" t="s">
        <v>203</v>
      </c>
      <c r="AD13">
        <v>3.5452054794520547</v>
      </c>
    </row>
    <row r="14" spans="1:30" ht="14" x14ac:dyDescent="0.25">
      <c r="A14" t="s">
        <v>35</v>
      </c>
      <c r="B14" t="s">
        <v>15</v>
      </c>
      <c r="C14" t="s">
        <v>23</v>
      </c>
      <c r="D14">
        <v>31</v>
      </c>
      <c r="E14" s="1">
        <v>44145</v>
      </c>
      <c r="F14" s="2">
        <v>41980</v>
      </c>
      <c r="G14" t="s">
        <v>13</v>
      </c>
      <c r="H14" t="s">
        <v>203</v>
      </c>
      <c r="I14" s="4">
        <f ca="1">(TODAY()-Staff[[#This Row],[Date Joined]])/365</f>
        <v>3.4821917808219176</v>
      </c>
      <c r="J14" s="5">
        <f ca="1">ROUNDUP(IF(Staff[[#This Row],[Tenure]]&gt;2,3%,2%)*Staff[[#This Row],[Salary]],0)</f>
        <v>1260</v>
      </c>
      <c r="K14" s="31">
        <f>_xlfn.XLOOKUP(Staff[[#This Row],[Rating]],'SALARY VS RATING'!$G$5:$G$9,'SALARY VS RATING'!$H$5:$H$9)</f>
        <v>3</v>
      </c>
      <c r="N14" s="10">
        <v>2</v>
      </c>
      <c r="O14" s="22" t="s">
        <v>213</v>
      </c>
      <c r="P14" s="22"/>
      <c r="Q14" s="22"/>
      <c r="V14" t="s">
        <v>27</v>
      </c>
      <c r="W14" t="s">
        <v>8</v>
      </c>
      <c r="X14" t="s">
        <v>23</v>
      </c>
      <c r="Y14">
        <v>29</v>
      </c>
      <c r="Z14" s="3">
        <v>44180</v>
      </c>
      <c r="AA14" s="2">
        <v>112110</v>
      </c>
      <c r="AB14" t="s">
        <v>18</v>
      </c>
      <c r="AC14" t="s">
        <v>203</v>
      </c>
      <c r="AD14">
        <v>3.3863013698630136</v>
      </c>
    </row>
    <row r="15" spans="1:30" ht="13.5" x14ac:dyDescent="0.25">
      <c r="A15" t="s">
        <v>175</v>
      </c>
      <c r="B15" t="s">
        <v>15</v>
      </c>
      <c r="C15" t="s">
        <v>23</v>
      </c>
      <c r="D15">
        <v>31</v>
      </c>
      <c r="E15" s="1">
        <v>44084</v>
      </c>
      <c r="F15" s="2">
        <v>41980</v>
      </c>
      <c r="G15" t="s">
        <v>13</v>
      </c>
      <c r="H15" t="s">
        <v>205</v>
      </c>
      <c r="I15" s="4">
        <f ca="1">(TODAY()-Staff[[#This Row],[Date Joined]])/365</f>
        <v>3.6493150684931508</v>
      </c>
      <c r="J15" s="5">
        <f ca="1">ROUNDUP(IF(Staff[[#This Row],[Tenure]]&gt;2,3%,2%)*Staff[[#This Row],[Salary]],0)</f>
        <v>1260</v>
      </c>
      <c r="K15" s="31">
        <f>_xlfn.XLOOKUP(Staff[[#This Row],[Rating]],'SALARY VS RATING'!$G$5:$G$9,'SALARY VS RATING'!$H$5:$H$9)</f>
        <v>3</v>
      </c>
      <c r="O15" s="11" t="s">
        <v>214</v>
      </c>
      <c r="P15" s="11">
        <f>COUNTIF(Staff[Salary],"&gt;90000")</f>
        <v>63</v>
      </c>
      <c r="V15" t="s">
        <v>30</v>
      </c>
      <c r="W15" t="s">
        <v>8</v>
      </c>
      <c r="X15" t="s">
        <v>23</v>
      </c>
      <c r="Y15">
        <v>20</v>
      </c>
      <c r="Z15" s="3">
        <v>44459</v>
      </c>
      <c r="AA15" s="2">
        <v>107700</v>
      </c>
      <c r="AB15" t="s">
        <v>13</v>
      </c>
      <c r="AC15" t="s">
        <v>203</v>
      </c>
      <c r="AD15">
        <v>2.6219178082191781</v>
      </c>
    </row>
    <row r="16" spans="1:30" ht="13.5" x14ac:dyDescent="0.25">
      <c r="A16" t="s">
        <v>101</v>
      </c>
      <c r="B16" t="s">
        <v>8</v>
      </c>
      <c r="C16" t="s">
        <v>9</v>
      </c>
      <c r="D16">
        <v>28</v>
      </c>
      <c r="E16" s="1">
        <v>44820</v>
      </c>
      <c r="F16" s="2">
        <v>43510</v>
      </c>
      <c r="G16" t="s">
        <v>49</v>
      </c>
      <c r="H16" t="s">
        <v>203</v>
      </c>
      <c r="I16" s="4">
        <f ca="1">(TODAY()-Staff[[#This Row],[Date Joined]])/365</f>
        <v>1.6328767123287671</v>
      </c>
      <c r="J16" s="5">
        <f ca="1">ROUNDUP(IF(Staff[[#This Row],[Tenure]]&gt;2,3%,2%)*Staff[[#This Row],[Salary]],0)</f>
        <v>871</v>
      </c>
      <c r="K16" s="31">
        <f>_xlfn.XLOOKUP(Staff[[#This Row],[Rating]],'SALARY VS RATING'!$G$5:$G$9,'SALARY VS RATING'!$H$5:$H$9)</f>
        <v>1</v>
      </c>
      <c r="N16" s="15" t="s">
        <v>220</v>
      </c>
      <c r="O16" s="11" t="s">
        <v>215</v>
      </c>
      <c r="P16" s="12">
        <f>AVERAGEIFS(Staff[Salary],Staff[Salary],"&gt;"&amp;90000,Staff[Gender],"male")</f>
        <v>107408.62068965517</v>
      </c>
      <c r="Q16" s="2">
        <f>MEDIAN(Staff[Salary])</f>
        <v>75000</v>
      </c>
      <c r="V16" t="s">
        <v>32</v>
      </c>
      <c r="W16" t="s">
        <v>8</v>
      </c>
      <c r="X16" t="s">
        <v>12</v>
      </c>
      <c r="Y16">
        <v>40</v>
      </c>
      <c r="Z16" s="3">
        <v>44263</v>
      </c>
      <c r="AA16" s="2">
        <v>99750</v>
      </c>
      <c r="AB16" t="s">
        <v>13</v>
      </c>
      <c r="AC16" t="s">
        <v>203</v>
      </c>
      <c r="AD16">
        <v>3.1589041095890411</v>
      </c>
    </row>
    <row r="17" spans="1:30" ht="13.5" x14ac:dyDescent="0.25">
      <c r="A17" t="s">
        <v>172</v>
      </c>
      <c r="B17" t="s">
        <v>8</v>
      </c>
      <c r="C17" t="s">
        <v>9</v>
      </c>
      <c r="D17">
        <v>28</v>
      </c>
      <c r="E17" s="1">
        <v>44758</v>
      </c>
      <c r="F17" s="2">
        <v>43510</v>
      </c>
      <c r="G17" t="s">
        <v>49</v>
      </c>
      <c r="H17" t="s">
        <v>205</v>
      </c>
      <c r="I17" s="4">
        <f ca="1">(TODAY()-Staff[[#This Row],[Date Joined]])/365</f>
        <v>1.8027397260273972</v>
      </c>
      <c r="J17" s="5">
        <f ca="1">ROUNDUP(IF(Staff[[#This Row],[Tenure]]&gt;2,3%,2%)*Staff[[#This Row],[Salary]],0)</f>
        <v>871</v>
      </c>
      <c r="K17" s="31">
        <f>_xlfn.XLOOKUP(Staff[[#This Row],[Rating]],'SALARY VS RATING'!$G$5:$G$9,'SALARY VS RATING'!$H$5:$H$9)</f>
        <v>1</v>
      </c>
      <c r="O17" s="11" t="s">
        <v>216</v>
      </c>
      <c r="P17" s="11">
        <f ca="1">AVERAGE(Staff[Tenure])</f>
        <v>2.6930608578486428</v>
      </c>
      <c r="Q17" s="17">
        <f>AVERAGE(Table5[Tenure])</f>
        <v>2.7414220482713634</v>
      </c>
      <c r="V17" t="s">
        <v>50</v>
      </c>
      <c r="W17" t="s">
        <v>8</v>
      </c>
      <c r="X17" t="s">
        <v>12</v>
      </c>
      <c r="Y17">
        <v>33</v>
      </c>
      <c r="Z17" s="3">
        <v>44164</v>
      </c>
      <c r="AA17" s="2">
        <v>115920</v>
      </c>
      <c r="AB17" t="s">
        <v>13</v>
      </c>
      <c r="AC17" t="s">
        <v>203</v>
      </c>
      <c r="AD17">
        <v>3.43013698630137</v>
      </c>
    </row>
    <row r="18" spans="1:30" ht="13.5" x14ac:dyDescent="0.25">
      <c r="A18" t="s">
        <v>31</v>
      </c>
      <c r="B18" t="s">
        <v>15</v>
      </c>
      <c r="C18" t="s">
        <v>23</v>
      </c>
      <c r="D18">
        <v>32</v>
      </c>
      <c r="E18" s="1">
        <v>44354</v>
      </c>
      <c r="F18" s="2">
        <v>43840</v>
      </c>
      <c r="G18" t="s">
        <v>10</v>
      </c>
      <c r="H18" t="s">
        <v>203</v>
      </c>
      <c r="I18" s="4">
        <f ca="1">(TODAY()-Staff[[#This Row],[Date Joined]])/365</f>
        <v>2.9095890410958902</v>
      </c>
      <c r="J18" s="5">
        <f ca="1">ROUNDUP(IF(Staff[[#This Row],[Tenure]]&gt;2,3%,2%)*Staff[[#This Row],[Salary]],0)</f>
        <v>1316</v>
      </c>
      <c r="K18" s="31">
        <f>_xlfn.XLOOKUP(Staff[[#This Row],[Rating]],'SALARY VS RATING'!$G$5:$G$9,'SALARY VS RATING'!$H$5:$H$9)</f>
        <v>4</v>
      </c>
      <c r="O18" s="11" t="s">
        <v>217</v>
      </c>
      <c r="P18" s="41">
        <f>COUNTIFS(Staff[Gender],"male",Staff[Salary],"&gt;"&amp;90000)</f>
        <v>29</v>
      </c>
      <c r="V18" t="s">
        <v>52</v>
      </c>
      <c r="W18" t="s">
        <v>8</v>
      </c>
      <c r="X18" t="s">
        <v>12</v>
      </c>
      <c r="Y18">
        <v>25</v>
      </c>
      <c r="Z18" s="3">
        <v>44726</v>
      </c>
      <c r="AA18" s="2">
        <v>109190</v>
      </c>
      <c r="AB18" t="s">
        <v>10</v>
      </c>
      <c r="AC18" t="s">
        <v>203</v>
      </c>
      <c r="AD18">
        <v>1.8904109589041096</v>
      </c>
    </row>
    <row r="19" spans="1:30" ht="13.5" x14ac:dyDescent="0.25">
      <c r="A19" t="s">
        <v>70</v>
      </c>
      <c r="B19" t="s">
        <v>15</v>
      </c>
      <c r="C19" t="s">
        <v>26</v>
      </c>
      <c r="D19">
        <v>32</v>
      </c>
      <c r="E19" s="1">
        <v>44400</v>
      </c>
      <c r="F19" s="2">
        <v>45510</v>
      </c>
      <c r="G19" t="s">
        <v>13</v>
      </c>
      <c r="H19" t="s">
        <v>203</v>
      </c>
      <c r="I19" s="4">
        <f ca="1">(TODAY()-Staff[[#This Row],[Date Joined]])/365</f>
        <v>2.7835616438356166</v>
      </c>
      <c r="J19" s="5">
        <f ca="1">ROUNDUP(IF(Staff[[#This Row],[Tenure]]&gt;2,3%,2%)*Staff[[#This Row],[Salary]],0)</f>
        <v>1366</v>
      </c>
      <c r="K19" s="31">
        <f>_xlfn.XLOOKUP(Staff[[#This Row],[Rating]],'SALARY VS RATING'!$G$5:$G$9,'SALARY VS RATING'!$H$5:$H$9)</f>
        <v>3</v>
      </c>
      <c r="O19" s="11" t="s">
        <v>218</v>
      </c>
      <c r="P19" s="14">
        <f>P18/P15</f>
        <v>0.46031746031746029</v>
      </c>
      <c r="R19" s="9"/>
      <c r="V19" t="s">
        <v>54</v>
      </c>
      <c r="W19" t="s">
        <v>15</v>
      </c>
      <c r="X19" t="s">
        <v>12</v>
      </c>
      <c r="Y19">
        <v>28</v>
      </c>
      <c r="Z19" s="3">
        <v>44630</v>
      </c>
      <c r="AA19" s="2">
        <v>99970</v>
      </c>
      <c r="AB19" t="s">
        <v>13</v>
      </c>
      <c r="AC19" t="s">
        <v>203</v>
      </c>
      <c r="AD19">
        <v>2.1534246575342464</v>
      </c>
    </row>
    <row r="20" spans="1:30" ht="13.5" x14ac:dyDescent="0.25">
      <c r="A20" t="s">
        <v>113</v>
      </c>
      <c r="B20" t="s">
        <v>15</v>
      </c>
      <c r="C20" t="s">
        <v>26</v>
      </c>
      <c r="D20">
        <v>32</v>
      </c>
      <c r="E20" s="1">
        <v>44339</v>
      </c>
      <c r="F20" s="2">
        <v>45510</v>
      </c>
      <c r="G20" t="s">
        <v>13</v>
      </c>
      <c r="H20" t="s">
        <v>205</v>
      </c>
      <c r="I20" s="4">
        <f ca="1">(TODAY()-Staff[[#This Row],[Date Joined]])/365</f>
        <v>2.9506849315068493</v>
      </c>
      <c r="J20" s="5">
        <f ca="1">ROUNDUP(IF(Staff[[#This Row],[Tenure]]&gt;2,3%,2%)*Staff[[#This Row],[Salary]],0)</f>
        <v>1366</v>
      </c>
      <c r="K20" s="31">
        <f>_xlfn.XLOOKUP(Staff[[#This Row],[Rating]],'SALARY VS RATING'!$G$5:$G$9,'SALARY VS RATING'!$H$5:$H$9)</f>
        <v>3</v>
      </c>
      <c r="R20" s="16"/>
      <c r="V20" t="s">
        <v>55</v>
      </c>
      <c r="W20" t="s">
        <v>15</v>
      </c>
      <c r="X20" t="s">
        <v>23</v>
      </c>
      <c r="Y20">
        <v>33</v>
      </c>
      <c r="Z20" s="3">
        <v>44190</v>
      </c>
      <c r="AA20" s="2">
        <v>96140</v>
      </c>
      <c r="AB20" t="s">
        <v>13</v>
      </c>
      <c r="AC20" t="s">
        <v>203</v>
      </c>
      <c r="AD20">
        <v>3.3589041095890413</v>
      </c>
    </row>
    <row r="21" spans="1:30" ht="13.5" x14ac:dyDescent="0.25">
      <c r="A21" t="s">
        <v>87</v>
      </c>
      <c r="B21" t="s">
        <v>8</v>
      </c>
      <c r="C21" t="s">
        <v>12</v>
      </c>
      <c r="D21">
        <v>26</v>
      </c>
      <c r="E21" s="1">
        <v>44225</v>
      </c>
      <c r="F21" s="2">
        <v>47360</v>
      </c>
      <c r="G21" t="s">
        <v>13</v>
      </c>
      <c r="H21" t="s">
        <v>203</v>
      </c>
      <c r="I21" s="4">
        <f ca="1">(TODAY()-Staff[[#This Row],[Date Joined]])/365</f>
        <v>3.2630136986301368</v>
      </c>
      <c r="J21" s="5">
        <f ca="1">ROUNDUP(IF(Staff[[#This Row],[Tenure]]&gt;2,3%,2%)*Staff[[#This Row],[Salary]],0)</f>
        <v>1421</v>
      </c>
      <c r="K21" s="31">
        <f>_xlfn.XLOOKUP(Staff[[#This Row],[Rating]],'SALARY VS RATING'!$G$5:$G$9,'SALARY VS RATING'!$H$5:$H$9)</f>
        <v>3</v>
      </c>
      <c r="V21" t="s">
        <v>56</v>
      </c>
      <c r="W21" t="s">
        <v>8</v>
      </c>
      <c r="X21" t="s">
        <v>12</v>
      </c>
      <c r="Y21">
        <v>31</v>
      </c>
      <c r="Z21" s="3">
        <v>44724</v>
      </c>
      <c r="AA21" s="2">
        <v>103550</v>
      </c>
      <c r="AB21" t="s">
        <v>13</v>
      </c>
      <c r="AC21" t="s">
        <v>203</v>
      </c>
      <c r="AD21">
        <v>1.8958904109589041</v>
      </c>
    </row>
    <row r="22" spans="1:30" ht="13.5" x14ac:dyDescent="0.25">
      <c r="A22" t="s">
        <v>140</v>
      </c>
      <c r="B22" t="s">
        <v>8</v>
      </c>
      <c r="C22" t="s">
        <v>12</v>
      </c>
      <c r="D22">
        <v>26</v>
      </c>
      <c r="E22" s="1">
        <v>44164</v>
      </c>
      <c r="F22" s="2">
        <v>47360</v>
      </c>
      <c r="G22" t="s">
        <v>13</v>
      </c>
      <c r="H22" t="s">
        <v>205</v>
      </c>
      <c r="I22" s="4">
        <f ca="1">(TODAY()-Staff[[#This Row],[Date Joined]])/365</f>
        <v>3.43013698630137</v>
      </c>
      <c r="J22" s="5">
        <f ca="1">ROUNDUP(IF(Staff[[#This Row],[Tenure]]&gt;2,3%,2%)*Staff[[#This Row],[Salary]],0)</f>
        <v>1421</v>
      </c>
      <c r="K22" s="31">
        <f>_xlfn.XLOOKUP(Staff[[#This Row],[Rating]],'SALARY VS RATING'!$G$5:$G$9,'SALARY VS RATING'!$H$5:$H$9)</f>
        <v>3</v>
      </c>
      <c r="O22" s="22" t="s">
        <v>221</v>
      </c>
      <c r="P22" s="22"/>
      <c r="T22" s="9"/>
      <c r="V22" t="s">
        <v>62</v>
      </c>
      <c r="W22" t="s">
        <v>15</v>
      </c>
      <c r="X22" t="s">
        <v>17</v>
      </c>
      <c r="Y22">
        <v>34</v>
      </c>
      <c r="Z22" s="3">
        <v>44445</v>
      </c>
      <c r="AA22" s="2">
        <v>92450</v>
      </c>
      <c r="AB22" t="s">
        <v>13</v>
      </c>
      <c r="AC22" t="s">
        <v>203</v>
      </c>
      <c r="AD22">
        <v>2.6602739726027398</v>
      </c>
    </row>
    <row r="23" spans="1:30" ht="14" x14ac:dyDescent="0.3">
      <c r="A23" t="s">
        <v>69</v>
      </c>
      <c r="B23" t="s">
        <v>8</v>
      </c>
      <c r="C23" t="s">
        <v>17</v>
      </c>
      <c r="D23">
        <v>28</v>
      </c>
      <c r="E23" s="1">
        <v>44041</v>
      </c>
      <c r="F23" s="2">
        <v>48170</v>
      </c>
      <c r="G23" t="s">
        <v>10</v>
      </c>
      <c r="H23" t="s">
        <v>203</v>
      </c>
      <c r="I23" s="4">
        <f ca="1">(TODAY()-Staff[[#This Row],[Date Joined]])/365</f>
        <v>3.7671232876712328</v>
      </c>
      <c r="J23" s="5">
        <f ca="1">ROUNDUP(IF(Staff[[#This Row],[Tenure]]&gt;2,3%,2%)*Staff[[#This Row],[Salary]],0)</f>
        <v>1446</v>
      </c>
      <c r="K23" s="31">
        <f>_xlfn.XLOOKUP(Staff[[#This Row],[Rating]],'SALARY VS RATING'!$G$5:$G$9,'SALARY VS RATING'!$H$5:$H$9)</f>
        <v>4</v>
      </c>
      <c r="N23" s="10">
        <v>3</v>
      </c>
      <c r="O23" s="18" t="s">
        <v>0</v>
      </c>
      <c r="P23" s="6" t="s">
        <v>201</v>
      </c>
      <c r="V23" t="s">
        <v>63</v>
      </c>
      <c r="W23" t="s">
        <v>8</v>
      </c>
      <c r="X23" t="s">
        <v>23</v>
      </c>
      <c r="Y23">
        <v>20</v>
      </c>
      <c r="Z23" s="3">
        <v>44183</v>
      </c>
      <c r="AA23" s="2">
        <v>112650</v>
      </c>
      <c r="AB23" t="s">
        <v>13</v>
      </c>
      <c r="AC23" t="s">
        <v>203</v>
      </c>
      <c r="AD23">
        <v>3.3780821917808219</v>
      </c>
    </row>
    <row r="24" spans="1:30" ht="14" x14ac:dyDescent="0.3">
      <c r="A24" t="s">
        <v>122</v>
      </c>
      <c r="B24" t="s">
        <v>8</v>
      </c>
      <c r="C24" t="s">
        <v>17</v>
      </c>
      <c r="D24">
        <v>28</v>
      </c>
      <c r="E24" s="1">
        <v>43980</v>
      </c>
      <c r="F24" s="2">
        <v>48170</v>
      </c>
      <c r="G24" t="s">
        <v>10</v>
      </c>
      <c r="H24" t="s">
        <v>205</v>
      </c>
      <c r="I24" s="4">
        <f ca="1">(TODAY()-Staff[[#This Row],[Date Joined]])/365</f>
        <v>3.9342465753424656</v>
      </c>
      <c r="J24" s="5">
        <f ca="1">ROUNDUP(IF(Staff[[#This Row],[Tenure]]&gt;2,3%,2%)*Staff[[#This Row],[Salary]],0)</f>
        <v>1446</v>
      </c>
      <c r="K24" s="31">
        <f>_xlfn.XLOOKUP(Staff[[#This Row],[Rating]],'SALARY VS RATING'!$G$5:$G$9,'SALARY VS RATING'!$H$5:$H$9)</f>
        <v>4</v>
      </c>
      <c r="O24" s="7" t="s">
        <v>1</v>
      </c>
      <c r="P24" t="str" cm="1">
        <f t="array" aca="1" ref="P24:P31" ca="1">TRANSPOSE(_xlfn.XLOOKUP(P23,Staff[Name],Staff[Gender]:Staff[Tenure]))</f>
        <v>Female</v>
      </c>
      <c r="V24" t="s">
        <v>68</v>
      </c>
      <c r="W24" t="s">
        <v>8</v>
      </c>
      <c r="X24" t="s">
        <v>23</v>
      </c>
      <c r="Y24">
        <v>36</v>
      </c>
      <c r="Z24" s="3">
        <v>44019</v>
      </c>
      <c r="AA24" s="2">
        <v>118840</v>
      </c>
      <c r="AB24" t="s">
        <v>13</v>
      </c>
      <c r="AC24" t="s">
        <v>203</v>
      </c>
      <c r="AD24">
        <v>3.8273972602739725</v>
      </c>
    </row>
    <row r="25" spans="1:30" ht="14" x14ac:dyDescent="0.3">
      <c r="A25" t="s">
        <v>21</v>
      </c>
      <c r="B25" t="s">
        <v>8</v>
      </c>
      <c r="C25" t="s">
        <v>12</v>
      </c>
      <c r="D25">
        <v>33</v>
      </c>
      <c r="E25" s="1">
        <v>44701</v>
      </c>
      <c r="F25" s="2">
        <v>48530</v>
      </c>
      <c r="G25" t="s">
        <v>10</v>
      </c>
      <c r="H25" t="s">
        <v>203</v>
      </c>
      <c r="I25" s="4">
        <f ca="1">(TODAY()-Staff[[#This Row],[Date Joined]])/365</f>
        <v>1.9589041095890412</v>
      </c>
      <c r="J25" s="5">
        <f ca="1">ROUNDUP(IF(Staff[[#This Row],[Tenure]]&gt;2,3%,2%)*Staff[[#This Row],[Salary]],0)</f>
        <v>971</v>
      </c>
      <c r="K25" s="31">
        <f>_xlfn.XLOOKUP(Staff[[#This Row],[Rating]],'SALARY VS RATING'!$G$5:$G$9,'SALARY VS RATING'!$H$5:$H$9)</f>
        <v>4</v>
      </c>
      <c r="O25" s="7" t="s">
        <v>2</v>
      </c>
      <c r="P25" t="str">
        <f ca="1"/>
        <v>Website</v>
      </c>
      <c r="V25" t="s">
        <v>71</v>
      </c>
      <c r="W25" t="s">
        <v>15</v>
      </c>
      <c r="X25" t="s">
        <v>12</v>
      </c>
      <c r="Y25">
        <v>36</v>
      </c>
      <c r="Z25" s="3">
        <v>44085</v>
      </c>
      <c r="AA25" s="2">
        <v>114890</v>
      </c>
      <c r="AB25" t="s">
        <v>13</v>
      </c>
      <c r="AC25" t="s">
        <v>203</v>
      </c>
      <c r="AD25">
        <v>3.6465753424657534</v>
      </c>
    </row>
    <row r="26" spans="1:30" ht="14" x14ac:dyDescent="0.3">
      <c r="A26" t="s">
        <v>200</v>
      </c>
      <c r="B26" t="s">
        <v>8</v>
      </c>
      <c r="C26" t="s">
        <v>12</v>
      </c>
      <c r="D26">
        <v>33</v>
      </c>
      <c r="E26" s="1">
        <v>44640</v>
      </c>
      <c r="F26" s="2">
        <v>48530</v>
      </c>
      <c r="G26" t="s">
        <v>10</v>
      </c>
      <c r="H26" t="s">
        <v>205</v>
      </c>
      <c r="I26" s="4">
        <f ca="1">(TODAY()-Staff[[#This Row],[Date Joined]])/365</f>
        <v>2.1260273972602741</v>
      </c>
      <c r="J26" s="5">
        <f ca="1">ROUNDUP(IF(Staff[[#This Row],[Tenure]]&gt;2,3%,2%)*Staff[[#This Row],[Salary]],0)</f>
        <v>1456</v>
      </c>
      <c r="K26" s="31">
        <f>_xlfn.XLOOKUP(Staff[[#This Row],[Rating]],'SALARY VS RATING'!$G$5:$G$9,'SALARY VS RATING'!$H$5:$H$9)</f>
        <v>4</v>
      </c>
      <c r="O26" s="7" t="s">
        <v>3</v>
      </c>
      <c r="P26">
        <f ca="1"/>
        <v>33</v>
      </c>
      <c r="V26" t="s">
        <v>74</v>
      </c>
      <c r="W26" t="s">
        <v>15</v>
      </c>
      <c r="X26" t="s">
        <v>9</v>
      </c>
      <c r="Y26">
        <v>38</v>
      </c>
      <c r="Z26" s="3">
        <v>44377</v>
      </c>
      <c r="AA26" s="2">
        <v>109160</v>
      </c>
      <c r="AB26" t="s">
        <v>43</v>
      </c>
      <c r="AC26" t="s">
        <v>203</v>
      </c>
      <c r="AD26">
        <v>2.8465753424657536</v>
      </c>
    </row>
    <row r="27" spans="1:30" ht="14" x14ac:dyDescent="0.3">
      <c r="A27" t="s">
        <v>57</v>
      </c>
      <c r="B27" t="s">
        <v>8</v>
      </c>
      <c r="C27" t="s">
        <v>23</v>
      </c>
      <c r="D27">
        <v>31</v>
      </c>
      <c r="E27" s="1">
        <v>44511</v>
      </c>
      <c r="F27" s="2">
        <v>48950</v>
      </c>
      <c r="G27" t="s">
        <v>13</v>
      </c>
      <c r="H27" t="s">
        <v>203</v>
      </c>
      <c r="I27" s="4">
        <f ca="1">(TODAY()-Staff[[#This Row],[Date Joined]])/365</f>
        <v>2.4794520547945207</v>
      </c>
      <c r="J27" s="5">
        <f ca="1">ROUNDUP(IF(Staff[[#This Row],[Tenure]]&gt;2,3%,2%)*Staff[[#This Row],[Salary]],0)</f>
        <v>1469</v>
      </c>
      <c r="K27" s="31">
        <f>_xlfn.XLOOKUP(Staff[[#This Row],[Rating]],'SALARY VS RATING'!$G$5:$G$9,'SALARY VS RATING'!$H$5:$H$9)</f>
        <v>3</v>
      </c>
      <c r="O27" s="7" t="s">
        <v>4</v>
      </c>
      <c r="P27" s="3">
        <f ca="1"/>
        <v>44129</v>
      </c>
      <c r="V27" t="s">
        <v>75</v>
      </c>
      <c r="W27" t="s">
        <v>8</v>
      </c>
      <c r="X27" t="s">
        <v>12</v>
      </c>
      <c r="Y27">
        <v>27</v>
      </c>
      <c r="Z27" s="3">
        <v>44609</v>
      </c>
      <c r="AA27" s="2">
        <v>113280</v>
      </c>
      <c r="AB27" t="s">
        <v>49</v>
      </c>
      <c r="AC27" t="s">
        <v>203</v>
      </c>
      <c r="AD27">
        <v>2.2109589041095892</v>
      </c>
    </row>
    <row r="28" spans="1:30" ht="14" x14ac:dyDescent="0.3">
      <c r="A28" t="s">
        <v>167</v>
      </c>
      <c r="B28" t="s">
        <v>8</v>
      </c>
      <c r="C28" t="s">
        <v>23</v>
      </c>
      <c r="D28">
        <v>31</v>
      </c>
      <c r="E28" s="1">
        <v>44450</v>
      </c>
      <c r="F28" s="2">
        <v>48950</v>
      </c>
      <c r="G28" t="s">
        <v>13</v>
      </c>
      <c r="H28" t="s">
        <v>205</v>
      </c>
      <c r="I28" s="4">
        <f ca="1">(TODAY()-Staff[[#This Row],[Date Joined]])/365</f>
        <v>2.6465753424657534</v>
      </c>
      <c r="J28" s="5">
        <f ca="1">ROUNDUP(IF(Staff[[#This Row],[Tenure]]&gt;2,3%,2%)*Staff[[#This Row],[Salary]],0)</f>
        <v>1469</v>
      </c>
      <c r="K28" s="31">
        <f>_xlfn.XLOOKUP(Staff[[#This Row],[Rating]],'SALARY VS RATING'!$G$5:$G$9,'SALARY VS RATING'!$H$5:$H$9)</f>
        <v>3</v>
      </c>
      <c r="O28" s="7" t="s">
        <v>5</v>
      </c>
      <c r="P28" s="2">
        <f ca="1"/>
        <v>96140</v>
      </c>
      <c r="V28" t="s">
        <v>77</v>
      </c>
      <c r="W28" t="s">
        <v>15</v>
      </c>
      <c r="X28" t="s">
        <v>26</v>
      </c>
      <c r="Y28">
        <v>37</v>
      </c>
      <c r="Z28" s="3">
        <v>44451</v>
      </c>
      <c r="AA28" s="2">
        <v>118100</v>
      </c>
      <c r="AB28" t="s">
        <v>13</v>
      </c>
      <c r="AC28" t="s">
        <v>203</v>
      </c>
      <c r="AD28">
        <v>2.6438356164383561</v>
      </c>
    </row>
    <row r="29" spans="1:30" ht="14" x14ac:dyDescent="0.3">
      <c r="A29" t="s">
        <v>40</v>
      </c>
      <c r="B29" t="s">
        <v>8</v>
      </c>
      <c r="C29" t="s">
        <v>17</v>
      </c>
      <c r="D29">
        <v>27</v>
      </c>
      <c r="E29" s="1">
        <v>44567</v>
      </c>
      <c r="F29" s="2">
        <v>48980</v>
      </c>
      <c r="G29" t="s">
        <v>13</v>
      </c>
      <c r="H29" t="s">
        <v>203</v>
      </c>
      <c r="I29" s="4">
        <f ca="1">(TODAY()-Staff[[#This Row],[Date Joined]])/365</f>
        <v>2.3260273972602739</v>
      </c>
      <c r="J29" s="5">
        <f ca="1">ROUNDUP(IF(Staff[[#This Row],[Tenure]]&gt;2,3%,2%)*Staff[[#This Row],[Salary]],0)</f>
        <v>1470</v>
      </c>
      <c r="K29" s="31">
        <f>_xlfn.XLOOKUP(Staff[[#This Row],[Rating]],'SALARY VS RATING'!$G$5:$G$9,'SALARY VS RATING'!$H$5:$H$9)</f>
        <v>3</v>
      </c>
      <c r="O29" s="7" t="s">
        <v>6</v>
      </c>
      <c r="P29" t="str">
        <f ca="1"/>
        <v>Average</v>
      </c>
      <c r="V29" t="s">
        <v>79</v>
      </c>
      <c r="W29" t="s">
        <v>15</v>
      </c>
      <c r="X29" t="s">
        <v>23</v>
      </c>
      <c r="Y29">
        <v>43</v>
      </c>
      <c r="Z29" s="3">
        <v>45045</v>
      </c>
      <c r="AA29" s="2">
        <v>114870</v>
      </c>
      <c r="AB29" t="s">
        <v>13</v>
      </c>
      <c r="AC29" t="s">
        <v>203</v>
      </c>
      <c r="AD29">
        <v>1.0164383561643835</v>
      </c>
    </row>
    <row r="30" spans="1:30" ht="14" x14ac:dyDescent="0.3">
      <c r="A30" t="s">
        <v>149</v>
      </c>
      <c r="B30" t="s">
        <v>8</v>
      </c>
      <c r="C30" t="s">
        <v>17</v>
      </c>
      <c r="D30">
        <v>27</v>
      </c>
      <c r="E30" s="1">
        <v>44506</v>
      </c>
      <c r="F30" s="2">
        <v>48980</v>
      </c>
      <c r="G30" t="s">
        <v>13</v>
      </c>
      <c r="H30" t="s">
        <v>205</v>
      </c>
      <c r="I30" s="4">
        <f ca="1">(TODAY()-Staff[[#This Row],[Date Joined]])/365</f>
        <v>2.493150684931507</v>
      </c>
      <c r="J30" s="5">
        <f ca="1">ROUNDUP(IF(Staff[[#This Row],[Tenure]]&gt;2,3%,2%)*Staff[[#This Row],[Salary]],0)</f>
        <v>1470</v>
      </c>
      <c r="K30" s="31">
        <f>_xlfn.XLOOKUP(Staff[[#This Row],[Rating]],'SALARY VS RATING'!$G$5:$G$9,'SALARY VS RATING'!$H$5:$H$9)</f>
        <v>3</v>
      </c>
      <c r="O30" s="7" t="s">
        <v>202</v>
      </c>
      <c r="P30" t="str">
        <f ca="1"/>
        <v>EMP_STAFF</v>
      </c>
      <c r="V30" t="s">
        <v>80</v>
      </c>
      <c r="W30" t="s">
        <v>204</v>
      </c>
      <c r="X30" t="s">
        <v>23</v>
      </c>
      <c r="Y30">
        <v>32</v>
      </c>
      <c r="Z30" s="3">
        <v>44774</v>
      </c>
      <c r="AA30" s="2">
        <v>91310</v>
      </c>
      <c r="AB30" t="s">
        <v>13</v>
      </c>
      <c r="AC30" t="s">
        <v>203</v>
      </c>
      <c r="AD30">
        <v>1.7589041095890412</v>
      </c>
    </row>
    <row r="31" spans="1:30" ht="14" x14ac:dyDescent="0.3">
      <c r="A31" t="s">
        <v>53</v>
      </c>
      <c r="B31" t="s">
        <v>15</v>
      </c>
      <c r="C31" t="s">
        <v>9</v>
      </c>
      <c r="D31">
        <v>34</v>
      </c>
      <c r="E31" s="1">
        <v>44721</v>
      </c>
      <c r="F31" s="2">
        <v>49630</v>
      </c>
      <c r="G31" t="s">
        <v>18</v>
      </c>
      <c r="H31" t="s">
        <v>203</v>
      </c>
      <c r="I31" s="4">
        <f ca="1">(TODAY()-Staff[[#This Row],[Date Joined]])/365</f>
        <v>1.904109589041096</v>
      </c>
      <c r="J31" s="5">
        <f ca="1">ROUNDUP(IF(Staff[[#This Row],[Tenure]]&gt;2,3%,2%)*Staff[[#This Row],[Salary]],0)</f>
        <v>993</v>
      </c>
      <c r="K31" s="31">
        <f>_xlfn.XLOOKUP(Staff[[#This Row],[Rating]],'SALARY VS RATING'!$G$5:$G$9,'SALARY VS RATING'!$H$5:$H$9)</f>
        <v>2</v>
      </c>
      <c r="O31" s="8" t="s">
        <v>211</v>
      </c>
      <c r="P31">
        <f ca="1"/>
        <v>3.526027397260274</v>
      </c>
      <c r="V31" t="s">
        <v>81</v>
      </c>
      <c r="W31" t="s">
        <v>15</v>
      </c>
      <c r="X31" t="s">
        <v>12</v>
      </c>
      <c r="Y31">
        <v>28</v>
      </c>
      <c r="Z31" s="3">
        <v>44486</v>
      </c>
      <c r="AA31" s="2">
        <v>104770</v>
      </c>
      <c r="AB31" t="s">
        <v>13</v>
      </c>
      <c r="AC31" t="s">
        <v>203</v>
      </c>
      <c r="AD31">
        <v>2.547945205479452</v>
      </c>
    </row>
    <row r="32" spans="1:30" ht="13.5" x14ac:dyDescent="0.25">
      <c r="A32" t="s">
        <v>125</v>
      </c>
      <c r="B32" t="s">
        <v>15</v>
      </c>
      <c r="C32" t="s">
        <v>9</v>
      </c>
      <c r="D32">
        <v>34</v>
      </c>
      <c r="E32" s="1">
        <v>44660</v>
      </c>
      <c r="F32" s="2">
        <v>49630</v>
      </c>
      <c r="G32" t="s">
        <v>18</v>
      </c>
      <c r="H32" t="s">
        <v>205</v>
      </c>
      <c r="I32" s="4">
        <f ca="1">(TODAY()-Staff[[#This Row],[Date Joined]])/365</f>
        <v>2.0712328767123287</v>
      </c>
      <c r="J32" s="5">
        <f ca="1">ROUNDUP(IF(Staff[[#This Row],[Tenure]]&gt;2,3%,2%)*Staff[[#This Row],[Salary]],0)</f>
        <v>1489</v>
      </c>
      <c r="K32" s="31">
        <f>_xlfn.XLOOKUP(Staff[[#This Row],[Rating]],'SALARY VS RATING'!$G$5:$G$9,'SALARY VS RATING'!$H$5:$H$9)</f>
        <v>2</v>
      </c>
      <c r="V32" t="s">
        <v>83</v>
      </c>
      <c r="W32" t="s">
        <v>204</v>
      </c>
      <c r="X32" t="s">
        <v>23</v>
      </c>
      <c r="Y32">
        <v>26</v>
      </c>
      <c r="Z32" s="3">
        <v>44271</v>
      </c>
      <c r="AA32" s="2">
        <v>90700</v>
      </c>
      <c r="AB32" t="s">
        <v>10</v>
      </c>
      <c r="AC32" t="s">
        <v>203</v>
      </c>
      <c r="AD32">
        <v>3.1369863013698631</v>
      </c>
    </row>
    <row r="33" spans="1:30" ht="13.5" x14ac:dyDescent="0.25">
      <c r="A33" t="s">
        <v>58</v>
      </c>
      <c r="B33" t="s">
        <v>8</v>
      </c>
      <c r="C33" t="s">
        <v>17</v>
      </c>
      <c r="D33">
        <v>24</v>
      </c>
      <c r="E33" s="1">
        <v>44436</v>
      </c>
      <c r="F33" s="2">
        <v>52610</v>
      </c>
      <c r="G33" t="s">
        <v>18</v>
      </c>
      <c r="H33" t="s">
        <v>203</v>
      </c>
      <c r="I33" s="4">
        <f ca="1">(TODAY()-Staff[[#This Row],[Date Joined]])/365</f>
        <v>2.6849315068493151</v>
      </c>
      <c r="J33" s="5">
        <f ca="1">ROUNDUP(IF(Staff[[#This Row],[Tenure]]&gt;2,3%,2%)*Staff[[#This Row],[Salary]],0)</f>
        <v>1579</v>
      </c>
      <c r="K33" s="31">
        <f>_xlfn.XLOOKUP(Staff[[#This Row],[Rating]],'SALARY VS RATING'!$G$5:$G$9,'SALARY VS RATING'!$H$5:$H$9)</f>
        <v>2</v>
      </c>
      <c r="V33" t="s">
        <v>85</v>
      </c>
      <c r="W33" t="s">
        <v>15</v>
      </c>
      <c r="X33" t="s">
        <v>9</v>
      </c>
      <c r="Y33">
        <v>25</v>
      </c>
      <c r="Z33" s="3">
        <v>44205</v>
      </c>
      <c r="AA33" s="2">
        <v>92700</v>
      </c>
      <c r="AB33" t="s">
        <v>13</v>
      </c>
      <c r="AC33" t="s">
        <v>203</v>
      </c>
      <c r="AD33">
        <v>3.3178082191780822</v>
      </c>
    </row>
    <row r="34" spans="1:30" ht="13.5" x14ac:dyDescent="0.25">
      <c r="A34" t="s">
        <v>144</v>
      </c>
      <c r="B34" t="s">
        <v>8</v>
      </c>
      <c r="C34" t="s">
        <v>17</v>
      </c>
      <c r="D34">
        <v>24</v>
      </c>
      <c r="E34" s="1">
        <v>44375</v>
      </c>
      <c r="F34" s="2">
        <v>52610</v>
      </c>
      <c r="G34" t="s">
        <v>18</v>
      </c>
      <c r="H34" t="s">
        <v>205</v>
      </c>
      <c r="I34" s="4">
        <f ca="1">(TODAY()-Staff[[#This Row],[Date Joined]])/365</f>
        <v>2.8520547945205479</v>
      </c>
      <c r="J34" s="5">
        <f ca="1">ROUNDUP(IF(Staff[[#This Row],[Tenure]]&gt;2,3%,2%)*Staff[[#This Row],[Salary]],0)</f>
        <v>1579</v>
      </c>
      <c r="K34" s="31">
        <f>_xlfn.XLOOKUP(Staff[[#This Row],[Rating]],'SALARY VS RATING'!$G$5:$G$9,'SALARY VS RATING'!$H$5:$H$9)</f>
        <v>2</v>
      </c>
      <c r="V34" t="s">
        <v>89</v>
      </c>
      <c r="W34" t="s">
        <v>15</v>
      </c>
      <c r="X34" t="s">
        <v>12</v>
      </c>
      <c r="Y34">
        <v>28</v>
      </c>
      <c r="Z34" s="3">
        <v>44649</v>
      </c>
      <c r="AA34" s="2">
        <v>104120</v>
      </c>
      <c r="AB34" t="s">
        <v>13</v>
      </c>
      <c r="AC34" t="s">
        <v>203</v>
      </c>
      <c r="AD34">
        <v>2.1013698630136988</v>
      </c>
    </row>
    <row r="35" spans="1:30" ht="13.5" x14ac:dyDescent="0.25">
      <c r="A35" t="s">
        <v>14</v>
      </c>
      <c r="B35" t="s">
        <v>15</v>
      </c>
      <c r="C35" t="s">
        <v>9</v>
      </c>
      <c r="D35">
        <v>28</v>
      </c>
      <c r="E35" s="1">
        <v>44357</v>
      </c>
      <c r="F35" s="2">
        <v>53240</v>
      </c>
      <c r="G35" t="s">
        <v>13</v>
      </c>
      <c r="H35" t="s">
        <v>203</v>
      </c>
      <c r="I35" s="4">
        <f ca="1">(TODAY()-Staff[[#This Row],[Date Joined]])/365</f>
        <v>2.9013698630136986</v>
      </c>
      <c r="J35" s="5">
        <f ca="1">ROUNDUP(IF(Staff[[#This Row],[Tenure]]&gt;2,3%,2%)*Staff[[#This Row],[Salary]],0)</f>
        <v>1598</v>
      </c>
      <c r="K35" s="31">
        <f>_xlfn.XLOOKUP(Staff[[#This Row],[Rating]],'SALARY VS RATING'!$G$5:$G$9,'SALARY VS RATING'!$H$5:$H$9)</f>
        <v>3</v>
      </c>
      <c r="V35" t="s">
        <v>91</v>
      </c>
      <c r="W35" t="s">
        <v>8</v>
      </c>
      <c r="X35" t="s">
        <v>23</v>
      </c>
      <c r="Y35">
        <v>24</v>
      </c>
      <c r="Z35" s="3">
        <v>44686</v>
      </c>
      <c r="AA35" s="2">
        <v>100420</v>
      </c>
      <c r="AB35" t="s">
        <v>13</v>
      </c>
      <c r="AC35" t="s">
        <v>203</v>
      </c>
      <c r="AD35">
        <v>2</v>
      </c>
    </row>
    <row r="36" spans="1:30" ht="13.5" x14ac:dyDescent="0.25">
      <c r="A36" t="s">
        <v>151</v>
      </c>
      <c r="B36" t="s">
        <v>15</v>
      </c>
      <c r="C36" t="s">
        <v>9</v>
      </c>
      <c r="D36">
        <v>28</v>
      </c>
      <c r="E36" s="1">
        <v>44296</v>
      </c>
      <c r="F36" s="2">
        <v>53240</v>
      </c>
      <c r="G36" t="s">
        <v>13</v>
      </c>
      <c r="H36" t="s">
        <v>205</v>
      </c>
      <c r="I36" s="4">
        <f ca="1">(TODAY()-Staff[[#This Row],[Date Joined]])/365</f>
        <v>3.0684931506849313</v>
      </c>
      <c r="J36" s="5">
        <f ca="1">ROUNDUP(IF(Staff[[#This Row],[Tenure]]&gt;2,3%,2%)*Staff[[#This Row],[Salary]],0)</f>
        <v>1598</v>
      </c>
      <c r="K36" s="31">
        <f>_xlfn.XLOOKUP(Staff[[#This Row],[Rating]],'SALARY VS RATING'!$G$5:$G$9,'SALARY VS RATING'!$H$5:$H$9)</f>
        <v>3</v>
      </c>
      <c r="V36" t="s">
        <v>92</v>
      </c>
      <c r="W36" t="s">
        <v>15</v>
      </c>
      <c r="X36" t="s">
        <v>12</v>
      </c>
      <c r="Y36">
        <v>30</v>
      </c>
      <c r="Z36" s="3">
        <v>44850</v>
      </c>
      <c r="AA36" s="2">
        <v>114180</v>
      </c>
      <c r="AB36" t="s">
        <v>13</v>
      </c>
      <c r="AC36" t="s">
        <v>203</v>
      </c>
      <c r="AD36">
        <v>1.5506849315068494</v>
      </c>
    </row>
    <row r="37" spans="1:30" ht="13.5" x14ac:dyDescent="0.25">
      <c r="A37" t="s">
        <v>19</v>
      </c>
      <c r="B37" t="s">
        <v>8</v>
      </c>
      <c r="C37" t="s">
        <v>9</v>
      </c>
      <c r="D37">
        <v>32</v>
      </c>
      <c r="E37" s="1">
        <v>44465</v>
      </c>
      <c r="F37" s="2">
        <v>53540</v>
      </c>
      <c r="G37" t="s">
        <v>13</v>
      </c>
      <c r="H37" t="s">
        <v>203</v>
      </c>
      <c r="I37" s="4">
        <f ca="1">(TODAY()-Staff[[#This Row],[Date Joined]])/365</f>
        <v>2.6054794520547944</v>
      </c>
      <c r="J37" s="5">
        <f ca="1">ROUNDUP(IF(Staff[[#This Row],[Tenure]]&gt;2,3%,2%)*Staff[[#This Row],[Salary]],0)</f>
        <v>1607</v>
      </c>
      <c r="K37" s="31">
        <f>_xlfn.XLOOKUP(Staff[[#This Row],[Rating]],'SALARY VS RATING'!$G$5:$G$9,'SALARY VS RATING'!$H$5:$H$9)</f>
        <v>3</v>
      </c>
      <c r="V37" t="s">
        <v>94</v>
      </c>
      <c r="W37" t="s">
        <v>8</v>
      </c>
      <c r="X37" t="s">
        <v>12</v>
      </c>
      <c r="Y37">
        <v>23</v>
      </c>
      <c r="Z37" s="3">
        <v>44440</v>
      </c>
      <c r="AA37" s="2">
        <v>106460</v>
      </c>
      <c r="AB37" t="s">
        <v>13</v>
      </c>
      <c r="AC37" t="s">
        <v>203</v>
      </c>
      <c r="AD37">
        <v>2.6739726027397261</v>
      </c>
    </row>
    <row r="38" spans="1:30" ht="13.5" x14ac:dyDescent="0.25">
      <c r="A38" t="s">
        <v>109</v>
      </c>
      <c r="B38" t="s">
        <v>8</v>
      </c>
      <c r="C38" t="s">
        <v>12</v>
      </c>
      <c r="D38">
        <v>26</v>
      </c>
      <c r="E38" s="1">
        <v>44411</v>
      </c>
      <c r="F38" s="2">
        <v>53540</v>
      </c>
      <c r="G38" t="s">
        <v>13</v>
      </c>
      <c r="H38" t="s">
        <v>203</v>
      </c>
      <c r="I38" s="4">
        <f ca="1">(TODAY()-Staff[[#This Row],[Date Joined]])/365</f>
        <v>2.7534246575342465</v>
      </c>
      <c r="J38" s="5">
        <f ca="1">ROUNDUP(IF(Staff[[#This Row],[Tenure]]&gt;2,3%,2%)*Staff[[#This Row],[Salary]],0)</f>
        <v>1607</v>
      </c>
      <c r="K38" s="31">
        <f>_xlfn.XLOOKUP(Staff[[#This Row],[Rating]],'SALARY VS RATING'!$G$5:$G$9,'SALARY VS RATING'!$H$5:$H$9)</f>
        <v>3</v>
      </c>
      <c r="V38" t="s">
        <v>96</v>
      </c>
      <c r="W38" t="s">
        <v>8</v>
      </c>
      <c r="X38" t="s">
        <v>17</v>
      </c>
      <c r="Y38">
        <v>27</v>
      </c>
      <c r="Z38" s="3">
        <v>44236</v>
      </c>
      <c r="AA38" s="2">
        <v>91650</v>
      </c>
      <c r="AB38" t="s">
        <v>10</v>
      </c>
      <c r="AC38" t="s">
        <v>203</v>
      </c>
      <c r="AD38">
        <v>3.2328767123287672</v>
      </c>
    </row>
    <row r="39" spans="1:30" ht="13.5" x14ac:dyDescent="0.25">
      <c r="A39" t="s">
        <v>171</v>
      </c>
      <c r="B39" t="s">
        <v>8</v>
      </c>
      <c r="C39" t="s">
        <v>9</v>
      </c>
      <c r="D39">
        <v>32</v>
      </c>
      <c r="E39" s="1">
        <v>44403</v>
      </c>
      <c r="F39" s="2">
        <v>53540</v>
      </c>
      <c r="G39" t="s">
        <v>13</v>
      </c>
      <c r="H39" t="s">
        <v>205</v>
      </c>
      <c r="I39" s="4">
        <f ca="1">(TODAY()-Staff[[#This Row],[Date Joined]])/365</f>
        <v>2.7753424657534245</v>
      </c>
      <c r="J39" s="5">
        <f ca="1">ROUNDUP(IF(Staff[[#This Row],[Tenure]]&gt;2,3%,2%)*Staff[[#This Row],[Salary]],0)</f>
        <v>1607</v>
      </c>
      <c r="K39" s="31">
        <f>_xlfn.XLOOKUP(Staff[[#This Row],[Rating]],'SALARY VS RATING'!$G$5:$G$9,'SALARY VS RATING'!$H$5:$H$9)</f>
        <v>3</v>
      </c>
      <c r="V39" t="s">
        <v>98</v>
      </c>
      <c r="W39" t="s">
        <v>15</v>
      </c>
      <c r="X39" t="s">
        <v>23</v>
      </c>
      <c r="Y39">
        <v>40</v>
      </c>
      <c r="Z39" s="3">
        <v>44381</v>
      </c>
      <c r="AA39" s="2">
        <v>104410</v>
      </c>
      <c r="AB39" t="s">
        <v>13</v>
      </c>
      <c r="AC39" t="s">
        <v>203</v>
      </c>
      <c r="AD39">
        <v>2.8356164383561642</v>
      </c>
    </row>
    <row r="40" spans="1:30" ht="13.5" x14ac:dyDescent="0.25">
      <c r="A40" t="s">
        <v>179</v>
      </c>
      <c r="B40" t="s">
        <v>8</v>
      </c>
      <c r="C40" t="s">
        <v>12</v>
      </c>
      <c r="D40">
        <v>26</v>
      </c>
      <c r="E40" s="1">
        <v>44350</v>
      </c>
      <c r="F40" s="2">
        <v>53540</v>
      </c>
      <c r="G40" t="s">
        <v>13</v>
      </c>
      <c r="H40" t="s">
        <v>205</v>
      </c>
      <c r="I40" s="4">
        <f ca="1">(TODAY()-Staff[[#This Row],[Date Joined]])/365</f>
        <v>2.9205479452054797</v>
      </c>
      <c r="J40" s="5">
        <f ca="1">ROUNDUP(IF(Staff[[#This Row],[Tenure]]&gt;2,3%,2%)*Staff[[#This Row],[Salary]],0)</f>
        <v>1607</v>
      </c>
      <c r="K40" s="31">
        <f>_xlfn.XLOOKUP(Staff[[#This Row],[Rating]],'SALARY VS RATING'!$G$5:$G$9,'SALARY VS RATING'!$H$5:$H$9)</f>
        <v>3</v>
      </c>
      <c r="V40" t="s">
        <v>99</v>
      </c>
      <c r="W40" t="s">
        <v>8</v>
      </c>
      <c r="X40" t="s">
        <v>17</v>
      </c>
      <c r="Y40">
        <v>30</v>
      </c>
      <c r="Z40" s="3">
        <v>44606</v>
      </c>
      <c r="AA40" s="2">
        <v>96800</v>
      </c>
      <c r="AB40" t="s">
        <v>13</v>
      </c>
      <c r="AC40" t="s">
        <v>203</v>
      </c>
      <c r="AD40">
        <v>2.2191780821917808</v>
      </c>
    </row>
    <row r="41" spans="1:30" ht="13.5" x14ac:dyDescent="0.25">
      <c r="A41" t="s">
        <v>24</v>
      </c>
      <c r="B41" t="s">
        <v>8</v>
      </c>
      <c r="C41" t="s">
        <v>23</v>
      </c>
      <c r="D41">
        <v>33</v>
      </c>
      <c r="E41" s="1">
        <v>44509</v>
      </c>
      <c r="F41" s="2">
        <v>53870</v>
      </c>
      <c r="G41" t="s">
        <v>13</v>
      </c>
      <c r="H41" t="s">
        <v>203</v>
      </c>
      <c r="I41" s="4">
        <f ca="1">(TODAY()-Staff[[#This Row],[Date Joined]])/365</f>
        <v>2.484931506849315</v>
      </c>
      <c r="J41" s="5">
        <f ca="1">ROUNDUP(IF(Staff[[#This Row],[Tenure]]&gt;2,3%,2%)*Staff[[#This Row],[Salary]],0)</f>
        <v>1617</v>
      </c>
      <c r="K41" s="31">
        <f>_xlfn.XLOOKUP(Staff[[#This Row],[Rating]],'SALARY VS RATING'!$G$5:$G$9,'SALARY VS RATING'!$H$5:$H$9)</f>
        <v>3</v>
      </c>
      <c r="V41" t="s">
        <v>110</v>
      </c>
      <c r="W41" t="s">
        <v>8</v>
      </c>
      <c r="X41" t="s">
        <v>23</v>
      </c>
      <c r="Y41">
        <v>20</v>
      </c>
      <c r="Z41" s="3">
        <v>44122</v>
      </c>
      <c r="AA41" s="2">
        <v>112650</v>
      </c>
      <c r="AB41" t="s">
        <v>13</v>
      </c>
      <c r="AC41" t="s">
        <v>205</v>
      </c>
      <c r="AD41">
        <v>3.5452054794520547</v>
      </c>
    </row>
    <row r="42" spans="1:30" ht="13.5" x14ac:dyDescent="0.25">
      <c r="A42" t="s">
        <v>195</v>
      </c>
      <c r="B42" t="s">
        <v>8</v>
      </c>
      <c r="C42" t="s">
        <v>23</v>
      </c>
      <c r="D42">
        <v>33</v>
      </c>
      <c r="E42" s="1">
        <v>44448</v>
      </c>
      <c r="F42" s="2">
        <v>53870</v>
      </c>
      <c r="G42" t="s">
        <v>13</v>
      </c>
      <c r="H42" t="s">
        <v>205</v>
      </c>
      <c r="I42" s="4">
        <f ca="1">(TODAY()-Staff[[#This Row],[Date Joined]])/365</f>
        <v>2.6520547945205482</v>
      </c>
      <c r="J42" s="5">
        <f ca="1">ROUNDUP(IF(Staff[[#This Row],[Tenure]]&gt;2,3%,2%)*Staff[[#This Row],[Salary]],0)</f>
        <v>1617</v>
      </c>
      <c r="K42" s="31">
        <f>_xlfn.XLOOKUP(Staff[[#This Row],[Rating]],'SALARY VS RATING'!$G$5:$G$9,'SALARY VS RATING'!$H$5:$H$9)</f>
        <v>3</v>
      </c>
      <c r="V42" t="s">
        <v>112</v>
      </c>
      <c r="W42" t="s">
        <v>8</v>
      </c>
      <c r="X42" t="s">
        <v>12</v>
      </c>
      <c r="Y42">
        <v>31</v>
      </c>
      <c r="Z42" s="3">
        <v>44663</v>
      </c>
      <c r="AA42" s="2">
        <v>103550</v>
      </c>
      <c r="AB42" t="s">
        <v>13</v>
      </c>
      <c r="AC42" t="s">
        <v>205</v>
      </c>
      <c r="AD42">
        <v>2.0630136986301371</v>
      </c>
    </row>
    <row r="43" spans="1:30" ht="13.5" x14ac:dyDescent="0.25">
      <c r="A43" t="s">
        <v>82</v>
      </c>
      <c r="B43" t="s">
        <v>8</v>
      </c>
      <c r="C43" t="s">
        <v>9</v>
      </c>
      <c r="D43">
        <v>27</v>
      </c>
      <c r="E43" s="1">
        <v>44134</v>
      </c>
      <c r="F43" s="2">
        <v>54970</v>
      </c>
      <c r="G43" t="s">
        <v>13</v>
      </c>
      <c r="H43" t="s">
        <v>203</v>
      </c>
      <c r="I43" s="4">
        <f ca="1">(TODAY()-Staff[[#This Row],[Date Joined]])/365</f>
        <v>3.5123287671232877</v>
      </c>
      <c r="J43" s="5">
        <f ca="1">ROUNDUP(IF(Staff[[#This Row],[Tenure]]&gt;2,3%,2%)*Staff[[#This Row],[Salary]],0)</f>
        <v>1650</v>
      </c>
      <c r="K43" s="31">
        <f>_xlfn.XLOOKUP(Staff[[#This Row],[Rating]],'SALARY VS RATING'!$G$5:$G$9,'SALARY VS RATING'!$H$5:$H$9)</f>
        <v>3</v>
      </c>
      <c r="V43" t="s">
        <v>114</v>
      </c>
      <c r="W43" t="s">
        <v>204</v>
      </c>
      <c r="X43" t="s">
        <v>17</v>
      </c>
      <c r="Y43">
        <v>37</v>
      </c>
      <c r="Z43" s="3">
        <v>44085</v>
      </c>
      <c r="AA43" s="2">
        <v>115440</v>
      </c>
      <c r="AB43" t="s">
        <v>18</v>
      </c>
      <c r="AC43" t="s">
        <v>205</v>
      </c>
      <c r="AD43">
        <v>3.6465753424657534</v>
      </c>
    </row>
    <row r="44" spans="1:30" ht="13.5" x14ac:dyDescent="0.25">
      <c r="A44" t="s">
        <v>130</v>
      </c>
      <c r="B44" t="s">
        <v>8</v>
      </c>
      <c r="C44" t="s">
        <v>9</v>
      </c>
      <c r="D44">
        <v>27</v>
      </c>
      <c r="E44" s="1">
        <v>44073</v>
      </c>
      <c r="F44" s="2">
        <v>54970</v>
      </c>
      <c r="G44" t="s">
        <v>13</v>
      </c>
      <c r="H44" t="s">
        <v>205</v>
      </c>
      <c r="I44" s="4">
        <f ca="1">(TODAY()-Staff[[#This Row],[Date Joined]])/365</f>
        <v>3.6794520547945204</v>
      </c>
      <c r="J44" s="5">
        <f ca="1">ROUNDUP(IF(Staff[[#This Row],[Tenure]]&gt;2,3%,2%)*Staff[[#This Row],[Salary]],0)</f>
        <v>1650</v>
      </c>
      <c r="K44" s="31">
        <f>_xlfn.XLOOKUP(Staff[[#This Row],[Rating]],'SALARY VS RATING'!$G$5:$G$9,'SALARY VS RATING'!$H$5:$H$9)</f>
        <v>3</v>
      </c>
      <c r="V44" t="s">
        <v>116</v>
      </c>
      <c r="W44" t="s">
        <v>15</v>
      </c>
      <c r="X44" t="s">
        <v>9</v>
      </c>
      <c r="Y44">
        <v>25</v>
      </c>
      <c r="Z44" s="3">
        <v>44144</v>
      </c>
      <c r="AA44" s="2">
        <v>92700</v>
      </c>
      <c r="AB44" t="s">
        <v>13</v>
      </c>
      <c r="AC44" t="s">
        <v>205</v>
      </c>
      <c r="AD44">
        <v>3.484931506849315</v>
      </c>
    </row>
    <row r="45" spans="1:30" ht="13.5" x14ac:dyDescent="0.25">
      <c r="A45" t="s">
        <v>84</v>
      </c>
      <c r="B45" t="s">
        <v>15</v>
      </c>
      <c r="C45" t="s">
        <v>9</v>
      </c>
      <c r="D45">
        <v>38</v>
      </c>
      <c r="E45" s="1">
        <v>44329</v>
      </c>
      <c r="F45" s="2">
        <v>56870</v>
      </c>
      <c r="G45" t="s">
        <v>10</v>
      </c>
      <c r="H45" t="s">
        <v>203</v>
      </c>
      <c r="I45" s="4">
        <f ca="1">(TODAY()-Staff[[#This Row],[Date Joined]])/365</f>
        <v>2.978082191780822</v>
      </c>
      <c r="J45" s="5">
        <f ca="1">ROUNDUP(IF(Staff[[#This Row],[Tenure]]&gt;2,3%,2%)*Staff[[#This Row],[Salary]],0)</f>
        <v>1707</v>
      </c>
      <c r="K45" s="31">
        <f>_xlfn.XLOOKUP(Staff[[#This Row],[Rating]],'SALARY VS RATING'!$G$5:$G$9,'SALARY VS RATING'!$H$5:$H$9)</f>
        <v>4</v>
      </c>
      <c r="V45" t="s">
        <v>117</v>
      </c>
      <c r="W45" t="s">
        <v>204</v>
      </c>
      <c r="X45" t="s">
        <v>23</v>
      </c>
      <c r="Y45">
        <v>32</v>
      </c>
      <c r="Z45" s="3">
        <v>44713</v>
      </c>
      <c r="AA45" s="2">
        <v>91310</v>
      </c>
      <c r="AB45" t="s">
        <v>13</v>
      </c>
      <c r="AC45" t="s">
        <v>205</v>
      </c>
      <c r="AD45">
        <v>1.9260273972602739</v>
      </c>
    </row>
    <row r="46" spans="1:30" ht="13.5" x14ac:dyDescent="0.25">
      <c r="A46" t="s">
        <v>115</v>
      </c>
      <c r="B46" t="s">
        <v>15</v>
      </c>
      <c r="C46" t="s">
        <v>9</v>
      </c>
      <c r="D46">
        <v>38</v>
      </c>
      <c r="E46" s="1">
        <v>44268</v>
      </c>
      <c r="F46" s="2">
        <v>56870</v>
      </c>
      <c r="G46" t="s">
        <v>10</v>
      </c>
      <c r="H46" t="s">
        <v>205</v>
      </c>
      <c r="I46" s="4">
        <f ca="1">(TODAY()-Staff[[#This Row],[Date Joined]])/365</f>
        <v>3.1452054794520548</v>
      </c>
      <c r="J46" s="5">
        <f ca="1">ROUNDUP(IF(Staff[[#This Row],[Tenure]]&gt;2,3%,2%)*Staff[[#This Row],[Salary]],0)</f>
        <v>1707</v>
      </c>
      <c r="K46" s="31">
        <f>_xlfn.XLOOKUP(Staff[[#This Row],[Rating]],'SALARY VS RATING'!$G$5:$G$9,'SALARY VS RATING'!$H$5:$H$9)</f>
        <v>4</v>
      </c>
      <c r="V46" t="s">
        <v>119</v>
      </c>
      <c r="W46" t="s">
        <v>8</v>
      </c>
      <c r="X46" t="s">
        <v>12</v>
      </c>
      <c r="Y46">
        <v>25</v>
      </c>
      <c r="Z46" s="3">
        <v>44665</v>
      </c>
      <c r="AA46" s="2">
        <v>109190</v>
      </c>
      <c r="AB46" t="s">
        <v>10</v>
      </c>
      <c r="AC46" t="s">
        <v>205</v>
      </c>
      <c r="AD46">
        <v>2.0575342465753423</v>
      </c>
    </row>
    <row r="47" spans="1:30" ht="13.5" x14ac:dyDescent="0.25">
      <c r="A47" t="s">
        <v>34</v>
      </c>
      <c r="B47" t="s">
        <v>8</v>
      </c>
      <c r="C47" t="s">
        <v>12</v>
      </c>
      <c r="D47">
        <v>21</v>
      </c>
      <c r="E47" s="1">
        <v>44762</v>
      </c>
      <c r="F47" s="2">
        <v>57090</v>
      </c>
      <c r="G47" t="s">
        <v>13</v>
      </c>
      <c r="H47" t="s">
        <v>203</v>
      </c>
      <c r="I47" s="4">
        <f ca="1">(TODAY()-Staff[[#This Row],[Date Joined]])/365</f>
        <v>1.7917808219178082</v>
      </c>
      <c r="J47" s="5">
        <f ca="1">ROUNDUP(IF(Staff[[#This Row],[Tenure]]&gt;2,3%,2%)*Staff[[#This Row],[Salary]],0)</f>
        <v>1142</v>
      </c>
      <c r="K47" s="31">
        <f>_xlfn.XLOOKUP(Staff[[#This Row],[Rating]],'SALARY VS RATING'!$G$5:$G$9,'SALARY VS RATING'!$H$5:$H$9)</f>
        <v>3</v>
      </c>
      <c r="V47" t="s">
        <v>120</v>
      </c>
      <c r="W47" t="s">
        <v>15</v>
      </c>
      <c r="X47" t="s">
        <v>23</v>
      </c>
      <c r="Y47">
        <v>40</v>
      </c>
      <c r="Z47" s="3">
        <v>44320</v>
      </c>
      <c r="AA47" s="2">
        <v>104410</v>
      </c>
      <c r="AB47" t="s">
        <v>13</v>
      </c>
      <c r="AC47" t="s">
        <v>205</v>
      </c>
      <c r="AD47">
        <v>3.0027397260273974</v>
      </c>
    </row>
    <row r="48" spans="1:30" ht="13.5" x14ac:dyDescent="0.25">
      <c r="A48" t="s">
        <v>157</v>
      </c>
      <c r="B48" t="s">
        <v>8</v>
      </c>
      <c r="C48" t="s">
        <v>12</v>
      </c>
      <c r="D48">
        <v>21</v>
      </c>
      <c r="E48" s="1">
        <v>44701</v>
      </c>
      <c r="F48" s="2">
        <v>57090</v>
      </c>
      <c r="G48" t="s">
        <v>13</v>
      </c>
      <c r="H48" t="s">
        <v>205</v>
      </c>
      <c r="I48" s="4">
        <f ca="1">(TODAY()-Staff[[#This Row],[Date Joined]])/365</f>
        <v>1.9589041095890412</v>
      </c>
      <c r="J48" s="5">
        <f ca="1">ROUNDUP(IF(Staff[[#This Row],[Tenure]]&gt;2,3%,2%)*Staff[[#This Row],[Salary]],0)</f>
        <v>1142</v>
      </c>
      <c r="K48" s="31">
        <f>_xlfn.XLOOKUP(Staff[[#This Row],[Rating]],'SALARY VS RATING'!$G$5:$G$9,'SALARY VS RATING'!$H$5:$H$9)</f>
        <v>3</v>
      </c>
      <c r="V48" t="s">
        <v>121</v>
      </c>
      <c r="W48" t="s">
        <v>8</v>
      </c>
      <c r="X48" t="s">
        <v>17</v>
      </c>
      <c r="Y48">
        <v>30</v>
      </c>
      <c r="Z48" s="3">
        <v>44544</v>
      </c>
      <c r="AA48" s="2">
        <v>96800</v>
      </c>
      <c r="AB48" t="s">
        <v>13</v>
      </c>
      <c r="AC48" t="s">
        <v>205</v>
      </c>
      <c r="AD48">
        <v>2.3890410958904109</v>
      </c>
    </row>
    <row r="49" spans="1:30" ht="13.5" x14ac:dyDescent="0.25">
      <c r="A49" t="s">
        <v>39</v>
      </c>
      <c r="B49" t="s">
        <v>15</v>
      </c>
      <c r="C49" t="s">
        <v>23</v>
      </c>
      <c r="D49">
        <v>31</v>
      </c>
      <c r="E49" s="1">
        <v>44663</v>
      </c>
      <c r="F49" s="2">
        <v>58100</v>
      </c>
      <c r="G49" t="s">
        <v>13</v>
      </c>
      <c r="H49" t="s">
        <v>203</v>
      </c>
      <c r="I49" s="4">
        <f ca="1">(TODAY()-Staff[[#This Row],[Date Joined]])/365</f>
        <v>2.0630136986301371</v>
      </c>
      <c r="J49" s="5">
        <f ca="1">ROUNDUP(IF(Staff[[#This Row],[Tenure]]&gt;2,3%,2%)*Staff[[#This Row],[Salary]],0)</f>
        <v>1743</v>
      </c>
      <c r="K49" s="31">
        <f>_xlfn.XLOOKUP(Staff[[#This Row],[Rating]],'SALARY VS RATING'!$G$5:$G$9,'SALARY VS RATING'!$H$5:$H$9)</f>
        <v>3</v>
      </c>
      <c r="V49" t="s">
        <v>124</v>
      </c>
      <c r="W49" t="s">
        <v>8</v>
      </c>
      <c r="X49" t="s">
        <v>12</v>
      </c>
      <c r="Y49">
        <v>34</v>
      </c>
      <c r="Z49" s="3">
        <v>44642</v>
      </c>
      <c r="AA49" s="2">
        <v>112650</v>
      </c>
      <c r="AB49" t="s">
        <v>13</v>
      </c>
      <c r="AC49" t="s">
        <v>205</v>
      </c>
      <c r="AD49">
        <v>2.1205479452054794</v>
      </c>
    </row>
    <row r="50" spans="1:30" ht="13.5" x14ac:dyDescent="0.25">
      <c r="A50" t="s">
        <v>136</v>
      </c>
      <c r="B50" t="s">
        <v>15</v>
      </c>
      <c r="C50" t="s">
        <v>23</v>
      </c>
      <c r="D50">
        <v>31</v>
      </c>
      <c r="E50" s="1">
        <v>44604</v>
      </c>
      <c r="F50" s="2">
        <v>58100</v>
      </c>
      <c r="G50" t="s">
        <v>13</v>
      </c>
      <c r="H50" t="s">
        <v>205</v>
      </c>
      <c r="I50" s="4">
        <f ca="1">(TODAY()-Staff[[#This Row],[Date Joined]])/365</f>
        <v>2.2246575342465755</v>
      </c>
      <c r="J50" s="5">
        <f ca="1">ROUNDUP(IF(Staff[[#This Row],[Tenure]]&gt;2,3%,2%)*Staff[[#This Row],[Salary]],0)</f>
        <v>1743</v>
      </c>
      <c r="K50" s="31">
        <f>_xlfn.XLOOKUP(Staff[[#This Row],[Rating]],'SALARY VS RATING'!$G$5:$G$9,'SALARY VS RATING'!$H$5:$H$9)</f>
        <v>3</v>
      </c>
      <c r="V50" t="s">
        <v>126</v>
      </c>
      <c r="W50" t="s">
        <v>8</v>
      </c>
      <c r="X50" t="s">
        <v>23</v>
      </c>
      <c r="Y50">
        <v>36</v>
      </c>
      <c r="Z50" s="3">
        <v>43958</v>
      </c>
      <c r="AA50" s="2">
        <v>118840</v>
      </c>
      <c r="AB50" t="s">
        <v>13</v>
      </c>
      <c r="AC50" t="s">
        <v>205</v>
      </c>
      <c r="AD50">
        <v>3.9945205479452053</v>
      </c>
    </row>
    <row r="51" spans="1:30" ht="13.5" x14ac:dyDescent="0.25">
      <c r="A51" t="s">
        <v>37</v>
      </c>
      <c r="B51" t="s">
        <v>15</v>
      </c>
      <c r="C51" t="s">
        <v>17</v>
      </c>
      <c r="D51">
        <v>34</v>
      </c>
      <c r="E51" s="1">
        <v>44653</v>
      </c>
      <c r="F51" s="2">
        <v>58940</v>
      </c>
      <c r="G51" t="s">
        <v>13</v>
      </c>
      <c r="H51" t="s">
        <v>203</v>
      </c>
      <c r="I51" s="4">
        <f ca="1">(TODAY()-Staff[[#This Row],[Date Joined]])/365</f>
        <v>2.0904109589041098</v>
      </c>
      <c r="J51" s="5">
        <f ca="1">ROUNDUP(IF(Staff[[#This Row],[Tenure]]&gt;2,3%,2%)*Staff[[#This Row],[Salary]],0)</f>
        <v>1769</v>
      </c>
      <c r="K51" s="31">
        <f>_xlfn.XLOOKUP(Staff[[#This Row],[Rating]],'SALARY VS RATING'!$G$5:$G$9,'SALARY VS RATING'!$H$5:$H$9)</f>
        <v>3</v>
      </c>
      <c r="V51" t="s">
        <v>135</v>
      </c>
      <c r="W51" t="s">
        <v>8</v>
      </c>
      <c r="X51" t="s">
        <v>23</v>
      </c>
      <c r="Y51">
        <v>24</v>
      </c>
      <c r="Z51" s="3">
        <v>44625</v>
      </c>
      <c r="AA51" s="2">
        <v>100420</v>
      </c>
      <c r="AB51" t="s">
        <v>13</v>
      </c>
      <c r="AC51" t="s">
        <v>205</v>
      </c>
      <c r="AD51">
        <v>2.1671232876712327</v>
      </c>
    </row>
    <row r="52" spans="1:30" ht="13.5" x14ac:dyDescent="0.25">
      <c r="A52" t="s">
        <v>155</v>
      </c>
      <c r="B52" t="s">
        <v>15</v>
      </c>
      <c r="C52" t="s">
        <v>17</v>
      </c>
      <c r="D52">
        <v>34</v>
      </c>
      <c r="E52" s="1">
        <v>44594</v>
      </c>
      <c r="F52" s="2">
        <v>58940</v>
      </c>
      <c r="G52" t="s">
        <v>13</v>
      </c>
      <c r="H52" t="s">
        <v>205</v>
      </c>
      <c r="I52" s="4">
        <f ca="1">(TODAY()-Staff[[#This Row],[Date Joined]])/365</f>
        <v>2.2520547945205478</v>
      </c>
      <c r="J52" s="5">
        <f ca="1">ROUNDUP(IF(Staff[[#This Row],[Tenure]]&gt;2,3%,2%)*Staff[[#This Row],[Salary]],0)</f>
        <v>1769</v>
      </c>
      <c r="K52" s="31">
        <f>_xlfn.XLOOKUP(Staff[[#This Row],[Rating]],'SALARY VS RATING'!$G$5:$G$9,'SALARY VS RATING'!$H$5:$H$9)</f>
        <v>3</v>
      </c>
      <c r="V52" t="s">
        <v>137</v>
      </c>
      <c r="W52" t="s">
        <v>15</v>
      </c>
      <c r="X52" t="s">
        <v>23</v>
      </c>
      <c r="Y52">
        <v>44</v>
      </c>
      <c r="Z52" s="3">
        <v>44985</v>
      </c>
      <c r="AA52" s="2">
        <v>114870</v>
      </c>
      <c r="AB52" t="s">
        <v>13</v>
      </c>
      <c r="AC52" t="s">
        <v>205</v>
      </c>
      <c r="AD52">
        <v>1.1808219178082191</v>
      </c>
    </row>
    <row r="53" spans="1:30" ht="13.5" x14ac:dyDescent="0.25">
      <c r="A53" t="s">
        <v>67</v>
      </c>
      <c r="B53" t="s">
        <v>8</v>
      </c>
      <c r="C53" t="s">
        <v>12</v>
      </c>
      <c r="D53">
        <v>19</v>
      </c>
      <c r="E53" s="1">
        <v>44277</v>
      </c>
      <c r="F53" s="2">
        <v>58960</v>
      </c>
      <c r="G53" t="s">
        <v>13</v>
      </c>
      <c r="H53" t="s">
        <v>203</v>
      </c>
      <c r="I53" s="4">
        <f ca="1">(TODAY()-Staff[[#This Row],[Date Joined]])/365</f>
        <v>3.1205479452054794</v>
      </c>
      <c r="J53" s="5">
        <f ca="1">ROUNDUP(IF(Staff[[#This Row],[Tenure]]&gt;2,3%,2%)*Staff[[#This Row],[Salary]],0)</f>
        <v>1769</v>
      </c>
      <c r="K53" s="31">
        <f>_xlfn.XLOOKUP(Staff[[#This Row],[Rating]],'SALARY VS RATING'!$G$5:$G$9,'SALARY VS RATING'!$H$5:$H$9)</f>
        <v>3</v>
      </c>
      <c r="V53" t="s">
        <v>139</v>
      </c>
      <c r="W53" t="s">
        <v>15</v>
      </c>
      <c r="X53" t="s">
        <v>12</v>
      </c>
      <c r="Y53">
        <v>30</v>
      </c>
      <c r="Z53" s="3">
        <v>44800</v>
      </c>
      <c r="AA53" s="2">
        <v>112570</v>
      </c>
      <c r="AB53" t="s">
        <v>13</v>
      </c>
      <c r="AC53" t="s">
        <v>205</v>
      </c>
      <c r="AD53">
        <v>1.6876712328767123</v>
      </c>
    </row>
    <row r="54" spans="1:30" ht="13.5" x14ac:dyDescent="0.25">
      <c r="A54" t="s">
        <v>197</v>
      </c>
      <c r="B54" t="s">
        <v>8</v>
      </c>
      <c r="C54" t="s">
        <v>12</v>
      </c>
      <c r="D54">
        <v>19</v>
      </c>
      <c r="E54" s="1">
        <v>44218</v>
      </c>
      <c r="F54" s="2">
        <v>58960</v>
      </c>
      <c r="G54" t="s">
        <v>13</v>
      </c>
      <c r="H54" t="s">
        <v>205</v>
      </c>
      <c r="I54" s="4">
        <f ca="1">(TODAY()-Staff[[#This Row],[Date Joined]])/365</f>
        <v>3.2821917808219179</v>
      </c>
      <c r="J54" s="5">
        <f ca="1">ROUNDUP(IF(Staff[[#This Row],[Tenure]]&gt;2,3%,2%)*Staff[[#This Row],[Salary]],0)</f>
        <v>1769</v>
      </c>
      <c r="K54" s="31">
        <f>_xlfn.XLOOKUP(Staff[[#This Row],[Rating]],'SALARY VS RATING'!$G$5:$G$9,'SALARY VS RATING'!$H$5:$H$9)</f>
        <v>3</v>
      </c>
      <c r="V54" t="s">
        <v>142</v>
      </c>
      <c r="W54" t="s">
        <v>15</v>
      </c>
      <c r="X54" t="s">
        <v>12</v>
      </c>
      <c r="Y54">
        <v>28</v>
      </c>
      <c r="Z54" s="3">
        <v>44571</v>
      </c>
      <c r="AA54" s="2">
        <v>99970</v>
      </c>
      <c r="AB54" t="s">
        <v>13</v>
      </c>
      <c r="AC54" t="s">
        <v>205</v>
      </c>
      <c r="AD54">
        <v>2.3150684931506849</v>
      </c>
    </row>
    <row r="55" spans="1:30" ht="13.5" x14ac:dyDescent="0.25">
      <c r="A55" t="s">
        <v>102</v>
      </c>
      <c r="B55" t="s">
        <v>8</v>
      </c>
      <c r="C55" t="s">
        <v>17</v>
      </c>
      <c r="D55">
        <v>33</v>
      </c>
      <c r="E55" s="1">
        <v>44243</v>
      </c>
      <c r="F55" s="2">
        <v>59430</v>
      </c>
      <c r="G55" t="s">
        <v>13</v>
      </c>
      <c r="H55" t="s">
        <v>203</v>
      </c>
      <c r="I55" s="4">
        <f ca="1">(TODAY()-Staff[[#This Row],[Date Joined]])/365</f>
        <v>3.2136986301369861</v>
      </c>
      <c r="J55" s="5">
        <f ca="1">ROUNDUP(IF(Staff[[#This Row],[Tenure]]&gt;2,3%,2%)*Staff[[#This Row],[Salary]],0)</f>
        <v>1783</v>
      </c>
      <c r="K55" s="31">
        <f>_xlfn.XLOOKUP(Staff[[#This Row],[Rating]],'SALARY VS RATING'!$G$5:$G$9,'SALARY VS RATING'!$H$5:$H$9)</f>
        <v>3</v>
      </c>
      <c r="V55" t="s">
        <v>145</v>
      </c>
      <c r="W55" t="s">
        <v>8</v>
      </c>
      <c r="X55" t="s">
        <v>23</v>
      </c>
      <c r="Y55">
        <v>29</v>
      </c>
      <c r="Z55" s="3">
        <v>44119</v>
      </c>
      <c r="AA55" s="2">
        <v>112110</v>
      </c>
      <c r="AB55" t="s">
        <v>18</v>
      </c>
      <c r="AC55" t="s">
        <v>205</v>
      </c>
      <c r="AD55">
        <v>3.5534246575342467</v>
      </c>
    </row>
    <row r="56" spans="1:30" ht="13.5" x14ac:dyDescent="0.25">
      <c r="A56" t="s">
        <v>199</v>
      </c>
      <c r="B56" t="s">
        <v>8</v>
      </c>
      <c r="C56" t="s">
        <v>17</v>
      </c>
      <c r="D56">
        <v>33</v>
      </c>
      <c r="E56" s="1">
        <v>44181</v>
      </c>
      <c r="F56" s="2">
        <v>59430</v>
      </c>
      <c r="G56" t="s">
        <v>13</v>
      </c>
      <c r="H56" t="s">
        <v>205</v>
      </c>
      <c r="I56" s="4">
        <f ca="1">(TODAY()-Staff[[#This Row],[Date Joined]])/365</f>
        <v>3.3835616438356166</v>
      </c>
      <c r="J56" s="5">
        <f ca="1">ROUNDUP(IF(Staff[[#This Row],[Tenure]]&gt;2,3%,2%)*Staff[[#This Row],[Salary]],0)</f>
        <v>1783</v>
      </c>
      <c r="K56" s="31">
        <f>_xlfn.XLOOKUP(Staff[[#This Row],[Rating]],'SALARY VS RATING'!$G$5:$G$9,'SALARY VS RATING'!$H$5:$H$9)</f>
        <v>3</v>
      </c>
      <c r="V56" t="s">
        <v>146</v>
      </c>
      <c r="W56" t="s">
        <v>15</v>
      </c>
      <c r="X56" t="s">
        <v>26</v>
      </c>
      <c r="Y56">
        <v>27</v>
      </c>
      <c r="Z56" s="3">
        <v>44061</v>
      </c>
      <c r="AA56" s="2">
        <v>119110</v>
      </c>
      <c r="AB56" t="s">
        <v>13</v>
      </c>
      <c r="AC56" t="s">
        <v>205</v>
      </c>
      <c r="AD56">
        <v>3.7123287671232879</v>
      </c>
    </row>
    <row r="57" spans="1:30" ht="13.5" x14ac:dyDescent="0.25">
      <c r="A57" t="s">
        <v>47</v>
      </c>
      <c r="B57" t="s">
        <v>15</v>
      </c>
      <c r="C57" t="s">
        <v>17</v>
      </c>
      <c r="D57">
        <v>34</v>
      </c>
      <c r="E57" s="1">
        <v>44612</v>
      </c>
      <c r="F57" s="2">
        <v>60130</v>
      </c>
      <c r="G57" t="s">
        <v>13</v>
      </c>
      <c r="H57" t="s">
        <v>203</v>
      </c>
      <c r="I57" s="4">
        <f ca="1">(TODAY()-Staff[[#This Row],[Date Joined]])/365</f>
        <v>2.2027397260273971</v>
      </c>
      <c r="J57" s="5">
        <f ca="1">ROUNDUP(IF(Staff[[#This Row],[Tenure]]&gt;2,3%,2%)*Staff[[#This Row],[Salary]],0)</f>
        <v>1804</v>
      </c>
      <c r="K57" s="31">
        <f>_xlfn.XLOOKUP(Staff[[#This Row],[Rating]],'SALARY VS RATING'!$G$5:$G$9,'SALARY VS RATING'!$H$5:$H$9)</f>
        <v>3</v>
      </c>
      <c r="V57" t="s">
        <v>147</v>
      </c>
      <c r="W57" t="s">
        <v>8</v>
      </c>
      <c r="X57" t="s">
        <v>9</v>
      </c>
      <c r="Y57">
        <v>22</v>
      </c>
      <c r="Z57" s="3">
        <v>44384</v>
      </c>
      <c r="AA57" s="2">
        <v>112780</v>
      </c>
      <c r="AB57" t="s">
        <v>10</v>
      </c>
      <c r="AC57" t="s">
        <v>205</v>
      </c>
      <c r="AD57">
        <v>2.8273972602739725</v>
      </c>
    </row>
    <row r="58" spans="1:30" ht="13.5" x14ac:dyDescent="0.25">
      <c r="A58" t="s">
        <v>183</v>
      </c>
      <c r="B58" t="s">
        <v>15</v>
      </c>
      <c r="C58" t="s">
        <v>17</v>
      </c>
      <c r="D58">
        <v>34</v>
      </c>
      <c r="E58" s="1">
        <v>44550</v>
      </c>
      <c r="F58" s="2">
        <v>60130</v>
      </c>
      <c r="G58" t="s">
        <v>13</v>
      </c>
      <c r="H58" t="s">
        <v>205</v>
      </c>
      <c r="I58" s="4">
        <f ca="1">(TODAY()-Staff[[#This Row],[Date Joined]])/365</f>
        <v>2.3726027397260272</v>
      </c>
      <c r="J58" s="5">
        <f ca="1">ROUNDUP(IF(Staff[[#This Row],[Tenure]]&gt;2,3%,2%)*Staff[[#This Row],[Salary]],0)</f>
        <v>1804</v>
      </c>
      <c r="K58" s="31">
        <f>_xlfn.XLOOKUP(Staff[[#This Row],[Rating]],'SALARY VS RATING'!$G$5:$G$9,'SALARY VS RATING'!$H$5:$H$9)</f>
        <v>3</v>
      </c>
      <c r="V58" t="s">
        <v>148</v>
      </c>
      <c r="W58" t="s">
        <v>15</v>
      </c>
      <c r="X58" t="s">
        <v>12</v>
      </c>
      <c r="Y58">
        <v>36</v>
      </c>
      <c r="Z58" s="3">
        <v>44023</v>
      </c>
      <c r="AA58" s="2">
        <v>114890</v>
      </c>
      <c r="AB58" t="s">
        <v>13</v>
      </c>
      <c r="AC58" t="s">
        <v>205</v>
      </c>
      <c r="AD58">
        <v>3.8164383561643835</v>
      </c>
    </row>
    <row r="59" spans="1:30" ht="13.5" x14ac:dyDescent="0.25">
      <c r="A59" t="s">
        <v>88</v>
      </c>
      <c r="B59" t="s">
        <v>8</v>
      </c>
      <c r="C59" t="s">
        <v>12</v>
      </c>
      <c r="D59">
        <v>30</v>
      </c>
      <c r="E59" s="1">
        <v>44666</v>
      </c>
      <c r="F59" s="2">
        <v>60570</v>
      </c>
      <c r="G59" t="s">
        <v>13</v>
      </c>
      <c r="H59" t="s">
        <v>203</v>
      </c>
      <c r="I59" s="4">
        <f ca="1">(TODAY()-Staff[[#This Row],[Date Joined]])/365</f>
        <v>2.0547945205479454</v>
      </c>
      <c r="J59" s="5">
        <f ca="1">ROUNDUP(IF(Staff[[#This Row],[Tenure]]&gt;2,3%,2%)*Staff[[#This Row],[Salary]],0)</f>
        <v>1818</v>
      </c>
      <c r="K59" s="31">
        <f>_xlfn.XLOOKUP(Staff[[#This Row],[Rating]],'SALARY VS RATING'!$G$5:$G$9,'SALARY VS RATING'!$H$5:$H$9)</f>
        <v>3</v>
      </c>
      <c r="V59" t="s">
        <v>156</v>
      </c>
      <c r="W59" t="s">
        <v>15</v>
      </c>
      <c r="X59" t="s">
        <v>12</v>
      </c>
      <c r="Y59">
        <v>28</v>
      </c>
      <c r="Z59" s="3">
        <v>44425</v>
      </c>
      <c r="AA59" s="2">
        <v>104770</v>
      </c>
      <c r="AB59" t="s">
        <v>13</v>
      </c>
      <c r="AC59" t="s">
        <v>205</v>
      </c>
      <c r="AD59">
        <v>2.7150684931506848</v>
      </c>
    </row>
    <row r="60" spans="1:30" ht="13.5" x14ac:dyDescent="0.25">
      <c r="A60" t="s">
        <v>162</v>
      </c>
      <c r="B60" t="s">
        <v>8</v>
      </c>
      <c r="C60" t="s">
        <v>12</v>
      </c>
      <c r="D60">
        <v>30</v>
      </c>
      <c r="E60" s="1">
        <v>44607</v>
      </c>
      <c r="F60" s="2">
        <v>60570</v>
      </c>
      <c r="G60" t="s">
        <v>13</v>
      </c>
      <c r="H60" t="s">
        <v>205</v>
      </c>
      <c r="I60" s="4">
        <f ca="1">(TODAY()-Staff[[#This Row],[Date Joined]])/365</f>
        <v>2.2164383561643834</v>
      </c>
      <c r="J60" s="5">
        <f ca="1">ROUNDUP(IF(Staff[[#This Row],[Tenure]]&gt;2,3%,2%)*Staff[[#This Row],[Salary]],0)</f>
        <v>1818</v>
      </c>
      <c r="K60" s="31">
        <f>_xlfn.XLOOKUP(Staff[[#This Row],[Rating]],'SALARY VS RATING'!$G$5:$G$9,'SALARY VS RATING'!$H$5:$H$9)</f>
        <v>3</v>
      </c>
      <c r="V60" t="s">
        <v>158</v>
      </c>
      <c r="W60" t="s">
        <v>8</v>
      </c>
      <c r="X60" t="s">
        <v>17</v>
      </c>
      <c r="Y60">
        <v>27</v>
      </c>
      <c r="Z60" s="3">
        <v>44174</v>
      </c>
      <c r="AA60" s="2">
        <v>91650</v>
      </c>
      <c r="AB60" t="s">
        <v>10</v>
      </c>
      <c r="AC60" t="s">
        <v>205</v>
      </c>
      <c r="AD60">
        <v>3.4027397260273973</v>
      </c>
    </row>
    <row r="61" spans="1:30" ht="13.5" x14ac:dyDescent="0.25">
      <c r="A61" t="s">
        <v>22</v>
      </c>
      <c r="B61" t="s">
        <v>15</v>
      </c>
      <c r="C61" t="s">
        <v>23</v>
      </c>
      <c r="D61">
        <v>24</v>
      </c>
      <c r="E61" s="1">
        <v>44148</v>
      </c>
      <c r="F61" s="2">
        <v>62780</v>
      </c>
      <c r="G61" t="s">
        <v>13</v>
      </c>
      <c r="H61" t="s">
        <v>203</v>
      </c>
      <c r="I61" s="4">
        <f ca="1">(TODAY()-Staff[[#This Row],[Date Joined]])/365</f>
        <v>3.473972602739726</v>
      </c>
      <c r="J61" s="5">
        <f ca="1">ROUNDUP(IF(Staff[[#This Row],[Tenure]]&gt;2,3%,2%)*Staff[[#This Row],[Salary]],0)</f>
        <v>1884</v>
      </c>
      <c r="K61" s="31">
        <f>_xlfn.XLOOKUP(Staff[[#This Row],[Rating]],'SALARY VS RATING'!$G$5:$G$9,'SALARY VS RATING'!$H$5:$H$9)</f>
        <v>3</v>
      </c>
      <c r="V61" t="s">
        <v>161</v>
      </c>
      <c r="W61" t="s">
        <v>204</v>
      </c>
      <c r="X61" t="s">
        <v>23</v>
      </c>
      <c r="Y61">
        <v>27</v>
      </c>
      <c r="Z61" s="3">
        <v>44212</v>
      </c>
      <c r="AA61" s="2">
        <v>90700</v>
      </c>
      <c r="AB61" t="s">
        <v>10</v>
      </c>
      <c r="AC61" t="s">
        <v>205</v>
      </c>
      <c r="AD61">
        <v>3.2986301369863016</v>
      </c>
    </row>
    <row r="62" spans="1:30" ht="13.5" x14ac:dyDescent="0.25">
      <c r="A62" t="s">
        <v>191</v>
      </c>
      <c r="B62" t="s">
        <v>15</v>
      </c>
      <c r="C62" t="s">
        <v>23</v>
      </c>
      <c r="D62">
        <v>24</v>
      </c>
      <c r="E62" s="1">
        <v>44087</v>
      </c>
      <c r="F62" s="2">
        <v>62780</v>
      </c>
      <c r="G62" t="s">
        <v>13</v>
      </c>
      <c r="H62" t="s">
        <v>205</v>
      </c>
      <c r="I62" s="4">
        <f ca="1">(TODAY()-Staff[[#This Row],[Date Joined]])/365</f>
        <v>3.6410958904109587</v>
      </c>
      <c r="J62" s="5">
        <f ca="1">ROUNDUP(IF(Staff[[#This Row],[Tenure]]&gt;2,3%,2%)*Staff[[#This Row],[Salary]],0)</f>
        <v>1884</v>
      </c>
      <c r="K62" s="31">
        <f>_xlfn.XLOOKUP(Staff[[#This Row],[Rating]],'SALARY VS RATING'!$G$5:$G$9,'SALARY VS RATING'!$H$5:$H$9)</f>
        <v>3</v>
      </c>
      <c r="V62" t="s">
        <v>163</v>
      </c>
      <c r="W62" t="s">
        <v>8</v>
      </c>
      <c r="X62" t="s">
        <v>12</v>
      </c>
      <c r="Y62">
        <v>33</v>
      </c>
      <c r="Z62" s="3">
        <v>44103</v>
      </c>
      <c r="AA62" s="2">
        <v>115920</v>
      </c>
      <c r="AB62" t="s">
        <v>13</v>
      </c>
      <c r="AC62" t="s">
        <v>205</v>
      </c>
      <c r="AD62">
        <v>3.5972602739726027</v>
      </c>
    </row>
    <row r="63" spans="1:30" ht="13.5" x14ac:dyDescent="0.25">
      <c r="A63" t="s">
        <v>41</v>
      </c>
      <c r="B63" t="s">
        <v>204</v>
      </c>
      <c r="C63" t="s">
        <v>17</v>
      </c>
      <c r="D63">
        <v>30</v>
      </c>
      <c r="E63" s="1">
        <v>44597</v>
      </c>
      <c r="F63" s="2">
        <v>64000</v>
      </c>
      <c r="G63" t="s">
        <v>13</v>
      </c>
      <c r="H63" t="s">
        <v>203</v>
      </c>
      <c r="I63" s="4">
        <f ca="1">(TODAY()-Staff[[#This Row],[Date Joined]])/365</f>
        <v>2.2438356164383562</v>
      </c>
      <c r="J63" s="5">
        <f ca="1">ROUNDUP(IF(Staff[[#This Row],[Tenure]]&gt;2,3%,2%)*Staff[[#This Row],[Salary]],0)</f>
        <v>1920</v>
      </c>
      <c r="K63" s="31">
        <f>_xlfn.XLOOKUP(Staff[[#This Row],[Rating]],'SALARY VS RATING'!$G$5:$G$9,'SALARY VS RATING'!$H$5:$H$9)</f>
        <v>3</v>
      </c>
      <c r="V63" t="s">
        <v>166</v>
      </c>
      <c r="W63" t="s">
        <v>15</v>
      </c>
      <c r="X63" t="s">
        <v>17</v>
      </c>
      <c r="Y63">
        <v>34</v>
      </c>
      <c r="Z63" s="3">
        <v>44383</v>
      </c>
      <c r="AA63" s="2">
        <v>92450</v>
      </c>
      <c r="AB63" t="s">
        <v>13</v>
      </c>
      <c r="AC63" t="s">
        <v>205</v>
      </c>
      <c r="AD63">
        <v>2.8301369863013699</v>
      </c>
    </row>
    <row r="64" spans="1:30" ht="13.5" x14ac:dyDescent="0.25">
      <c r="A64" t="s">
        <v>165</v>
      </c>
      <c r="B64" t="s">
        <v>204</v>
      </c>
      <c r="C64" t="s">
        <v>17</v>
      </c>
      <c r="D64">
        <v>30</v>
      </c>
      <c r="E64" s="1">
        <v>44535</v>
      </c>
      <c r="F64" s="2">
        <v>64000</v>
      </c>
      <c r="G64" t="s">
        <v>13</v>
      </c>
      <c r="H64" t="s">
        <v>205</v>
      </c>
      <c r="I64" s="4">
        <f ca="1">(TODAY()-Staff[[#This Row],[Date Joined]])/365</f>
        <v>2.4136986301369863</v>
      </c>
      <c r="J64" s="5">
        <f ca="1">ROUNDUP(IF(Staff[[#This Row],[Tenure]]&gt;2,3%,2%)*Staff[[#This Row],[Salary]],0)</f>
        <v>1920</v>
      </c>
      <c r="K64" s="31">
        <f>_xlfn.XLOOKUP(Staff[[#This Row],[Rating]],'SALARY VS RATING'!$G$5:$G$9,'SALARY VS RATING'!$H$5:$H$9)</f>
        <v>3</v>
      </c>
      <c r="V64" t="s">
        <v>173</v>
      </c>
      <c r="W64" t="s">
        <v>15</v>
      </c>
      <c r="X64" t="s">
        <v>9</v>
      </c>
      <c r="Y64">
        <v>38</v>
      </c>
      <c r="Z64" s="3">
        <v>44316</v>
      </c>
      <c r="AA64" s="2">
        <v>109160</v>
      </c>
      <c r="AB64" t="s">
        <v>43</v>
      </c>
      <c r="AC64" t="s">
        <v>205</v>
      </c>
      <c r="AD64">
        <v>3.0136986301369864</v>
      </c>
    </row>
    <row r="65" spans="1:30" ht="13.5" x14ac:dyDescent="0.25">
      <c r="A65" t="s">
        <v>111</v>
      </c>
      <c r="B65" t="s">
        <v>15</v>
      </c>
      <c r="C65" t="s">
        <v>23</v>
      </c>
      <c r="D65">
        <v>32</v>
      </c>
      <c r="E65" s="1">
        <v>44293</v>
      </c>
      <c r="F65" s="2">
        <v>65000</v>
      </c>
      <c r="G65" t="s">
        <v>10</v>
      </c>
      <c r="H65" t="s">
        <v>205</v>
      </c>
      <c r="I65" s="4">
        <f ca="1">(TODAY()-Staff[[#This Row],[Date Joined]])/365</f>
        <v>3.0767123287671234</v>
      </c>
      <c r="J65" s="5">
        <f ca="1">ROUNDUP(IF(Staff[[#This Row],[Tenure]]&gt;2,3%,2%)*Staff[[#This Row],[Salary]],0)</f>
        <v>1950</v>
      </c>
      <c r="K65" s="31">
        <f>_xlfn.XLOOKUP(Staff[[#This Row],[Rating]],'SALARY VS RATING'!$G$5:$G$9,'SALARY VS RATING'!$H$5:$H$9)</f>
        <v>4</v>
      </c>
      <c r="V65" t="s">
        <v>174</v>
      </c>
      <c r="W65" t="s">
        <v>8</v>
      </c>
      <c r="X65" t="s">
        <v>12</v>
      </c>
      <c r="Y65">
        <v>40</v>
      </c>
      <c r="Z65" s="3">
        <v>44204</v>
      </c>
      <c r="AA65" s="2">
        <v>99750</v>
      </c>
      <c r="AB65" t="s">
        <v>13</v>
      </c>
      <c r="AC65" t="s">
        <v>205</v>
      </c>
      <c r="AD65">
        <v>3.3205479452054796</v>
      </c>
    </row>
    <row r="66" spans="1:30" ht="13.5" x14ac:dyDescent="0.25">
      <c r="A66" t="s">
        <v>103</v>
      </c>
      <c r="B66" t="s">
        <v>15</v>
      </c>
      <c r="C66" t="s">
        <v>17</v>
      </c>
      <c r="D66">
        <v>33</v>
      </c>
      <c r="E66" s="1">
        <v>44067</v>
      </c>
      <c r="F66" s="2">
        <v>65360</v>
      </c>
      <c r="G66" t="s">
        <v>13</v>
      </c>
      <c r="H66" t="s">
        <v>203</v>
      </c>
      <c r="I66" s="4">
        <f ca="1">(TODAY()-Staff[[#This Row],[Date Joined]])/365</f>
        <v>3.6958904109589041</v>
      </c>
      <c r="J66" s="5">
        <f ca="1">ROUNDUP(IF(Staff[[#This Row],[Tenure]]&gt;2,3%,2%)*Staff[[#This Row],[Salary]],0)</f>
        <v>1961</v>
      </c>
      <c r="K66" s="31">
        <f>_xlfn.XLOOKUP(Staff[[#This Row],[Rating]],'SALARY VS RATING'!$G$5:$G$9,'SALARY VS RATING'!$H$5:$H$9)</f>
        <v>3</v>
      </c>
      <c r="V66" t="s">
        <v>177</v>
      </c>
      <c r="W66" t="s">
        <v>8</v>
      </c>
      <c r="X66" t="s">
        <v>12</v>
      </c>
      <c r="Y66">
        <v>27</v>
      </c>
      <c r="Z66" s="3">
        <v>44547</v>
      </c>
      <c r="AA66" s="2">
        <v>113280</v>
      </c>
      <c r="AB66" t="s">
        <v>49</v>
      </c>
      <c r="AC66" t="s">
        <v>205</v>
      </c>
      <c r="AD66">
        <v>2.3808219178082193</v>
      </c>
    </row>
    <row r="67" spans="1:30" ht="13.5" x14ac:dyDescent="0.25">
      <c r="A67" t="s">
        <v>164</v>
      </c>
      <c r="B67" t="s">
        <v>15</v>
      </c>
      <c r="C67" t="s">
        <v>17</v>
      </c>
      <c r="D67">
        <v>33</v>
      </c>
      <c r="E67" s="1">
        <v>44006</v>
      </c>
      <c r="F67" s="2">
        <v>65360</v>
      </c>
      <c r="G67" t="s">
        <v>13</v>
      </c>
      <c r="H67" t="s">
        <v>205</v>
      </c>
      <c r="I67" s="4">
        <f ca="1">(TODAY()-Staff[[#This Row],[Date Joined]])/365</f>
        <v>3.8630136986301369</v>
      </c>
      <c r="J67" s="5">
        <f ca="1">ROUNDUP(IF(Staff[[#This Row],[Tenure]]&gt;2,3%,2%)*Staff[[#This Row],[Salary]],0)</f>
        <v>1961</v>
      </c>
      <c r="K67" s="31">
        <f>_xlfn.XLOOKUP(Staff[[#This Row],[Rating]],'SALARY VS RATING'!$G$5:$G$9,'SALARY VS RATING'!$H$5:$H$9)</f>
        <v>3</v>
      </c>
      <c r="V67" t="s">
        <v>184</v>
      </c>
      <c r="W67" t="s">
        <v>8</v>
      </c>
      <c r="X67" t="s">
        <v>12</v>
      </c>
      <c r="Y67">
        <v>23</v>
      </c>
      <c r="Z67" s="3">
        <v>44378</v>
      </c>
      <c r="AA67" s="2">
        <v>106460</v>
      </c>
      <c r="AB67" t="s">
        <v>13</v>
      </c>
      <c r="AC67" t="s">
        <v>205</v>
      </c>
      <c r="AD67">
        <v>2.8438356164383563</v>
      </c>
    </row>
    <row r="68" spans="1:30" ht="13.5" x14ac:dyDescent="0.25">
      <c r="A68" t="s">
        <v>28</v>
      </c>
      <c r="B68" t="s">
        <v>8</v>
      </c>
      <c r="C68" t="s">
        <v>9</v>
      </c>
      <c r="D68">
        <v>25</v>
      </c>
      <c r="E68" s="1">
        <v>44383</v>
      </c>
      <c r="F68" s="2">
        <v>65700</v>
      </c>
      <c r="G68" t="s">
        <v>13</v>
      </c>
      <c r="H68" t="s">
        <v>203</v>
      </c>
      <c r="I68" s="4">
        <f ca="1">(TODAY()-Staff[[#This Row],[Date Joined]])/365</f>
        <v>2.8301369863013699</v>
      </c>
      <c r="J68" s="5">
        <f ca="1">ROUNDUP(IF(Staff[[#This Row],[Tenure]]&gt;2,3%,2%)*Staff[[#This Row],[Salary]],0)</f>
        <v>1971</v>
      </c>
      <c r="K68" s="31">
        <f>_xlfn.XLOOKUP(Staff[[#This Row],[Rating]],'SALARY VS RATING'!$G$5:$G$9,'SALARY VS RATING'!$H$5:$H$9)</f>
        <v>3</v>
      </c>
      <c r="V68" t="s">
        <v>185</v>
      </c>
      <c r="W68" t="s">
        <v>15</v>
      </c>
      <c r="X68" t="s">
        <v>26</v>
      </c>
      <c r="Y68">
        <v>37</v>
      </c>
      <c r="Z68" s="3">
        <v>44389</v>
      </c>
      <c r="AA68" s="2">
        <v>118100</v>
      </c>
      <c r="AB68" t="s">
        <v>13</v>
      </c>
      <c r="AC68" t="s">
        <v>205</v>
      </c>
      <c r="AD68">
        <v>2.8136986301369862</v>
      </c>
    </row>
    <row r="69" spans="1:30" ht="13.5" x14ac:dyDescent="0.25">
      <c r="A69" t="s">
        <v>193</v>
      </c>
      <c r="B69" t="s">
        <v>8</v>
      </c>
      <c r="C69" t="s">
        <v>9</v>
      </c>
      <c r="D69">
        <v>25</v>
      </c>
      <c r="E69" s="1">
        <v>44322</v>
      </c>
      <c r="F69" s="2">
        <v>65700</v>
      </c>
      <c r="G69" t="s">
        <v>13</v>
      </c>
      <c r="H69" t="s">
        <v>205</v>
      </c>
      <c r="I69" s="4">
        <f ca="1">(TODAY()-Staff[[#This Row],[Date Joined]])/365</f>
        <v>2.9972602739726026</v>
      </c>
      <c r="J69" s="5">
        <f ca="1">ROUNDUP(IF(Staff[[#This Row],[Tenure]]&gt;2,3%,2%)*Staff[[#This Row],[Salary]],0)</f>
        <v>1971</v>
      </c>
      <c r="K69" s="31">
        <f>_xlfn.XLOOKUP(Staff[[#This Row],[Rating]],'SALARY VS RATING'!$G$5:$G$9,'SALARY VS RATING'!$H$5:$H$9)</f>
        <v>3</v>
      </c>
      <c r="V69" t="s">
        <v>187</v>
      </c>
      <c r="W69" t="s">
        <v>15</v>
      </c>
      <c r="X69" t="s">
        <v>12</v>
      </c>
      <c r="Y69">
        <v>30</v>
      </c>
      <c r="Z69" s="3">
        <v>44789</v>
      </c>
      <c r="AA69" s="2">
        <v>114180</v>
      </c>
      <c r="AB69" t="s">
        <v>13</v>
      </c>
      <c r="AC69" t="s">
        <v>205</v>
      </c>
      <c r="AD69">
        <v>1.7178082191780821</v>
      </c>
    </row>
    <row r="70" spans="1:30" ht="13.5" x14ac:dyDescent="0.25">
      <c r="A70" t="s">
        <v>86</v>
      </c>
      <c r="B70" t="s">
        <v>15</v>
      </c>
      <c r="C70" t="s">
        <v>17</v>
      </c>
      <c r="D70">
        <v>21</v>
      </c>
      <c r="E70" s="1">
        <v>44317</v>
      </c>
      <c r="F70" s="2">
        <v>65920</v>
      </c>
      <c r="G70" t="s">
        <v>13</v>
      </c>
      <c r="H70" t="s">
        <v>203</v>
      </c>
      <c r="I70" s="4">
        <f ca="1">(TODAY()-Staff[[#This Row],[Date Joined]])/365</f>
        <v>3.010958904109589</v>
      </c>
      <c r="J70" s="5">
        <f ca="1">ROUNDUP(IF(Staff[[#This Row],[Tenure]]&gt;2,3%,2%)*Staff[[#This Row],[Salary]],0)</f>
        <v>1978</v>
      </c>
      <c r="K70" s="31">
        <f>_xlfn.XLOOKUP(Staff[[#This Row],[Rating]],'SALARY VS RATING'!$G$5:$G$9,'SALARY VS RATING'!$H$5:$H$9)</f>
        <v>3</v>
      </c>
      <c r="V70" t="s">
        <v>188</v>
      </c>
      <c r="W70" t="s">
        <v>15</v>
      </c>
      <c r="X70" t="s">
        <v>12</v>
      </c>
      <c r="Y70">
        <v>28</v>
      </c>
      <c r="Z70" s="3">
        <v>44590</v>
      </c>
      <c r="AA70" s="2">
        <v>104120</v>
      </c>
      <c r="AB70" t="s">
        <v>13</v>
      </c>
      <c r="AC70" t="s">
        <v>205</v>
      </c>
      <c r="AD70">
        <v>2.2630136986301368</v>
      </c>
    </row>
    <row r="71" spans="1:30" ht="13.5" x14ac:dyDescent="0.25">
      <c r="A71" t="s">
        <v>141</v>
      </c>
      <c r="B71" t="s">
        <v>15</v>
      </c>
      <c r="C71" t="s">
        <v>17</v>
      </c>
      <c r="D71">
        <v>21</v>
      </c>
      <c r="E71" s="1">
        <v>44256</v>
      </c>
      <c r="F71" s="2">
        <v>65920</v>
      </c>
      <c r="G71" t="s">
        <v>13</v>
      </c>
      <c r="H71" t="s">
        <v>205</v>
      </c>
      <c r="I71" s="4">
        <f ca="1">(TODAY()-Staff[[#This Row],[Date Joined]])/365</f>
        <v>3.1780821917808217</v>
      </c>
      <c r="J71" s="5">
        <f ca="1">ROUNDUP(IF(Staff[[#This Row],[Tenure]]&gt;2,3%,2%)*Staff[[#This Row],[Salary]],0)</f>
        <v>1978</v>
      </c>
      <c r="K71" s="31">
        <f>_xlfn.XLOOKUP(Staff[[#This Row],[Rating]],'SALARY VS RATING'!$G$5:$G$9,'SALARY VS RATING'!$H$5:$H$9)</f>
        <v>3</v>
      </c>
      <c r="V71" t="s">
        <v>192</v>
      </c>
      <c r="W71" t="s">
        <v>8</v>
      </c>
      <c r="X71" t="s">
        <v>23</v>
      </c>
      <c r="Y71">
        <v>20</v>
      </c>
      <c r="Z71" s="3">
        <v>44397</v>
      </c>
      <c r="AA71" s="2">
        <v>107700</v>
      </c>
      <c r="AB71" t="s">
        <v>13</v>
      </c>
      <c r="AC71" t="s">
        <v>205</v>
      </c>
      <c r="AD71">
        <v>2.7917808219178082</v>
      </c>
    </row>
    <row r="72" spans="1:30" ht="13.5" x14ac:dyDescent="0.25">
      <c r="A72" t="s">
        <v>38</v>
      </c>
      <c r="B72" t="s">
        <v>15</v>
      </c>
      <c r="C72" t="s">
        <v>17</v>
      </c>
      <c r="D72">
        <v>30</v>
      </c>
      <c r="E72" s="1">
        <v>44389</v>
      </c>
      <c r="F72" s="2">
        <v>67910</v>
      </c>
      <c r="G72" t="s">
        <v>18</v>
      </c>
      <c r="H72" t="s">
        <v>203</v>
      </c>
      <c r="I72" s="4">
        <f ca="1">(TODAY()-Staff[[#This Row],[Date Joined]])/365</f>
        <v>2.8136986301369862</v>
      </c>
      <c r="J72" s="5">
        <f ca="1">ROUNDUP(IF(Staff[[#This Row],[Tenure]]&gt;2,3%,2%)*Staff[[#This Row],[Salary]],0)</f>
        <v>2038</v>
      </c>
      <c r="K72" s="31">
        <f>_xlfn.XLOOKUP(Staff[[#This Row],[Rating]],'SALARY VS RATING'!$G$5:$G$9,'SALARY VS RATING'!$H$5:$H$9)</f>
        <v>2</v>
      </c>
      <c r="V72" t="s">
        <v>201</v>
      </c>
      <c r="W72" t="s">
        <v>15</v>
      </c>
      <c r="X72" t="s">
        <v>23</v>
      </c>
      <c r="Y72">
        <v>33</v>
      </c>
      <c r="Z72" s="3">
        <v>44129</v>
      </c>
      <c r="AA72" s="2">
        <v>96140</v>
      </c>
      <c r="AB72" t="s">
        <v>13</v>
      </c>
      <c r="AC72" t="s">
        <v>205</v>
      </c>
      <c r="AD72">
        <v>3.526027397260274</v>
      </c>
    </row>
    <row r="73" spans="1:30" ht="13.5" x14ac:dyDescent="0.25">
      <c r="A73" t="s">
        <v>181</v>
      </c>
      <c r="B73" t="s">
        <v>15</v>
      </c>
      <c r="C73" t="s">
        <v>17</v>
      </c>
      <c r="D73">
        <v>30</v>
      </c>
      <c r="E73" s="1">
        <v>44328</v>
      </c>
      <c r="F73" s="2">
        <v>67910</v>
      </c>
      <c r="G73" t="s">
        <v>18</v>
      </c>
      <c r="H73" t="s">
        <v>205</v>
      </c>
      <c r="I73" s="4">
        <f ca="1">(TODAY()-Staff[[#This Row],[Date Joined]])/365</f>
        <v>2.9808219178082194</v>
      </c>
      <c r="J73" s="5">
        <f ca="1">ROUNDUP(IF(Staff[[#This Row],[Tenure]]&gt;2,3%,2%)*Staff[[#This Row],[Salary]],0)</f>
        <v>2038</v>
      </c>
      <c r="K73" s="31">
        <f>_xlfn.XLOOKUP(Staff[[#This Row],[Rating]],'SALARY VS RATING'!$G$5:$G$9,'SALARY VS RATING'!$H$5:$H$9)</f>
        <v>2</v>
      </c>
    </row>
    <row r="74" spans="1:30" ht="13.5" x14ac:dyDescent="0.25">
      <c r="A74" t="s">
        <v>107</v>
      </c>
      <c r="B74" t="s">
        <v>8</v>
      </c>
      <c r="C74" t="s">
        <v>12</v>
      </c>
      <c r="D74">
        <v>30</v>
      </c>
      <c r="E74" s="1">
        <v>44701</v>
      </c>
      <c r="F74" s="2">
        <v>67950</v>
      </c>
      <c r="G74" t="s">
        <v>13</v>
      </c>
      <c r="H74" t="s">
        <v>203</v>
      </c>
      <c r="I74" s="4">
        <f ca="1">(TODAY()-Staff[[#This Row],[Date Joined]])/365</f>
        <v>1.9589041095890412</v>
      </c>
      <c r="J74" s="5">
        <f ca="1">ROUNDUP(IF(Staff[[#This Row],[Tenure]]&gt;2,3%,2%)*Staff[[#This Row],[Salary]],0)</f>
        <v>1359</v>
      </c>
      <c r="K74" s="31">
        <f>_xlfn.XLOOKUP(Staff[[#This Row],[Rating]],'SALARY VS RATING'!$G$5:$G$9,'SALARY VS RATING'!$H$5:$H$9)</f>
        <v>3</v>
      </c>
    </row>
    <row r="75" spans="1:30" ht="13.5" x14ac:dyDescent="0.25">
      <c r="A75" t="s">
        <v>189</v>
      </c>
      <c r="B75" t="s">
        <v>8</v>
      </c>
      <c r="C75" t="s">
        <v>12</v>
      </c>
      <c r="D75">
        <v>30</v>
      </c>
      <c r="E75" s="1">
        <v>44640</v>
      </c>
      <c r="F75" s="2">
        <v>67950</v>
      </c>
      <c r="G75" t="s">
        <v>13</v>
      </c>
      <c r="H75" t="s">
        <v>205</v>
      </c>
      <c r="I75" s="4">
        <f ca="1">(TODAY()-Staff[[#This Row],[Date Joined]])/365</f>
        <v>2.1260273972602741</v>
      </c>
      <c r="J75" s="5">
        <f ca="1">ROUNDUP(IF(Staff[[#This Row],[Tenure]]&gt;2,3%,2%)*Staff[[#This Row],[Salary]],0)</f>
        <v>2039</v>
      </c>
      <c r="K75" s="31">
        <f>_xlfn.XLOOKUP(Staff[[#This Row],[Rating]],'SALARY VS RATING'!$G$5:$G$9,'SALARY VS RATING'!$H$5:$H$9)</f>
        <v>3</v>
      </c>
    </row>
    <row r="76" spans="1:30" ht="13.5" x14ac:dyDescent="0.25">
      <c r="A76" t="s">
        <v>65</v>
      </c>
      <c r="B76" t="s">
        <v>15</v>
      </c>
      <c r="C76" t="s">
        <v>9</v>
      </c>
      <c r="D76">
        <v>20</v>
      </c>
      <c r="E76" s="1">
        <v>44537</v>
      </c>
      <c r="F76" s="2">
        <v>68900</v>
      </c>
      <c r="G76" t="s">
        <v>18</v>
      </c>
      <c r="H76" t="s">
        <v>203</v>
      </c>
      <c r="I76" s="4">
        <f ca="1">(TODAY()-Staff[[#This Row],[Date Joined]])/365</f>
        <v>2.408219178082192</v>
      </c>
      <c r="J76" s="5">
        <f ca="1">ROUNDUP(IF(Staff[[#This Row],[Tenure]]&gt;2,3%,2%)*Staff[[#This Row],[Salary]],0)</f>
        <v>2067</v>
      </c>
      <c r="K76" s="31">
        <f>_xlfn.XLOOKUP(Staff[[#This Row],[Rating]],'SALARY VS RATING'!$G$5:$G$9,'SALARY VS RATING'!$H$5:$H$9)</f>
        <v>2</v>
      </c>
    </row>
    <row r="77" spans="1:30" ht="13.5" x14ac:dyDescent="0.25">
      <c r="A77" t="s">
        <v>170</v>
      </c>
      <c r="B77" t="s">
        <v>15</v>
      </c>
      <c r="C77" t="s">
        <v>9</v>
      </c>
      <c r="D77">
        <v>20</v>
      </c>
      <c r="E77" s="1">
        <v>44476</v>
      </c>
      <c r="F77" s="2">
        <v>68900</v>
      </c>
      <c r="G77" t="s">
        <v>18</v>
      </c>
      <c r="H77" t="s">
        <v>205</v>
      </c>
      <c r="I77" s="4">
        <f ca="1">(TODAY()-Staff[[#This Row],[Date Joined]])/365</f>
        <v>2.5753424657534247</v>
      </c>
      <c r="J77" s="5">
        <f ca="1">ROUNDUP(IF(Staff[[#This Row],[Tenure]]&gt;2,3%,2%)*Staff[[#This Row],[Salary]],0)</f>
        <v>2067</v>
      </c>
      <c r="K77" s="31">
        <f>_xlfn.XLOOKUP(Staff[[#This Row],[Rating]],'SALARY VS RATING'!$G$5:$G$9,'SALARY VS RATING'!$H$5:$H$9)</f>
        <v>2</v>
      </c>
    </row>
    <row r="78" spans="1:30" ht="13.5" x14ac:dyDescent="0.25">
      <c r="A78" t="s">
        <v>29</v>
      </c>
      <c r="B78" t="s">
        <v>8</v>
      </c>
      <c r="C78" t="s">
        <v>23</v>
      </c>
      <c r="D78">
        <v>37</v>
      </c>
      <c r="E78" s="1">
        <v>44701</v>
      </c>
      <c r="F78" s="2">
        <v>69070</v>
      </c>
      <c r="G78" t="s">
        <v>13</v>
      </c>
      <c r="H78" t="s">
        <v>203</v>
      </c>
      <c r="I78" s="4">
        <f ca="1">(TODAY()-Staff[[#This Row],[Date Joined]])/365</f>
        <v>1.9589041095890412</v>
      </c>
      <c r="J78" s="5">
        <f ca="1">ROUNDUP(IF(Staff[[#This Row],[Tenure]]&gt;2,3%,2%)*Staff[[#This Row],[Salary]],0)</f>
        <v>1382</v>
      </c>
      <c r="K78" s="31">
        <f>_xlfn.XLOOKUP(Staff[[#This Row],[Rating]],'SALARY VS RATING'!$G$5:$G$9,'SALARY VS RATING'!$H$5:$H$9)</f>
        <v>3</v>
      </c>
    </row>
    <row r="79" spans="1:30" ht="13.5" x14ac:dyDescent="0.25">
      <c r="A79" t="s">
        <v>180</v>
      </c>
      <c r="B79" t="s">
        <v>8</v>
      </c>
      <c r="C79" t="s">
        <v>23</v>
      </c>
      <c r="D79">
        <v>37</v>
      </c>
      <c r="E79" s="1">
        <v>44640</v>
      </c>
      <c r="F79" s="2">
        <v>69070</v>
      </c>
      <c r="G79" t="s">
        <v>13</v>
      </c>
      <c r="H79" t="s">
        <v>205</v>
      </c>
      <c r="I79" s="4">
        <f ca="1">(TODAY()-Staff[[#This Row],[Date Joined]])/365</f>
        <v>2.1260273972602741</v>
      </c>
      <c r="J79" s="5">
        <f ca="1">ROUNDUP(IF(Staff[[#This Row],[Tenure]]&gt;2,3%,2%)*Staff[[#This Row],[Salary]],0)</f>
        <v>2073</v>
      </c>
      <c r="K79" s="31">
        <f>_xlfn.XLOOKUP(Staff[[#This Row],[Rating]],'SALARY VS RATING'!$G$5:$G$9,'SALARY VS RATING'!$H$5:$H$9)</f>
        <v>3</v>
      </c>
    </row>
    <row r="80" spans="1:30" ht="13.5" x14ac:dyDescent="0.25">
      <c r="A80" t="s">
        <v>76</v>
      </c>
      <c r="B80" t="s">
        <v>8</v>
      </c>
      <c r="C80" t="s">
        <v>23</v>
      </c>
      <c r="D80">
        <v>30</v>
      </c>
      <c r="E80" s="1">
        <v>44273</v>
      </c>
      <c r="F80" s="2">
        <v>69120</v>
      </c>
      <c r="G80" t="s">
        <v>13</v>
      </c>
      <c r="H80" t="s">
        <v>203</v>
      </c>
      <c r="I80" s="4">
        <f ca="1">(TODAY()-Staff[[#This Row],[Date Joined]])/365</f>
        <v>3.1315068493150684</v>
      </c>
      <c r="J80" s="5">
        <f ca="1">ROUNDUP(IF(Staff[[#This Row],[Tenure]]&gt;2,3%,2%)*Staff[[#This Row],[Salary]],0)</f>
        <v>2074</v>
      </c>
      <c r="K80" s="31">
        <f>_xlfn.XLOOKUP(Staff[[#This Row],[Rating]],'SALARY VS RATING'!$G$5:$G$9,'SALARY VS RATING'!$H$5:$H$9)</f>
        <v>3</v>
      </c>
    </row>
    <row r="81" spans="1:11" ht="13.5" x14ac:dyDescent="0.25">
      <c r="A81" t="s">
        <v>182</v>
      </c>
      <c r="B81" t="s">
        <v>8</v>
      </c>
      <c r="C81" t="s">
        <v>23</v>
      </c>
      <c r="D81">
        <v>30</v>
      </c>
      <c r="E81" s="1">
        <v>44214</v>
      </c>
      <c r="F81" s="2">
        <v>69120</v>
      </c>
      <c r="G81" t="s">
        <v>13</v>
      </c>
      <c r="H81" t="s">
        <v>205</v>
      </c>
      <c r="I81" s="4">
        <f ca="1">(TODAY()-Staff[[#This Row],[Date Joined]])/365</f>
        <v>3.2931506849315069</v>
      </c>
      <c r="J81" s="5">
        <f ca="1">ROUNDUP(IF(Staff[[#This Row],[Tenure]]&gt;2,3%,2%)*Staff[[#This Row],[Salary]],0)</f>
        <v>2074</v>
      </c>
      <c r="K81" s="31">
        <f>_xlfn.XLOOKUP(Staff[[#This Row],[Rating]],'SALARY VS RATING'!$G$5:$G$9,'SALARY VS RATING'!$H$5:$H$9)</f>
        <v>3</v>
      </c>
    </row>
    <row r="82" spans="1:11" ht="13.5" x14ac:dyDescent="0.25">
      <c r="A82" t="s">
        <v>72</v>
      </c>
      <c r="B82" t="s">
        <v>8</v>
      </c>
      <c r="C82" t="s">
        <v>23</v>
      </c>
      <c r="D82">
        <v>30</v>
      </c>
      <c r="E82" s="1">
        <v>44850</v>
      </c>
      <c r="F82" s="2">
        <v>69710</v>
      </c>
      <c r="G82" t="s">
        <v>13</v>
      </c>
      <c r="H82" t="s">
        <v>203</v>
      </c>
      <c r="I82" s="4">
        <f ca="1">(TODAY()-Staff[[#This Row],[Date Joined]])/365</f>
        <v>1.5506849315068494</v>
      </c>
      <c r="J82" s="5">
        <f ca="1">ROUNDUP(IF(Staff[[#This Row],[Tenure]]&gt;2,3%,2%)*Staff[[#This Row],[Salary]],0)</f>
        <v>1395</v>
      </c>
      <c r="K82" s="31">
        <f>_xlfn.XLOOKUP(Staff[[#This Row],[Rating]],'SALARY VS RATING'!$G$5:$G$9,'SALARY VS RATING'!$H$5:$H$9)</f>
        <v>3</v>
      </c>
    </row>
    <row r="83" spans="1:11" ht="13.5" x14ac:dyDescent="0.25">
      <c r="A83" t="s">
        <v>127</v>
      </c>
      <c r="B83" t="s">
        <v>8</v>
      </c>
      <c r="C83" t="s">
        <v>23</v>
      </c>
      <c r="D83">
        <v>30</v>
      </c>
      <c r="E83" s="1">
        <v>44789</v>
      </c>
      <c r="F83" s="2">
        <v>69710</v>
      </c>
      <c r="G83" t="s">
        <v>13</v>
      </c>
      <c r="H83" t="s">
        <v>205</v>
      </c>
      <c r="I83" s="4">
        <f ca="1">(TODAY()-Staff[[#This Row],[Date Joined]])/365</f>
        <v>1.7178082191780821</v>
      </c>
      <c r="J83" s="5">
        <f ca="1">ROUNDUP(IF(Staff[[#This Row],[Tenure]]&gt;2,3%,2%)*Staff[[#This Row],[Salary]],0)</f>
        <v>1395</v>
      </c>
      <c r="K83" s="31">
        <f>_xlfn.XLOOKUP(Staff[[#This Row],[Rating]],'SALARY VS RATING'!$G$5:$G$9,'SALARY VS RATING'!$H$5:$H$9)</f>
        <v>3</v>
      </c>
    </row>
    <row r="84" spans="1:11" ht="13.5" x14ac:dyDescent="0.25">
      <c r="A84" t="s">
        <v>108</v>
      </c>
      <c r="B84" t="s">
        <v>8</v>
      </c>
      <c r="C84" t="s">
        <v>17</v>
      </c>
      <c r="D84">
        <v>42</v>
      </c>
      <c r="E84" s="1">
        <v>44731</v>
      </c>
      <c r="F84" s="2">
        <v>70270</v>
      </c>
      <c r="G84" t="s">
        <v>18</v>
      </c>
      <c r="H84" t="s">
        <v>203</v>
      </c>
      <c r="I84" s="4">
        <f ca="1">(TODAY()-Staff[[#This Row],[Date Joined]])/365</f>
        <v>1.8767123287671232</v>
      </c>
      <c r="J84" s="5">
        <f ca="1">ROUNDUP(IF(Staff[[#This Row],[Tenure]]&gt;2,3%,2%)*Staff[[#This Row],[Salary]],0)</f>
        <v>1406</v>
      </c>
      <c r="K84" s="31">
        <f>_xlfn.XLOOKUP(Staff[[#This Row],[Rating]],'SALARY VS RATING'!$G$5:$G$9,'SALARY VS RATING'!$H$5:$H$9)</f>
        <v>2</v>
      </c>
    </row>
    <row r="85" spans="1:11" ht="13.5" x14ac:dyDescent="0.25">
      <c r="A85" t="s">
        <v>159</v>
      </c>
      <c r="B85" t="s">
        <v>8</v>
      </c>
      <c r="C85" t="s">
        <v>17</v>
      </c>
      <c r="D85">
        <v>42</v>
      </c>
      <c r="E85" s="1">
        <v>44670</v>
      </c>
      <c r="F85" s="2">
        <v>70270</v>
      </c>
      <c r="G85" t="s">
        <v>18</v>
      </c>
      <c r="H85" t="s">
        <v>205</v>
      </c>
      <c r="I85" s="4">
        <f ca="1">(TODAY()-Staff[[#This Row],[Date Joined]])/365</f>
        <v>2.043835616438356</v>
      </c>
      <c r="J85" s="5">
        <f ca="1">ROUNDUP(IF(Staff[[#This Row],[Tenure]]&gt;2,3%,2%)*Staff[[#This Row],[Salary]],0)</f>
        <v>2109</v>
      </c>
      <c r="K85" s="31">
        <f>_xlfn.XLOOKUP(Staff[[#This Row],[Rating]],'SALARY VS RATING'!$G$5:$G$9,'SALARY VS RATING'!$H$5:$H$9)</f>
        <v>2</v>
      </c>
    </row>
    <row r="86" spans="1:11" ht="13.5" x14ac:dyDescent="0.25">
      <c r="A86" t="s">
        <v>11</v>
      </c>
      <c r="B86" t="s">
        <v>8</v>
      </c>
      <c r="C86" t="s">
        <v>12</v>
      </c>
      <c r="D86">
        <v>46</v>
      </c>
      <c r="E86" s="1">
        <v>44758</v>
      </c>
      <c r="F86" s="2">
        <v>70610</v>
      </c>
      <c r="G86" t="s">
        <v>13</v>
      </c>
      <c r="H86" t="s">
        <v>203</v>
      </c>
      <c r="I86" s="4">
        <f ca="1">(TODAY()-Staff[[#This Row],[Date Joined]])/365</f>
        <v>1.8027397260273972</v>
      </c>
      <c r="J86" s="5">
        <f ca="1">ROUNDUP(IF(Staff[[#This Row],[Tenure]]&gt;2,3%,2%)*Staff[[#This Row],[Salary]],0)</f>
        <v>1413</v>
      </c>
      <c r="K86" s="31">
        <f>_xlfn.XLOOKUP(Staff[[#This Row],[Rating]],'SALARY VS RATING'!$G$5:$G$9,'SALARY VS RATING'!$H$5:$H$9)</f>
        <v>3</v>
      </c>
    </row>
    <row r="87" spans="1:11" ht="13.5" x14ac:dyDescent="0.25">
      <c r="A87" t="s">
        <v>198</v>
      </c>
      <c r="B87" t="s">
        <v>8</v>
      </c>
      <c r="C87" t="s">
        <v>12</v>
      </c>
      <c r="D87">
        <v>46</v>
      </c>
      <c r="E87" s="1">
        <v>44697</v>
      </c>
      <c r="F87" s="2">
        <v>70610</v>
      </c>
      <c r="G87" t="s">
        <v>13</v>
      </c>
      <c r="H87" t="s">
        <v>205</v>
      </c>
      <c r="I87" s="4">
        <f ca="1">(TODAY()-Staff[[#This Row],[Date Joined]])/365</f>
        <v>1.9698630136986301</v>
      </c>
      <c r="J87" s="5">
        <f ca="1">ROUNDUP(IF(Staff[[#This Row],[Tenure]]&gt;2,3%,2%)*Staff[[#This Row],[Salary]],0)</f>
        <v>1413</v>
      </c>
      <c r="K87" s="31">
        <f>_xlfn.XLOOKUP(Staff[[#This Row],[Rating]],'SALARY VS RATING'!$G$5:$G$9,'SALARY VS RATING'!$H$5:$H$9)</f>
        <v>3</v>
      </c>
    </row>
    <row r="88" spans="1:11" ht="13.5" x14ac:dyDescent="0.25">
      <c r="A88" t="s">
        <v>73</v>
      </c>
      <c r="B88" t="s">
        <v>8</v>
      </c>
      <c r="C88" t="s">
        <v>17</v>
      </c>
      <c r="D88">
        <v>36</v>
      </c>
      <c r="E88" s="1">
        <v>44333</v>
      </c>
      <c r="F88" s="2">
        <v>71380</v>
      </c>
      <c r="G88" t="s">
        <v>13</v>
      </c>
      <c r="H88" t="s">
        <v>203</v>
      </c>
      <c r="I88" s="4">
        <f ca="1">(TODAY()-Staff[[#This Row],[Date Joined]])/365</f>
        <v>2.967123287671233</v>
      </c>
      <c r="J88" s="5">
        <f ca="1">ROUNDUP(IF(Staff[[#This Row],[Tenure]]&gt;2,3%,2%)*Staff[[#This Row],[Salary]],0)</f>
        <v>2142</v>
      </c>
      <c r="K88" s="31">
        <f>_xlfn.XLOOKUP(Staff[[#This Row],[Rating]],'SALARY VS RATING'!$G$5:$G$9,'SALARY VS RATING'!$H$5:$H$9)</f>
        <v>3</v>
      </c>
    </row>
    <row r="89" spans="1:11" ht="13.5" x14ac:dyDescent="0.25">
      <c r="A89" t="s">
        <v>176</v>
      </c>
      <c r="B89" t="s">
        <v>8</v>
      </c>
      <c r="C89" t="s">
        <v>17</v>
      </c>
      <c r="D89">
        <v>36</v>
      </c>
      <c r="E89" s="1">
        <v>44272</v>
      </c>
      <c r="F89" s="2">
        <v>71380</v>
      </c>
      <c r="G89" t="s">
        <v>13</v>
      </c>
      <c r="H89" t="s">
        <v>205</v>
      </c>
      <c r="I89" s="4">
        <f ca="1">(TODAY()-Staff[[#This Row],[Date Joined]])/365</f>
        <v>3.1342465753424658</v>
      </c>
      <c r="J89" s="5">
        <f ca="1">ROUNDUP(IF(Staff[[#This Row],[Tenure]]&gt;2,3%,2%)*Staff[[#This Row],[Salary]],0)</f>
        <v>2142</v>
      </c>
      <c r="K89" s="31">
        <f>_xlfn.XLOOKUP(Staff[[#This Row],[Rating]],'SALARY VS RATING'!$G$5:$G$9,'SALARY VS RATING'!$H$5:$H$9)</f>
        <v>3</v>
      </c>
    </row>
    <row r="90" spans="1:11" ht="13.5" x14ac:dyDescent="0.25">
      <c r="A90" t="s">
        <v>106</v>
      </c>
      <c r="B90" t="s">
        <v>8</v>
      </c>
      <c r="C90" t="s">
        <v>9</v>
      </c>
      <c r="D90">
        <v>33</v>
      </c>
      <c r="E90" s="1">
        <v>44385</v>
      </c>
      <c r="F90" s="2">
        <v>74550</v>
      </c>
      <c r="G90" t="s">
        <v>13</v>
      </c>
      <c r="H90" t="s">
        <v>203</v>
      </c>
      <c r="I90" s="4">
        <f ca="1">(TODAY()-Staff[[#This Row],[Date Joined]])/365</f>
        <v>2.8246575342465752</v>
      </c>
      <c r="J90" s="5">
        <f ca="1">ROUNDUP(IF(Staff[[#This Row],[Tenure]]&gt;2,3%,2%)*Staff[[#This Row],[Salary]],0)</f>
        <v>2237</v>
      </c>
      <c r="K90" s="31">
        <f>_xlfn.XLOOKUP(Staff[[#This Row],[Rating]],'SALARY VS RATING'!$G$5:$G$9,'SALARY VS RATING'!$H$5:$H$9)</f>
        <v>3</v>
      </c>
    </row>
    <row r="91" spans="1:11" ht="13.5" x14ac:dyDescent="0.25">
      <c r="A91" t="s">
        <v>118</v>
      </c>
      <c r="B91" t="s">
        <v>8</v>
      </c>
      <c r="C91" t="s">
        <v>9</v>
      </c>
      <c r="D91">
        <v>33</v>
      </c>
      <c r="E91" s="1">
        <v>44324</v>
      </c>
      <c r="F91" s="2">
        <v>74550</v>
      </c>
      <c r="G91" t="s">
        <v>13</v>
      </c>
      <c r="H91" t="s">
        <v>205</v>
      </c>
      <c r="I91" s="4">
        <f ca="1">(TODAY()-Staff[[#This Row],[Date Joined]])/365</f>
        <v>2.9917808219178084</v>
      </c>
      <c r="J91" s="5">
        <f ca="1">ROUNDUP(IF(Staff[[#This Row],[Tenure]]&gt;2,3%,2%)*Staff[[#This Row],[Salary]],0)</f>
        <v>2237</v>
      </c>
      <c r="K91" s="31">
        <f>_xlfn.XLOOKUP(Staff[[#This Row],[Rating]],'SALARY VS RATING'!$G$5:$G$9,'SALARY VS RATING'!$H$5:$H$9)</f>
        <v>3</v>
      </c>
    </row>
    <row r="92" spans="1:11" ht="13.5" x14ac:dyDescent="0.25">
      <c r="A92" t="s">
        <v>42</v>
      </c>
      <c r="B92" t="s">
        <v>15</v>
      </c>
      <c r="C92" t="s">
        <v>12</v>
      </c>
      <c r="D92">
        <v>42</v>
      </c>
      <c r="E92" s="1">
        <v>44779</v>
      </c>
      <c r="F92" s="2">
        <v>75000</v>
      </c>
      <c r="G92" t="s">
        <v>43</v>
      </c>
      <c r="H92" t="s">
        <v>203</v>
      </c>
      <c r="I92" s="4">
        <f ca="1">(TODAY()-Staff[[#This Row],[Date Joined]])/365</f>
        <v>1.7452054794520548</v>
      </c>
      <c r="J92" s="5">
        <f ca="1">ROUNDUP(IF(Staff[[#This Row],[Tenure]]&gt;2,3%,2%)*Staff[[#This Row],[Salary]],0)</f>
        <v>1500</v>
      </c>
      <c r="K92" s="31">
        <f>_xlfn.XLOOKUP(Staff[[#This Row],[Rating]],'SALARY VS RATING'!$G$5:$G$9,'SALARY VS RATING'!$H$5:$H$9)</f>
        <v>5</v>
      </c>
    </row>
    <row r="93" spans="1:11" ht="13.5" x14ac:dyDescent="0.25">
      <c r="A93" t="s">
        <v>133</v>
      </c>
      <c r="B93" t="s">
        <v>15</v>
      </c>
      <c r="C93" t="s">
        <v>12</v>
      </c>
      <c r="D93">
        <v>42</v>
      </c>
      <c r="E93" s="1">
        <v>44718</v>
      </c>
      <c r="F93" s="2">
        <v>75000</v>
      </c>
      <c r="G93" t="s">
        <v>43</v>
      </c>
      <c r="H93" t="s">
        <v>205</v>
      </c>
      <c r="I93" s="4">
        <f ca="1">(TODAY()-Staff[[#This Row],[Date Joined]])/365</f>
        <v>1.9123287671232876</v>
      </c>
      <c r="J93" s="5">
        <f ca="1">ROUNDUP(IF(Staff[[#This Row],[Tenure]]&gt;2,3%,2%)*Staff[[#This Row],[Salary]],0)</f>
        <v>1500</v>
      </c>
      <c r="K93" s="31">
        <f>_xlfn.XLOOKUP(Staff[[#This Row],[Rating]],'SALARY VS RATING'!$G$5:$G$9,'SALARY VS RATING'!$H$5:$H$9)</f>
        <v>5</v>
      </c>
    </row>
    <row r="94" spans="1:11" ht="13.5" x14ac:dyDescent="0.25">
      <c r="A94" t="s">
        <v>105</v>
      </c>
      <c r="B94" t="s">
        <v>15</v>
      </c>
      <c r="C94" t="s">
        <v>23</v>
      </c>
      <c r="D94">
        <v>33</v>
      </c>
      <c r="E94" s="1">
        <v>44312</v>
      </c>
      <c r="F94" s="2">
        <v>75280</v>
      </c>
      <c r="G94" t="s">
        <v>13</v>
      </c>
      <c r="H94" t="s">
        <v>203</v>
      </c>
      <c r="I94" s="4">
        <f ca="1">(TODAY()-Staff[[#This Row],[Date Joined]])/365</f>
        <v>3.0246575342465754</v>
      </c>
      <c r="J94" s="5">
        <f ca="1">ROUNDUP(IF(Staff[[#This Row],[Tenure]]&gt;2,3%,2%)*Staff[[#This Row],[Salary]],0)</f>
        <v>2259</v>
      </c>
      <c r="K94" s="31">
        <f>_xlfn.XLOOKUP(Staff[[#This Row],[Rating]],'SALARY VS RATING'!$G$5:$G$9,'SALARY VS RATING'!$H$5:$H$9)</f>
        <v>3</v>
      </c>
    </row>
    <row r="95" spans="1:11" ht="13.5" x14ac:dyDescent="0.25">
      <c r="A95" t="s">
        <v>154</v>
      </c>
      <c r="B95" t="s">
        <v>15</v>
      </c>
      <c r="C95" t="s">
        <v>23</v>
      </c>
      <c r="D95">
        <v>33</v>
      </c>
      <c r="E95" s="1">
        <v>44253</v>
      </c>
      <c r="F95" s="2">
        <v>75280</v>
      </c>
      <c r="G95" t="s">
        <v>13</v>
      </c>
      <c r="H95" t="s">
        <v>205</v>
      </c>
      <c r="I95" s="4">
        <f ca="1">(TODAY()-Staff[[#This Row],[Date Joined]])/365</f>
        <v>3.1863013698630138</v>
      </c>
      <c r="J95" s="5">
        <f ca="1">ROUNDUP(IF(Staff[[#This Row],[Tenure]]&gt;2,3%,2%)*Staff[[#This Row],[Salary]],0)</f>
        <v>2259</v>
      </c>
      <c r="K95" s="31">
        <f>_xlfn.XLOOKUP(Staff[[#This Row],[Rating]],'SALARY VS RATING'!$G$5:$G$9,'SALARY VS RATING'!$H$5:$H$9)</f>
        <v>3</v>
      </c>
    </row>
    <row r="96" spans="1:11" ht="13.5" x14ac:dyDescent="0.25">
      <c r="A96" t="s">
        <v>48</v>
      </c>
      <c r="B96" t="s">
        <v>15</v>
      </c>
      <c r="C96" t="s">
        <v>23</v>
      </c>
      <c r="D96">
        <v>33</v>
      </c>
      <c r="E96" s="1">
        <v>44374</v>
      </c>
      <c r="F96" s="2">
        <v>75480</v>
      </c>
      <c r="G96" t="s">
        <v>49</v>
      </c>
      <c r="H96" t="s">
        <v>203</v>
      </c>
      <c r="I96" s="4">
        <f ca="1">(TODAY()-Staff[[#This Row],[Date Joined]])/365</f>
        <v>2.8547945205479452</v>
      </c>
      <c r="J96" s="5">
        <f ca="1">ROUNDUP(IF(Staff[[#This Row],[Tenure]]&gt;2,3%,2%)*Staff[[#This Row],[Salary]],0)</f>
        <v>2265</v>
      </c>
      <c r="K96" s="31">
        <f>_xlfn.XLOOKUP(Staff[[#This Row],[Rating]],'SALARY VS RATING'!$G$5:$G$9,'SALARY VS RATING'!$H$5:$H$9)</f>
        <v>1</v>
      </c>
    </row>
    <row r="97" spans="1:11" ht="13.5" x14ac:dyDescent="0.25">
      <c r="A97" t="s">
        <v>194</v>
      </c>
      <c r="B97" t="s">
        <v>15</v>
      </c>
      <c r="C97" t="s">
        <v>23</v>
      </c>
      <c r="D97">
        <v>33</v>
      </c>
      <c r="E97" s="1">
        <v>44313</v>
      </c>
      <c r="F97" s="2">
        <v>75480</v>
      </c>
      <c r="G97" t="s">
        <v>49</v>
      </c>
      <c r="H97" t="s">
        <v>205</v>
      </c>
      <c r="I97" s="4">
        <f ca="1">(TODAY()-Staff[[#This Row],[Date Joined]])/365</f>
        <v>3.021917808219178</v>
      </c>
      <c r="J97" s="5">
        <f ca="1">ROUNDUP(IF(Staff[[#This Row],[Tenure]]&gt;2,3%,2%)*Staff[[#This Row],[Salary]],0)</f>
        <v>2265</v>
      </c>
      <c r="K97" s="31">
        <f>_xlfn.XLOOKUP(Staff[[#This Row],[Rating]],'SALARY VS RATING'!$G$5:$G$9,'SALARY VS RATING'!$H$5:$H$9)</f>
        <v>1</v>
      </c>
    </row>
    <row r="98" spans="1:11" ht="13.5" x14ac:dyDescent="0.25">
      <c r="A98" t="s">
        <v>36</v>
      </c>
      <c r="B98" t="s">
        <v>8</v>
      </c>
      <c r="C98" t="s">
        <v>26</v>
      </c>
      <c r="D98">
        <v>21</v>
      </c>
      <c r="E98" s="1">
        <v>44242</v>
      </c>
      <c r="F98" s="2">
        <v>75880</v>
      </c>
      <c r="G98" t="s">
        <v>13</v>
      </c>
      <c r="H98" t="s">
        <v>203</v>
      </c>
      <c r="I98" s="4">
        <f ca="1">(TODAY()-Staff[[#This Row],[Date Joined]])/365</f>
        <v>3.2164383561643834</v>
      </c>
      <c r="J98" s="5">
        <f ca="1">ROUNDUP(IF(Staff[[#This Row],[Tenure]]&gt;2,3%,2%)*Staff[[#This Row],[Salary]],0)</f>
        <v>2277</v>
      </c>
      <c r="K98" s="31">
        <f>_xlfn.XLOOKUP(Staff[[#This Row],[Rating]],'SALARY VS RATING'!$G$5:$G$9,'SALARY VS RATING'!$H$5:$H$9)</f>
        <v>3</v>
      </c>
    </row>
    <row r="99" spans="1:11" ht="13.5" x14ac:dyDescent="0.25">
      <c r="A99" t="s">
        <v>150</v>
      </c>
      <c r="B99" t="s">
        <v>8</v>
      </c>
      <c r="C99" t="s">
        <v>26</v>
      </c>
      <c r="D99">
        <v>21</v>
      </c>
      <c r="E99" s="1">
        <v>44180</v>
      </c>
      <c r="F99" s="2">
        <v>75880</v>
      </c>
      <c r="G99" t="s">
        <v>13</v>
      </c>
      <c r="H99" t="s">
        <v>205</v>
      </c>
      <c r="I99" s="4">
        <f ca="1">(TODAY()-Staff[[#This Row],[Date Joined]])/365</f>
        <v>3.3863013698630136</v>
      </c>
      <c r="J99" s="5">
        <f ca="1">ROUNDUP(IF(Staff[[#This Row],[Tenure]]&gt;2,3%,2%)*Staff[[#This Row],[Salary]],0)</f>
        <v>2277</v>
      </c>
      <c r="K99" s="31">
        <f>_xlfn.XLOOKUP(Staff[[#This Row],[Rating]],'SALARY VS RATING'!$G$5:$G$9,'SALARY VS RATING'!$H$5:$H$9)</f>
        <v>3</v>
      </c>
    </row>
    <row r="100" spans="1:11" ht="13.5" x14ac:dyDescent="0.25">
      <c r="A100" t="s">
        <v>46</v>
      </c>
      <c r="B100" t="s">
        <v>15</v>
      </c>
      <c r="C100" t="s">
        <v>17</v>
      </c>
      <c r="D100">
        <v>28</v>
      </c>
      <c r="E100" s="1">
        <v>44185</v>
      </c>
      <c r="F100" s="2">
        <v>75970</v>
      </c>
      <c r="G100" t="s">
        <v>13</v>
      </c>
      <c r="H100" t="s">
        <v>203</v>
      </c>
      <c r="I100" s="4">
        <f ca="1">(TODAY()-Staff[[#This Row],[Date Joined]])/365</f>
        <v>3.3726027397260272</v>
      </c>
      <c r="J100" s="5">
        <f ca="1">ROUNDUP(IF(Staff[[#This Row],[Tenure]]&gt;2,3%,2%)*Staff[[#This Row],[Salary]],0)</f>
        <v>2280</v>
      </c>
      <c r="K100" s="31">
        <f>_xlfn.XLOOKUP(Staff[[#This Row],[Rating]],'SALARY VS RATING'!$G$5:$G$9,'SALARY VS RATING'!$H$5:$H$9)</f>
        <v>3</v>
      </c>
    </row>
    <row r="101" spans="1:11" ht="13.5" x14ac:dyDescent="0.25">
      <c r="A101" t="s">
        <v>160</v>
      </c>
      <c r="B101" t="s">
        <v>15</v>
      </c>
      <c r="C101" t="s">
        <v>17</v>
      </c>
      <c r="D101">
        <v>28</v>
      </c>
      <c r="E101" s="1">
        <v>44124</v>
      </c>
      <c r="F101" s="2">
        <v>75970</v>
      </c>
      <c r="G101" t="s">
        <v>13</v>
      </c>
      <c r="H101" t="s">
        <v>205</v>
      </c>
      <c r="I101" s="4">
        <f ca="1">(TODAY()-Staff[[#This Row],[Date Joined]])/365</f>
        <v>3.5397260273972604</v>
      </c>
      <c r="J101" s="5">
        <f ca="1">ROUNDUP(IF(Staff[[#This Row],[Tenure]]&gt;2,3%,2%)*Staff[[#This Row],[Salary]],0)</f>
        <v>2280</v>
      </c>
      <c r="K101" s="31">
        <f>_xlfn.XLOOKUP(Staff[[#This Row],[Rating]],'SALARY VS RATING'!$G$5:$G$9,'SALARY VS RATING'!$H$5:$H$9)</f>
        <v>3</v>
      </c>
    </row>
    <row r="102" spans="1:11" ht="13.5" x14ac:dyDescent="0.25">
      <c r="A102" t="s">
        <v>78</v>
      </c>
      <c r="B102" t="s">
        <v>15</v>
      </c>
      <c r="C102" t="s">
        <v>12</v>
      </c>
      <c r="D102">
        <v>22</v>
      </c>
      <c r="E102" s="1">
        <v>44450</v>
      </c>
      <c r="F102" s="2">
        <v>76900</v>
      </c>
      <c r="G102" t="s">
        <v>10</v>
      </c>
      <c r="H102" t="s">
        <v>203</v>
      </c>
      <c r="I102" s="4">
        <f ca="1">(TODAY()-Staff[[#This Row],[Date Joined]])/365</f>
        <v>2.6465753424657534</v>
      </c>
      <c r="J102" s="5">
        <f ca="1">ROUNDUP(IF(Staff[[#This Row],[Tenure]]&gt;2,3%,2%)*Staff[[#This Row],[Salary]],0)</f>
        <v>2307</v>
      </c>
      <c r="K102" s="31">
        <f>_xlfn.XLOOKUP(Staff[[#This Row],[Rating]],'SALARY VS RATING'!$G$5:$G$9,'SALARY VS RATING'!$H$5:$H$9)</f>
        <v>4</v>
      </c>
    </row>
    <row r="103" spans="1:11" ht="13.5" x14ac:dyDescent="0.25">
      <c r="A103" t="s">
        <v>129</v>
      </c>
      <c r="B103" t="s">
        <v>15</v>
      </c>
      <c r="C103" t="s">
        <v>12</v>
      </c>
      <c r="D103">
        <v>22</v>
      </c>
      <c r="E103" s="1">
        <v>44388</v>
      </c>
      <c r="F103" s="2">
        <v>76900</v>
      </c>
      <c r="G103" t="s">
        <v>10</v>
      </c>
      <c r="H103" t="s">
        <v>205</v>
      </c>
      <c r="I103" s="4">
        <f ca="1">(TODAY()-Staff[[#This Row],[Date Joined]])/365</f>
        <v>2.8164383561643835</v>
      </c>
      <c r="J103" s="5">
        <f ca="1">ROUNDUP(IF(Staff[[#This Row],[Tenure]]&gt;2,3%,2%)*Staff[[#This Row],[Salary]],0)</f>
        <v>2307</v>
      </c>
      <c r="K103" s="31">
        <f>_xlfn.XLOOKUP(Staff[[#This Row],[Rating]],'SALARY VS RATING'!$G$5:$G$9,'SALARY VS RATING'!$H$5:$H$9)</f>
        <v>4</v>
      </c>
    </row>
    <row r="104" spans="1:11" ht="13.5" x14ac:dyDescent="0.25">
      <c r="A104" t="s">
        <v>59</v>
      </c>
      <c r="B104" t="s">
        <v>15</v>
      </c>
      <c r="C104" t="s">
        <v>12</v>
      </c>
      <c r="D104">
        <v>36</v>
      </c>
      <c r="E104" s="1">
        <v>44529</v>
      </c>
      <c r="F104" s="2">
        <v>78390</v>
      </c>
      <c r="G104" t="s">
        <v>13</v>
      </c>
      <c r="H104" t="s">
        <v>203</v>
      </c>
      <c r="I104" s="4">
        <f ca="1">(TODAY()-Staff[[#This Row],[Date Joined]])/365</f>
        <v>2.43013698630137</v>
      </c>
      <c r="J104" s="5">
        <f ca="1">ROUNDUP(IF(Staff[[#This Row],[Tenure]]&gt;2,3%,2%)*Staff[[#This Row],[Salary]],0)</f>
        <v>2352</v>
      </c>
      <c r="K104" s="31">
        <f>_xlfn.XLOOKUP(Staff[[#This Row],[Rating]],'SALARY VS RATING'!$G$5:$G$9,'SALARY VS RATING'!$H$5:$H$9)</f>
        <v>3</v>
      </c>
    </row>
    <row r="105" spans="1:11" ht="13.5" x14ac:dyDescent="0.25">
      <c r="A105" t="s">
        <v>186</v>
      </c>
      <c r="B105" t="s">
        <v>15</v>
      </c>
      <c r="C105" t="s">
        <v>12</v>
      </c>
      <c r="D105">
        <v>36</v>
      </c>
      <c r="E105" s="1">
        <v>44468</v>
      </c>
      <c r="F105" s="2">
        <v>78390</v>
      </c>
      <c r="G105" t="s">
        <v>13</v>
      </c>
      <c r="H105" t="s">
        <v>205</v>
      </c>
      <c r="I105" s="4">
        <f ca="1">(TODAY()-Staff[[#This Row],[Date Joined]])/365</f>
        <v>2.5972602739726027</v>
      </c>
      <c r="J105" s="5">
        <f ca="1">ROUNDUP(IF(Staff[[#This Row],[Tenure]]&gt;2,3%,2%)*Staff[[#This Row],[Salary]],0)</f>
        <v>2352</v>
      </c>
      <c r="K105" s="31">
        <f>_xlfn.XLOOKUP(Staff[[#This Row],[Rating]],'SALARY VS RATING'!$G$5:$G$9,'SALARY VS RATING'!$H$5:$H$9)</f>
        <v>3</v>
      </c>
    </row>
    <row r="106" spans="1:11" ht="13.5" x14ac:dyDescent="0.25">
      <c r="A106" t="s">
        <v>51</v>
      </c>
      <c r="B106" t="s">
        <v>15</v>
      </c>
      <c r="C106" t="s">
        <v>9</v>
      </c>
      <c r="D106">
        <v>36</v>
      </c>
      <c r="E106" s="1">
        <v>44494</v>
      </c>
      <c r="F106" s="2">
        <v>78540</v>
      </c>
      <c r="G106" t="s">
        <v>13</v>
      </c>
      <c r="H106" t="s">
        <v>203</v>
      </c>
      <c r="I106" s="4">
        <f ca="1">(TODAY()-Staff[[#This Row],[Date Joined]])/365</f>
        <v>2.526027397260274</v>
      </c>
      <c r="J106" s="5">
        <f ca="1">ROUNDUP(IF(Staff[[#This Row],[Tenure]]&gt;2,3%,2%)*Staff[[#This Row],[Salary]],0)</f>
        <v>2357</v>
      </c>
      <c r="K106" s="31">
        <f>_xlfn.XLOOKUP(Staff[[#This Row],[Rating]],'SALARY VS RATING'!$G$5:$G$9,'SALARY VS RATING'!$H$5:$H$9)</f>
        <v>3</v>
      </c>
    </row>
    <row r="107" spans="1:11" ht="13.5" x14ac:dyDescent="0.25">
      <c r="A107" t="s">
        <v>196</v>
      </c>
      <c r="B107" t="s">
        <v>15</v>
      </c>
      <c r="C107" t="s">
        <v>9</v>
      </c>
      <c r="D107">
        <v>36</v>
      </c>
      <c r="E107" s="1">
        <v>44433</v>
      </c>
      <c r="F107" s="2">
        <v>78540</v>
      </c>
      <c r="G107" t="s">
        <v>13</v>
      </c>
      <c r="H107" t="s">
        <v>205</v>
      </c>
      <c r="I107" s="4">
        <f ca="1">(TODAY()-Staff[[#This Row],[Date Joined]])/365</f>
        <v>2.6931506849315068</v>
      </c>
      <c r="J107" s="5">
        <f ca="1">ROUNDUP(IF(Staff[[#This Row],[Tenure]]&gt;2,3%,2%)*Staff[[#This Row],[Salary]],0)</f>
        <v>2357</v>
      </c>
      <c r="K107" s="31">
        <f>_xlfn.XLOOKUP(Staff[[#This Row],[Rating]],'SALARY VS RATING'!$G$5:$G$9,'SALARY VS RATING'!$H$5:$H$9)</f>
        <v>3</v>
      </c>
    </row>
    <row r="108" spans="1:11" ht="13.5" x14ac:dyDescent="0.25">
      <c r="A108" t="s">
        <v>64</v>
      </c>
      <c r="B108" t="s">
        <v>8</v>
      </c>
      <c r="C108" t="s">
        <v>12</v>
      </c>
      <c r="D108">
        <v>20</v>
      </c>
      <c r="E108" s="1">
        <v>44744</v>
      </c>
      <c r="F108" s="2">
        <v>79570</v>
      </c>
      <c r="G108" t="s">
        <v>13</v>
      </c>
      <c r="H108" t="s">
        <v>203</v>
      </c>
      <c r="I108" s="4">
        <f ca="1">(TODAY()-Staff[[#This Row],[Date Joined]])/365</f>
        <v>1.8410958904109589</v>
      </c>
      <c r="J108" s="5">
        <f ca="1">ROUNDUP(IF(Staff[[#This Row],[Tenure]]&gt;2,3%,2%)*Staff[[#This Row],[Salary]],0)</f>
        <v>1592</v>
      </c>
      <c r="K108" s="31">
        <f>_xlfn.XLOOKUP(Staff[[#This Row],[Rating]],'SALARY VS RATING'!$G$5:$G$9,'SALARY VS RATING'!$H$5:$H$9)</f>
        <v>3</v>
      </c>
    </row>
    <row r="109" spans="1:11" ht="13.5" x14ac:dyDescent="0.25">
      <c r="A109" t="s">
        <v>128</v>
      </c>
      <c r="B109" t="s">
        <v>8</v>
      </c>
      <c r="C109" t="s">
        <v>12</v>
      </c>
      <c r="D109">
        <v>20</v>
      </c>
      <c r="E109" s="1">
        <v>44683</v>
      </c>
      <c r="F109" s="2">
        <v>79570</v>
      </c>
      <c r="G109" t="s">
        <v>13</v>
      </c>
      <c r="H109" t="s">
        <v>205</v>
      </c>
      <c r="I109" s="4">
        <f ca="1">(TODAY()-Staff[[#This Row],[Date Joined]])/365</f>
        <v>2.0082191780821916</v>
      </c>
      <c r="J109" s="5">
        <f ca="1">ROUNDUP(IF(Staff[[#This Row],[Tenure]]&gt;2,3%,2%)*Staff[[#This Row],[Salary]],0)</f>
        <v>2388</v>
      </c>
      <c r="K109" s="31">
        <f>_xlfn.XLOOKUP(Staff[[#This Row],[Rating]],'SALARY VS RATING'!$G$5:$G$9,'SALARY VS RATING'!$H$5:$H$9)</f>
        <v>3</v>
      </c>
    </row>
    <row r="110" spans="1:11" ht="13.5" x14ac:dyDescent="0.25">
      <c r="A110" t="s">
        <v>66</v>
      </c>
      <c r="B110" t="s">
        <v>15</v>
      </c>
      <c r="C110" t="s">
        <v>23</v>
      </c>
      <c r="D110">
        <v>25</v>
      </c>
      <c r="E110" s="1">
        <v>44694</v>
      </c>
      <c r="F110" s="2">
        <v>80700</v>
      </c>
      <c r="G110" t="s">
        <v>10</v>
      </c>
      <c r="H110" t="s">
        <v>203</v>
      </c>
      <c r="I110" s="4">
        <f ca="1">(TODAY()-Staff[[#This Row],[Date Joined]])/365</f>
        <v>1.978082191780822</v>
      </c>
      <c r="J110" s="5">
        <f ca="1">ROUNDUP(IF(Staff[[#This Row],[Tenure]]&gt;2,3%,2%)*Staff[[#This Row],[Salary]],0)</f>
        <v>1614</v>
      </c>
      <c r="K110" s="31">
        <f>_xlfn.XLOOKUP(Staff[[#This Row],[Rating]],'SALARY VS RATING'!$G$5:$G$9,'SALARY VS RATING'!$H$5:$H$9)</f>
        <v>4</v>
      </c>
    </row>
    <row r="111" spans="1:11" ht="13.5" x14ac:dyDescent="0.25">
      <c r="A111" t="s">
        <v>143</v>
      </c>
      <c r="B111" t="s">
        <v>15</v>
      </c>
      <c r="C111" t="s">
        <v>23</v>
      </c>
      <c r="D111">
        <v>25</v>
      </c>
      <c r="E111" s="1">
        <v>44633</v>
      </c>
      <c r="F111" s="2">
        <v>80700</v>
      </c>
      <c r="G111" t="s">
        <v>10</v>
      </c>
      <c r="H111" t="s">
        <v>205</v>
      </c>
      <c r="I111" s="4">
        <f ca="1">(TODAY()-Staff[[#This Row],[Date Joined]])/365</f>
        <v>2.1452054794520548</v>
      </c>
      <c r="J111" s="5">
        <f ca="1">ROUNDUP(IF(Staff[[#This Row],[Tenure]]&gt;2,3%,2%)*Staff[[#This Row],[Salary]],0)</f>
        <v>2421</v>
      </c>
      <c r="K111" s="31">
        <f>_xlfn.XLOOKUP(Staff[[#This Row],[Rating]],'SALARY VS RATING'!$G$5:$G$9,'SALARY VS RATING'!$H$5:$H$9)</f>
        <v>4</v>
      </c>
    </row>
    <row r="112" spans="1:11" ht="13.5" x14ac:dyDescent="0.25">
      <c r="A112" t="s">
        <v>61</v>
      </c>
      <c r="B112" t="s">
        <v>15</v>
      </c>
      <c r="C112" t="s">
        <v>23</v>
      </c>
      <c r="D112">
        <v>27</v>
      </c>
      <c r="E112" s="1">
        <v>44686</v>
      </c>
      <c r="F112" s="2">
        <v>83750</v>
      </c>
      <c r="G112" t="s">
        <v>13</v>
      </c>
      <c r="H112" t="s">
        <v>203</v>
      </c>
      <c r="I112" s="4">
        <f ca="1">(TODAY()-Staff[[#This Row],[Date Joined]])/365</f>
        <v>2</v>
      </c>
      <c r="J112" s="5">
        <f ca="1">ROUNDUP(IF(Staff[[#This Row],[Tenure]]&gt;2,3%,2%)*Staff[[#This Row],[Salary]],0)</f>
        <v>1675</v>
      </c>
      <c r="K112" s="31">
        <f>_xlfn.XLOOKUP(Staff[[#This Row],[Rating]],'SALARY VS RATING'!$G$5:$G$9,'SALARY VS RATING'!$H$5:$H$9)</f>
        <v>3</v>
      </c>
    </row>
    <row r="113" spans="1:11" ht="13.5" x14ac:dyDescent="0.25">
      <c r="A113" t="s">
        <v>168</v>
      </c>
      <c r="B113" t="s">
        <v>15</v>
      </c>
      <c r="C113" t="s">
        <v>23</v>
      </c>
      <c r="D113">
        <v>27</v>
      </c>
      <c r="E113" s="1">
        <v>44625</v>
      </c>
      <c r="F113" s="2">
        <v>83750</v>
      </c>
      <c r="G113" t="s">
        <v>13</v>
      </c>
      <c r="H113" t="s">
        <v>205</v>
      </c>
      <c r="I113" s="4">
        <f ca="1">(TODAY()-Staff[[#This Row],[Date Joined]])/365</f>
        <v>2.1671232876712327</v>
      </c>
      <c r="J113" s="5">
        <f ca="1">ROUNDUP(IF(Staff[[#This Row],[Tenure]]&gt;2,3%,2%)*Staff[[#This Row],[Salary]],0)</f>
        <v>2513</v>
      </c>
      <c r="K113" s="31">
        <f>_xlfn.XLOOKUP(Staff[[#This Row],[Rating]],'SALARY VS RATING'!$G$5:$G$9,'SALARY VS RATING'!$H$5:$H$9)</f>
        <v>3</v>
      </c>
    </row>
    <row r="114" spans="1:11" ht="13.5" x14ac:dyDescent="0.25">
      <c r="A114" t="s">
        <v>100</v>
      </c>
      <c r="B114" t="s">
        <v>15</v>
      </c>
      <c r="C114" t="s">
        <v>17</v>
      </c>
      <c r="D114">
        <v>34</v>
      </c>
      <c r="E114" s="1">
        <v>44459</v>
      </c>
      <c r="F114" s="2">
        <v>85000</v>
      </c>
      <c r="G114" t="s">
        <v>13</v>
      </c>
      <c r="H114" t="s">
        <v>203</v>
      </c>
      <c r="I114" s="4">
        <f ca="1">(TODAY()-Staff[[#This Row],[Date Joined]])/365</f>
        <v>2.6219178082191781</v>
      </c>
      <c r="J114" s="5">
        <f ca="1">ROUNDUP(IF(Staff[[#This Row],[Tenure]]&gt;2,3%,2%)*Staff[[#This Row],[Salary]],0)</f>
        <v>2550</v>
      </c>
      <c r="K114" s="31">
        <f>_xlfn.XLOOKUP(Staff[[#This Row],[Rating]],'SALARY VS RATING'!$G$5:$G$9,'SALARY VS RATING'!$H$5:$H$9)</f>
        <v>3</v>
      </c>
    </row>
    <row r="115" spans="1:11" ht="13.5" x14ac:dyDescent="0.25">
      <c r="A115" t="s">
        <v>152</v>
      </c>
      <c r="B115" t="s">
        <v>15</v>
      </c>
      <c r="C115" t="s">
        <v>17</v>
      </c>
      <c r="D115">
        <v>34</v>
      </c>
      <c r="E115" s="1">
        <v>44397</v>
      </c>
      <c r="F115" s="2">
        <v>85000</v>
      </c>
      <c r="G115" t="s">
        <v>13</v>
      </c>
      <c r="H115" t="s">
        <v>205</v>
      </c>
      <c r="I115" s="4">
        <f ca="1">(TODAY()-Staff[[#This Row],[Date Joined]])/365</f>
        <v>2.7917808219178082</v>
      </c>
      <c r="J115" s="5">
        <f ca="1">ROUNDUP(IF(Staff[[#This Row],[Tenure]]&gt;2,3%,2%)*Staff[[#This Row],[Salary]],0)</f>
        <v>2550</v>
      </c>
      <c r="K115" s="31">
        <f>_xlfn.XLOOKUP(Staff[[#This Row],[Rating]],'SALARY VS RATING'!$G$5:$G$9,'SALARY VS RATING'!$H$5:$H$9)</f>
        <v>3</v>
      </c>
    </row>
    <row r="116" spans="1:11" ht="13.5" x14ac:dyDescent="0.25">
      <c r="A116" t="s">
        <v>60</v>
      </c>
      <c r="B116" t="s">
        <v>15</v>
      </c>
      <c r="C116" t="s">
        <v>17</v>
      </c>
      <c r="D116">
        <v>33</v>
      </c>
      <c r="E116" s="1">
        <v>44809</v>
      </c>
      <c r="F116" s="2">
        <v>86570</v>
      </c>
      <c r="G116" t="s">
        <v>13</v>
      </c>
      <c r="H116" t="s">
        <v>203</v>
      </c>
      <c r="I116" s="4">
        <f ca="1">(TODAY()-Staff[[#This Row],[Date Joined]])/365</f>
        <v>1.6630136986301369</v>
      </c>
      <c r="J116" s="5">
        <f ca="1">ROUNDUP(IF(Staff[[#This Row],[Tenure]]&gt;2,3%,2%)*Staff[[#This Row],[Salary]],0)</f>
        <v>1732</v>
      </c>
      <c r="K116" s="31">
        <f>_xlfn.XLOOKUP(Staff[[#This Row],[Rating]],'SALARY VS RATING'!$G$5:$G$9,'SALARY VS RATING'!$H$5:$H$9)</f>
        <v>3</v>
      </c>
    </row>
    <row r="117" spans="1:11" ht="13.5" x14ac:dyDescent="0.25">
      <c r="A117" t="s">
        <v>178</v>
      </c>
      <c r="B117" t="s">
        <v>15</v>
      </c>
      <c r="C117" t="s">
        <v>17</v>
      </c>
      <c r="D117">
        <v>33</v>
      </c>
      <c r="E117" s="1">
        <v>44747</v>
      </c>
      <c r="F117" s="2">
        <v>86570</v>
      </c>
      <c r="G117" t="s">
        <v>13</v>
      </c>
      <c r="H117" t="s">
        <v>205</v>
      </c>
      <c r="I117" s="4">
        <f ca="1">(TODAY()-Staff[[#This Row],[Date Joined]])/365</f>
        <v>1.832876712328767</v>
      </c>
      <c r="J117" s="5">
        <f ca="1">ROUNDUP(IF(Staff[[#This Row],[Tenure]]&gt;2,3%,2%)*Staff[[#This Row],[Salary]],0)</f>
        <v>1732</v>
      </c>
      <c r="K117" s="31">
        <f>_xlfn.XLOOKUP(Staff[[#This Row],[Rating]],'SALARY VS RATING'!$G$5:$G$9,'SALARY VS RATING'!$H$5:$H$9)</f>
        <v>3</v>
      </c>
    </row>
    <row r="118" spans="1:11" ht="13.5" x14ac:dyDescent="0.25">
      <c r="A118" t="s">
        <v>44</v>
      </c>
      <c r="B118" t="s">
        <v>15</v>
      </c>
      <c r="C118" t="s">
        <v>23</v>
      </c>
      <c r="D118">
        <v>40</v>
      </c>
      <c r="E118" s="1">
        <v>44337</v>
      </c>
      <c r="F118" s="2">
        <v>87620</v>
      </c>
      <c r="G118" t="s">
        <v>13</v>
      </c>
      <c r="H118" t="s">
        <v>203</v>
      </c>
      <c r="I118" s="4">
        <f ca="1">(TODAY()-Staff[[#This Row],[Date Joined]])/365</f>
        <v>2.956164383561644</v>
      </c>
      <c r="J118" s="5">
        <f ca="1">ROUNDUP(IF(Staff[[#This Row],[Tenure]]&gt;2,3%,2%)*Staff[[#This Row],[Salary]],0)</f>
        <v>2629</v>
      </c>
      <c r="K118" s="31">
        <f>_xlfn.XLOOKUP(Staff[[#This Row],[Rating]],'SALARY VS RATING'!$G$5:$G$9,'SALARY VS RATING'!$H$5:$H$9)</f>
        <v>3</v>
      </c>
    </row>
    <row r="119" spans="1:11" ht="13.5" x14ac:dyDescent="0.25">
      <c r="A119" t="s">
        <v>169</v>
      </c>
      <c r="B119" t="s">
        <v>15</v>
      </c>
      <c r="C119" t="s">
        <v>23</v>
      </c>
      <c r="D119">
        <v>40</v>
      </c>
      <c r="E119" s="1">
        <v>44276</v>
      </c>
      <c r="F119" s="2">
        <v>87620</v>
      </c>
      <c r="G119" t="s">
        <v>13</v>
      </c>
      <c r="H119" t="s">
        <v>205</v>
      </c>
      <c r="I119" s="4">
        <f ca="1">(TODAY()-Staff[[#This Row],[Date Joined]])/365</f>
        <v>3.1232876712328768</v>
      </c>
      <c r="J119" s="5">
        <f ca="1">ROUNDUP(IF(Staff[[#This Row],[Tenure]]&gt;2,3%,2%)*Staff[[#This Row],[Salary]],0)</f>
        <v>2629</v>
      </c>
      <c r="K119" s="31">
        <f>_xlfn.XLOOKUP(Staff[[#This Row],[Rating]],'SALARY VS RATING'!$G$5:$G$9,'SALARY VS RATING'!$H$5:$H$9)</f>
        <v>3</v>
      </c>
    </row>
    <row r="120" spans="1:11" ht="13.5" x14ac:dyDescent="0.25">
      <c r="A120" t="s">
        <v>90</v>
      </c>
      <c r="B120" t="s">
        <v>8</v>
      </c>
      <c r="C120" t="s">
        <v>23</v>
      </c>
      <c r="D120">
        <v>37</v>
      </c>
      <c r="E120" s="1">
        <v>44338</v>
      </c>
      <c r="F120" s="2">
        <v>88050</v>
      </c>
      <c r="G120" t="s">
        <v>18</v>
      </c>
      <c r="H120" t="s">
        <v>203</v>
      </c>
      <c r="I120" s="4">
        <f ca="1">(TODAY()-Staff[[#This Row],[Date Joined]])/365</f>
        <v>2.9534246575342467</v>
      </c>
      <c r="J120" s="5">
        <f ca="1">ROUNDUP(IF(Staff[[#This Row],[Tenure]]&gt;2,3%,2%)*Staff[[#This Row],[Salary]],0)</f>
        <v>2642</v>
      </c>
      <c r="K120" s="31">
        <f>_xlfn.XLOOKUP(Staff[[#This Row],[Rating]],'SALARY VS RATING'!$G$5:$G$9,'SALARY VS RATING'!$H$5:$H$9)</f>
        <v>2</v>
      </c>
    </row>
    <row r="121" spans="1:11" ht="13.5" x14ac:dyDescent="0.25">
      <c r="A121" t="s">
        <v>131</v>
      </c>
      <c r="B121" t="s">
        <v>8</v>
      </c>
      <c r="C121" t="s">
        <v>23</v>
      </c>
      <c r="D121">
        <v>37</v>
      </c>
      <c r="E121" s="1">
        <v>44277</v>
      </c>
      <c r="F121" s="2">
        <v>88050</v>
      </c>
      <c r="G121" t="s">
        <v>18</v>
      </c>
      <c r="H121" t="s">
        <v>205</v>
      </c>
      <c r="I121" s="4">
        <f ca="1">(TODAY()-Staff[[#This Row],[Date Joined]])/365</f>
        <v>3.1205479452054794</v>
      </c>
      <c r="J121" s="5">
        <f ca="1">ROUNDUP(IF(Staff[[#This Row],[Tenure]]&gt;2,3%,2%)*Staff[[#This Row],[Salary]],0)</f>
        <v>2642</v>
      </c>
      <c r="K121" s="31">
        <f>_xlfn.XLOOKUP(Staff[[#This Row],[Rating]],'SALARY VS RATING'!$G$5:$G$9,'SALARY VS RATING'!$H$5:$H$9)</f>
        <v>2</v>
      </c>
    </row>
    <row r="122" spans="1:11" ht="13.5" x14ac:dyDescent="0.25">
      <c r="A122" t="s">
        <v>83</v>
      </c>
      <c r="B122" t="s">
        <v>204</v>
      </c>
      <c r="C122" t="s">
        <v>23</v>
      </c>
      <c r="D122">
        <v>26</v>
      </c>
      <c r="E122" s="1">
        <v>44271</v>
      </c>
      <c r="F122" s="2">
        <v>90700</v>
      </c>
      <c r="G122" t="s">
        <v>10</v>
      </c>
      <c r="H122" t="s">
        <v>203</v>
      </c>
      <c r="I122" s="4">
        <f ca="1">(TODAY()-Staff[[#This Row],[Date Joined]])/365</f>
        <v>3.1369863013698631</v>
      </c>
      <c r="J122" s="5">
        <f ca="1">ROUNDUP(IF(Staff[[#This Row],[Tenure]]&gt;2,3%,2%)*Staff[[#This Row],[Salary]],0)</f>
        <v>2721</v>
      </c>
      <c r="K122" s="31">
        <f>_xlfn.XLOOKUP(Staff[[#This Row],[Rating]],'SALARY VS RATING'!$G$5:$G$9,'SALARY VS RATING'!$H$5:$H$9)</f>
        <v>4</v>
      </c>
    </row>
    <row r="123" spans="1:11" ht="13.5" x14ac:dyDescent="0.25">
      <c r="A123" t="s">
        <v>161</v>
      </c>
      <c r="B123" t="s">
        <v>204</v>
      </c>
      <c r="C123" t="s">
        <v>23</v>
      </c>
      <c r="D123">
        <v>27</v>
      </c>
      <c r="E123" s="1">
        <v>44212</v>
      </c>
      <c r="F123" s="2">
        <v>90700</v>
      </c>
      <c r="G123" t="s">
        <v>10</v>
      </c>
      <c r="H123" t="s">
        <v>205</v>
      </c>
      <c r="I123" s="4">
        <f ca="1">(TODAY()-Staff[[#This Row],[Date Joined]])/365</f>
        <v>3.2986301369863016</v>
      </c>
      <c r="J123" s="5">
        <f ca="1">ROUNDUP(IF(Staff[[#This Row],[Tenure]]&gt;2,3%,2%)*Staff[[#This Row],[Salary]],0)</f>
        <v>2721</v>
      </c>
      <c r="K123" s="31">
        <f>_xlfn.XLOOKUP(Staff[[#This Row],[Rating]],'SALARY VS RATING'!$G$5:$G$9,'SALARY VS RATING'!$H$5:$H$9)</f>
        <v>4</v>
      </c>
    </row>
    <row r="124" spans="1:11" ht="13.5" x14ac:dyDescent="0.25">
      <c r="A124" t="s">
        <v>80</v>
      </c>
      <c r="B124" t="s">
        <v>204</v>
      </c>
      <c r="C124" t="s">
        <v>23</v>
      </c>
      <c r="D124">
        <v>32</v>
      </c>
      <c r="E124" s="1">
        <v>44774</v>
      </c>
      <c r="F124" s="2">
        <v>91310</v>
      </c>
      <c r="G124" t="s">
        <v>13</v>
      </c>
      <c r="H124" t="s">
        <v>203</v>
      </c>
      <c r="I124" s="4">
        <f ca="1">(TODAY()-Staff[[#This Row],[Date Joined]])/365</f>
        <v>1.7589041095890412</v>
      </c>
      <c r="J124" s="5">
        <f ca="1">ROUNDUP(IF(Staff[[#This Row],[Tenure]]&gt;2,3%,2%)*Staff[[#This Row],[Salary]],0)</f>
        <v>1827</v>
      </c>
      <c r="K124" s="31">
        <f>_xlfn.XLOOKUP(Staff[[#This Row],[Rating]],'SALARY VS RATING'!$G$5:$G$9,'SALARY VS RATING'!$H$5:$H$9)</f>
        <v>3</v>
      </c>
    </row>
    <row r="125" spans="1:11" ht="13.5" x14ac:dyDescent="0.25">
      <c r="A125" t="s">
        <v>117</v>
      </c>
      <c r="B125" t="s">
        <v>204</v>
      </c>
      <c r="C125" t="s">
        <v>23</v>
      </c>
      <c r="D125">
        <v>32</v>
      </c>
      <c r="E125" s="1">
        <v>44713</v>
      </c>
      <c r="F125" s="2">
        <v>91310</v>
      </c>
      <c r="G125" t="s">
        <v>13</v>
      </c>
      <c r="H125" t="s">
        <v>205</v>
      </c>
      <c r="I125" s="4">
        <f ca="1">(TODAY()-Staff[[#This Row],[Date Joined]])/365</f>
        <v>1.9260273972602739</v>
      </c>
      <c r="J125" s="5">
        <f ca="1">ROUNDUP(IF(Staff[[#This Row],[Tenure]]&gt;2,3%,2%)*Staff[[#This Row],[Salary]],0)</f>
        <v>1827</v>
      </c>
      <c r="K125" s="31">
        <f>_xlfn.XLOOKUP(Staff[[#This Row],[Rating]],'SALARY VS RATING'!$G$5:$G$9,'SALARY VS RATING'!$H$5:$H$9)</f>
        <v>3</v>
      </c>
    </row>
    <row r="126" spans="1:11" ht="13.5" x14ac:dyDescent="0.25">
      <c r="A126" t="s">
        <v>96</v>
      </c>
      <c r="B126" t="s">
        <v>8</v>
      </c>
      <c r="C126" t="s">
        <v>17</v>
      </c>
      <c r="D126">
        <v>27</v>
      </c>
      <c r="E126" s="1">
        <v>44236</v>
      </c>
      <c r="F126" s="2">
        <v>91650</v>
      </c>
      <c r="G126" t="s">
        <v>10</v>
      </c>
      <c r="H126" t="s">
        <v>203</v>
      </c>
      <c r="I126" s="4">
        <f ca="1">(TODAY()-Staff[[#This Row],[Date Joined]])/365</f>
        <v>3.2328767123287672</v>
      </c>
      <c r="J126" s="5">
        <f ca="1">ROUNDUP(IF(Staff[[#This Row],[Tenure]]&gt;2,3%,2%)*Staff[[#This Row],[Salary]],0)</f>
        <v>2750</v>
      </c>
      <c r="K126" s="31">
        <f>_xlfn.XLOOKUP(Staff[[#This Row],[Rating]],'SALARY VS RATING'!$G$5:$G$9,'SALARY VS RATING'!$H$5:$H$9)</f>
        <v>4</v>
      </c>
    </row>
    <row r="127" spans="1:11" ht="13.5" x14ac:dyDescent="0.25">
      <c r="A127" t="s">
        <v>158</v>
      </c>
      <c r="B127" t="s">
        <v>8</v>
      </c>
      <c r="C127" t="s">
        <v>17</v>
      </c>
      <c r="D127">
        <v>27</v>
      </c>
      <c r="E127" s="1">
        <v>44174</v>
      </c>
      <c r="F127" s="2">
        <v>91650</v>
      </c>
      <c r="G127" t="s">
        <v>10</v>
      </c>
      <c r="H127" t="s">
        <v>205</v>
      </c>
      <c r="I127" s="4">
        <f ca="1">(TODAY()-Staff[[#This Row],[Date Joined]])/365</f>
        <v>3.4027397260273973</v>
      </c>
      <c r="J127" s="5">
        <f ca="1">ROUNDUP(IF(Staff[[#This Row],[Tenure]]&gt;2,3%,2%)*Staff[[#This Row],[Salary]],0)</f>
        <v>2750</v>
      </c>
      <c r="K127" s="31">
        <f>_xlfn.XLOOKUP(Staff[[#This Row],[Rating]],'SALARY VS RATING'!$G$5:$G$9,'SALARY VS RATING'!$H$5:$H$9)</f>
        <v>4</v>
      </c>
    </row>
    <row r="128" spans="1:11" ht="13.5" x14ac:dyDescent="0.25">
      <c r="A128" t="s">
        <v>62</v>
      </c>
      <c r="B128" t="s">
        <v>15</v>
      </c>
      <c r="C128" t="s">
        <v>17</v>
      </c>
      <c r="D128">
        <v>34</v>
      </c>
      <c r="E128" s="1">
        <v>44445</v>
      </c>
      <c r="F128" s="2">
        <v>92450</v>
      </c>
      <c r="G128" t="s">
        <v>13</v>
      </c>
      <c r="H128" t="s">
        <v>203</v>
      </c>
      <c r="I128" s="4">
        <f ca="1">(TODAY()-Staff[[#This Row],[Date Joined]])/365</f>
        <v>2.6602739726027398</v>
      </c>
      <c r="J128" s="5">
        <f ca="1">ROUNDUP(IF(Staff[[#This Row],[Tenure]]&gt;2,3%,2%)*Staff[[#This Row],[Salary]],0)</f>
        <v>2774</v>
      </c>
      <c r="K128" s="31">
        <f>_xlfn.XLOOKUP(Staff[[#This Row],[Rating]],'SALARY VS RATING'!$G$5:$G$9,'SALARY VS RATING'!$H$5:$H$9)</f>
        <v>3</v>
      </c>
    </row>
    <row r="129" spans="1:11" ht="13.5" x14ac:dyDescent="0.25">
      <c r="A129" t="s">
        <v>166</v>
      </c>
      <c r="B129" t="s">
        <v>15</v>
      </c>
      <c r="C129" t="s">
        <v>17</v>
      </c>
      <c r="D129">
        <v>34</v>
      </c>
      <c r="E129" s="1">
        <v>44383</v>
      </c>
      <c r="F129" s="2">
        <v>92450</v>
      </c>
      <c r="G129" t="s">
        <v>13</v>
      </c>
      <c r="H129" t="s">
        <v>205</v>
      </c>
      <c r="I129" s="4">
        <f ca="1">(TODAY()-Staff[[#This Row],[Date Joined]])/365</f>
        <v>2.8301369863013699</v>
      </c>
      <c r="J129" s="5">
        <f ca="1">ROUNDUP(IF(Staff[[#This Row],[Tenure]]&gt;2,3%,2%)*Staff[[#This Row],[Salary]],0)</f>
        <v>2774</v>
      </c>
      <c r="K129" s="31">
        <f>_xlfn.XLOOKUP(Staff[[#This Row],[Rating]],'SALARY VS RATING'!$G$5:$G$9,'SALARY VS RATING'!$H$5:$H$9)</f>
        <v>3</v>
      </c>
    </row>
    <row r="130" spans="1:11" ht="13.5" x14ac:dyDescent="0.25">
      <c r="A130" t="s">
        <v>85</v>
      </c>
      <c r="B130" t="s">
        <v>15</v>
      </c>
      <c r="C130" t="s">
        <v>9</v>
      </c>
      <c r="D130">
        <v>25</v>
      </c>
      <c r="E130" s="1">
        <v>44205</v>
      </c>
      <c r="F130" s="2">
        <v>92700</v>
      </c>
      <c r="G130" t="s">
        <v>13</v>
      </c>
      <c r="H130" t="s">
        <v>203</v>
      </c>
      <c r="I130" s="4">
        <f ca="1">(TODAY()-Staff[[#This Row],[Date Joined]])/365</f>
        <v>3.3178082191780822</v>
      </c>
      <c r="J130" s="5">
        <f ca="1">ROUNDUP(IF(Staff[[#This Row],[Tenure]]&gt;2,3%,2%)*Staff[[#This Row],[Salary]],0)</f>
        <v>2781</v>
      </c>
      <c r="K130" s="31">
        <f>_xlfn.XLOOKUP(Staff[[#This Row],[Rating]],'SALARY VS RATING'!$G$5:$G$9,'SALARY VS RATING'!$H$5:$H$9)</f>
        <v>3</v>
      </c>
    </row>
    <row r="131" spans="1:11" ht="13.5" x14ac:dyDescent="0.25">
      <c r="A131" t="s">
        <v>116</v>
      </c>
      <c r="B131" t="s">
        <v>15</v>
      </c>
      <c r="C131" t="s">
        <v>9</v>
      </c>
      <c r="D131">
        <v>25</v>
      </c>
      <c r="E131" s="1">
        <v>44144</v>
      </c>
      <c r="F131" s="2">
        <v>92700</v>
      </c>
      <c r="G131" t="s">
        <v>13</v>
      </c>
      <c r="H131" t="s">
        <v>205</v>
      </c>
      <c r="I131" s="4">
        <f ca="1">(TODAY()-Staff[[#This Row],[Date Joined]])/365</f>
        <v>3.484931506849315</v>
      </c>
      <c r="J131" s="5">
        <f ca="1">ROUNDUP(IF(Staff[[#This Row],[Tenure]]&gt;2,3%,2%)*Staff[[#This Row],[Salary]],0)</f>
        <v>2781</v>
      </c>
      <c r="K131" s="31">
        <f>_xlfn.XLOOKUP(Staff[[#This Row],[Rating]],'SALARY VS RATING'!$G$5:$G$9,'SALARY VS RATING'!$H$5:$H$9)</f>
        <v>3</v>
      </c>
    </row>
    <row r="132" spans="1:11" ht="13.5" x14ac:dyDescent="0.25">
      <c r="A132" t="s">
        <v>55</v>
      </c>
      <c r="B132" t="s">
        <v>15</v>
      </c>
      <c r="C132" t="s">
        <v>23</v>
      </c>
      <c r="D132">
        <v>33</v>
      </c>
      <c r="E132" s="1">
        <v>44190</v>
      </c>
      <c r="F132" s="2">
        <v>96140</v>
      </c>
      <c r="G132" t="s">
        <v>13</v>
      </c>
      <c r="H132" t="s">
        <v>203</v>
      </c>
      <c r="I132" s="4">
        <f ca="1">(TODAY()-Staff[[#This Row],[Date Joined]])/365</f>
        <v>3.3589041095890413</v>
      </c>
      <c r="J132" s="5">
        <f ca="1">ROUNDUP(IF(Staff[[#This Row],[Tenure]]&gt;2,3%,2%)*Staff[[#This Row],[Salary]],0)</f>
        <v>2885</v>
      </c>
      <c r="K132" s="31">
        <f>_xlfn.XLOOKUP(Staff[[#This Row],[Rating]],'SALARY VS RATING'!$G$5:$G$9,'SALARY VS RATING'!$H$5:$H$9)</f>
        <v>3</v>
      </c>
    </row>
    <row r="133" spans="1:11" ht="13.5" x14ac:dyDescent="0.25">
      <c r="A133" t="s">
        <v>201</v>
      </c>
      <c r="B133" t="s">
        <v>15</v>
      </c>
      <c r="C133" t="s">
        <v>23</v>
      </c>
      <c r="D133">
        <v>33</v>
      </c>
      <c r="E133" s="1">
        <v>44129</v>
      </c>
      <c r="F133" s="2">
        <v>96140</v>
      </c>
      <c r="G133" t="s">
        <v>13</v>
      </c>
      <c r="H133" t="s">
        <v>205</v>
      </c>
      <c r="I133" s="4">
        <f ca="1">(TODAY()-Staff[[#This Row],[Date Joined]])/365</f>
        <v>3.526027397260274</v>
      </c>
      <c r="J133" s="5">
        <f ca="1">ROUNDUP(IF(Staff[[#This Row],[Tenure]]&gt;2,3%,2%)*Staff[[#This Row],[Salary]],0)</f>
        <v>2885</v>
      </c>
      <c r="K133" s="31">
        <f>_xlfn.XLOOKUP(Staff[[#This Row],[Rating]],'SALARY VS RATING'!$G$5:$G$9,'SALARY VS RATING'!$H$5:$H$9)</f>
        <v>3</v>
      </c>
    </row>
    <row r="134" spans="1:11" ht="13.5" x14ac:dyDescent="0.25">
      <c r="A134" t="s">
        <v>99</v>
      </c>
      <c r="B134" t="s">
        <v>8</v>
      </c>
      <c r="C134" t="s">
        <v>17</v>
      </c>
      <c r="D134">
        <v>30</v>
      </c>
      <c r="E134" s="1">
        <v>44606</v>
      </c>
      <c r="F134" s="2">
        <v>96800</v>
      </c>
      <c r="G134" t="s">
        <v>13</v>
      </c>
      <c r="H134" t="s">
        <v>203</v>
      </c>
      <c r="I134" s="4">
        <f ca="1">(TODAY()-Staff[[#This Row],[Date Joined]])/365</f>
        <v>2.2191780821917808</v>
      </c>
      <c r="J134" s="5">
        <f ca="1">ROUNDUP(IF(Staff[[#This Row],[Tenure]]&gt;2,3%,2%)*Staff[[#This Row],[Salary]],0)</f>
        <v>2904</v>
      </c>
      <c r="K134" s="31">
        <f>_xlfn.XLOOKUP(Staff[[#This Row],[Rating]],'SALARY VS RATING'!$G$5:$G$9,'SALARY VS RATING'!$H$5:$H$9)</f>
        <v>3</v>
      </c>
    </row>
    <row r="135" spans="1:11" ht="13.5" x14ac:dyDescent="0.25">
      <c r="A135" t="s">
        <v>121</v>
      </c>
      <c r="B135" t="s">
        <v>8</v>
      </c>
      <c r="C135" t="s">
        <v>17</v>
      </c>
      <c r="D135">
        <v>30</v>
      </c>
      <c r="E135" s="1">
        <v>44544</v>
      </c>
      <c r="F135" s="2">
        <v>96800</v>
      </c>
      <c r="G135" t="s">
        <v>13</v>
      </c>
      <c r="H135" t="s">
        <v>205</v>
      </c>
      <c r="I135" s="4">
        <f ca="1">(TODAY()-Staff[[#This Row],[Date Joined]])/365</f>
        <v>2.3890410958904109</v>
      </c>
      <c r="J135" s="5">
        <f ca="1">ROUNDUP(IF(Staff[[#This Row],[Tenure]]&gt;2,3%,2%)*Staff[[#This Row],[Salary]],0)</f>
        <v>2904</v>
      </c>
      <c r="K135" s="31">
        <f>_xlfn.XLOOKUP(Staff[[#This Row],[Rating]],'SALARY VS RATING'!$G$5:$G$9,'SALARY VS RATING'!$H$5:$H$9)</f>
        <v>3</v>
      </c>
    </row>
    <row r="136" spans="1:11" ht="13.5" x14ac:dyDescent="0.25">
      <c r="A136" t="s">
        <v>32</v>
      </c>
      <c r="B136" t="s">
        <v>8</v>
      </c>
      <c r="C136" t="s">
        <v>12</v>
      </c>
      <c r="D136">
        <v>40</v>
      </c>
      <c r="E136" s="1">
        <v>44263</v>
      </c>
      <c r="F136" s="2">
        <v>99750</v>
      </c>
      <c r="G136" t="s">
        <v>13</v>
      </c>
      <c r="H136" t="s">
        <v>203</v>
      </c>
      <c r="I136" s="4">
        <f ca="1">(TODAY()-Staff[[#This Row],[Date Joined]])/365</f>
        <v>3.1589041095890411</v>
      </c>
      <c r="J136" s="5">
        <f ca="1">ROUNDUP(IF(Staff[[#This Row],[Tenure]]&gt;2,3%,2%)*Staff[[#This Row],[Salary]],0)</f>
        <v>2993</v>
      </c>
      <c r="K136" s="31">
        <f>_xlfn.XLOOKUP(Staff[[#This Row],[Rating]],'SALARY VS RATING'!$G$5:$G$9,'SALARY VS RATING'!$H$5:$H$9)</f>
        <v>3</v>
      </c>
    </row>
    <row r="137" spans="1:11" ht="13.5" x14ac:dyDescent="0.25">
      <c r="A137" t="s">
        <v>174</v>
      </c>
      <c r="B137" t="s">
        <v>8</v>
      </c>
      <c r="C137" t="s">
        <v>12</v>
      </c>
      <c r="D137">
        <v>40</v>
      </c>
      <c r="E137" s="1">
        <v>44204</v>
      </c>
      <c r="F137" s="2">
        <v>99750</v>
      </c>
      <c r="G137" t="s">
        <v>13</v>
      </c>
      <c r="H137" t="s">
        <v>205</v>
      </c>
      <c r="I137" s="4">
        <f ca="1">(TODAY()-Staff[[#This Row],[Date Joined]])/365</f>
        <v>3.3205479452054796</v>
      </c>
      <c r="J137" s="5">
        <f ca="1">ROUNDUP(IF(Staff[[#This Row],[Tenure]]&gt;2,3%,2%)*Staff[[#This Row],[Salary]],0)</f>
        <v>2993</v>
      </c>
      <c r="K137" s="31">
        <f>_xlfn.XLOOKUP(Staff[[#This Row],[Rating]],'SALARY VS RATING'!$G$5:$G$9,'SALARY VS RATING'!$H$5:$H$9)</f>
        <v>3</v>
      </c>
    </row>
    <row r="138" spans="1:11" ht="13.5" x14ac:dyDescent="0.25">
      <c r="A138" t="s">
        <v>54</v>
      </c>
      <c r="B138" t="s">
        <v>15</v>
      </c>
      <c r="C138" t="s">
        <v>12</v>
      </c>
      <c r="D138">
        <v>28</v>
      </c>
      <c r="E138" s="1">
        <v>44630</v>
      </c>
      <c r="F138" s="2">
        <v>99970</v>
      </c>
      <c r="G138" t="s">
        <v>13</v>
      </c>
      <c r="H138" t="s">
        <v>203</v>
      </c>
      <c r="I138" s="4">
        <f ca="1">(TODAY()-Staff[[#This Row],[Date Joined]])/365</f>
        <v>2.1534246575342464</v>
      </c>
      <c r="J138" s="5">
        <f ca="1">ROUNDUP(IF(Staff[[#This Row],[Tenure]]&gt;2,3%,2%)*Staff[[#This Row],[Salary]],0)</f>
        <v>3000</v>
      </c>
      <c r="K138" s="31">
        <f>_xlfn.XLOOKUP(Staff[[#This Row],[Rating]],'SALARY VS RATING'!$G$5:$G$9,'SALARY VS RATING'!$H$5:$H$9)</f>
        <v>3</v>
      </c>
    </row>
    <row r="139" spans="1:11" ht="13.5" x14ac:dyDescent="0.25">
      <c r="A139" t="s">
        <v>142</v>
      </c>
      <c r="B139" t="s">
        <v>15</v>
      </c>
      <c r="C139" t="s">
        <v>12</v>
      </c>
      <c r="D139">
        <v>28</v>
      </c>
      <c r="E139" s="1">
        <v>44571</v>
      </c>
      <c r="F139" s="2">
        <v>99970</v>
      </c>
      <c r="G139" t="s">
        <v>13</v>
      </c>
      <c r="H139" t="s">
        <v>205</v>
      </c>
      <c r="I139" s="4">
        <f ca="1">(TODAY()-Staff[[#This Row],[Date Joined]])/365</f>
        <v>2.3150684931506849</v>
      </c>
      <c r="J139" s="5">
        <f ca="1">ROUNDUP(IF(Staff[[#This Row],[Tenure]]&gt;2,3%,2%)*Staff[[#This Row],[Salary]],0)</f>
        <v>3000</v>
      </c>
      <c r="K139" s="31">
        <f>_xlfn.XLOOKUP(Staff[[#This Row],[Rating]],'SALARY VS RATING'!$G$5:$G$9,'SALARY VS RATING'!$H$5:$H$9)</f>
        <v>3</v>
      </c>
    </row>
    <row r="140" spans="1:11" ht="13.5" x14ac:dyDescent="0.25">
      <c r="A140" t="s">
        <v>91</v>
      </c>
      <c r="B140" t="s">
        <v>8</v>
      </c>
      <c r="C140" t="s">
        <v>23</v>
      </c>
      <c r="D140">
        <v>24</v>
      </c>
      <c r="E140" s="1">
        <v>44686</v>
      </c>
      <c r="F140" s="2">
        <v>100420</v>
      </c>
      <c r="G140" t="s">
        <v>13</v>
      </c>
      <c r="H140" t="s">
        <v>203</v>
      </c>
      <c r="I140" s="4">
        <f ca="1">(TODAY()-Staff[[#This Row],[Date Joined]])/365</f>
        <v>2</v>
      </c>
      <c r="J140" s="5">
        <f ca="1">ROUNDUP(IF(Staff[[#This Row],[Tenure]]&gt;2,3%,2%)*Staff[[#This Row],[Salary]],0)</f>
        <v>2009</v>
      </c>
      <c r="K140" s="31">
        <f>_xlfn.XLOOKUP(Staff[[#This Row],[Rating]],'SALARY VS RATING'!$G$5:$G$9,'SALARY VS RATING'!$H$5:$H$9)</f>
        <v>3</v>
      </c>
    </row>
    <row r="141" spans="1:11" ht="13.5" x14ac:dyDescent="0.25">
      <c r="A141" t="s">
        <v>135</v>
      </c>
      <c r="B141" t="s">
        <v>8</v>
      </c>
      <c r="C141" t="s">
        <v>23</v>
      </c>
      <c r="D141">
        <v>24</v>
      </c>
      <c r="E141" s="1">
        <v>44625</v>
      </c>
      <c r="F141" s="2">
        <v>100420</v>
      </c>
      <c r="G141" t="s">
        <v>13</v>
      </c>
      <c r="H141" t="s">
        <v>205</v>
      </c>
      <c r="I141" s="4">
        <f ca="1">(TODAY()-Staff[[#This Row],[Date Joined]])/365</f>
        <v>2.1671232876712327</v>
      </c>
      <c r="J141" s="5">
        <f ca="1">ROUNDUP(IF(Staff[[#This Row],[Tenure]]&gt;2,3%,2%)*Staff[[#This Row],[Salary]],0)</f>
        <v>3013</v>
      </c>
      <c r="K141" s="31">
        <f>_xlfn.XLOOKUP(Staff[[#This Row],[Rating]],'SALARY VS RATING'!$G$5:$G$9,'SALARY VS RATING'!$H$5:$H$9)</f>
        <v>3</v>
      </c>
    </row>
    <row r="142" spans="1:11" ht="13.5" x14ac:dyDescent="0.25">
      <c r="A142" t="s">
        <v>56</v>
      </c>
      <c r="B142" t="s">
        <v>8</v>
      </c>
      <c r="C142" t="s">
        <v>12</v>
      </c>
      <c r="D142">
        <v>31</v>
      </c>
      <c r="E142" s="1">
        <v>44724</v>
      </c>
      <c r="F142" s="2">
        <v>103550</v>
      </c>
      <c r="G142" t="s">
        <v>13</v>
      </c>
      <c r="H142" t="s">
        <v>203</v>
      </c>
      <c r="I142" s="4">
        <f ca="1">(TODAY()-Staff[[#This Row],[Date Joined]])/365</f>
        <v>1.8958904109589041</v>
      </c>
      <c r="J142" s="5">
        <f ca="1">ROUNDUP(IF(Staff[[#This Row],[Tenure]]&gt;2,3%,2%)*Staff[[#This Row],[Salary]],0)</f>
        <v>2071</v>
      </c>
      <c r="K142" s="31">
        <f>_xlfn.XLOOKUP(Staff[[#This Row],[Rating]],'SALARY VS RATING'!$G$5:$G$9,'SALARY VS RATING'!$H$5:$H$9)</f>
        <v>3</v>
      </c>
    </row>
    <row r="143" spans="1:11" ht="13.5" x14ac:dyDescent="0.25">
      <c r="A143" t="s">
        <v>112</v>
      </c>
      <c r="B143" t="s">
        <v>8</v>
      </c>
      <c r="C143" t="s">
        <v>12</v>
      </c>
      <c r="D143">
        <v>31</v>
      </c>
      <c r="E143" s="1">
        <v>44663</v>
      </c>
      <c r="F143" s="2">
        <v>103550</v>
      </c>
      <c r="G143" t="s">
        <v>13</v>
      </c>
      <c r="H143" t="s">
        <v>205</v>
      </c>
      <c r="I143" s="4">
        <f ca="1">(TODAY()-Staff[[#This Row],[Date Joined]])/365</f>
        <v>2.0630136986301371</v>
      </c>
      <c r="J143" s="5">
        <f ca="1">ROUNDUP(IF(Staff[[#This Row],[Tenure]]&gt;2,3%,2%)*Staff[[#This Row],[Salary]],0)</f>
        <v>3107</v>
      </c>
      <c r="K143" s="31">
        <f>_xlfn.XLOOKUP(Staff[[#This Row],[Rating]],'SALARY VS RATING'!$G$5:$G$9,'SALARY VS RATING'!$H$5:$H$9)</f>
        <v>3</v>
      </c>
    </row>
    <row r="144" spans="1:11" ht="13.5" x14ac:dyDescent="0.25">
      <c r="A144" t="s">
        <v>89</v>
      </c>
      <c r="B144" t="s">
        <v>15</v>
      </c>
      <c r="C144" t="s">
        <v>12</v>
      </c>
      <c r="D144">
        <v>28</v>
      </c>
      <c r="E144" s="1">
        <v>44649</v>
      </c>
      <c r="F144" s="2">
        <v>104120</v>
      </c>
      <c r="G144" t="s">
        <v>13</v>
      </c>
      <c r="H144" t="s">
        <v>203</v>
      </c>
      <c r="I144" s="4">
        <f ca="1">(TODAY()-Staff[[#This Row],[Date Joined]])/365</f>
        <v>2.1013698630136988</v>
      </c>
      <c r="J144" s="5">
        <f ca="1">ROUNDUP(IF(Staff[[#This Row],[Tenure]]&gt;2,3%,2%)*Staff[[#This Row],[Salary]],0)</f>
        <v>3124</v>
      </c>
      <c r="K144" s="31">
        <f>_xlfn.XLOOKUP(Staff[[#This Row],[Rating]],'SALARY VS RATING'!$G$5:$G$9,'SALARY VS RATING'!$H$5:$H$9)</f>
        <v>3</v>
      </c>
    </row>
    <row r="145" spans="1:11" ht="13.5" x14ac:dyDescent="0.25">
      <c r="A145" t="s">
        <v>188</v>
      </c>
      <c r="B145" t="s">
        <v>15</v>
      </c>
      <c r="C145" t="s">
        <v>12</v>
      </c>
      <c r="D145">
        <v>28</v>
      </c>
      <c r="E145" s="1">
        <v>44590</v>
      </c>
      <c r="F145" s="2">
        <v>104120</v>
      </c>
      <c r="G145" t="s">
        <v>13</v>
      </c>
      <c r="H145" t="s">
        <v>205</v>
      </c>
      <c r="I145" s="4">
        <f ca="1">(TODAY()-Staff[[#This Row],[Date Joined]])/365</f>
        <v>2.2630136986301368</v>
      </c>
      <c r="J145" s="5">
        <f ca="1">ROUNDUP(IF(Staff[[#This Row],[Tenure]]&gt;2,3%,2%)*Staff[[#This Row],[Salary]],0)</f>
        <v>3124</v>
      </c>
      <c r="K145" s="31">
        <f>_xlfn.XLOOKUP(Staff[[#This Row],[Rating]],'SALARY VS RATING'!$G$5:$G$9,'SALARY VS RATING'!$H$5:$H$9)</f>
        <v>3</v>
      </c>
    </row>
    <row r="146" spans="1:11" ht="13.5" x14ac:dyDescent="0.25">
      <c r="A146" t="s">
        <v>98</v>
      </c>
      <c r="B146" t="s">
        <v>15</v>
      </c>
      <c r="C146" t="s">
        <v>23</v>
      </c>
      <c r="D146">
        <v>40</v>
      </c>
      <c r="E146" s="1">
        <v>44381</v>
      </c>
      <c r="F146" s="2">
        <v>104410</v>
      </c>
      <c r="G146" t="s">
        <v>13</v>
      </c>
      <c r="H146" t="s">
        <v>203</v>
      </c>
      <c r="I146" s="4">
        <f ca="1">(TODAY()-Staff[[#This Row],[Date Joined]])/365</f>
        <v>2.8356164383561642</v>
      </c>
      <c r="J146" s="5">
        <f ca="1">ROUNDUP(IF(Staff[[#This Row],[Tenure]]&gt;2,3%,2%)*Staff[[#This Row],[Salary]],0)</f>
        <v>3133</v>
      </c>
      <c r="K146" s="31">
        <f>_xlfn.XLOOKUP(Staff[[#This Row],[Rating]],'SALARY VS RATING'!$G$5:$G$9,'SALARY VS RATING'!$H$5:$H$9)</f>
        <v>3</v>
      </c>
    </row>
    <row r="147" spans="1:11" ht="13.5" x14ac:dyDescent="0.25">
      <c r="A147" t="s">
        <v>120</v>
      </c>
      <c r="B147" t="s">
        <v>15</v>
      </c>
      <c r="C147" t="s">
        <v>23</v>
      </c>
      <c r="D147">
        <v>40</v>
      </c>
      <c r="E147" s="1">
        <v>44320</v>
      </c>
      <c r="F147" s="2">
        <v>104410</v>
      </c>
      <c r="G147" t="s">
        <v>13</v>
      </c>
      <c r="H147" t="s">
        <v>205</v>
      </c>
      <c r="I147" s="4">
        <f ca="1">(TODAY()-Staff[[#This Row],[Date Joined]])/365</f>
        <v>3.0027397260273974</v>
      </c>
      <c r="J147" s="5">
        <f ca="1">ROUNDUP(IF(Staff[[#This Row],[Tenure]]&gt;2,3%,2%)*Staff[[#This Row],[Salary]],0)</f>
        <v>3133</v>
      </c>
      <c r="K147" s="31">
        <f>_xlfn.XLOOKUP(Staff[[#This Row],[Rating]],'SALARY VS RATING'!$G$5:$G$9,'SALARY VS RATING'!$H$5:$H$9)</f>
        <v>3</v>
      </c>
    </row>
    <row r="148" spans="1:11" ht="13.5" x14ac:dyDescent="0.25">
      <c r="A148" t="s">
        <v>81</v>
      </c>
      <c r="B148" t="s">
        <v>15</v>
      </c>
      <c r="C148" t="s">
        <v>12</v>
      </c>
      <c r="D148">
        <v>28</v>
      </c>
      <c r="E148" s="1">
        <v>44486</v>
      </c>
      <c r="F148" s="2">
        <v>104770</v>
      </c>
      <c r="G148" t="s">
        <v>13</v>
      </c>
      <c r="H148" t="s">
        <v>203</v>
      </c>
      <c r="I148" s="4">
        <f ca="1">(TODAY()-Staff[[#This Row],[Date Joined]])/365</f>
        <v>2.547945205479452</v>
      </c>
      <c r="J148" s="5">
        <f ca="1">ROUNDUP(IF(Staff[[#This Row],[Tenure]]&gt;2,3%,2%)*Staff[[#This Row],[Salary]],0)</f>
        <v>3144</v>
      </c>
      <c r="K148" s="31">
        <f>_xlfn.XLOOKUP(Staff[[#This Row],[Rating]],'SALARY VS RATING'!$G$5:$G$9,'SALARY VS RATING'!$H$5:$H$9)</f>
        <v>3</v>
      </c>
    </row>
    <row r="149" spans="1:11" ht="13.5" x14ac:dyDescent="0.25">
      <c r="A149" t="s">
        <v>156</v>
      </c>
      <c r="B149" t="s">
        <v>15</v>
      </c>
      <c r="C149" t="s">
        <v>12</v>
      </c>
      <c r="D149">
        <v>28</v>
      </c>
      <c r="E149" s="1">
        <v>44425</v>
      </c>
      <c r="F149" s="2">
        <v>104770</v>
      </c>
      <c r="G149" t="s">
        <v>13</v>
      </c>
      <c r="H149" t="s">
        <v>205</v>
      </c>
      <c r="I149" s="4">
        <f ca="1">(TODAY()-Staff[[#This Row],[Date Joined]])/365</f>
        <v>2.7150684931506848</v>
      </c>
      <c r="J149" s="5">
        <f ca="1">ROUNDUP(IF(Staff[[#This Row],[Tenure]]&gt;2,3%,2%)*Staff[[#This Row],[Salary]],0)</f>
        <v>3144</v>
      </c>
      <c r="K149" s="31">
        <f>_xlfn.XLOOKUP(Staff[[#This Row],[Rating]],'SALARY VS RATING'!$G$5:$G$9,'SALARY VS RATING'!$H$5:$H$9)</f>
        <v>3</v>
      </c>
    </row>
    <row r="150" spans="1:11" ht="13.5" x14ac:dyDescent="0.25">
      <c r="A150" t="s">
        <v>94</v>
      </c>
      <c r="B150" t="s">
        <v>8</v>
      </c>
      <c r="C150" t="s">
        <v>12</v>
      </c>
      <c r="D150">
        <v>23</v>
      </c>
      <c r="E150" s="1">
        <v>44440</v>
      </c>
      <c r="F150" s="2">
        <v>106460</v>
      </c>
      <c r="G150" t="s">
        <v>13</v>
      </c>
      <c r="H150" t="s">
        <v>203</v>
      </c>
      <c r="I150" s="4">
        <f ca="1">(TODAY()-Staff[[#This Row],[Date Joined]])/365</f>
        <v>2.6739726027397261</v>
      </c>
      <c r="J150" s="5">
        <f ca="1">ROUNDUP(IF(Staff[[#This Row],[Tenure]]&gt;2,3%,2%)*Staff[[#This Row],[Salary]],0)</f>
        <v>3194</v>
      </c>
      <c r="K150" s="31">
        <f>_xlfn.XLOOKUP(Staff[[#This Row],[Rating]],'SALARY VS RATING'!$G$5:$G$9,'SALARY VS RATING'!$H$5:$H$9)</f>
        <v>3</v>
      </c>
    </row>
    <row r="151" spans="1:11" ht="13.5" x14ac:dyDescent="0.25">
      <c r="A151" t="s">
        <v>184</v>
      </c>
      <c r="B151" t="s">
        <v>8</v>
      </c>
      <c r="C151" t="s">
        <v>12</v>
      </c>
      <c r="D151">
        <v>23</v>
      </c>
      <c r="E151" s="1">
        <v>44378</v>
      </c>
      <c r="F151" s="2">
        <v>106460</v>
      </c>
      <c r="G151" t="s">
        <v>13</v>
      </c>
      <c r="H151" t="s">
        <v>205</v>
      </c>
      <c r="I151" s="4">
        <f ca="1">(TODAY()-Staff[[#This Row],[Date Joined]])/365</f>
        <v>2.8438356164383563</v>
      </c>
      <c r="J151" s="5">
        <f ca="1">ROUNDUP(IF(Staff[[#This Row],[Tenure]]&gt;2,3%,2%)*Staff[[#This Row],[Salary]],0)</f>
        <v>3194</v>
      </c>
      <c r="K151" s="31">
        <f>_xlfn.XLOOKUP(Staff[[#This Row],[Rating]],'SALARY VS RATING'!$G$5:$G$9,'SALARY VS RATING'!$H$5:$H$9)</f>
        <v>3</v>
      </c>
    </row>
    <row r="152" spans="1:11" ht="13.5" x14ac:dyDescent="0.25">
      <c r="A152" t="s">
        <v>30</v>
      </c>
      <c r="B152" t="s">
        <v>8</v>
      </c>
      <c r="C152" t="s">
        <v>23</v>
      </c>
      <c r="D152">
        <v>20</v>
      </c>
      <c r="E152" s="1">
        <v>44459</v>
      </c>
      <c r="F152" s="2">
        <v>107700</v>
      </c>
      <c r="G152" t="s">
        <v>13</v>
      </c>
      <c r="H152" t="s">
        <v>203</v>
      </c>
      <c r="I152" s="4">
        <f ca="1">(TODAY()-Staff[[#This Row],[Date Joined]])/365</f>
        <v>2.6219178082191781</v>
      </c>
      <c r="J152" s="5">
        <f ca="1">ROUNDUP(IF(Staff[[#This Row],[Tenure]]&gt;2,3%,2%)*Staff[[#This Row],[Salary]],0)</f>
        <v>3231</v>
      </c>
      <c r="K152" s="31">
        <f>_xlfn.XLOOKUP(Staff[[#This Row],[Rating]],'SALARY VS RATING'!$G$5:$G$9,'SALARY VS RATING'!$H$5:$H$9)</f>
        <v>3</v>
      </c>
    </row>
    <row r="153" spans="1:11" ht="13.5" x14ac:dyDescent="0.25">
      <c r="A153" t="s">
        <v>192</v>
      </c>
      <c r="B153" t="s">
        <v>8</v>
      </c>
      <c r="C153" t="s">
        <v>23</v>
      </c>
      <c r="D153">
        <v>20</v>
      </c>
      <c r="E153" s="1">
        <v>44397</v>
      </c>
      <c r="F153" s="2">
        <v>107700</v>
      </c>
      <c r="G153" t="s">
        <v>13</v>
      </c>
      <c r="H153" t="s">
        <v>205</v>
      </c>
      <c r="I153" s="4">
        <f ca="1">(TODAY()-Staff[[#This Row],[Date Joined]])/365</f>
        <v>2.7917808219178082</v>
      </c>
      <c r="J153" s="5">
        <f ca="1">ROUNDUP(IF(Staff[[#This Row],[Tenure]]&gt;2,3%,2%)*Staff[[#This Row],[Salary]],0)</f>
        <v>3231</v>
      </c>
      <c r="K153" s="31">
        <f>_xlfn.XLOOKUP(Staff[[#This Row],[Rating]],'SALARY VS RATING'!$G$5:$G$9,'SALARY VS RATING'!$H$5:$H$9)</f>
        <v>3</v>
      </c>
    </row>
    <row r="154" spans="1:11" ht="13.5" x14ac:dyDescent="0.25">
      <c r="A154" t="s">
        <v>74</v>
      </c>
      <c r="B154" t="s">
        <v>15</v>
      </c>
      <c r="C154" t="s">
        <v>9</v>
      </c>
      <c r="D154">
        <v>38</v>
      </c>
      <c r="E154" s="1">
        <v>44377</v>
      </c>
      <c r="F154" s="2">
        <v>109160</v>
      </c>
      <c r="G154" t="s">
        <v>43</v>
      </c>
      <c r="H154" t="s">
        <v>203</v>
      </c>
      <c r="I154" s="4">
        <f ca="1">(TODAY()-Staff[[#This Row],[Date Joined]])/365</f>
        <v>2.8465753424657536</v>
      </c>
      <c r="J154" s="5">
        <f ca="1">ROUNDUP(IF(Staff[[#This Row],[Tenure]]&gt;2,3%,2%)*Staff[[#This Row],[Salary]],0)</f>
        <v>3275</v>
      </c>
      <c r="K154" s="31">
        <f>_xlfn.XLOOKUP(Staff[[#This Row],[Rating]],'SALARY VS RATING'!$G$5:$G$9,'SALARY VS RATING'!$H$5:$H$9)</f>
        <v>5</v>
      </c>
    </row>
    <row r="155" spans="1:11" ht="13.5" x14ac:dyDescent="0.25">
      <c r="A155" t="s">
        <v>173</v>
      </c>
      <c r="B155" t="s">
        <v>15</v>
      </c>
      <c r="C155" t="s">
        <v>9</v>
      </c>
      <c r="D155">
        <v>38</v>
      </c>
      <c r="E155" s="1">
        <v>44316</v>
      </c>
      <c r="F155" s="2">
        <v>109160</v>
      </c>
      <c r="G155" t="s">
        <v>43</v>
      </c>
      <c r="H155" t="s">
        <v>205</v>
      </c>
      <c r="I155" s="4">
        <f ca="1">(TODAY()-Staff[[#This Row],[Date Joined]])/365</f>
        <v>3.0136986301369864</v>
      </c>
      <c r="J155" s="5">
        <f ca="1">ROUNDUP(IF(Staff[[#This Row],[Tenure]]&gt;2,3%,2%)*Staff[[#This Row],[Salary]],0)</f>
        <v>3275</v>
      </c>
      <c r="K155" s="31">
        <f>_xlfn.XLOOKUP(Staff[[#This Row],[Rating]],'SALARY VS RATING'!$G$5:$G$9,'SALARY VS RATING'!$H$5:$H$9)</f>
        <v>5</v>
      </c>
    </row>
    <row r="156" spans="1:11" ht="13.5" x14ac:dyDescent="0.25">
      <c r="A156" t="s">
        <v>52</v>
      </c>
      <c r="B156" t="s">
        <v>8</v>
      </c>
      <c r="C156" t="s">
        <v>12</v>
      </c>
      <c r="D156">
        <v>25</v>
      </c>
      <c r="E156" s="1">
        <v>44726</v>
      </c>
      <c r="F156" s="2">
        <v>109190</v>
      </c>
      <c r="G156" t="s">
        <v>10</v>
      </c>
      <c r="H156" t="s">
        <v>203</v>
      </c>
      <c r="I156" s="4">
        <f ca="1">(TODAY()-Staff[[#This Row],[Date Joined]])/365</f>
        <v>1.8904109589041096</v>
      </c>
      <c r="J156" s="5">
        <f ca="1">ROUNDUP(IF(Staff[[#This Row],[Tenure]]&gt;2,3%,2%)*Staff[[#This Row],[Salary]],0)</f>
        <v>2184</v>
      </c>
      <c r="K156" s="31">
        <f>_xlfn.XLOOKUP(Staff[[#This Row],[Rating]],'SALARY VS RATING'!$G$5:$G$9,'SALARY VS RATING'!$H$5:$H$9)</f>
        <v>4</v>
      </c>
    </row>
    <row r="157" spans="1:11" ht="13.5" x14ac:dyDescent="0.25">
      <c r="A157" t="s">
        <v>119</v>
      </c>
      <c r="B157" t="s">
        <v>8</v>
      </c>
      <c r="C157" t="s">
        <v>12</v>
      </c>
      <c r="D157">
        <v>25</v>
      </c>
      <c r="E157" s="1">
        <v>44665</v>
      </c>
      <c r="F157" s="2">
        <v>109190</v>
      </c>
      <c r="G157" t="s">
        <v>10</v>
      </c>
      <c r="H157" t="s">
        <v>205</v>
      </c>
      <c r="I157" s="4">
        <f ca="1">(TODAY()-Staff[[#This Row],[Date Joined]])/365</f>
        <v>2.0575342465753423</v>
      </c>
      <c r="J157" s="5">
        <f ca="1">ROUNDUP(IF(Staff[[#This Row],[Tenure]]&gt;2,3%,2%)*Staff[[#This Row],[Salary]],0)</f>
        <v>3276</v>
      </c>
      <c r="K157" s="31">
        <f>_xlfn.XLOOKUP(Staff[[#This Row],[Rating]],'SALARY VS RATING'!$G$5:$G$9,'SALARY VS RATING'!$H$5:$H$9)</f>
        <v>4</v>
      </c>
    </row>
    <row r="158" spans="1:11" ht="13.5" x14ac:dyDescent="0.25">
      <c r="A158" t="s">
        <v>27</v>
      </c>
      <c r="B158" t="s">
        <v>8</v>
      </c>
      <c r="C158" t="s">
        <v>23</v>
      </c>
      <c r="D158">
        <v>29</v>
      </c>
      <c r="E158" s="1">
        <v>44180</v>
      </c>
      <c r="F158" s="2">
        <v>112110</v>
      </c>
      <c r="G158" t="s">
        <v>18</v>
      </c>
      <c r="H158" t="s">
        <v>203</v>
      </c>
      <c r="I158" s="4">
        <f ca="1">(TODAY()-Staff[[#This Row],[Date Joined]])/365</f>
        <v>3.3863013698630136</v>
      </c>
      <c r="J158" s="5">
        <f ca="1">ROUNDUP(IF(Staff[[#This Row],[Tenure]]&gt;2,3%,2%)*Staff[[#This Row],[Salary]],0)</f>
        <v>3364</v>
      </c>
      <c r="K158" s="31">
        <f>_xlfn.XLOOKUP(Staff[[#This Row],[Rating]],'SALARY VS RATING'!$G$5:$G$9,'SALARY VS RATING'!$H$5:$H$9)</f>
        <v>2</v>
      </c>
    </row>
    <row r="159" spans="1:11" ht="13.5" x14ac:dyDescent="0.25">
      <c r="A159" t="s">
        <v>145</v>
      </c>
      <c r="B159" t="s">
        <v>8</v>
      </c>
      <c r="C159" t="s">
        <v>23</v>
      </c>
      <c r="D159">
        <v>29</v>
      </c>
      <c r="E159" s="1">
        <v>44119</v>
      </c>
      <c r="F159" s="2">
        <v>112110</v>
      </c>
      <c r="G159" t="s">
        <v>18</v>
      </c>
      <c r="H159" t="s">
        <v>205</v>
      </c>
      <c r="I159" s="4">
        <f ca="1">(TODAY()-Staff[[#This Row],[Date Joined]])/365</f>
        <v>3.5534246575342467</v>
      </c>
      <c r="J159" s="5">
        <f ca="1">ROUNDUP(IF(Staff[[#This Row],[Tenure]]&gt;2,3%,2%)*Staff[[#This Row],[Salary]],0)</f>
        <v>3364</v>
      </c>
      <c r="K159" s="31">
        <f>_xlfn.XLOOKUP(Staff[[#This Row],[Rating]],'SALARY VS RATING'!$G$5:$G$9,'SALARY VS RATING'!$H$5:$H$9)</f>
        <v>2</v>
      </c>
    </row>
    <row r="160" spans="1:11" ht="13.5" x14ac:dyDescent="0.25">
      <c r="A160" t="s">
        <v>20</v>
      </c>
      <c r="B160" t="s">
        <v>15</v>
      </c>
      <c r="C160" t="s">
        <v>12</v>
      </c>
      <c r="D160">
        <v>30</v>
      </c>
      <c r="E160" s="1">
        <v>44861</v>
      </c>
      <c r="F160" s="2">
        <v>112570</v>
      </c>
      <c r="G160" t="s">
        <v>13</v>
      </c>
      <c r="H160" t="s">
        <v>203</v>
      </c>
      <c r="I160" s="4">
        <f ca="1">(TODAY()-Staff[[#This Row],[Date Joined]])/365</f>
        <v>1.5205479452054795</v>
      </c>
      <c r="J160" s="5">
        <f ca="1">ROUNDUP(IF(Staff[[#This Row],[Tenure]]&gt;2,3%,2%)*Staff[[#This Row],[Salary]],0)</f>
        <v>2252</v>
      </c>
      <c r="K160" s="31">
        <f>_xlfn.XLOOKUP(Staff[[#This Row],[Rating]],'SALARY VS RATING'!$G$5:$G$9,'SALARY VS RATING'!$H$5:$H$9)</f>
        <v>3</v>
      </c>
    </row>
    <row r="161" spans="1:11" ht="13.5" x14ac:dyDescent="0.25">
      <c r="A161" t="s">
        <v>139</v>
      </c>
      <c r="B161" t="s">
        <v>15</v>
      </c>
      <c r="C161" t="s">
        <v>12</v>
      </c>
      <c r="D161">
        <v>30</v>
      </c>
      <c r="E161" s="1">
        <v>44800</v>
      </c>
      <c r="F161" s="2">
        <v>112570</v>
      </c>
      <c r="G161" t="s">
        <v>13</v>
      </c>
      <c r="H161" t="s">
        <v>205</v>
      </c>
      <c r="I161" s="4">
        <f ca="1">(TODAY()-Staff[[#This Row],[Date Joined]])/365</f>
        <v>1.6876712328767123</v>
      </c>
      <c r="J161" s="5">
        <f ca="1">ROUNDUP(IF(Staff[[#This Row],[Tenure]]&gt;2,3%,2%)*Staff[[#This Row],[Salary]],0)</f>
        <v>2252</v>
      </c>
      <c r="K161" s="31">
        <f>_xlfn.XLOOKUP(Staff[[#This Row],[Rating]],'SALARY VS RATING'!$G$5:$G$9,'SALARY VS RATING'!$H$5:$H$9)</f>
        <v>3</v>
      </c>
    </row>
    <row r="162" spans="1:11" ht="13.5" x14ac:dyDescent="0.25">
      <c r="A162" t="s">
        <v>63</v>
      </c>
      <c r="B162" t="s">
        <v>8</v>
      </c>
      <c r="C162" t="s">
        <v>23</v>
      </c>
      <c r="D162">
        <v>20</v>
      </c>
      <c r="E162" s="1">
        <v>44183</v>
      </c>
      <c r="F162" s="2">
        <v>112650</v>
      </c>
      <c r="G162" t="s">
        <v>13</v>
      </c>
      <c r="H162" t="s">
        <v>203</v>
      </c>
      <c r="I162" s="4">
        <f ca="1">(TODAY()-Staff[[#This Row],[Date Joined]])/365</f>
        <v>3.3780821917808219</v>
      </c>
      <c r="J162" s="5">
        <f ca="1">ROUNDUP(IF(Staff[[#This Row],[Tenure]]&gt;2,3%,2%)*Staff[[#This Row],[Salary]],0)</f>
        <v>3380</v>
      </c>
      <c r="K162" s="31">
        <f>_xlfn.XLOOKUP(Staff[[#This Row],[Rating]],'SALARY VS RATING'!$G$5:$G$9,'SALARY VS RATING'!$H$5:$H$9)</f>
        <v>3</v>
      </c>
    </row>
    <row r="163" spans="1:11" ht="13.5" x14ac:dyDescent="0.25">
      <c r="A163" t="s">
        <v>110</v>
      </c>
      <c r="B163" t="s">
        <v>8</v>
      </c>
      <c r="C163" t="s">
        <v>23</v>
      </c>
      <c r="D163">
        <v>20</v>
      </c>
      <c r="E163" s="1">
        <v>44122</v>
      </c>
      <c r="F163" s="2">
        <v>112650</v>
      </c>
      <c r="G163" t="s">
        <v>13</v>
      </c>
      <c r="H163" t="s">
        <v>205</v>
      </c>
      <c r="I163" s="4">
        <f ca="1">(TODAY()-Staff[[#This Row],[Date Joined]])/365</f>
        <v>3.5452054794520547</v>
      </c>
      <c r="J163" s="5">
        <f ca="1">ROUNDUP(IF(Staff[[#This Row],[Tenure]]&gt;2,3%,2%)*Staff[[#This Row],[Salary]],0)</f>
        <v>3380</v>
      </c>
      <c r="K163" s="31">
        <f>_xlfn.XLOOKUP(Staff[[#This Row],[Rating]],'SALARY VS RATING'!$G$5:$G$9,'SALARY VS RATING'!$H$5:$H$9)</f>
        <v>3</v>
      </c>
    </row>
    <row r="164" spans="1:11" ht="13.5" x14ac:dyDescent="0.25">
      <c r="A164" t="s">
        <v>124</v>
      </c>
      <c r="B164" t="s">
        <v>8</v>
      </c>
      <c r="C164" t="s">
        <v>12</v>
      </c>
      <c r="D164">
        <v>34</v>
      </c>
      <c r="E164" s="1">
        <v>44642</v>
      </c>
      <c r="F164" s="2">
        <v>112650</v>
      </c>
      <c r="G164" t="s">
        <v>13</v>
      </c>
      <c r="H164" t="s">
        <v>205</v>
      </c>
      <c r="I164" s="4">
        <f ca="1">(TODAY()-Staff[[#This Row],[Date Joined]])/365</f>
        <v>2.1205479452054794</v>
      </c>
      <c r="J164" s="5">
        <f ca="1">ROUNDUP(IF(Staff[[#This Row],[Tenure]]&gt;2,3%,2%)*Staff[[#This Row],[Salary]],0)</f>
        <v>3380</v>
      </c>
      <c r="K164" s="31">
        <f>_xlfn.XLOOKUP(Staff[[#This Row],[Rating]],'SALARY VS RATING'!$G$5:$G$9,'SALARY VS RATING'!$H$5:$H$9)</f>
        <v>3</v>
      </c>
    </row>
    <row r="165" spans="1:11" ht="13.5" x14ac:dyDescent="0.25">
      <c r="A165" t="s">
        <v>7</v>
      </c>
      <c r="B165" t="s">
        <v>8</v>
      </c>
      <c r="C165" t="s">
        <v>9</v>
      </c>
      <c r="D165">
        <v>22</v>
      </c>
      <c r="E165" s="1">
        <v>44446</v>
      </c>
      <c r="F165" s="2">
        <v>112780</v>
      </c>
      <c r="G165" t="s">
        <v>10</v>
      </c>
      <c r="H165" t="s">
        <v>203</v>
      </c>
      <c r="I165" s="4">
        <f ca="1">(TODAY()-Staff[[#This Row],[Date Joined]])/365</f>
        <v>2.6575342465753424</v>
      </c>
      <c r="J165" s="5">
        <f ca="1">ROUNDUP(IF(Staff[[#This Row],[Tenure]]&gt;2,3%,2%)*Staff[[#This Row],[Salary]],0)</f>
        <v>3384</v>
      </c>
      <c r="K165" s="31">
        <f>_xlfn.XLOOKUP(Staff[[#This Row],[Rating]],'SALARY VS RATING'!$G$5:$G$9,'SALARY VS RATING'!$H$5:$H$9)</f>
        <v>4</v>
      </c>
    </row>
    <row r="166" spans="1:11" ht="13.5" x14ac:dyDescent="0.25">
      <c r="A166" t="s">
        <v>147</v>
      </c>
      <c r="B166" t="s">
        <v>8</v>
      </c>
      <c r="C166" t="s">
        <v>9</v>
      </c>
      <c r="D166">
        <v>22</v>
      </c>
      <c r="E166" s="1">
        <v>44384</v>
      </c>
      <c r="F166" s="2">
        <v>112780</v>
      </c>
      <c r="G166" t="s">
        <v>10</v>
      </c>
      <c r="H166" t="s">
        <v>205</v>
      </c>
      <c r="I166" s="4">
        <f ca="1">(TODAY()-Staff[[#This Row],[Date Joined]])/365</f>
        <v>2.8273972602739725</v>
      </c>
      <c r="J166" s="5">
        <f ca="1">ROUNDUP(IF(Staff[[#This Row],[Tenure]]&gt;2,3%,2%)*Staff[[#This Row],[Salary]],0)</f>
        <v>3384</v>
      </c>
      <c r="K166" s="31">
        <f>_xlfn.XLOOKUP(Staff[[#This Row],[Rating]],'SALARY VS RATING'!$G$5:$G$9,'SALARY VS RATING'!$H$5:$H$9)</f>
        <v>4</v>
      </c>
    </row>
    <row r="167" spans="1:11" ht="13.5" x14ac:dyDescent="0.25">
      <c r="A167" t="s">
        <v>75</v>
      </c>
      <c r="B167" t="s">
        <v>8</v>
      </c>
      <c r="C167" t="s">
        <v>12</v>
      </c>
      <c r="D167">
        <v>27</v>
      </c>
      <c r="E167" s="1">
        <v>44609</v>
      </c>
      <c r="F167" s="2">
        <v>113280</v>
      </c>
      <c r="G167" t="s">
        <v>49</v>
      </c>
      <c r="H167" t="s">
        <v>203</v>
      </c>
      <c r="I167" s="4">
        <f ca="1">(TODAY()-Staff[[#This Row],[Date Joined]])/365</f>
        <v>2.2109589041095892</v>
      </c>
      <c r="J167" s="5">
        <f ca="1">ROUNDUP(IF(Staff[[#This Row],[Tenure]]&gt;2,3%,2%)*Staff[[#This Row],[Salary]],0)</f>
        <v>3399</v>
      </c>
      <c r="K167" s="31">
        <f>_xlfn.XLOOKUP(Staff[[#This Row],[Rating]],'SALARY VS RATING'!$G$5:$G$9,'SALARY VS RATING'!$H$5:$H$9)</f>
        <v>1</v>
      </c>
    </row>
    <row r="168" spans="1:11" ht="13.5" x14ac:dyDescent="0.25">
      <c r="A168" t="s">
        <v>177</v>
      </c>
      <c r="B168" t="s">
        <v>8</v>
      </c>
      <c r="C168" t="s">
        <v>12</v>
      </c>
      <c r="D168">
        <v>27</v>
      </c>
      <c r="E168" s="1">
        <v>44547</v>
      </c>
      <c r="F168" s="2">
        <v>113280</v>
      </c>
      <c r="G168" t="s">
        <v>49</v>
      </c>
      <c r="H168" t="s">
        <v>205</v>
      </c>
      <c r="I168" s="4">
        <f ca="1">(TODAY()-Staff[[#This Row],[Date Joined]])/365</f>
        <v>2.3808219178082193</v>
      </c>
      <c r="J168" s="5">
        <f ca="1">ROUNDUP(IF(Staff[[#This Row],[Tenure]]&gt;2,3%,2%)*Staff[[#This Row],[Salary]],0)</f>
        <v>3399</v>
      </c>
      <c r="K168" s="31">
        <f>_xlfn.XLOOKUP(Staff[[#This Row],[Rating]],'SALARY VS RATING'!$G$5:$G$9,'SALARY VS RATING'!$H$5:$H$9)</f>
        <v>1</v>
      </c>
    </row>
    <row r="169" spans="1:11" ht="13.5" x14ac:dyDescent="0.25">
      <c r="A169" t="s">
        <v>92</v>
      </c>
      <c r="B169" t="s">
        <v>15</v>
      </c>
      <c r="C169" t="s">
        <v>12</v>
      </c>
      <c r="D169">
        <v>30</v>
      </c>
      <c r="E169" s="1">
        <v>44850</v>
      </c>
      <c r="F169" s="2">
        <v>114180</v>
      </c>
      <c r="G169" t="s">
        <v>13</v>
      </c>
      <c r="H169" t="s">
        <v>203</v>
      </c>
      <c r="I169" s="4">
        <f ca="1">(TODAY()-Staff[[#This Row],[Date Joined]])/365</f>
        <v>1.5506849315068494</v>
      </c>
      <c r="J169" s="5">
        <f ca="1">ROUNDUP(IF(Staff[[#This Row],[Tenure]]&gt;2,3%,2%)*Staff[[#This Row],[Salary]],0)</f>
        <v>2284</v>
      </c>
      <c r="K169" s="31">
        <f>_xlfn.XLOOKUP(Staff[[#This Row],[Rating]],'SALARY VS RATING'!$G$5:$G$9,'SALARY VS RATING'!$H$5:$H$9)</f>
        <v>3</v>
      </c>
    </row>
    <row r="170" spans="1:11" ht="13.5" x14ac:dyDescent="0.25">
      <c r="A170" t="s">
        <v>187</v>
      </c>
      <c r="B170" t="s">
        <v>15</v>
      </c>
      <c r="C170" t="s">
        <v>12</v>
      </c>
      <c r="D170">
        <v>30</v>
      </c>
      <c r="E170" s="1">
        <v>44789</v>
      </c>
      <c r="F170" s="2">
        <v>114180</v>
      </c>
      <c r="G170" t="s">
        <v>13</v>
      </c>
      <c r="H170" t="s">
        <v>205</v>
      </c>
      <c r="I170" s="4">
        <f ca="1">(TODAY()-Staff[[#This Row],[Date Joined]])/365</f>
        <v>1.7178082191780821</v>
      </c>
      <c r="J170" s="5">
        <f ca="1">ROUNDUP(IF(Staff[[#This Row],[Tenure]]&gt;2,3%,2%)*Staff[[#This Row],[Salary]],0)</f>
        <v>2284</v>
      </c>
      <c r="K170" s="31">
        <f>_xlfn.XLOOKUP(Staff[[#This Row],[Rating]],'SALARY VS RATING'!$G$5:$G$9,'SALARY VS RATING'!$H$5:$H$9)</f>
        <v>3</v>
      </c>
    </row>
    <row r="171" spans="1:11" ht="13.5" x14ac:dyDescent="0.25">
      <c r="A171" t="s">
        <v>79</v>
      </c>
      <c r="B171" t="s">
        <v>15</v>
      </c>
      <c r="C171" t="s">
        <v>23</v>
      </c>
      <c r="D171">
        <v>43</v>
      </c>
      <c r="E171" s="1">
        <v>45045</v>
      </c>
      <c r="F171" s="2">
        <v>114870</v>
      </c>
      <c r="G171" t="s">
        <v>13</v>
      </c>
      <c r="H171" t="s">
        <v>203</v>
      </c>
      <c r="I171" s="4">
        <f ca="1">(TODAY()-Staff[[#This Row],[Date Joined]])/365</f>
        <v>1.0164383561643835</v>
      </c>
      <c r="J171" s="5">
        <f ca="1">ROUNDUP(IF(Staff[[#This Row],[Tenure]]&gt;2,3%,2%)*Staff[[#This Row],[Salary]],0)</f>
        <v>2298</v>
      </c>
      <c r="K171" s="31">
        <f>_xlfn.XLOOKUP(Staff[[#This Row],[Rating]],'SALARY VS RATING'!$G$5:$G$9,'SALARY VS RATING'!$H$5:$H$9)</f>
        <v>3</v>
      </c>
    </row>
    <row r="172" spans="1:11" ht="13.5" x14ac:dyDescent="0.25">
      <c r="A172" t="s">
        <v>137</v>
      </c>
      <c r="B172" t="s">
        <v>15</v>
      </c>
      <c r="C172" t="s">
        <v>23</v>
      </c>
      <c r="D172">
        <v>44</v>
      </c>
      <c r="E172" s="1">
        <v>44985</v>
      </c>
      <c r="F172" s="2">
        <v>114870</v>
      </c>
      <c r="G172" t="s">
        <v>13</v>
      </c>
      <c r="H172" t="s">
        <v>205</v>
      </c>
      <c r="I172" s="4">
        <f ca="1">(TODAY()-Staff[[#This Row],[Date Joined]])/365</f>
        <v>1.1808219178082191</v>
      </c>
      <c r="J172" s="5">
        <f ca="1">ROUNDUP(IF(Staff[[#This Row],[Tenure]]&gt;2,3%,2%)*Staff[[#This Row],[Salary]],0)</f>
        <v>2298</v>
      </c>
      <c r="K172" s="31">
        <f>_xlfn.XLOOKUP(Staff[[#This Row],[Rating]],'SALARY VS RATING'!$G$5:$G$9,'SALARY VS RATING'!$H$5:$H$9)</f>
        <v>3</v>
      </c>
    </row>
    <row r="173" spans="1:11" ht="13.5" x14ac:dyDescent="0.25">
      <c r="A173" t="s">
        <v>71</v>
      </c>
      <c r="B173" t="s">
        <v>15</v>
      </c>
      <c r="C173" t="s">
        <v>12</v>
      </c>
      <c r="D173">
        <v>36</v>
      </c>
      <c r="E173" s="1">
        <v>44085</v>
      </c>
      <c r="F173" s="2">
        <v>114890</v>
      </c>
      <c r="G173" t="s">
        <v>13</v>
      </c>
      <c r="H173" t="s">
        <v>203</v>
      </c>
      <c r="I173" s="4">
        <f ca="1">(TODAY()-Staff[[#This Row],[Date Joined]])/365</f>
        <v>3.6465753424657534</v>
      </c>
      <c r="J173" s="5">
        <f ca="1">ROUNDUP(IF(Staff[[#This Row],[Tenure]]&gt;2,3%,2%)*Staff[[#This Row],[Salary]],0)</f>
        <v>3447</v>
      </c>
      <c r="K173" s="31">
        <f>_xlfn.XLOOKUP(Staff[[#This Row],[Rating]],'SALARY VS RATING'!$G$5:$G$9,'SALARY VS RATING'!$H$5:$H$9)</f>
        <v>3</v>
      </c>
    </row>
    <row r="174" spans="1:11" ht="13.5" x14ac:dyDescent="0.25">
      <c r="A174" t="s">
        <v>148</v>
      </c>
      <c r="B174" t="s">
        <v>15</v>
      </c>
      <c r="C174" t="s">
        <v>12</v>
      </c>
      <c r="D174">
        <v>36</v>
      </c>
      <c r="E174" s="1">
        <v>44023</v>
      </c>
      <c r="F174" s="2">
        <v>114890</v>
      </c>
      <c r="G174" t="s">
        <v>13</v>
      </c>
      <c r="H174" t="s">
        <v>205</v>
      </c>
      <c r="I174" s="4">
        <f ca="1">(TODAY()-Staff[[#This Row],[Date Joined]])/365</f>
        <v>3.8164383561643835</v>
      </c>
      <c r="J174" s="5">
        <f ca="1">ROUNDUP(IF(Staff[[#This Row],[Tenure]]&gt;2,3%,2%)*Staff[[#This Row],[Salary]],0)</f>
        <v>3447</v>
      </c>
      <c r="K174" s="31">
        <f>_xlfn.XLOOKUP(Staff[[#This Row],[Rating]],'SALARY VS RATING'!$G$5:$G$9,'SALARY VS RATING'!$H$5:$H$9)</f>
        <v>3</v>
      </c>
    </row>
    <row r="175" spans="1:11" ht="13.5" x14ac:dyDescent="0.25">
      <c r="A175" t="s">
        <v>16</v>
      </c>
      <c r="B175" t="s">
        <v>204</v>
      </c>
      <c r="C175" t="s">
        <v>17</v>
      </c>
      <c r="D175">
        <v>37</v>
      </c>
      <c r="E175" s="1">
        <v>44146</v>
      </c>
      <c r="F175" s="2">
        <v>115440</v>
      </c>
      <c r="G175" t="s">
        <v>18</v>
      </c>
      <c r="H175" t="s">
        <v>203</v>
      </c>
      <c r="I175" s="4">
        <f ca="1">(TODAY()-Staff[[#This Row],[Date Joined]])/365</f>
        <v>3.4794520547945207</v>
      </c>
      <c r="J175" s="5">
        <f ca="1">ROUNDUP(IF(Staff[[#This Row],[Tenure]]&gt;2,3%,2%)*Staff[[#This Row],[Salary]],0)</f>
        <v>3464</v>
      </c>
      <c r="K175" s="31">
        <f>_xlfn.XLOOKUP(Staff[[#This Row],[Rating]],'SALARY VS RATING'!$G$5:$G$9,'SALARY VS RATING'!$H$5:$H$9)</f>
        <v>2</v>
      </c>
    </row>
    <row r="176" spans="1:11" ht="13.5" x14ac:dyDescent="0.25">
      <c r="A176" t="s">
        <v>114</v>
      </c>
      <c r="B176" t="s">
        <v>204</v>
      </c>
      <c r="C176" t="s">
        <v>17</v>
      </c>
      <c r="D176">
        <v>37</v>
      </c>
      <c r="E176" s="1">
        <v>44085</v>
      </c>
      <c r="F176" s="2">
        <v>115440</v>
      </c>
      <c r="G176" t="s">
        <v>18</v>
      </c>
      <c r="H176" t="s">
        <v>205</v>
      </c>
      <c r="I176" s="4">
        <f ca="1">(TODAY()-Staff[[#This Row],[Date Joined]])/365</f>
        <v>3.6465753424657534</v>
      </c>
      <c r="J176" s="5">
        <f ca="1">ROUNDUP(IF(Staff[[#This Row],[Tenure]]&gt;2,3%,2%)*Staff[[#This Row],[Salary]],0)</f>
        <v>3464</v>
      </c>
      <c r="K176" s="31">
        <f>_xlfn.XLOOKUP(Staff[[#This Row],[Rating]],'SALARY VS RATING'!$G$5:$G$9,'SALARY VS RATING'!$H$5:$H$9)</f>
        <v>2</v>
      </c>
    </row>
    <row r="177" spans="1:11" ht="13.5" x14ac:dyDescent="0.25">
      <c r="A177" t="s">
        <v>50</v>
      </c>
      <c r="B177" t="s">
        <v>8</v>
      </c>
      <c r="C177" t="s">
        <v>12</v>
      </c>
      <c r="D177">
        <v>33</v>
      </c>
      <c r="E177" s="1">
        <v>44164</v>
      </c>
      <c r="F177" s="2">
        <v>115920</v>
      </c>
      <c r="G177" t="s">
        <v>13</v>
      </c>
      <c r="H177" t="s">
        <v>203</v>
      </c>
      <c r="I177" s="4">
        <f ca="1">(TODAY()-Staff[[#This Row],[Date Joined]])/365</f>
        <v>3.43013698630137</v>
      </c>
      <c r="J177" s="5">
        <f ca="1">ROUNDUP(IF(Staff[[#This Row],[Tenure]]&gt;2,3%,2%)*Staff[[#This Row],[Salary]],0)</f>
        <v>3478</v>
      </c>
      <c r="K177" s="31">
        <f>_xlfn.XLOOKUP(Staff[[#This Row],[Rating]],'SALARY VS RATING'!$G$5:$G$9,'SALARY VS RATING'!$H$5:$H$9)</f>
        <v>3</v>
      </c>
    </row>
    <row r="178" spans="1:11" ht="13.5" x14ac:dyDescent="0.25">
      <c r="A178" t="s">
        <v>163</v>
      </c>
      <c r="B178" t="s">
        <v>8</v>
      </c>
      <c r="C178" t="s">
        <v>12</v>
      </c>
      <c r="D178">
        <v>33</v>
      </c>
      <c r="E178" s="1">
        <v>44103</v>
      </c>
      <c r="F178" s="2">
        <v>115920</v>
      </c>
      <c r="G178" t="s">
        <v>13</v>
      </c>
      <c r="H178" t="s">
        <v>205</v>
      </c>
      <c r="I178" s="4">
        <f ca="1">(TODAY()-Staff[[#This Row],[Date Joined]])/365</f>
        <v>3.5972602739726027</v>
      </c>
      <c r="J178" s="5">
        <f ca="1">ROUNDUP(IF(Staff[[#This Row],[Tenure]]&gt;2,3%,2%)*Staff[[#This Row],[Salary]],0)</f>
        <v>3478</v>
      </c>
      <c r="K178" s="31">
        <f>_xlfn.XLOOKUP(Staff[[#This Row],[Rating]],'SALARY VS RATING'!$G$5:$G$9,'SALARY VS RATING'!$H$5:$H$9)</f>
        <v>3</v>
      </c>
    </row>
    <row r="179" spans="1:11" ht="13.5" x14ac:dyDescent="0.25">
      <c r="A179" t="s">
        <v>77</v>
      </c>
      <c r="B179" t="s">
        <v>15</v>
      </c>
      <c r="C179" t="s">
        <v>26</v>
      </c>
      <c r="D179">
        <v>37</v>
      </c>
      <c r="E179" s="1">
        <v>44451</v>
      </c>
      <c r="F179" s="2">
        <v>118100</v>
      </c>
      <c r="G179" t="s">
        <v>13</v>
      </c>
      <c r="H179" t="s">
        <v>203</v>
      </c>
      <c r="I179" s="4">
        <f ca="1">(TODAY()-Staff[[#This Row],[Date Joined]])/365</f>
        <v>2.6438356164383561</v>
      </c>
      <c r="J179" s="5">
        <f ca="1">ROUNDUP(IF(Staff[[#This Row],[Tenure]]&gt;2,3%,2%)*Staff[[#This Row],[Salary]],0)</f>
        <v>3543</v>
      </c>
      <c r="K179" s="31">
        <f>_xlfn.XLOOKUP(Staff[[#This Row],[Rating]],'SALARY VS RATING'!$G$5:$G$9,'SALARY VS RATING'!$H$5:$H$9)</f>
        <v>3</v>
      </c>
    </row>
    <row r="180" spans="1:11" ht="13.5" x14ac:dyDescent="0.25">
      <c r="A180" t="s">
        <v>185</v>
      </c>
      <c r="B180" t="s">
        <v>15</v>
      </c>
      <c r="C180" t="s">
        <v>26</v>
      </c>
      <c r="D180">
        <v>37</v>
      </c>
      <c r="E180" s="1">
        <v>44389</v>
      </c>
      <c r="F180" s="2">
        <v>118100</v>
      </c>
      <c r="G180" t="s">
        <v>13</v>
      </c>
      <c r="H180" t="s">
        <v>205</v>
      </c>
      <c r="I180" s="4">
        <f ca="1">(TODAY()-Staff[[#This Row],[Date Joined]])/365</f>
        <v>2.8136986301369862</v>
      </c>
      <c r="J180" s="5">
        <f ca="1">ROUNDUP(IF(Staff[[#This Row],[Tenure]]&gt;2,3%,2%)*Staff[[#This Row],[Salary]],0)</f>
        <v>3543</v>
      </c>
      <c r="K180" s="31">
        <f>_xlfn.XLOOKUP(Staff[[#This Row],[Rating]],'SALARY VS RATING'!$G$5:$G$9,'SALARY VS RATING'!$H$5:$H$9)</f>
        <v>3</v>
      </c>
    </row>
    <row r="181" spans="1:11" ht="13.5" x14ac:dyDescent="0.25">
      <c r="A181" t="s">
        <v>68</v>
      </c>
      <c r="B181" t="s">
        <v>8</v>
      </c>
      <c r="C181" t="s">
        <v>23</v>
      </c>
      <c r="D181">
        <v>36</v>
      </c>
      <c r="E181" s="1">
        <v>44019</v>
      </c>
      <c r="F181" s="2">
        <v>118840</v>
      </c>
      <c r="G181" t="s">
        <v>13</v>
      </c>
      <c r="H181" t="s">
        <v>203</v>
      </c>
      <c r="I181" s="4">
        <f ca="1">(TODAY()-Staff[[#This Row],[Date Joined]])/365</f>
        <v>3.8273972602739725</v>
      </c>
      <c r="J181" s="5">
        <f ca="1">ROUNDUP(IF(Staff[[#This Row],[Tenure]]&gt;2,3%,2%)*Staff[[#This Row],[Salary]],0)</f>
        <v>3566</v>
      </c>
      <c r="K181" s="31">
        <f>_xlfn.XLOOKUP(Staff[[#This Row],[Rating]],'SALARY VS RATING'!$G$5:$G$9,'SALARY VS RATING'!$H$5:$H$9)</f>
        <v>3</v>
      </c>
    </row>
    <row r="182" spans="1:11" ht="13.5" x14ac:dyDescent="0.25">
      <c r="A182" t="s">
        <v>126</v>
      </c>
      <c r="B182" t="s">
        <v>8</v>
      </c>
      <c r="C182" t="s">
        <v>23</v>
      </c>
      <c r="D182">
        <v>36</v>
      </c>
      <c r="E182" s="1">
        <v>43958</v>
      </c>
      <c r="F182" s="2">
        <v>118840</v>
      </c>
      <c r="G182" t="s">
        <v>13</v>
      </c>
      <c r="H182" t="s">
        <v>205</v>
      </c>
      <c r="I182" s="4">
        <f ca="1">(TODAY()-Staff[[#This Row],[Date Joined]])/365</f>
        <v>3.9945205479452053</v>
      </c>
      <c r="J182" s="5">
        <f ca="1">ROUNDUP(IF(Staff[[#This Row],[Tenure]]&gt;2,3%,2%)*Staff[[#This Row],[Salary]],0)</f>
        <v>3566</v>
      </c>
      <c r="K182" s="31">
        <f>_xlfn.XLOOKUP(Staff[[#This Row],[Rating]],'SALARY VS RATING'!$G$5:$G$9,'SALARY VS RATING'!$H$5:$H$9)</f>
        <v>3</v>
      </c>
    </row>
    <row r="183" spans="1:11" ht="13.5" x14ac:dyDescent="0.25">
      <c r="A183" t="s">
        <v>25</v>
      </c>
      <c r="B183" t="s">
        <v>15</v>
      </c>
      <c r="C183" t="s">
        <v>26</v>
      </c>
      <c r="D183">
        <v>27</v>
      </c>
      <c r="E183" s="1">
        <v>44122</v>
      </c>
      <c r="F183" s="2">
        <v>119110</v>
      </c>
      <c r="G183" t="s">
        <v>13</v>
      </c>
      <c r="H183" t="s">
        <v>203</v>
      </c>
      <c r="I183" s="4">
        <f ca="1">(TODAY()-Staff[[#This Row],[Date Joined]])/365</f>
        <v>3.5452054794520547</v>
      </c>
      <c r="J183" s="5">
        <f ca="1">ROUNDUP(IF(Staff[[#This Row],[Tenure]]&gt;2,3%,2%)*Staff[[#This Row],[Salary]],0)</f>
        <v>3574</v>
      </c>
      <c r="K183" s="31">
        <f>_xlfn.XLOOKUP(Staff[[#This Row],[Rating]],'SALARY VS RATING'!$G$5:$G$9,'SALARY VS RATING'!$H$5:$H$9)</f>
        <v>3</v>
      </c>
    </row>
    <row r="184" spans="1:11" ht="13.5" x14ac:dyDescent="0.25">
      <c r="A184" t="s">
        <v>146</v>
      </c>
      <c r="B184" t="s">
        <v>15</v>
      </c>
      <c r="C184" t="s">
        <v>26</v>
      </c>
      <c r="D184">
        <v>27</v>
      </c>
      <c r="E184" s="1">
        <v>44061</v>
      </c>
      <c r="F184" s="2">
        <v>119110</v>
      </c>
      <c r="G184" t="s">
        <v>13</v>
      </c>
      <c r="H184" t="s">
        <v>205</v>
      </c>
      <c r="I184" s="4">
        <f ca="1">(TODAY()-Staff[[#This Row],[Date Joined]])/365</f>
        <v>3.7123287671232879</v>
      </c>
      <c r="J184" s="5">
        <f ca="1">ROUNDUP(IF(Staff[[#This Row],[Tenure]]&gt;2,3%,2%)*Staff[[#This Row],[Salary]],0)</f>
        <v>3574</v>
      </c>
      <c r="K184" s="31">
        <f>_xlfn.XLOOKUP(Staff[[#This Row],[Rating]],'SALARY VS RATING'!$G$5:$G$9,'SALARY VS RATING'!$H$5:$H$9)</f>
        <v>3</v>
      </c>
    </row>
    <row r="185" spans="1:11" ht="13.5" x14ac:dyDescent="0.25">
      <c r="E185" s="1"/>
      <c r="F185" s="2"/>
      <c r="K185"/>
    </row>
  </sheetData>
  <mergeCells count="5">
    <mergeCell ref="O22:P22"/>
    <mergeCell ref="O3:Q3"/>
    <mergeCell ref="O14:Q14"/>
    <mergeCell ref="W6:AA6"/>
    <mergeCell ref="W8:AC8"/>
  </mergeCells>
  <conditionalFormatting sqref="F2:F184">
    <cfRule type="colorScale" priority="1">
      <colorScale>
        <cfvo type="min"/>
        <cfvo type="percentile" val="50"/>
        <cfvo type="max"/>
        <color rgb="FFF8696B"/>
        <color rgb="FFFCFCFF"/>
        <color rgb="FF5A8AC6"/>
      </colorScale>
    </cfRule>
  </conditionalFormatting>
  <dataValidations count="1">
    <dataValidation type="list" allowBlank="1" showInputMessage="1" showErrorMessage="1" sqref="P23" xr:uid="{81DC8F85-5109-481F-A4B5-6D37CD81AC34}">
      <formula1>$A$2:$A$184</formula1>
    </dataValidation>
  </dataValidations>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C354C-321A-4998-AC1B-E0A014CD000E}">
  <dimension ref="A4:D23"/>
  <sheetViews>
    <sheetView topLeftCell="A15" zoomScale="144" workbookViewId="0">
      <selection activeCell="H21" sqref="H21"/>
    </sheetView>
  </sheetViews>
  <sheetFormatPr defaultRowHeight="13.5" x14ac:dyDescent="0.25"/>
  <cols>
    <col min="1" max="1" width="6.58203125" customWidth="1"/>
    <col min="2" max="2" width="15.25" customWidth="1"/>
    <col min="3" max="3" width="9.25" customWidth="1"/>
    <col min="4" max="4" width="8.75" customWidth="1"/>
    <col min="5" max="5" width="13" customWidth="1"/>
    <col min="6" max="6" width="10.1640625" customWidth="1"/>
    <col min="7" max="7" width="15.25" customWidth="1"/>
    <col min="8" max="8" width="16.6640625" bestFit="1" customWidth="1"/>
    <col min="9" max="9" width="18.4140625" bestFit="1" customWidth="1"/>
  </cols>
  <sheetData>
    <row r="4" spans="1:4" ht="14" x14ac:dyDescent="0.3">
      <c r="A4" s="19" t="s">
        <v>222</v>
      </c>
      <c r="B4" s="27" t="s">
        <v>221</v>
      </c>
      <c r="C4" s="27"/>
      <c r="D4" s="27"/>
    </row>
    <row r="5" spans="1:4" ht="14" x14ac:dyDescent="0.3">
      <c r="B5" s="18" t="s">
        <v>0</v>
      </c>
      <c r="C5" s="6" t="s">
        <v>7</v>
      </c>
    </row>
    <row r="6" spans="1:4" ht="14" x14ac:dyDescent="0.3">
      <c r="B6" s="7" t="s">
        <v>1</v>
      </c>
      <c r="C6" t="str" cm="1">
        <f t="array" aca="1" ref="C6:C13" ca="1">TRANSPOSE(_xlfn.XLOOKUP(C5,Staff[Name],Staff[Gender]:Staff[Tenure]))</f>
        <v>Male</v>
      </c>
    </row>
    <row r="7" spans="1:4" ht="14" x14ac:dyDescent="0.3">
      <c r="B7" s="7" t="s">
        <v>2</v>
      </c>
      <c r="C7" t="str">
        <f ca="1"/>
        <v>Sales</v>
      </c>
    </row>
    <row r="8" spans="1:4" ht="14" x14ac:dyDescent="0.3">
      <c r="B8" s="7" t="s">
        <v>3</v>
      </c>
      <c r="C8">
        <f ca="1"/>
        <v>22</v>
      </c>
    </row>
    <row r="9" spans="1:4" ht="14" x14ac:dyDescent="0.3">
      <c r="B9" s="7" t="s">
        <v>4</v>
      </c>
      <c r="C9" s="3">
        <f ca="1"/>
        <v>44446</v>
      </c>
    </row>
    <row r="10" spans="1:4" ht="14" x14ac:dyDescent="0.3">
      <c r="B10" s="7" t="s">
        <v>5</v>
      </c>
      <c r="C10" s="2">
        <f ca="1"/>
        <v>112780</v>
      </c>
    </row>
    <row r="11" spans="1:4" ht="14" x14ac:dyDescent="0.3">
      <c r="B11" s="7" t="s">
        <v>6</v>
      </c>
      <c r="C11" t="str">
        <f ca="1"/>
        <v>Above average</v>
      </c>
    </row>
    <row r="12" spans="1:4" ht="14" x14ac:dyDescent="0.3">
      <c r="B12" s="7" t="s">
        <v>202</v>
      </c>
      <c r="C12" t="str">
        <f ca="1"/>
        <v>NZ</v>
      </c>
    </row>
    <row r="13" spans="1:4" ht="14" x14ac:dyDescent="0.3">
      <c r="B13" s="8" t="s">
        <v>211</v>
      </c>
      <c r="C13">
        <f ca="1"/>
        <v>2.6575342465753424</v>
      </c>
    </row>
    <row r="15" spans="1:4" ht="14" x14ac:dyDescent="0.3">
      <c r="A15" s="19">
        <v>2.1</v>
      </c>
      <c r="B15" s="22" t="s">
        <v>223</v>
      </c>
      <c r="C15" s="22"/>
      <c r="D15" s="22"/>
    </row>
    <row r="18" spans="2:4" x14ac:dyDescent="0.25">
      <c r="C18" s="20" t="s">
        <v>1</v>
      </c>
    </row>
    <row r="19" spans="2:4" x14ac:dyDescent="0.25">
      <c r="B19" s="20" t="s">
        <v>230</v>
      </c>
      <c r="C19" t="s">
        <v>15</v>
      </c>
      <c r="D19" t="s">
        <v>8</v>
      </c>
    </row>
    <row r="20" spans="2:4" x14ac:dyDescent="0.25">
      <c r="B20" t="s">
        <v>229</v>
      </c>
      <c r="C20" s="28">
        <v>190403.40000000005</v>
      </c>
      <c r="D20" s="28">
        <v>188315.59999999998</v>
      </c>
    </row>
    <row r="21" spans="2:4" x14ac:dyDescent="0.25">
      <c r="B21" t="s">
        <v>225</v>
      </c>
      <c r="C21" s="4">
        <v>78530.232558139542</v>
      </c>
      <c r="D21" s="4">
        <v>74915.168539325838</v>
      </c>
    </row>
    <row r="22" spans="2:4" x14ac:dyDescent="0.25">
      <c r="B22" t="s">
        <v>227</v>
      </c>
      <c r="C22" s="4">
        <v>231.82465753424654</v>
      </c>
      <c r="D22" s="4">
        <v>239.1013698630137</v>
      </c>
    </row>
    <row r="23" spans="2:4" x14ac:dyDescent="0.25">
      <c r="B23" t="s">
        <v>224</v>
      </c>
      <c r="C23" s="4">
        <v>2701</v>
      </c>
      <c r="D23" s="4">
        <v>2616</v>
      </c>
    </row>
  </sheetData>
  <mergeCells count="2">
    <mergeCell ref="B4:D4"/>
    <mergeCell ref="B15:D15"/>
  </mergeCells>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AD05DE-D09E-4D86-99CE-3BB8FA464C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VISSUALAZIATION</vt:lpstr>
      <vt:lpstr>STAFF VS NZ</vt:lpstr>
      <vt:lpstr>SALARY VS RATING</vt:lpstr>
      <vt:lpstr>NZ_STAFF</vt:lpstr>
      <vt:lpstr>EMP_STOP</vt:lpstr>
      <vt:lpstr>STAFF</vt:lpstr>
      <vt:lpstr>INFORMATION FINDER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Adnan Khan</dc:creator>
  <cp:lastModifiedBy>Adnan Khan</cp:lastModifiedBy>
  <dcterms:created xsi:type="dcterms:W3CDTF">2024-05-02T07:40:06Z</dcterms:created>
  <dcterms:modified xsi:type="dcterms:W3CDTF">2024-05-04T11:18:59Z</dcterms:modified>
</cp:coreProperties>
</file>